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sfrechen\Database-for-observed-data\"/>
    </mc:Choice>
  </mc:AlternateContent>
  <xr:revisionPtr revIDLastSave="0" documentId="13_ncr:1_{4B08A4D9-0B15-49DD-BB51-8DAC343AB1B5}"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DDI!$A$1:$AN$176</definedName>
    <definedName name="_xlnm._FilterDatabase" localSheetId="7" hidden="1">NotghiID!$A$1:$E$201</definedName>
    <definedName name="_xlnm._FilterDatabase" localSheetId="1" hidden="1">'PK-Parameter'!$A$1:$AE$645</definedName>
    <definedName name="_xlnm._FilterDatabase" localSheetId="2" hidden="1">'PK-Profiles'!$A$1:$Q$9225</definedName>
    <definedName name="_xlnm._FilterDatabase" localSheetId="6" hidden="1">Projects!$A$1:$F$925</definedName>
    <definedName name="_xlnm._FilterDatabase" localSheetId="0" hidden="1">Studies!$A$2:$BT$962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25" i="14"/>
  <c r="C925" i="14"/>
  <c r="D925" i="14"/>
  <c r="E925"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I26" i="22"/>
  <c r="I27" i="22"/>
  <c r="I28" i="22"/>
  <c r="I29" i="22"/>
  <c r="I30" i="22"/>
  <c r="I31" i="22"/>
  <c r="I32" i="22"/>
  <c r="I25" i="22"/>
  <c r="AN92" i="4" l="1"/>
  <c r="AN93" i="4"/>
  <c r="AN3" i="4"/>
  <c r="AN4" i="4"/>
  <c r="AN5" i="4"/>
  <c r="AN6" i="4"/>
  <c r="AN7" i="4"/>
  <c r="AN12" i="4"/>
  <c r="AN13" i="4"/>
  <c r="AN14" i="4"/>
  <c r="AN17" i="4"/>
  <c r="AN18" i="4"/>
  <c r="AN21" i="4"/>
  <c r="AN22" i="4"/>
  <c r="AN23" i="4"/>
  <c r="AN24" i="4"/>
  <c r="AN25" i="4"/>
  <c r="AN26" i="4"/>
  <c r="AN34" i="4"/>
  <c r="AN35" i="4"/>
  <c r="AN36" i="4"/>
  <c r="AN37" i="4"/>
  <c r="AN38" i="4"/>
  <c r="AN39" i="4"/>
  <c r="AN40" i="4"/>
  <c r="AN41" i="4"/>
  <c r="AN42" i="4"/>
  <c r="AN43" i="4"/>
  <c r="AN44" i="4"/>
  <c r="AN45" i="4"/>
  <c r="AN46" i="4"/>
  <c r="AN47" i="4"/>
  <c r="AN48" i="4"/>
  <c r="AN49" i="4"/>
  <c r="AN60" i="4"/>
  <c r="AN61" i="4"/>
  <c r="AN77" i="4"/>
  <c r="AN76" i="4"/>
  <c r="AN87" i="4"/>
  <c r="AN19" i="4"/>
  <c r="AN20" i="4"/>
  <c r="AN58" i="4"/>
  <c r="AN59" i="4"/>
  <c r="AN50" i="4"/>
  <c r="AN51" i="4"/>
  <c r="AN15" i="4"/>
  <c r="AN16" i="4"/>
  <c r="AN28" i="4"/>
  <c r="AN29" i="4"/>
  <c r="AN70" i="4"/>
  <c r="AN71" i="4"/>
  <c r="AN72" i="4"/>
  <c r="AN73" i="4"/>
  <c r="AN74" i="4"/>
  <c r="AN75" i="4"/>
  <c r="AN68" i="4"/>
  <c r="AN69" i="4"/>
  <c r="AN66" i="4"/>
  <c r="AN67" i="4"/>
  <c r="AN84" i="4"/>
  <c r="AN85" i="4"/>
  <c r="AN86" i="4"/>
  <c r="AN63" i="4"/>
  <c r="AN64" i="4"/>
  <c r="AN65" i="4"/>
  <c r="AN88" i="4"/>
  <c r="AN89" i="4"/>
  <c r="AN90" i="4"/>
  <c r="AN91" i="4"/>
  <c r="AN2" i="4"/>
  <c r="H58" i="4"/>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B201" i="22" l="1"/>
  <c r="B200" i="22"/>
  <c r="B199" i="22"/>
  <c r="B198" i="22"/>
  <c r="B189" i="22"/>
  <c r="B188" i="22"/>
  <c r="B147" i="22"/>
  <c r="B146" i="22"/>
  <c r="B145" i="22"/>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AN79" i="4"/>
  <c r="AN80" i="4"/>
  <c r="AN81" i="4"/>
  <c r="AN82" i="4"/>
  <c r="AN83" i="4"/>
  <c r="AN62" i="4"/>
  <c r="AN52" i="4"/>
  <c r="AN54" i="4"/>
  <c r="AN55" i="4"/>
  <c r="AN56" i="4"/>
  <c r="AN57" i="4"/>
  <c r="AN8" i="4"/>
  <c r="AN9" i="4"/>
  <c r="AN10" i="4"/>
  <c r="AN11" i="4"/>
  <c r="AN30" i="4"/>
  <c r="AN31" i="4"/>
  <c r="AN32" i="4"/>
  <c r="AN33" i="4"/>
  <c r="AN78" i="4"/>
  <c r="AN53"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<sst xmlns="http://schemas.openxmlformats.org/spreadsheetml/2006/main" count="66251" uniqueCount="2944">
  <si>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</si>
  <si>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</si>
  <si>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</si>
  <si>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</si>
  <si>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</si>
  <si>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</si>
  <si>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</si>
  <si>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</si>
  <si>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</si>
  <si>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</si>
  <si>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</si>
  <si>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</si>
  <si>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</si>
  <si>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</si>
  <si>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</si>
  <si>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</si>
  <si>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</si>
  <si>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</si>
  <si>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</si>
  <si>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</si>
  <si>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</si>
  <si>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</si>
  <si>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</si>
  <si>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</si>
  <si>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</si>
  <si>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</si>
  <si>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</si>
  <si>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</si>
  <si>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</si>
  <si>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</si>
  <si>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</si>
  <si>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</si>
  <si>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</si>
  <si>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</si>
  <si>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</si>
  <si>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</si>
  <si>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</si>
  <si>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</si>
  <si>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</si>
  <si>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</si>
  <si>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</si>
  <si>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</si>
  <si>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</si>
  <si>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</si>
  <si>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</si>
  <si>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</si>
  <si>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</si>
  <si>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</si>
  <si>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</si>
  <si>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</si>
  <si>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</si>
  <si>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</si>
  <si>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</si>
  <si>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</si>
  <si>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</si>
  <si>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</si>
  <si>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</si>
  <si>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</si>
  <si>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</si>
  <si>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</si>
  <si>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</si>
  <si>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</si>
  <si>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</si>
  <si>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</si>
  <si>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</si>
  <si>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</si>
  <si>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</si>
  <si>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</si>
  <si>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</si>
  <si>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</si>
  <si>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</si>
  <si>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</si>
  <si>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</si>
  <si>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</si>
  <si>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</si>
  <si>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</si>
  <si>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</si>
  <si>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</si>
  <si>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</si>
  <si>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</si>
  <si>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</si>
  <si>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</si>
  <si>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</si>
  <si>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</si>
  <si>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</si>
  <si>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</si>
  <si>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</si>
  <si>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</si>
  <si>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</si>
  <si>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</si>
  <si>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</si>
  <si>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</si>
  <si>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</si>
  <si>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</si>
  <si>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</si>
  <si>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</si>
  <si>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</si>
  <si>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</si>
  <si>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</si>
  <si>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</si>
  <si>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</si>
  <si>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</si>
  <si>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</si>
  <si>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</si>
  <si>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</si>
  <si>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</si>
  <si>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</si>
  <si>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</si>
  <si>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</si>
  <si>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</si>
  <si>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</si>
  <si>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</si>
  <si>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</si>
  <si>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</si>
  <si>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</si>
  <si>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</si>
  <si>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</si>
  <si>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</si>
  <si>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</si>
  <si>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</si>
  <si>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</si>
  <si>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</si>
  <si>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</si>
  <si>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</si>
  <si>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</si>
  <si>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</si>
  <si>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</si>
  <si>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</si>
  <si>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</si>
  <si>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</si>
  <si>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</si>
  <si>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</si>
  <si>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</si>
  <si>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</si>
  <si>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</si>
  <si>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</si>
  <si>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</si>
  <si>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</si>
  <si>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</si>
  <si>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</si>
  <si>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</si>
  <si>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</si>
  <si>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</si>
  <si>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</si>
  <si>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</si>
  <si>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</si>
  <si>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</si>
  <si>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</si>
  <si>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</si>
  <si>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</si>
  <si>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</si>
  <si>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</si>
  <si>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</si>
  <si>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</si>
  <si>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</si>
  <si>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</si>
  <si>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</si>
  <si>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</si>
  <si>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</si>
  <si>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</si>
  <si>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</si>
  <si>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</si>
  <si>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</si>
  <si>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</si>
  <si>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</si>
  <si>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</si>
  <si>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</si>
  <si>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</si>
  <si>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</si>
  <si>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</si>
  <si>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</si>
  <si>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</si>
  <si>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</si>
  <si>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</si>
  <si>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</si>
  <si>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</si>
  <si>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</si>
  <si>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</si>
  <si>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</si>
  <si>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</si>
  <si>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</si>
  <si>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</si>
  <si>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</si>
  <si>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</si>
  <si>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</si>
  <si>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</si>
  <si>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</si>
  <si>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</si>
  <si>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</si>
  <si>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</si>
  <si>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</si>
  <si>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</si>
  <si>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</si>
  <si>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</si>
  <si>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</si>
  <si>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</si>
  <si>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</si>
  <si>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</si>
  <si>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</si>
  <si>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</si>
  <si>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</si>
  <si>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</si>
  <si>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</si>
  <si>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</si>
  <si>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</si>
  <si>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</si>
  <si>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</si>
  <si>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</si>
  <si>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</si>
  <si>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</si>
  <si>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</si>
  <si>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</si>
  <si>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</si>
  <si>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</si>
  <si>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</si>
  <si>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</si>
  <si>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</si>
  <si>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</si>
  <si>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</si>
  <si>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</si>
  <si>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</si>
  <si>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</si>
  <si>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</si>
  <si>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</si>
  <si>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</si>
  <si>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</si>
  <si>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</si>
  <si>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</si>
  <si>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</si>
  <si>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</si>
  <si>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</si>
  <si>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</si>
  <si>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</si>
  <si>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</si>
  <si>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</si>
  <si>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</si>
  <si>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</si>
  <si>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</si>
  <si>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</si>
  <si>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</si>
  <si>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</si>
  <si>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</si>
  <si>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</si>
  <si>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</si>
  <si>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</si>
  <si>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</si>
  <si>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</si>
  <si>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</si>
  <si>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</si>
  <si>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</si>
  <si>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</si>
  <si>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</si>
  <si>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</si>
  <si>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</si>
  <si>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</si>
  <si>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</si>
  <si>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</si>
  <si>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</si>
  <si>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</si>
  <si>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</si>
  <si>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</si>
  <si>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</si>
  <si>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</si>
  <si>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</si>
  <si>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</si>
  <si>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</si>
  <si>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</si>
  <si>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</si>
  <si>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</si>
  <si>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</si>
  <si>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</si>
  <si>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</si>
  <si>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</si>
  <si>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</si>
  <si>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</si>
  <si>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</si>
  <si>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</si>
  <si>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</si>
  <si>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</si>
  <si>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</si>
  <si>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</si>
  <si>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</si>
  <si>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</si>
  <si>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</si>
  <si>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</si>
  <si>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</si>
  <si>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</si>
  <si>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</si>
  <si>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</si>
  <si>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</si>
  <si>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</si>
  <si>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</si>
  <si>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</si>
  <si>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</si>
  <si>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</si>
  <si>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</si>
  <si>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</si>
  <si>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</si>
  <si>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</si>
  <si>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</si>
  <si>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</si>
  <si>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</si>
  <si>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</si>
  <si>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</si>
  <si>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</si>
  <si>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</si>
  <si>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</si>
  <si>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</si>
  <si>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</si>
  <si>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</si>
  <si>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</si>
  <si>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</si>
  <si>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</si>
  <si>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</si>
  <si>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</si>
  <si>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</si>
  <si>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</si>
  <si>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</si>
  <si>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</si>
  <si>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</si>
  <si>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</si>
  <si>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</si>
  <si>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</si>
  <si>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</si>
  <si>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</si>
  <si>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</si>
  <si>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</si>
  <si>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</si>
  <si>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</si>
  <si>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</si>
  <si>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</si>
  <si>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</si>
  <si>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</si>
  <si>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</si>
  <si>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</si>
  <si>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</si>
  <si>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</si>
  <si>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</si>
  <si>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</si>
  <si>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</si>
  <si>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</si>
  <si>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</si>
  <si>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</si>
  <si>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</si>
  <si>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</si>
  <si>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</si>
  <si>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</si>
  <si>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</si>
  <si>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</si>
  <si>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</si>
  <si>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</si>
  <si>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</si>
  <si>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</si>
  <si>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</si>
  <si>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</si>
  <si>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</si>
  <si>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</si>
  <si>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</si>
  <si>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</si>
  <si>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</si>
  <si>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</si>
  <si>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</si>
  <si>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</si>
  <si>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</si>
  <si>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</si>
  <si>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</si>
  <si>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</si>
  <si>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</si>
  <si>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</si>
  <si>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</si>
  <si>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</si>
  <si>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</si>
  <si>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</si>
  <si>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</si>
  <si>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</si>
  <si>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</si>
  <si>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</si>
  <si>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</si>
  <si>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</si>
  <si>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</si>
  <si>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</si>
  <si>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</si>
  <si>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</si>
  <si>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</si>
  <si>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</si>
  <si>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</si>
  <si>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</si>
  <si>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</si>
  <si>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</si>
  <si>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</si>
  <si>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</si>
  <si>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</si>
  <si>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</si>
  <si>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</si>
  <si>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</si>
  <si>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</si>
  <si>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</si>
  <si>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</si>
  <si>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</si>
  <si>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</si>
  <si>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</si>
  <si>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</si>
  <si>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</si>
  <si>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</si>
  <si>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</si>
  <si>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</si>
  <si>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</si>
  <si>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</si>
  <si>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</si>
  <si>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</si>
  <si>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</si>
  <si>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</si>
  <si>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</si>
  <si>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</si>
  <si>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</si>
  <si>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</si>
  <si>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</si>
  <si>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</si>
  <si>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</si>
  <si>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</si>
  <si>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</si>
  <si>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</si>
  <si>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</si>
  <si>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</si>
  <si>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</si>
  <si>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</si>
  <si>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</si>
  <si>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</si>
  <si>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</si>
  <si>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</si>
  <si>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</si>
  <si>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</si>
  <si>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</si>
  <si>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</si>
  <si>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</si>
  <si>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</si>
  <si>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</si>
  <si>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</si>
  <si>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</si>
  <si>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</si>
  <si>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</si>
  <si>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</si>
  <si>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</si>
  <si>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</si>
  <si>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</si>
  <si>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</si>
  <si>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</si>
  <si>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</si>
  <si>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</si>
  <si>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</si>
  <si>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</si>
  <si>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</si>
  <si>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</si>
  <si>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</si>
  <si>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</si>
  <si>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</si>
  <si>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</si>
  <si>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</si>
  <si>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</si>
  <si>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</si>
  <si>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</si>
  <si>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</si>
  <si>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</si>
  <si>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</si>
  <si>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</si>
  <si>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</si>
  <si>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</si>
  <si>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</si>
  <si>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</si>
  <si>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</si>
  <si>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</si>
  <si>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</si>
  <si>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</si>
  <si>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</si>
  <si>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</si>
  <si>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</si>
  <si>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</si>
  <si>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</si>
  <si>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</si>
  <si>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</si>
  <si>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</si>
  <si>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</si>
  <si>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</si>
  <si>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</si>
  <si>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</si>
  <si>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</si>
  <si>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</si>
  <si>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</si>
  <si>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</si>
  <si>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</si>
  <si>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</si>
  <si>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</si>
  <si>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</si>
  <si>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</si>
  <si>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</si>
  <si>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</si>
  <si>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</si>
  <si>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</si>
  <si>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</si>
  <si>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</si>
  <si>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</si>
  <si>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</si>
  <si>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</si>
  <si>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</si>
  <si>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</si>
  <si>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</si>
  <si>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</si>
  <si>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</si>
  <si>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</si>
  <si>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</si>
  <si>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</si>
  <si>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</si>
  <si>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</si>
  <si>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</si>
  <si>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</si>
  <si>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</si>
  <si>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</si>
  <si>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</si>
  <si>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</si>
  <si>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</si>
  <si>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</si>
  <si>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</si>
  <si>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</si>
  <si>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</si>
  <si>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</si>
  <si>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</si>
  <si>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</si>
  <si>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</si>
  <si>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</si>
  <si>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</si>
  <si>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</si>
  <si>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</si>
  <si>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</si>
  <si>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</si>
  <si>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</si>
  <si>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</si>
  <si>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</si>
  <si>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</si>
  <si>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</si>
  <si>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</si>
  <si>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</si>
  <si>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</si>
  <si>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</si>
  <si>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</si>
  <si>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</si>
  <si>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</si>
  <si>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</si>
  <si>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</si>
  <si>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</si>
  <si>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</si>
  <si>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</si>
  <si>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</si>
  <si>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</si>
  <si>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</si>
  <si>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</si>
  <si>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</si>
  <si>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</si>
  <si>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</si>
  <si>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</si>
  <si>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</si>
  <si>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</si>
  <si>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</si>
  <si>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</si>
  <si>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</si>
  <si>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</si>
  <si>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</si>
  <si>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</si>
  <si>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</si>
  <si>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</si>
  <si>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</si>
  <si>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</si>
  <si>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</si>
  <si>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</si>
  <si>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</si>
  <si>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</si>
  <si>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</si>
  <si>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</si>
  <si>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</si>
  <si>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</si>
  <si>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</si>
  <si>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</si>
  <si>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</si>
  <si>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</si>
  <si>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</si>
  <si>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</si>
  <si>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</si>
  <si>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</si>
  <si>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</si>
  <si>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</si>
  <si>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</si>
  <si>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</si>
  <si>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</si>
  <si>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</si>
  <si>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</si>
  <si>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</si>
  <si>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</si>
  <si>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</si>
  <si>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</si>
  <si>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</si>
  <si>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</si>
  <si>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</si>
  <si>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</si>
  <si>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</si>
  <si>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</si>
  <si>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</si>
  <si>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</si>
  <si>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</si>
  <si>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</si>
  <si>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</si>
  <si>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</si>
  <si>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</si>
  <si>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</si>
  <si>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</si>
  <si>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</si>
  <si>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</si>
  <si>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</si>
  <si>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</si>
  <si>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</si>
  <si>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</si>
  <si>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</si>
  <si>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</si>
  <si>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</si>
  <si>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</si>
  <si>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</si>
  <si>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</si>
  <si>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</si>
  <si>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</si>
  <si>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</si>
  <si>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</si>
  <si>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</si>
  <si>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</si>
  <si>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</si>
  <si>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</si>
  <si>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</si>
  <si>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</si>
  <si>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</si>
  <si>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</si>
  <si>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</si>
  <si>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</si>
  <si>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</si>
  <si>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</si>
  <si>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</si>
  <si>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</si>
  <si>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</si>
  <si>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</si>
  <si>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</si>
  <si>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</si>
  <si>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</si>
  <si>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</si>
  <si>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</si>
  <si>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</si>
  <si>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</si>
  <si>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</si>
  <si>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</si>
  <si>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</si>
  <si>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</si>
  <si>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</si>
  <si>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</si>
  <si>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</si>
  <si>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</si>
  <si>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</si>
  <si>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</si>
  <si>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</si>
  <si>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</si>
  <si>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</si>
  <si>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</si>
  <si>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</si>
  <si>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</si>
  <si>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</si>
  <si>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</si>
  <si>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</si>
  <si>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</si>
  <si>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</si>
  <si>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</si>
  <si>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</si>
  <si>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</si>
  <si>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</si>
  <si>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</si>
  <si>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</si>
  <si>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</si>
  <si>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</si>
  <si>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</si>
  <si>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</si>
  <si>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</si>
  <si>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</si>
  <si>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</si>
  <si>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</si>
  <si>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</si>
  <si>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</si>
  <si>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</si>
  <si>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</si>
  <si>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</si>
  <si>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</si>
  <si>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</si>
  <si>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</si>
  <si>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</si>
  <si>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</si>
  <si>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</si>
  <si>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</si>
  <si>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</si>
  <si>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</si>
  <si>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</si>
  <si>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</si>
  <si>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</si>
  <si>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</si>
  <si>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</si>
  <si>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</si>
  <si>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</si>
  <si>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</si>
  <si>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</si>
  <si>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</si>
  <si>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</si>
  <si>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</si>
  <si>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</si>
  <si>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</si>
  <si>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</si>
  <si>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</si>
  <si>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</si>
  <si>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</si>
  <si>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</si>
  <si>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</si>
  <si>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</si>
  <si>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</si>
  <si>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</si>
  <si>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</si>
  <si>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</si>
  <si>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</si>
  <si>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</si>
  <si>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</si>
  <si>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</si>
  <si>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</si>
  <si>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</si>
  <si>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</si>
  <si>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</si>
  <si>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</si>
  <si>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</si>
  <si>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</si>
  <si>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</si>
  <si>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</si>
  <si>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</si>
  <si>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</si>
  <si>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</si>
  <si>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</si>
  <si>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</si>
  <si>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</si>
  <si>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</si>
  <si>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</si>
  <si>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</si>
  <si>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</si>
  <si>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</si>
  <si>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</si>
  <si>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</si>
  <si>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</si>
  <si>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</si>
  <si>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</si>
  <si>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</si>
  <si>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</si>
  <si>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</si>
  <si>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</si>
  <si>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</si>
  <si>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</si>
  <si>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</si>
  <si>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</si>
  <si>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</si>
  <si>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</si>
  <si>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</si>
  <si>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</si>
  <si>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</si>
  <si>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</si>
  <si>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</si>
  <si>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</si>
  <si>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</si>
  <si>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</si>
  <si>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</si>
  <si>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</si>
  <si>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</si>
  <si>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</si>
  <si>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</si>
  <si>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</si>
  <si>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</si>
  <si>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</si>
  <si>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</si>
  <si>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</si>
  <si>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</si>
  <si>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</si>
  <si>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</si>
  <si>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</si>
  <si>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</si>
  <si>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</si>
  <si>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</si>
  <si>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</si>
  <si>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</si>
  <si>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</si>
  <si>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</si>
  <si>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</si>
  <si>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</si>
  <si>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</si>
  <si>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</si>
  <si>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</si>
  <si>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</si>
  <si>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</si>
  <si>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</si>
  <si>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</si>
  <si>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</si>
  <si>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</si>
  <si>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</si>
  <si>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</si>
  <si>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</si>
  <si>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</si>
  <si>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</si>
  <si>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</si>
  <si>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</si>
  <si>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</si>
  <si>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</si>
  <si>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</si>
  <si>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</si>
  <si>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</si>
  <si>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</si>
  <si>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</si>
  <si>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</si>
  <si>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</si>
  <si>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</si>
  <si>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</si>
  <si>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</si>
  <si>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</si>
  <si>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</si>
  <si>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</si>
  <si>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</si>
  <si>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</si>
  <si>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</si>
  <si>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</si>
  <si>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</si>
  <si>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</si>
  <si>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</si>
  <si>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</si>
  <si>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</si>
  <si>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</si>
  <si>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</si>
  <si>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</si>
  <si>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</si>
  <si>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</si>
  <si>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</si>
  <si>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</si>
  <si>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</si>
  <si>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</si>
  <si>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</si>
  <si>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</si>
  <si>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</si>
  <si>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</si>
  <si>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</si>
  <si>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</si>
  <si>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</si>
  <si>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</si>
  <si>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</si>
  <si>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</si>
  <si>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</si>
  <si>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</si>
  <si>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</si>
  <si>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</si>
  <si>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</si>
  <si>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</si>
  <si>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</si>
  <si>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</si>
  <si>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</si>
  <si>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</si>
  <si>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</si>
  <si>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</si>
  <si>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</si>
  <si>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</si>
  <si>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</si>
  <si>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</si>
  <si>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</si>
  <si>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</si>
  <si>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</si>
  <si>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</si>
  <si>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</si>
  <si>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</si>
  <si>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</si>
  <si>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</si>
  <si>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</si>
  <si>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</si>
  <si>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</si>
  <si>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</si>
  <si>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</si>
  <si>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</si>
  <si>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</si>
  <si>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</si>
  <si>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</si>
  <si>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</si>
  <si>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</si>
  <si>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</si>
  <si>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</si>
  <si>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</si>
  <si>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</si>
  <si>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</si>
  <si>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</si>
  <si>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</si>
  <si>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</si>
  <si>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</si>
  <si>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</si>
  <si>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</si>
  <si>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</si>
  <si>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</si>
  <si>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</si>
  <si>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</si>
  <si>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</si>
  <si>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</si>
  <si>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</si>
  <si>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</si>
  <si>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</si>
  <si>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</si>
  <si>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</si>
  <si>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</si>
  <si>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</si>
  <si>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</si>
  <si>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</si>
  <si>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</si>
  <si>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</si>
  <si>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</si>
  <si>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</si>
  <si>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</si>
  <si>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</si>
  <si>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</si>
  <si>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</si>
  <si>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</si>
  <si>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</si>
  <si>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</si>
  <si>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</si>
  <si>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</si>
  <si>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</si>
  <si>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</si>
  <si>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</si>
  <si>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</si>
  <si>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</si>
  <si>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</si>
  <si>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</si>
  <si>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</si>
  <si>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</si>
  <si>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</si>
  <si>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</si>
  <si>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</si>
  <si>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</si>
  <si>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</si>
  <si>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</si>
  <si>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</si>
  <si>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</si>
  <si>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</si>
  <si>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</si>
  <si>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</si>
  <si>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</si>
  <si>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</si>
  <si>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</si>
  <si>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</si>
  <si>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</si>
  <si>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</si>
  <si>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</si>
  <si>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</si>
  <si>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</si>
  <si>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</si>
  <si>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</si>
  <si>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</si>
  <si>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</si>
  <si>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</si>
  <si>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</si>
  <si>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</si>
  <si>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</si>
  <si>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</si>
  <si>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</si>
  <si>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</si>
  <si>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</si>
  <si>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</si>
  <si>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</si>
  <si>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</si>
  <si>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</si>
  <si>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</si>
  <si>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</si>
  <si>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</si>
  <si>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</si>
  <si>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</si>
  <si>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</si>
  <si>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</si>
  <si>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</si>
  <si>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</si>
  <si>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</si>
  <si>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</si>
  <si>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</si>
  <si>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</si>
  <si>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</si>
  <si>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</si>
  <si>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</si>
  <si>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</si>
  <si>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</si>
  <si>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</si>
  <si>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</si>
  <si>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</si>
  <si>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</si>
  <si>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</si>
  <si>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</si>
  <si>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</si>
  <si>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</si>
  <si>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</si>
  <si>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</si>
  <si>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</si>
  <si>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</si>
  <si>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</si>
  <si>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</si>
  <si>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</si>
  <si>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</si>
  <si>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</si>
  <si>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</si>
  <si>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</si>
  <si>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</si>
  <si>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</si>
  <si>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</si>
  <si>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</si>
  <si>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</si>
  <si>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</si>
  <si>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</si>
  <si>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</si>
  <si>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</si>
  <si>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</si>
  <si>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</si>
  <si>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</si>
  <si>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</si>
  <si>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</si>
  <si>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</si>
  <si>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</si>
  <si>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</si>
  <si>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</si>
  <si>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</si>
  <si>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</si>
  <si>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</si>
  <si>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</si>
  <si>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</si>
  <si>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</si>
  <si>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</si>
  <si>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</si>
  <si>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</si>
  <si>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</si>
  <si>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</si>
  <si>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</si>
  <si>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</si>
  <si>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</si>
  <si>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</si>
  <si>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</si>
  <si>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</si>
  <si>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</si>
  <si>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</si>
  <si>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</si>
  <si>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</si>
  <si>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</si>
  <si>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</si>
  <si>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</si>
  <si>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</si>
  <si>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</si>
  <si>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</si>
  <si>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</si>
  <si>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</si>
  <si>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</si>
  <si>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</si>
  <si>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</si>
  <si>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</si>
  <si>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</si>
  <si>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</si>
  <si>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</si>
  <si>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</si>
  <si>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</si>
  <si>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</si>
  <si>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</si>
  <si>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</si>
  <si>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</si>
  <si>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</si>
  <si>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</si>
  <si>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</si>
  <si>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</si>
  <si>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</si>
  <si>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</si>
  <si>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</si>
  <si>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</si>
  <si>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</si>
  <si>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</si>
  <si>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</si>
  <si>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</si>
  <si>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</si>
  <si>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</si>
  <si>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</si>
  <si>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</si>
  <si>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</si>
  <si>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</si>
  <si>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</si>
  <si>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</si>
  <si>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</si>
  <si>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</si>
  <si>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</si>
  <si>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</si>
  <si>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</si>
  <si>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</si>
  <si>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</si>
  <si>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</si>
  <si>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</si>
  <si>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</si>
  <si>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</si>
  <si>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</si>
  <si>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</si>
  <si>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</si>
  <si>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</si>
  <si>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</si>
  <si>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</si>
  <si>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</si>
  <si>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</si>
  <si>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</si>
  <si>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</si>
  <si>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</si>
  <si>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</si>
  <si>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</si>
  <si>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</si>
  <si>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</si>
  <si>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</si>
  <si>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</si>
  <si>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</si>
  <si>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</si>
  <si>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</si>
  <si>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</si>
  <si>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</si>
  <si>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</si>
  <si>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</si>
  <si>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</si>
  <si>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</si>
  <si>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</si>
  <si>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</si>
  <si>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</si>
  <si>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</si>
  <si>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</si>
  <si>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</si>
  <si>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</si>
  <si>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</si>
  <si>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</si>
  <si>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</si>
  <si>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</si>
  <si>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</si>
  <si>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</si>
  <si>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</si>
  <si>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</si>
  <si>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</si>
  <si>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</si>
  <si>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</si>
  <si>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</si>
  <si>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</si>
  <si>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</si>
  <si>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</si>
  <si>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</si>
  <si>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</si>
  <si>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</si>
  <si>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</si>
  <si>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</si>
  <si>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</si>
  <si>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</si>
  <si>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</si>
  <si>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</si>
  <si>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</si>
  <si>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</si>
  <si>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</si>
  <si>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</si>
  <si>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</si>
  <si>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</si>
  <si>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</si>
  <si>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</si>
  <si>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</si>
  <si>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</si>
  <si>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</si>
  <si>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</si>
  <si>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</si>
  <si>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</si>
  <si>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</si>
  <si>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</si>
  <si>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</si>
  <si>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</si>
  <si>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</si>
  <si>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</si>
  <si>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</si>
  <si>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</si>
  <si>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</si>
  <si>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</si>
  <si>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</si>
  <si>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</si>
  <si>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</si>
  <si>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</si>
  <si>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</si>
  <si>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</si>
  <si>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</si>
  <si>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</si>
  <si>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</si>
  <si>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</si>
  <si>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</si>
  <si>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</si>
  <si>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</si>
  <si>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</si>
  <si>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</si>
  <si>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</si>
  <si>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</si>
  <si>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</si>
  <si>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</si>
  <si>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</si>
  <si>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</si>
  <si>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</si>
  <si>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</si>
  <si>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</si>
  <si>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</si>
  <si>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</si>
  <si>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</si>
  <si>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</si>
  <si>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</si>
  <si>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</si>
  <si>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</si>
  <si>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</si>
  <si>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</si>
  <si>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</si>
  <si>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</si>
  <si>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</si>
  <si>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</si>
  <si>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</si>
  <si>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</si>
  <si>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</si>
  <si>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</si>
  <si>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</si>
  <si>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</si>
  <si>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</si>
  <si>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</si>
  <si>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</si>
  <si>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</si>
  <si>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</si>
  <si>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</si>
  <si>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</si>
  <si>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</si>
  <si>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</si>
  <si>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</si>
  <si>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</si>
  <si>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</si>
  <si>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</si>
  <si>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</si>
  <si>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</si>
  <si>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</si>
  <si>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</si>
  <si>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</si>
  <si>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</si>
  <si>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</si>
  <si>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</si>
  <si>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</si>
  <si>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</si>
  <si>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</si>
  <si>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</si>
  <si>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</si>
  <si>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</si>
  <si>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</si>
  <si>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</si>
  <si>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</si>
  <si>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</si>
  <si>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</si>
  <si>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</si>
  <si>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</si>
  <si>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</si>
  <si>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</si>
  <si>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</si>
  <si>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</si>
  <si>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</si>
  <si>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</si>
  <si>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</si>
  <si>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</si>
  <si>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</si>
  <si>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</si>
  <si>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</si>
  <si>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</si>
  <si>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</si>
  <si>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</si>
  <si>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</si>
  <si>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</si>
  <si>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</si>
  <si>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</si>
  <si>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</si>
  <si>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</si>
  <si>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</si>
  <si>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</si>
  <si>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</si>
  <si>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</si>
  <si>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</si>
  <si>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</si>
  <si>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</si>
  <si>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</si>
  <si>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</si>
  <si>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</si>
  <si>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</si>
  <si>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</si>
  <si>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</si>
  <si>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</si>
  <si>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</si>
  <si>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</si>
  <si>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</si>
  <si>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</si>
  <si>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</si>
  <si>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</si>
  <si>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</si>
  <si>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</si>
  <si>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</si>
  <si>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</si>
  <si>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</si>
  <si>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</si>
  <si>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</si>
  <si>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</si>
  <si>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</si>
  <si>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</si>
  <si>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</si>
  <si>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</si>
  <si>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</si>
  <si>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</si>
  <si>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</si>
  <si>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</si>
  <si>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</si>
  <si>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</si>
  <si>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</si>
  <si>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</si>
  <si>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</si>
  <si>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</si>
  <si>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</si>
  <si>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</si>
  <si>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</si>
  <si>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</si>
  <si>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</si>
  <si>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</si>
  <si>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</si>
  <si>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</si>
  <si>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</si>
  <si>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</si>
  <si>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</si>
  <si>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</si>
  <si>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</si>
  <si>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</si>
  <si>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</si>
  <si>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</si>
  <si>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</si>
  <si>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</si>
  <si>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</si>
  <si>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</si>
  <si>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</si>
  <si>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</si>
  <si>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</si>
  <si>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</si>
  <si>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</si>
  <si>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</si>
  <si>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</si>
  <si>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</si>
  <si>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</si>
  <si>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</si>
  <si>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</si>
  <si>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</si>
  <si>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</si>
  <si>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</si>
  <si>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</si>
  <si>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</si>
  <si>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</si>
  <si>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</si>
  <si>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</si>
  <si>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</si>
  <si>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</si>
  <si>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</si>
  <si>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</si>
  <si>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</si>
  <si>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</si>
  <si>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</si>
  <si>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</si>
  <si>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</si>
  <si>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</si>
  <si>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</si>
  <si>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</si>
  <si>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</si>
  <si>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</si>
  <si>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</si>
  <si>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</si>
  <si>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</si>
  <si>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</si>
  <si>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</si>
  <si>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</si>
  <si>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</si>
  <si>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</si>
  <si>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</si>
  <si>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</si>
  <si>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</si>
  <si>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</si>
  <si>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</si>
  <si>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</si>
  <si>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</si>
  <si>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</si>
  <si>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</si>
  <si>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</si>
  <si>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</si>
  <si>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</si>
  <si>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</si>
  <si>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</si>
  <si>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</si>
  <si>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</si>
  <si>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</si>
  <si>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</si>
  <si>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</si>
  <si>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</si>
  <si>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</si>
  <si>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</si>
  <si>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</si>
  <si>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</si>
  <si>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</si>
  <si>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</si>
  <si>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</si>
  <si>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</si>
  <si>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</si>
  <si>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</si>
  <si>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</si>
  <si>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</si>
  <si>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</si>
  <si>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</si>
  <si>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</si>
  <si>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</si>
  <si>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</si>
  <si>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</si>
  <si>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</si>
  <si>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</si>
  <si>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</si>
  <si>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</si>
  <si>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</si>
  <si>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</si>
  <si>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</si>
  <si>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</si>
  <si>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</si>
  <si>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</si>
  <si>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</si>
  <si>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</si>
  <si>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</si>
  <si>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</si>
  <si>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</si>
  <si>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</si>
  <si>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</si>
  <si>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</si>
  <si>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</si>
  <si>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</si>
  <si>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</si>
  <si>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</si>
  <si>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</si>
  <si>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</si>
  <si>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</si>
  <si>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</si>
  <si>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</si>
  <si>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</si>
  <si>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</si>
  <si>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</si>
  <si>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</si>
  <si>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</si>
  <si>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</si>
  <si>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</si>
  <si>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</si>
  <si>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</si>
  <si>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</si>
  <si>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</si>
  <si>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</si>
  <si>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</si>
  <si>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</si>
  <si>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</si>
  <si>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</si>
  <si>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</si>
  <si>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</si>
  <si>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</si>
  <si>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</si>
  <si>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</si>
  <si>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</si>
  <si>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</si>
  <si>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</si>
  <si>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</si>
  <si>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</si>
  <si>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</si>
  <si>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</si>
  <si>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</si>
  <si>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</si>
  <si>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</si>
  <si>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</si>
  <si>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</si>
  <si>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</si>
  <si>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</si>
  <si>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</si>
  <si>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</si>
  <si>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</si>
  <si>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</si>
  <si>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</si>
  <si>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</si>
  <si>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</si>
  <si>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</si>
  <si>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</si>
  <si>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</si>
  <si>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</si>
  <si>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</si>
  <si>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</si>
  <si>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</si>
  <si>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</si>
  <si>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</si>
  <si>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</si>
  <si>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</si>
  <si>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</si>
  <si>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</si>
  <si>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</si>
  <si>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</si>
  <si>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</si>
  <si>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</si>
  <si>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</si>
  <si>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</si>
  <si>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</si>
  <si>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</si>
  <si>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</si>
  <si>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</si>
  <si>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</si>
  <si>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</si>
  <si>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</si>
  <si>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</si>
  <si>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</si>
  <si>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</si>
  <si>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</si>
  <si>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</si>
  <si>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</si>
  <si>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</si>
  <si>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</si>
  <si>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</si>
  <si>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</si>
  <si>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</si>
  <si>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</si>
  <si>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</si>
  <si>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</si>
  <si>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</si>
  <si>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</si>
  <si>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</si>
  <si>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</si>
  <si>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</si>
  <si>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</si>
  <si>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</si>
  <si>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</si>
  <si>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</si>
  <si>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</si>
  <si>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</si>
  <si>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</si>
  <si>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</si>
  <si>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</si>
  <si>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</si>
  <si>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</si>
  <si>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</si>
  <si>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</si>
  <si>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</si>
  <si>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</si>
  <si>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</si>
  <si>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</si>
  <si>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</si>
  <si>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</si>
  <si>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</si>
  <si>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</si>
  <si>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</si>
  <si>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</si>
  <si>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</si>
  <si>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</si>
  <si>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</si>
  <si>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</si>
  <si>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</si>
  <si>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</si>
  <si>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</si>
  <si>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</si>
  <si>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</si>
  <si>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</si>
  <si>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</si>
  <si>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</si>
  <si>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</si>
  <si>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</si>
  <si>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</si>
  <si>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</si>
  <si>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</si>
  <si>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</si>
  <si>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</si>
  <si>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</si>
  <si>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</si>
  <si>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</si>
  <si>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</si>
  <si>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</si>
  <si>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</si>
  <si>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</si>
  <si>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</si>
  <si>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</si>
  <si>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</si>
  <si>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</si>
  <si>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</si>
  <si>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</si>
  <si>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</si>
  <si>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</si>
  <si>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</si>
  <si>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</si>
  <si>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</si>
  <si>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</si>
  <si>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</si>
  <si>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</si>
  <si>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</si>
  <si>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</si>
  <si>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</si>
  <si>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</si>
  <si>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</si>
  <si>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</si>
  <si>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</si>
  <si>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</si>
  <si>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</si>
  <si>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</si>
  <si>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</si>
  <si>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</si>
  <si>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</si>
  <si>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</si>
  <si>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</si>
  <si>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</si>
  <si>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</si>
  <si>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</si>
  <si>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</si>
  <si>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</si>
  <si>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</si>
  <si>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</si>
  <si>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</si>
  <si>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</si>
  <si>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</si>
  <si>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</si>
  <si>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</si>
  <si>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</si>
  <si>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</si>
  <si>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</si>
  <si>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</si>
  <si>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</si>
  <si>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</si>
  <si>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</si>
  <si>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</si>
  <si>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</si>
  <si>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</si>
  <si>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</si>
  <si>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</si>
  <si>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</si>
  <si>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</si>
  <si>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</si>
  <si>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</si>
  <si>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</si>
  <si>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</si>
  <si>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</si>
  <si>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</si>
  <si>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</si>
  <si>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</si>
  <si>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</si>
  <si>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</si>
  <si>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</si>
  <si>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</si>
  <si>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</si>
  <si>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</si>
  <si>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</si>
  <si>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</si>
  <si>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</si>
  <si>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</si>
  <si>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</si>
  <si>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</si>
  <si>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</si>
  <si>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</si>
  <si>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</si>
  <si>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</si>
  <si>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</si>
  <si>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</si>
  <si>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</si>
  <si>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</si>
  <si>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</si>
  <si>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</si>
  <si>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</si>
  <si>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</si>
  <si>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</si>
  <si>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</si>
  <si>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</si>
  <si>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</si>
  <si>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</si>
  <si>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</si>
  <si>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</si>
  <si>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</si>
  <si>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</si>
  <si>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</si>
  <si>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</si>
  <si>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</si>
  <si>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</si>
  <si>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</si>
  <si>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</si>
  <si>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</si>
  <si>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</si>
  <si>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</si>
  <si>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</si>
  <si>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</si>
  <si>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</si>
  <si>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</si>
  <si>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</si>
  <si>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</si>
  <si>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</si>
  <si>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</si>
  <si>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</si>
  <si>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</si>
  <si>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</si>
  <si>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</si>
  <si>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</si>
  <si>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</si>
  <si>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</si>
  <si>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</si>
  <si>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</si>
  <si>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</si>
  <si>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</si>
  <si>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</si>
  <si>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</si>
  <si>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</si>
  <si>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</si>
  <si>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</si>
  <si>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</si>
  <si>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</si>
  <si>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</si>
  <si>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</si>
  <si>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</si>
  <si>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</si>
  <si>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</si>
  <si>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</si>
  <si>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</si>
  <si>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</si>
  <si>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</si>
  <si>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</si>
  <si>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</si>
  <si>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</si>
  <si>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</si>
  <si>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</si>
  <si>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</si>
  <si>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</si>
  <si>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</si>
  <si>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</si>
  <si>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</si>
  <si>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</si>
  <si>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</si>
  <si>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</si>
  <si>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</si>
  <si>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</si>
  <si>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</si>
  <si>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</si>
  <si>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</si>
  <si>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</si>
  <si>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</si>
  <si>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</si>
  <si>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</si>
  <si>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</si>
  <si>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</si>
  <si>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</si>
  <si>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</si>
  <si>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</si>
  <si>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</si>
  <si>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</si>
  <si>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</si>
  <si>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</si>
  <si>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</si>
  <si>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</si>
  <si>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</si>
  <si>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</si>
  <si>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</si>
  <si>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</si>
  <si>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</si>
  <si>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</si>
  <si>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</si>
  <si>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</si>
  <si>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</si>
  <si>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</si>
  <si>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</si>
  <si>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</si>
  <si>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</si>
  <si>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</si>
  <si>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</si>
  <si>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</si>
  <si>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</si>
  <si>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</si>
  <si>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</si>
  <si>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</si>
  <si>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</si>
  <si>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</si>
  <si>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</si>
  <si>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</si>
  <si>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</si>
  <si>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</si>
  <si>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</si>
  <si>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</si>
  <si>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</si>
  <si>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</si>
  <si>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</si>
  <si>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</si>
  <si>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</si>
  <si>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</si>
  <si>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</si>
  <si>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</si>
  <si>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</si>
  <si>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</si>
  <si>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</si>
  <si>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</si>
  <si>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</si>
  <si>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</si>
  <si>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</si>
  <si>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</si>
  <si>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</si>
  <si>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</si>
  <si>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</si>
  <si>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</si>
  <si>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</si>
  <si>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</si>
  <si>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</si>
  <si>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</si>
  <si>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</si>
  <si>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</si>
  <si>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</si>
  <si>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</si>
  <si>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</si>
  <si>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</si>
  <si>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</si>
  <si>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</si>
  <si>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</si>
  <si>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</si>
  <si>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</si>
  <si>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</si>
  <si>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</si>
  <si>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</si>
  <si>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</si>
  <si>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</si>
  <si>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</si>
  <si>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</si>
  <si>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</si>
  <si>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</si>
  <si>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</si>
  <si>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</si>
  <si>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</si>
  <si>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</si>
  <si>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</si>
  <si>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</si>
  <si>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</si>
  <si>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</si>
  <si>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</si>
  <si>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</si>
  <si>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</si>
  <si>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</si>
  <si>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</si>
  <si>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</si>
  <si>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</si>
  <si>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</si>
  <si>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</si>
  <si>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</si>
  <si>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</si>
  <si>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</si>
  <si>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</si>
  <si>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</si>
  <si>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</si>
  <si>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</si>
  <si>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</si>
  <si>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</si>
  <si>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</si>
  <si>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</si>
  <si>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</si>
  <si>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</si>
  <si>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</si>
  <si>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</si>
  <si>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</si>
  <si>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</si>
  <si>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</si>
  <si>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</si>
  <si>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</si>
  <si>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</si>
  <si>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</si>
  <si>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</si>
  <si>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</si>
  <si>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</si>
  <si>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</si>
  <si>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</si>
  <si>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</si>
  <si>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</si>
  <si>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</si>
  <si>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</si>
  <si>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</si>
  <si>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</si>
  <si>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</si>
  <si>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</si>
  <si>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</si>
  <si>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</si>
  <si>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</si>
  <si>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</si>
  <si>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</si>
  <si>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</si>
  <si>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</si>
  <si>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</si>
  <si>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</si>
  <si>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</si>
  <si>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</si>
  <si>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</si>
  <si>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</si>
  <si>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</si>
  <si>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</si>
  <si>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</si>
  <si>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</si>
  <si>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</si>
  <si>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</si>
  <si>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</si>
  <si>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</si>
  <si>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</si>
  <si>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</si>
  <si>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</si>
  <si>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</si>
  <si>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</si>
  <si>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</si>
  <si>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</si>
  <si>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</si>
  <si>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</si>
  <si>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</si>
  <si>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</si>
  <si>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</si>
  <si>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</si>
  <si>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</si>
  <si>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</si>
  <si>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</si>
  <si>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</si>
  <si>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</si>
  <si>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</si>
  <si>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</si>
  <si>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</si>
  <si>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</si>
  <si>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</si>
  <si>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</si>
  <si>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</si>
  <si>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</si>
  <si>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</si>
  <si>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</si>
  <si>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</si>
  <si>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</si>
  <si>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</si>
  <si>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</si>
  <si>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</si>
  <si>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</si>
  <si>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</si>
  <si>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</si>
  <si>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</si>
  <si>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</si>
  <si>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</si>
  <si>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</si>
  <si>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</si>
  <si>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</si>
  <si>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</si>
  <si>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</si>
  <si>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</si>
  <si>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</si>
  <si>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</si>
  <si>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</si>
  <si>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</si>
  <si>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</si>
  <si>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</si>
  <si>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</si>
  <si>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</si>
  <si>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</si>
  <si>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</si>
  <si>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</si>
  <si>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</si>
  <si>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</si>
  <si>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</si>
  <si>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</si>
  <si>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</si>
  <si>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</si>
  <si>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</si>
  <si>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</si>
  <si>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</si>
  <si>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</si>
  <si>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</si>
  <si>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</si>
  <si>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</si>
  <si>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</si>
  <si>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</si>
  <si>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</si>
  <si>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</si>
  <si>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</si>
  <si>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</si>
  <si>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</si>
  <si>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</si>
  <si>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</si>
  <si>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</si>
  <si>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</si>
  <si>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</si>
  <si>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</si>
  <si>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</si>
  <si>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</si>
  <si>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</si>
  <si>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</si>
  <si>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</si>
  <si>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</si>
  <si>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</si>
  <si>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</si>
  <si>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</si>
  <si>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</si>
  <si>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</si>
  <si>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</si>
  <si>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</si>
  <si>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</si>
  <si>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</si>
  <si>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</si>
  <si>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</si>
  <si>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</si>
  <si>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</si>
  <si>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</si>
  <si>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</si>
  <si>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</si>
  <si>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</si>
  <si>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</si>
  <si>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</si>
  <si>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</si>
  <si>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</si>
  <si>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</si>
  <si>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</si>
  <si>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</si>
  <si>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</si>
  <si>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</si>
  <si>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</si>
  <si>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</si>
  <si>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</si>
  <si>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</si>
  <si>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</si>
  <si>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</si>
  <si>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</si>
  <si>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</si>
  <si>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</si>
  <si>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</si>
  <si>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</si>
  <si>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</si>
  <si>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</si>
  <si>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</si>
  <si>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</si>
  <si>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</si>
  <si>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</si>
  <si>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</si>
  <si>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</si>
  <si>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</si>
  <si>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</si>
  <si>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</si>
  <si>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</si>
  <si>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</si>
  <si>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</si>
  <si>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</si>
  <si>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</si>
  <si>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</si>
  <si>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</si>
  <si>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</si>
  <si>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</si>
  <si>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</si>
  <si>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</si>
  <si>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</si>
  <si>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</si>
  <si>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</si>
  <si>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</si>
  <si>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</si>
  <si>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</si>
  <si>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</si>
  <si>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</si>
  <si>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</si>
  <si>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</si>
  <si>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</si>
  <si>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</si>
  <si>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</si>
  <si>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</si>
  <si>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</si>
  <si>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</si>
  <si>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</si>
  <si>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</si>
  <si>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</si>
  <si>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</si>
  <si>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</si>
  <si>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</si>
  <si>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</si>
  <si>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</si>
  <si>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</si>
  <si>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</si>
  <si>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</si>
  <si>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</si>
  <si>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</si>
  <si>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</si>
  <si>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</si>
  <si>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</si>
  <si>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</si>
  <si>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</si>
  <si>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</si>
  <si>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</si>
  <si>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</si>
  <si>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</si>
  <si>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</si>
  <si>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</si>
  <si>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</si>
  <si>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</si>
  <si>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</si>
  <si>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</si>
  <si>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</si>
  <si>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</si>
  <si>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</si>
  <si>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</si>
  <si>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</si>
  <si>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</si>
  <si>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</si>
  <si>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</si>
  <si>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</si>
  <si>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</si>
  <si>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</si>
  <si>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</si>
  <si>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</si>
  <si>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</si>
  <si>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</si>
  <si>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</si>
  <si>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</si>
  <si>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</si>
  <si>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</si>
  <si>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</si>
  <si>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</si>
  <si>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</si>
  <si>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</si>
  <si>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</si>
  <si>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</si>
  <si>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</si>
  <si>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</si>
  <si>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</si>
  <si>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</si>
  <si>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</si>
  <si>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</si>
  <si>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</si>
  <si>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</si>
  <si>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</si>
  <si>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</si>
  <si>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</si>
  <si>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</si>
  <si>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</si>
  <si>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</si>
  <si>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</si>
  <si>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</si>
  <si>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</si>
  <si>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</si>
  <si>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</si>
  <si>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</si>
  <si>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</si>
  <si>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</si>
  <si>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</si>
  <si>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</si>
  <si>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</si>
  <si>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</si>
  <si>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</si>
  <si>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</si>
  <si>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</si>
  <si>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</si>
  <si>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</si>
  <si>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</si>
  <si>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</si>
  <si>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</si>
  <si>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</si>
  <si>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</si>
  <si>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</si>
  <si>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</si>
  <si>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</si>
  <si>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</si>
  <si>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</si>
  <si>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</si>
  <si>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</si>
  <si>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</si>
  <si>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</si>
  <si>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</si>
  <si>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</si>
  <si>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</si>
  <si>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</si>
  <si>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</si>
  <si>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</si>
  <si>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</si>
  <si>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</si>
  <si>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</si>
  <si>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</si>
  <si>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</si>
  <si>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</si>
  <si>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</si>
  <si>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</si>
  <si>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</si>
  <si>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</si>
  <si>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</si>
  <si>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</si>
  <si>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</si>
  <si>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</si>
  <si>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</si>
  <si>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</si>
  <si>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</si>
  <si>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</si>
  <si>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</si>
  <si>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</si>
  <si>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</si>
  <si>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</si>
  <si>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</si>
  <si>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</si>
  <si>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</si>
  <si>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</si>
  <si>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</si>
  <si>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</si>
  <si>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</si>
  <si>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</si>
  <si>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</si>
  <si>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</si>
  <si>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</si>
  <si>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</si>
  <si>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</si>
  <si>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</si>
  <si>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</si>
  <si>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</si>
  <si>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</si>
  <si>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</si>
  <si>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</si>
  <si>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</si>
  <si>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</si>
  <si>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</si>
  <si>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</si>
  <si>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</si>
  <si>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</si>
  <si>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</si>
  <si>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</si>
  <si>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</si>
  <si>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</si>
  <si>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</si>
  <si>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</si>
  <si>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</si>
  <si>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</si>
  <si>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</si>
  <si>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</si>
  <si>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</si>
  <si>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</si>
  <si>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</si>
  <si>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</si>
  <si>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</si>
  <si>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</si>
  <si>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</si>
  <si>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</si>
  <si>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</si>
  <si>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</si>
  <si>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</si>
  <si>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</si>
  <si>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</si>
  <si>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</si>
  <si>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</si>
  <si>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</si>
  <si>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</si>
  <si>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</si>
  <si>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</si>
  <si>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</si>
  <si>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</si>
  <si>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</si>
  <si>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</si>
  <si>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</si>
  <si>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</si>
  <si>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</si>
  <si>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</si>
  <si>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</si>
  <si>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</si>
  <si>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</si>
  <si>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</si>
  <si>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</si>
  <si>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</si>
  <si>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</si>
  <si>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</si>
  <si>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</si>
  <si>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</si>
  <si>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</si>
  <si>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</si>
  <si>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</si>
  <si>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</si>
  <si>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</si>
  <si>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</si>
  <si>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</si>
  <si>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</si>
  <si>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</si>
  <si>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</si>
  <si>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</si>
  <si>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</si>
  <si>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</si>
  <si>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</si>
  <si>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</si>
  <si>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</si>
  <si>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</si>
  <si>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</si>
  <si>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</si>
  <si>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</si>
  <si>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</si>
  <si>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</si>
  <si>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</si>
  <si>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</si>
  <si>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</si>
  <si>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</si>
  <si>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</si>
  <si>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</si>
  <si>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</si>
  <si>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</si>
  <si>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</si>
  <si>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</si>
  <si>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</si>
  <si>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</si>
  <si>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</si>
  <si>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</si>
  <si>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</si>
  <si>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</si>
  <si>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</si>
  <si>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</si>
  <si>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</si>
  <si>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</si>
  <si>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</si>
  <si>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</si>
  <si>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</si>
  <si>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</si>
  <si>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</si>
  <si>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</si>
  <si>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</si>
  <si>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</si>
  <si>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</si>
  <si>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</si>
  <si>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</si>
  <si>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</si>
  <si>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</si>
  <si>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</si>
  <si>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</si>
  <si>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</si>
  <si>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</si>
  <si>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</si>
  <si>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</si>
  <si>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</si>
  <si>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</si>
  <si>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</si>
  <si>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</si>
  <si>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</si>
  <si>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</si>
  <si>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</si>
  <si>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</si>
  <si>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</si>
  <si>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</si>
  <si>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</si>
  <si>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</si>
  <si>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</si>
  <si>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</si>
  <si>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</si>
  <si>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</si>
  <si>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</si>
  <si>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</si>
  <si>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</si>
  <si>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</si>
  <si>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</si>
  <si>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</si>
  <si>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</si>
  <si>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</si>
  <si>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</si>
  <si>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</si>
  <si>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</si>
  <si>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</si>
  <si>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</si>
  <si>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</si>
  <si>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</si>
  <si>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</si>
  <si>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</si>
  <si>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</si>
  <si>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</si>
  <si>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</si>
  <si>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</si>
  <si>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</si>
  <si>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</si>
  <si>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</si>
  <si>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</si>
  <si>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</si>
  <si>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</si>
  <si>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</si>
  <si>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</si>
  <si>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</si>
  <si>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</si>
  <si>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</si>
  <si>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</si>
  <si>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</si>
  <si>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</si>
  <si>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</si>
  <si>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</si>
  <si>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</si>
  <si>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</si>
  <si>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</si>
  <si>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</si>
  <si>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</si>
  <si>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</si>
  <si>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</si>
  <si>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</si>
  <si>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</si>
  <si>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</si>
  <si>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</si>
  <si>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</si>
  <si>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</si>
  <si>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</si>
  <si>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</si>
  <si>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</si>
  <si>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</si>
  <si>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</si>
  <si>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</si>
  <si>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</si>
  <si>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</si>
  <si>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</si>
  <si>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</si>
  <si>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</si>
  <si>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</si>
  <si>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</si>
  <si>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</si>
  <si>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</si>
  <si>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</si>
  <si>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</si>
  <si>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</si>
  <si>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</si>
  <si>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</si>
  <si>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</si>
  <si>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</si>
  <si>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</si>
  <si>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</si>
  <si>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</si>
  <si>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</si>
  <si>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</si>
  <si>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</si>
  <si>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</si>
  <si>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</si>
  <si>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</si>
  <si>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</si>
  <si>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</si>
  <si>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</si>
  <si>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</si>
  <si>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</si>
  <si>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</si>
  <si>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</si>
  <si>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</si>
  <si>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</si>
  <si>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</si>
  <si>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</si>
  <si>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</si>
  <si>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</si>
  <si>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</si>
  <si>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</si>
  <si>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</si>
  <si>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</si>
  <si>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</si>
  <si>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</si>
  <si>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</si>
  <si>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</si>
  <si>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</si>
  <si>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</si>
  <si>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</si>
  <si>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</si>
  <si>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</si>
  <si>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</si>
  <si>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</si>
  <si>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</si>
  <si>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</si>
  <si>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</si>
  <si>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</si>
  <si>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</si>
  <si>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</si>
  <si>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</si>
  <si>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</si>
  <si>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</si>
  <si>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</si>
  <si>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</si>
  <si>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</si>
  <si>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</si>
  <si>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</si>
  <si>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</si>
  <si>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</si>
  <si>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</si>
  <si>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</si>
  <si>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</si>
  <si>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</si>
  <si>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</si>
  <si>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</si>
  <si>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</si>
  <si>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</si>
  <si>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</si>
  <si>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</si>
  <si>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</si>
  <si>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</si>
  <si>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</si>
  <si>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</si>
  <si>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</si>
  <si>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</si>
  <si>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</si>
  <si>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</si>
  <si>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</si>
  <si>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</si>
  <si>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</si>
  <si>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</si>
  <si>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</si>
  <si>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</si>
  <si>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</si>
  <si>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</si>
  <si>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</si>
  <si>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</si>
  <si>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</si>
  <si>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</si>
  <si>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</si>
  <si>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</si>
  <si>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</si>
  <si>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</si>
  <si>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</si>
  <si>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</si>
  <si>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</si>
  <si>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</si>
  <si>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</si>
  <si>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</si>
  <si>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</si>
  <si>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</si>
  <si>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</si>
  <si>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</si>
  <si>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</si>
  <si>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</si>
  <si>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</si>
  <si>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</si>
  <si>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</si>
  <si>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</si>
  <si>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</si>
  <si>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</si>
  <si>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</si>
  <si>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</si>
  <si>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</si>
  <si>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</si>
  <si>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</si>
  <si>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</si>
  <si>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</si>
  <si>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</si>
  <si>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</si>
  <si>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</si>
  <si>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</si>
  <si>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</si>
  <si>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</si>
  <si>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</si>
  <si>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</si>
  <si>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</si>
  <si>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</si>
  <si>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</si>
  <si>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</si>
  <si>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</si>
  <si>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</si>
  <si>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</si>
  <si>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</si>
  <si>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</si>
  <si>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</si>
  <si>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</si>
  <si>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</si>
  <si>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</si>
  <si>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</si>
  <si>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</si>
  <si>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</si>
  <si>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</si>
  <si>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</si>
  <si>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</si>
  <si>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</si>
  <si>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</si>
  <si>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</si>
  <si>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</si>
  <si>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</si>
  <si>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</si>
  <si>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</si>
  <si>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</si>
  <si>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</si>
  <si>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</si>
  <si>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</si>
  <si>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</si>
  <si>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</si>
  <si>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</si>
  <si>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</si>
  <si>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</si>
  <si>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</si>
  <si>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</si>
  <si>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</si>
  <si>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</si>
  <si>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</si>
  <si>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</si>
  <si>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</si>
  <si>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</si>
  <si>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</si>
  <si>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</si>
  <si>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</si>
  <si>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</si>
  <si>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</si>
  <si>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</si>
  <si>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</si>
  <si>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</si>
  <si>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</si>
  <si>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</si>
  <si>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</si>
  <si>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</si>
  <si>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</si>
  <si>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</si>
  <si>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</si>
  <si>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</si>
  <si>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</si>
  <si>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</si>
  <si>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</si>
  <si>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</si>
  <si>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</si>
  <si>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</si>
  <si>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</si>
  <si>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</si>
  <si>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</si>
  <si>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</si>
  <si>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</si>
  <si>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</si>
  <si>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</si>
  <si>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</si>
  <si>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</si>
  <si>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</si>
  <si>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</si>
  <si>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</si>
  <si>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</si>
  <si>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</si>
  <si>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</si>
  <si>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</si>
  <si>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</si>
  <si>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</si>
  <si>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</si>
  <si>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</si>
  <si>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</si>
  <si>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</si>
  <si>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</si>
  <si>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</si>
  <si>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</si>
  <si>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</si>
  <si>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</si>
  <si>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</si>
  <si>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</si>
  <si>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</si>
  <si>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</si>
  <si>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</si>
  <si>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</si>
  <si>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</si>
  <si>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</si>
  <si>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</si>
  <si>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</si>
  <si>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</si>
  <si>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</si>
  <si>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</si>
  <si>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</si>
  <si>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</si>
  <si>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</si>
  <si>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</si>
  <si>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</si>
  <si>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</si>
  <si>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</si>
  <si>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</si>
  <si>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</si>
  <si>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</si>
  <si>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</si>
  <si>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</si>
  <si>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</si>
  <si>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</si>
  <si>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</si>
  <si>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</si>
  <si>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</si>
  <si>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</si>
  <si>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</si>
  <si>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</si>
  <si>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</si>
  <si>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</si>
  <si>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</si>
  <si>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</si>
  <si>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</si>
  <si>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</si>
  <si>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</si>
  <si>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</si>
  <si>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</si>
  <si>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</si>
  <si>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</si>
  <si>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</si>
  <si>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</si>
  <si>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</si>
  <si>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</si>
  <si>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</si>
  <si>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</si>
  <si>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</si>
  <si>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</si>
  <si>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</si>
  <si>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</si>
  <si>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</si>
  <si>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</si>
  <si>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</si>
  <si>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</si>
  <si>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</si>
  <si>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</si>
  <si>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</si>
  <si>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</si>
  <si>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</si>
  <si>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</si>
  <si>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</si>
  <si>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</si>
  <si>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</si>
  <si>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</si>
  <si>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</si>
  <si>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</si>
  <si>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</si>
  <si>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</si>
  <si>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</si>
  <si>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</si>
  <si>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</si>
  <si>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</si>
  <si>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</si>
  <si>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</si>
  <si>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</si>
  <si>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</si>
  <si>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</si>
  <si>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</si>
  <si>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</si>
  <si>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</si>
  <si>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</si>
  <si>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</si>
  <si>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</si>
  <si>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</si>
  <si>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</si>
  <si>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</si>
  <si>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</si>
  <si>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</si>
  <si>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</si>
  <si>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</si>
  <si>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</si>
  <si>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</si>
  <si>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</si>
  <si>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</si>
  <si>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</si>
  <si>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Adjusted AUCratios (adjustment of different genotypes) are also available: AUC0-6 GMR with (95% CI)in µg/L/min: 4.2 (3.2, 5.2)</t>
  </si>
  <si>
    <t>MD, qd for a 7-day course each evening</t>
  </si>
  <si>
    <t>Rifadin; Sanofi, NSW, Australia</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</si>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</sst>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4">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www.ncbi.nlm.nih.gov/pubmed/8880291"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T962"/>
  <sheetViews>
    <sheetView zoomScale="90" zoomScaleNormal="90" workbookViewId="0">
      <pane xSplit="5" ySplit="2" topLeftCell="U401" activePane="bottomRight" state="frozen"/>
      <selection pane="topRight" activeCell="E1" sqref="E1"/>
      <selection pane="bottomLeft" activeCell="A3" sqref="A3"/>
      <selection pane="bottomRight" activeCell="AC402" sqref="AC402"/>
    </sheetView>
  </sheetViews>
  <sheetFormatPr baseColWidth="10" defaultColWidth="8.75" defaultRowHeight="12.75" x14ac:dyDescent="0.2"/>
  <cols>
    <col min="1" max="1" width="5.875" style="91" bestFit="1" customWidth="1"/>
    <col min="2" max="2" width="14.75" style="231" customWidth="1"/>
    <col min="3" max="3" width="14.75" style="261"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8" t="s">
        <v>0</v>
      </c>
      <c r="G1" s="268"/>
      <c r="H1" s="268"/>
      <c r="I1" s="268"/>
      <c r="J1" s="269" t="s">
        <v>1</v>
      </c>
      <c r="K1" s="269"/>
      <c r="L1" s="269"/>
      <c r="M1" s="269"/>
      <c r="N1" s="269"/>
      <c r="O1" s="269"/>
      <c r="P1" s="269"/>
      <c r="Q1" s="270" t="s">
        <v>2</v>
      </c>
      <c r="R1" s="270"/>
      <c r="S1" s="270"/>
      <c r="T1" s="270"/>
      <c r="U1" s="226"/>
      <c r="V1" s="271" t="s">
        <v>3</v>
      </c>
      <c r="W1" s="271"/>
      <c r="X1" s="271"/>
      <c r="Y1" s="271"/>
      <c r="Z1" s="169"/>
      <c r="AA1" s="4" t="s">
        <v>4</v>
      </c>
      <c r="AB1" s="4" t="s">
        <v>5</v>
      </c>
      <c r="AC1" s="272" t="s">
        <v>6</v>
      </c>
      <c r="AD1" s="272"/>
      <c r="AE1" s="272"/>
      <c r="AF1" s="272"/>
      <c r="AG1" s="272"/>
      <c r="AH1" s="272"/>
      <c r="AI1" s="272"/>
      <c r="AJ1" s="272"/>
      <c r="AK1" s="273" t="s">
        <v>7</v>
      </c>
      <c r="AL1" s="273"/>
      <c r="AM1" s="273"/>
      <c r="AN1" s="273"/>
      <c r="AO1" s="273"/>
      <c r="AP1" s="273"/>
      <c r="AQ1" s="273"/>
      <c r="AR1" s="273"/>
      <c r="AS1" s="272" t="s">
        <v>8</v>
      </c>
      <c r="AT1" s="272"/>
      <c r="AU1" s="272"/>
      <c r="AV1" s="272"/>
      <c r="AW1" s="272"/>
      <c r="AX1" s="272"/>
      <c r="AY1" s="272"/>
      <c r="AZ1" s="272"/>
      <c r="BA1" s="273" t="s">
        <v>9</v>
      </c>
      <c r="BB1" s="273"/>
      <c r="BC1" s="273"/>
      <c r="BD1" s="273"/>
      <c r="BE1" s="273"/>
      <c r="BF1" s="273"/>
      <c r="BG1" s="273"/>
      <c r="BH1" s="273"/>
      <c r="BI1" s="272" t="s">
        <v>10</v>
      </c>
      <c r="BJ1" s="272"/>
      <c r="BK1" s="272"/>
      <c r="BL1" s="272"/>
      <c r="BM1" s="272"/>
      <c r="BN1" s="272"/>
      <c r="BO1" s="272"/>
      <c r="BP1" s="272"/>
      <c r="BQ1" s="166"/>
      <c r="BR1" s="165"/>
      <c r="BS1" s="124"/>
      <c r="BT1" s="174"/>
    </row>
    <row r="2" spans="1:72" x14ac:dyDescent="0.2">
      <c r="A2" s="94" t="s">
        <v>11</v>
      </c>
      <c r="B2" s="232" t="s">
        <v>12</v>
      </c>
      <c r="C2" s="262"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hidden="1" customHeight="1" x14ac:dyDescent="0.2">
      <c r="A3" s="92">
        <v>1</v>
      </c>
      <c r="B3" s="233" t="s">
        <v>51</v>
      </c>
      <c r="C3" s="263"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hidden="1" customHeight="1" x14ac:dyDescent="0.2">
      <c r="A4" s="92">
        <v>2</v>
      </c>
      <c r="B4" s="233" t="s">
        <v>51</v>
      </c>
      <c r="C4" s="263"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hidden="1" customHeight="1" x14ac:dyDescent="0.2">
      <c r="A5" s="92">
        <v>3</v>
      </c>
      <c r="B5" s="233" t="s">
        <v>51</v>
      </c>
      <c r="C5" s="263"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hidden="1" customHeight="1" x14ac:dyDescent="0.2">
      <c r="A6" s="92">
        <v>4</v>
      </c>
      <c r="B6" s="233" t="s">
        <v>51</v>
      </c>
      <c r="C6" s="263"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hidden="1" customHeight="1" x14ac:dyDescent="0.2">
      <c r="A7" s="205">
        <v>5</v>
      </c>
      <c r="B7" s="233" t="s">
        <v>577</v>
      </c>
      <c r="C7" s="263" t="s">
        <v>578</v>
      </c>
      <c r="D7" s="233" t="s">
        <v>579</v>
      </c>
      <c r="E7" s="125" t="s">
        <v>54</v>
      </c>
      <c r="F7" s="181" t="s">
        <v>55</v>
      </c>
      <c r="G7" s="181" t="s">
        <v>56</v>
      </c>
      <c r="H7" s="181" t="s">
        <v>57</v>
      </c>
      <c r="I7" s="181"/>
      <c r="J7" s="178">
        <v>600</v>
      </c>
      <c r="K7" s="182"/>
      <c r="L7" s="182" t="s">
        <v>58</v>
      </c>
      <c r="M7" s="178" t="s">
        <v>59</v>
      </c>
      <c r="N7" s="178">
        <v>0</v>
      </c>
      <c r="O7" s="178" t="s">
        <v>60</v>
      </c>
      <c r="P7" s="178" t="s">
        <v>79</v>
      </c>
      <c r="Q7" s="179"/>
      <c r="R7" s="179" t="s">
        <v>580</v>
      </c>
      <c r="S7" s="180"/>
      <c r="T7" s="179"/>
      <c r="U7" s="179"/>
      <c r="V7" s="167" t="s">
        <v>62</v>
      </c>
      <c r="W7" s="168"/>
      <c r="X7" s="168">
        <v>2</v>
      </c>
      <c r="Y7" s="167" t="s">
        <v>581</v>
      </c>
      <c r="Z7" s="169" t="s">
        <v>63</v>
      </c>
      <c r="AA7" s="166">
        <v>6</v>
      </c>
      <c r="AB7" s="166">
        <v>0</v>
      </c>
      <c r="AC7" s="165"/>
      <c r="AD7" s="165"/>
      <c r="AE7" s="165"/>
      <c r="AF7" s="165"/>
      <c r="AG7" s="165"/>
      <c r="AH7" s="165"/>
      <c r="AI7" s="165"/>
      <c r="AJ7" s="165"/>
      <c r="AK7" s="166"/>
      <c r="AL7" s="166"/>
      <c r="AM7" s="166"/>
      <c r="AN7" s="166"/>
      <c r="AO7" s="166"/>
      <c r="AP7" s="166"/>
      <c r="AQ7" s="166"/>
      <c r="AR7" s="166"/>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t="s">
        <v>582</v>
      </c>
      <c r="BR7" s="165" t="s">
        <v>583</v>
      </c>
      <c r="BS7" s="124">
        <v>5</v>
      </c>
      <c r="BT7" s="124" t="s">
        <v>584</v>
      </c>
    </row>
    <row r="8" spans="1:72" ht="14.25" hidden="1" customHeight="1" x14ac:dyDescent="0.2">
      <c r="A8" s="205">
        <v>6</v>
      </c>
      <c r="B8" s="233" t="s">
        <v>577</v>
      </c>
      <c r="C8" s="263" t="s">
        <v>578</v>
      </c>
      <c r="D8" s="233" t="s">
        <v>585</v>
      </c>
      <c r="E8" s="125" t="s">
        <v>54</v>
      </c>
      <c r="F8" s="181" t="s">
        <v>55</v>
      </c>
      <c r="G8" s="181" t="s">
        <v>56</v>
      </c>
      <c r="H8" s="181" t="s">
        <v>57</v>
      </c>
      <c r="I8" s="181"/>
      <c r="J8" s="178">
        <v>600</v>
      </c>
      <c r="K8" s="182"/>
      <c r="L8" s="182" t="s">
        <v>58</v>
      </c>
      <c r="M8" s="178" t="s">
        <v>59</v>
      </c>
      <c r="N8" s="178">
        <v>0</v>
      </c>
      <c r="O8" s="178" t="s">
        <v>60</v>
      </c>
      <c r="P8" s="178" t="s">
        <v>79</v>
      </c>
      <c r="Q8" s="179"/>
      <c r="R8" s="179" t="s">
        <v>580</v>
      </c>
      <c r="S8" s="180"/>
      <c r="T8" s="179"/>
      <c r="U8" s="179"/>
      <c r="V8" s="167" t="s">
        <v>62</v>
      </c>
      <c r="W8" s="168"/>
      <c r="X8" s="168">
        <v>2</v>
      </c>
      <c r="Y8" s="167" t="s">
        <v>581</v>
      </c>
      <c r="Z8" s="169" t="s">
        <v>63</v>
      </c>
      <c r="AA8" s="166">
        <v>7</v>
      </c>
      <c r="AB8" s="166">
        <v>0</v>
      </c>
      <c r="AC8" s="165"/>
      <c r="AD8" s="165"/>
      <c r="AE8" s="165"/>
      <c r="AF8" s="165"/>
      <c r="AG8" s="165"/>
      <c r="AH8" s="165"/>
      <c r="AI8" s="165"/>
      <c r="AJ8" s="165"/>
      <c r="AK8" s="166"/>
      <c r="AL8" s="166"/>
      <c r="AM8" s="166"/>
      <c r="AN8" s="166"/>
      <c r="AO8" s="166"/>
      <c r="AP8" s="166"/>
      <c r="AQ8" s="166"/>
      <c r="AR8" s="166"/>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t="s">
        <v>582</v>
      </c>
      <c r="BR8" s="165" t="s">
        <v>583</v>
      </c>
      <c r="BS8" s="124">
        <v>6</v>
      </c>
      <c r="BT8" s="124" t="s">
        <v>584</v>
      </c>
    </row>
    <row r="9" spans="1:72" ht="14.25" hidden="1" customHeight="1" x14ac:dyDescent="0.2">
      <c r="A9" s="205">
        <v>7</v>
      </c>
      <c r="B9" s="233" t="s">
        <v>577</v>
      </c>
      <c r="C9" s="263" t="s">
        <v>578</v>
      </c>
      <c r="D9" s="233" t="s">
        <v>579</v>
      </c>
      <c r="E9" s="125" t="s">
        <v>54</v>
      </c>
      <c r="F9" s="181" t="s">
        <v>71</v>
      </c>
      <c r="G9" s="181" t="s">
        <v>56</v>
      </c>
      <c r="H9" s="181" t="s">
        <v>586</v>
      </c>
      <c r="I9" s="181"/>
      <c r="J9" s="178">
        <v>600</v>
      </c>
      <c r="K9" s="182"/>
      <c r="L9" s="182" t="s">
        <v>58</v>
      </c>
      <c r="M9" s="178" t="s">
        <v>59</v>
      </c>
      <c r="N9" s="178">
        <v>0</v>
      </c>
      <c r="O9" s="178" t="s">
        <v>60</v>
      </c>
      <c r="P9" s="178" t="s">
        <v>79</v>
      </c>
      <c r="Q9" s="179"/>
      <c r="R9" s="179" t="s">
        <v>580</v>
      </c>
      <c r="S9" s="180"/>
      <c r="T9" s="179"/>
      <c r="U9" s="179"/>
      <c r="V9" s="167" t="s">
        <v>62</v>
      </c>
      <c r="W9" s="168"/>
      <c r="X9" s="168">
        <v>2</v>
      </c>
      <c r="Y9" s="167" t="s">
        <v>581</v>
      </c>
      <c r="Z9" s="169" t="s">
        <v>63</v>
      </c>
      <c r="AA9" s="166">
        <v>6</v>
      </c>
      <c r="AB9" s="166">
        <v>0</v>
      </c>
      <c r="AC9" s="165"/>
      <c r="AD9" s="165"/>
      <c r="AE9" s="165"/>
      <c r="AF9" s="165"/>
      <c r="AG9" s="165"/>
      <c r="AH9" s="165"/>
      <c r="AI9" s="165"/>
      <c r="AJ9" s="165"/>
      <c r="AK9" s="166"/>
      <c r="AL9" s="166"/>
      <c r="AM9" s="166"/>
      <c r="AN9" s="166"/>
      <c r="AO9" s="166"/>
      <c r="AP9" s="166"/>
      <c r="AQ9" s="166"/>
      <c r="AR9" s="166"/>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t="s">
        <v>582</v>
      </c>
      <c r="BR9" s="165" t="s">
        <v>583</v>
      </c>
      <c r="BS9" s="124">
        <v>7</v>
      </c>
      <c r="BT9" s="124" t="s">
        <v>584</v>
      </c>
    </row>
    <row r="10" spans="1:72" ht="14.25" hidden="1" customHeight="1" x14ac:dyDescent="0.2">
      <c r="A10" s="205">
        <v>8</v>
      </c>
      <c r="B10" s="233" t="s">
        <v>577</v>
      </c>
      <c r="C10" s="263" t="s">
        <v>578</v>
      </c>
      <c r="D10" s="233" t="s">
        <v>585</v>
      </c>
      <c r="E10" s="125" t="s">
        <v>54</v>
      </c>
      <c r="F10" s="181" t="s">
        <v>71</v>
      </c>
      <c r="G10" s="181" t="s">
        <v>56</v>
      </c>
      <c r="H10" s="181" t="s">
        <v>586</v>
      </c>
      <c r="I10" s="181"/>
      <c r="J10" s="178">
        <v>600</v>
      </c>
      <c r="K10" s="182"/>
      <c r="L10" s="182" t="s">
        <v>58</v>
      </c>
      <c r="M10" s="178" t="s">
        <v>59</v>
      </c>
      <c r="N10" s="178">
        <v>0</v>
      </c>
      <c r="O10" s="178" t="s">
        <v>60</v>
      </c>
      <c r="P10" s="178" t="s">
        <v>79</v>
      </c>
      <c r="Q10" s="179"/>
      <c r="R10" s="179" t="s">
        <v>580</v>
      </c>
      <c r="S10" s="180"/>
      <c r="T10" s="179"/>
      <c r="U10" s="179"/>
      <c r="V10" s="167" t="s">
        <v>62</v>
      </c>
      <c r="W10" s="168"/>
      <c r="X10" s="168">
        <v>2</v>
      </c>
      <c r="Y10" s="167" t="s">
        <v>581</v>
      </c>
      <c r="Z10" s="169" t="s">
        <v>63</v>
      </c>
      <c r="AA10" s="166">
        <v>7</v>
      </c>
      <c r="AB10" s="166">
        <v>0</v>
      </c>
      <c r="AC10" s="165"/>
      <c r="AD10" s="165"/>
      <c r="AE10" s="165"/>
      <c r="AF10" s="165"/>
      <c r="AG10" s="165"/>
      <c r="AH10" s="165"/>
      <c r="AI10" s="165"/>
      <c r="AJ10" s="165"/>
      <c r="AK10" s="166"/>
      <c r="AL10" s="166"/>
      <c r="AM10" s="166"/>
      <c r="AN10" s="166"/>
      <c r="AO10" s="166"/>
      <c r="AP10" s="166"/>
      <c r="AQ10" s="166"/>
      <c r="AR10" s="166"/>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t="s">
        <v>582</v>
      </c>
      <c r="BR10" s="165" t="s">
        <v>583</v>
      </c>
      <c r="BS10" s="124">
        <v>8</v>
      </c>
      <c r="BT10" s="124" t="s">
        <v>584</v>
      </c>
    </row>
    <row r="11" spans="1:72" ht="14.25" hidden="1" customHeight="1" x14ac:dyDescent="0.2">
      <c r="A11" s="92">
        <v>9</v>
      </c>
      <c r="B11" s="233" t="s">
        <v>73</v>
      </c>
      <c r="C11" s="263" t="s">
        <v>74</v>
      </c>
      <c r="D11" s="233" t="s">
        <v>75</v>
      </c>
      <c r="E11" s="125" t="s">
        <v>54</v>
      </c>
      <c r="F11" s="181" t="s">
        <v>55</v>
      </c>
      <c r="G11" s="181" t="s">
        <v>76</v>
      </c>
      <c r="H11" s="181" t="s">
        <v>77</v>
      </c>
      <c r="I11" s="181"/>
      <c r="J11" s="178">
        <v>150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9</v>
      </c>
      <c r="BT11" s="174"/>
    </row>
    <row r="12" spans="1:72" ht="14.25" hidden="1" customHeight="1" x14ac:dyDescent="0.2">
      <c r="A12" s="92">
        <v>10</v>
      </c>
      <c r="B12" s="233" t="s">
        <v>73</v>
      </c>
      <c r="C12" s="263" t="s">
        <v>74</v>
      </c>
      <c r="D12" s="233" t="s">
        <v>82</v>
      </c>
      <c r="E12" s="125" t="s">
        <v>54</v>
      </c>
      <c r="F12" s="181" t="s">
        <v>55</v>
      </c>
      <c r="G12" s="181" t="s">
        <v>76</v>
      </c>
      <c r="H12" s="181" t="s">
        <v>77</v>
      </c>
      <c r="I12" s="181"/>
      <c r="J12" s="178">
        <v>150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10</v>
      </c>
      <c r="BT12" s="174"/>
    </row>
    <row r="13" spans="1:72" ht="14.25" hidden="1" customHeight="1" x14ac:dyDescent="0.2">
      <c r="A13" s="92">
        <v>11</v>
      </c>
      <c r="B13" s="233" t="s">
        <v>73</v>
      </c>
      <c r="C13" s="263" t="s">
        <v>74</v>
      </c>
      <c r="D13" s="233" t="s">
        <v>83</v>
      </c>
      <c r="E13" s="125" t="s">
        <v>54</v>
      </c>
      <c r="F13" s="181" t="s">
        <v>55</v>
      </c>
      <c r="G13" s="181" t="s">
        <v>76</v>
      </c>
      <c r="H13" s="181" t="s">
        <v>77</v>
      </c>
      <c r="I13" s="181"/>
      <c r="J13" s="178">
        <v>300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11</v>
      </c>
      <c r="BT13" s="174"/>
    </row>
    <row r="14" spans="1:72" ht="14.25" hidden="1" customHeight="1" x14ac:dyDescent="0.2">
      <c r="A14" s="92">
        <v>12</v>
      </c>
      <c r="B14" s="233" t="s">
        <v>73</v>
      </c>
      <c r="C14" s="263" t="s">
        <v>74</v>
      </c>
      <c r="D14" s="233" t="s">
        <v>84</v>
      </c>
      <c r="E14" s="125" t="s">
        <v>54</v>
      </c>
      <c r="F14" s="181" t="s">
        <v>55</v>
      </c>
      <c r="G14" s="181" t="s">
        <v>76</v>
      </c>
      <c r="H14" s="181" t="s">
        <v>77</v>
      </c>
      <c r="I14" s="181"/>
      <c r="J14" s="178">
        <v>300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12</v>
      </c>
      <c r="BT14" s="174"/>
    </row>
    <row r="15" spans="1:72" ht="14.25" hidden="1" customHeight="1" x14ac:dyDescent="0.2">
      <c r="A15" s="92">
        <v>13</v>
      </c>
      <c r="B15" s="233" t="s">
        <v>73</v>
      </c>
      <c r="C15" s="263" t="s">
        <v>74</v>
      </c>
      <c r="D15" s="233" t="s">
        <v>85</v>
      </c>
      <c r="E15" s="125" t="s">
        <v>54</v>
      </c>
      <c r="F15" s="181" t="s">
        <v>55</v>
      </c>
      <c r="G15" s="181" t="s">
        <v>76</v>
      </c>
      <c r="H15" s="181" t="s">
        <v>77</v>
      </c>
      <c r="I15" s="181"/>
      <c r="J15" s="178">
        <v>450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13</v>
      </c>
      <c r="BT15" s="174"/>
    </row>
    <row r="16" spans="1:72" ht="14.25" hidden="1" customHeight="1" x14ac:dyDescent="0.2">
      <c r="A16" s="92">
        <v>14</v>
      </c>
      <c r="B16" s="233" t="s">
        <v>73</v>
      </c>
      <c r="C16" s="263" t="s">
        <v>74</v>
      </c>
      <c r="D16" s="233" t="s">
        <v>86</v>
      </c>
      <c r="E16" s="125" t="s">
        <v>54</v>
      </c>
      <c r="F16" s="181" t="s">
        <v>55</v>
      </c>
      <c r="G16" s="181" t="s">
        <v>76</v>
      </c>
      <c r="H16" s="181" t="s">
        <v>77</v>
      </c>
      <c r="I16" s="181"/>
      <c r="J16" s="178">
        <v>450</v>
      </c>
      <c r="K16" s="182"/>
      <c r="L16" s="182" t="s">
        <v>58</v>
      </c>
      <c r="M16" s="178" t="s">
        <v>78</v>
      </c>
      <c r="N16" s="178">
        <v>0</v>
      </c>
      <c r="O16" s="178" t="s">
        <v>60</v>
      </c>
      <c r="P16" s="178" t="s">
        <v>79</v>
      </c>
      <c r="Q16" s="179"/>
      <c r="R16" s="179"/>
      <c r="S16" s="180">
        <v>180</v>
      </c>
      <c r="T16" s="179"/>
      <c r="U16" s="179"/>
      <c r="V16" s="167"/>
      <c r="W16" s="168"/>
      <c r="Y16" s="167"/>
      <c r="Z16" s="169" t="s">
        <v>63</v>
      </c>
      <c r="AA16" s="166">
        <v>1</v>
      </c>
      <c r="AB16" s="166">
        <v>0</v>
      </c>
      <c r="AC16" s="165"/>
      <c r="AD16" s="165" t="s">
        <v>80</v>
      </c>
      <c r="AE16" s="165"/>
      <c r="AF16" s="165"/>
      <c r="AG16" s="165"/>
      <c r="AH16" s="165"/>
      <c r="AI16" s="165">
        <v>20</v>
      </c>
      <c r="AJ16" s="165">
        <v>73</v>
      </c>
      <c r="AK16" s="166"/>
      <c r="AL16" s="166" t="s">
        <v>81</v>
      </c>
      <c r="AM16" s="166"/>
      <c r="AN16" s="166"/>
      <c r="AO16" s="166"/>
      <c r="AP16" s="166"/>
      <c r="AQ16" s="166">
        <v>54</v>
      </c>
      <c r="AR16" s="166">
        <v>90</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14</v>
      </c>
      <c r="BT16" s="174"/>
    </row>
    <row r="17" spans="1:72" ht="14.25" hidden="1" customHeight="1" x14ac:dyDescent="0.2">
      <c r="A17" s="92">
        <v>15</v>
      </c>
      <c r="B17" s="233" t="s">
        <v>73</v>
      </c>
      <c r="C17" s="263" t="s">
        <v>74</v>
      </c>
      <c r="D17" s="233" t="s">
        <v>87</v>
      </c>
      <c r="E17" s="125" t="s">
        <v>54</v>
      </c>
      <c r="F17" s="181" t="s">
        <v>55</v>
      </c>
      <c r="G17" s="181" t="s">
        <v>76</v>
      </c>
      <c r="H17" s="181" t="s">
        <v>77</v>
      </c>
      <c r="I17" s="181"/>
      <c r="J17" s="178">
        <v>600</v>
      </c>
      <c r="K17" s="182"/>
      <c r="L17" s="182" t="s">
        <v>58</v>
      </c>
      <c r="M17" s="178" t="s">
        <v>78</v>
      </c>
      <c r="N17" s="178">
        <v>0</v>
      </c>
      <c r="O17" s="178" t="s">
        <v>60</v>
      </c>
      <c r="P17" s="178" t="s">
        <v>79</v>
      </c>
      <c r="Q17" s="179"/>
      <c r="R17" s="179"/>
      <c r="S17" s="180">
        <v>180</v>
      </c>
      <c r="T17" s="179"/>
      <c r="U17" s="179"/>
      <c r="V17" s="167"/>
      <c r="W17" s="168"/>
      <c r="Y17" s="167"/>
      <c r="Z17" s="169" t="s">
        <v>63</v>
      </c>
      <c r="AA17" s="166">
        <v>1</v>
      </c>
      <c r="AB17" s="166">
        <v>0</v>
      </c>
      <c r="AC17" s="165"/>
      <c r="AD17" s="165" t="s">
        <v>80</v>
      </c>
      <c r="AE17" s="165"/>
      <c r="AF17" s="165"/>
      <c r="AG17" s="165"/>
      <c r="AH17" s="165"/>
      <c r="AI17" s="165">
        <v>20</v>
      </c>
      <c r="AJ17" s="165">
        <v>73</v>
      </c>
      <c r="AK17" s="166"/>
      <c r="AL17" s="166" t="s">
        <v>81</v>
      </c>
      <c r="AM17" s="166"/>
      <c r="AN17" s="166"/>
      <c r="AO17" s="166"/>
      <c r="AP17" s="166"/>
      <c r="AQ17" s="166">
        <v>54</v>
      </c>
      <c r="AR17" s="166">
        <v>90</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15</v>
      </c>
      <c r="BT17" s="174"/>
    </row>
    <row r="18" spans="1:72" ht="14.25" hidden="1" customHeight="1" x14ac:dyDescent="0.2">
      <c r="A18" s="92">
        <v>16</v>
      </c>
      <c r="B18" s="233" t="s">
        <v>73</v>
      </c>
      <c r="C18" s="263" t="s">
        <v>74</v>
      </c>
      <c r="D18" s="233" t="s">
        <v>88</v>
      </c>
      <c r="E18" s="125" t="s">
        <v>54</v>
      </c>
      <c r="F18" s="181" t="s">
        <v>55</v>
      </c>
      <c r="G18" s="181" t="s">
        <v>76</v>
      </c>
      <c r="H18" s="181" t="s">
        <v>77</v>
      </c>
      <c r="I18" s="181"/>
      <c r="J18" s="178">
        <v>600</v>
      </c>
      <c r="K18" s="182"/>
      <c r="L18" s="182" t="s">
        <v>58</v>
      </c>
      <c r="M18" s="178" t="s">
        <v>78</v>
      </c>
      <c r="N18" s="178">
        <v>0</v>
      </c>
      <c r="O18" s="178" t="s">
        <v>60</v>
      </c>
      <c r="P18" s="178" t="s">
        <v>79</v>
      </c>
      <c r="Q18" s="179"/>
      <c r="R18" s="179"/>
      <c r="S18" s="180">
        <v>180</v>
      </c>
      <c r="T18" s="179"/>
      <c r="U18" s="179"/>
      <c r="V18" s="167"/>
      <c r="W18" s="168"/>
      <c r="Y18" s="167"/>
      <c r="Z18" s="169" t="s">
        <v>63</v>
      </c>
      <c r="AA18" s="166">
        <v>1</v>
      </c>
      <c r="AB18" s="166">
        <v>0</v>
      </c>
      <c r="AC18" s="165"/>
      <c r="AD18" s="165" t="s">
        <v>80</v>
      </c>
      <c r="AE18" s="165"/>
      <c r="AF18" s="165"/>
      <c r="AG18" s="165"/>
      <c r="AH18" s="165"/>
      <c r="AI18" s="165">
        <v>20</v>
      </c>
      <c r="AJ18" s="165">
        <v>73</v>
      </c>
      <c r="AK18" s="166"/>
      <c r="AL18" s="166" t="s">
        <v>81</v>
      </c>
      <c r="AM18" s="166"/>
      <c r="AN18" s="166"/>
      <c r="AO18" s="166"/>
      <c r="AP18" s="166"/>
      <c r="AQ18" s="166">
        <v>54</v>
      </c>
      <c r="AR18" s="166">
        <v>90</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16</v>
      </c>
      <c r="BT18" s="174"/>
    </row>
    <row r="19" spans="1:72" ht="14.25" hidden="1" customHeight="1" x14ac:dyDescent="0.2">
      <c r="A19" s="92">
        <v>17</v>
      </c>
      <c r="B19" s="233" t="s">
        <v>73</v>
      </c>
      <c r="C19" s="263" t="s">
        <v>74</v>
      </c>
      <c r="D19" s="233" t="s">
        <v>89</v>
      </c>
      <c r="E19" s="125" t="s">
        <v>54</v>
      </c>
      <c r="F19" s="181" t="s">
        <v>55</v>
      </c>
      <c r="G19" s="181" t="s">
        <v>76</v>
      </c>
      <c r="H19" s="181" t="s">
        <v>77</v>
      </c>
      <c r="I19" s="181"/>
      <c r="J19" s="178">
        <v>600</v>
      </c>
      <c r="K19" s="182"/>
      <c r="L19" s="182" t="s">
        <v>58</v>
      </c>
      <c r="M19" s="178" t="s">
        <v>78</v>
      </c>
      <c r="N19" s="178">
        <v>0</v>
      </c>
      <c r="O19" s="178" t="s">
        <v>60</v>
      </c>
      <c r="P19" s="178" t="s">
        <v>79</v>
      </c>
      <c r="Q19" s="179"/>
      <c r="R19" s="179"/>
      <c r="S19" s="180">
        <v>180</v>
      </c>
      <c r="T19" s="179"/>
      <c r="U19" s="179"/>
      <c r="V19" s="167"/>
      <c r="W19" s="168"/>
      <c r="Y19" s="167"/>
      <c r="Z19" s="169" t="s">
        <v>63</v>
      </c>
      <c r="AA19" s="166">
        <v>1</v>
      </c>
      <c r="AB19" s="166">
        <v>0</v>
      </c>
      <c r="AC19" s="165"/>
      <c r="AD19" s="165" t="s">
        <v>80</v>
      </c>
      <c r="AE19" s="165"/>
      <c r="AF19" s="165"/>
      <c r="AG19" s="165"/>
      <c r="AH19" s="165"/>
      <c r="AI19" s="165">
        <v>20</v>
      </c>
      <c r="AJ19" s="165">
        <v>73</v>
      </c>
      <c r="AK19" s="166"/>
      <c r="AL19" s="166" t="s">
        <v>81</v>
      </c>
      <c r="AM19" s="166"/>
      <c r="AN19" s="166"/>
      <c r="AO19" s="166"/>
      <c r="AP19" s="166"/>
      <c r="AQ19" s="166">
        <v>54</v>
      </c>
      <c r="AR19" s="166">
        <v>90</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17</v>
      </c>
      <c r="BT19" s="174"/>
    </row>
    <row r="20" spans="1:72" ht="14.25" hidden="1" customHeight="1" x14ac:dyDescent="0.2">
      <c r="A20" s="92">
        <v>18</v>
      </c>
      <c r="B20" s="233" t="s">
        <v>73</v>
      </c>
      <c r="C20" s="263" t="s">
        <v>74</v>
      </c>
      <c r="D20" s="233" t="s">
        <v>90</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18</v>
      </c>
      <c r="BT20" s="174"/>
    </row>
    <row r="21" spans="1:72" ht="14.25" hidden="1" customHeight="1" x14ac:dyDescent="0.2">
      <c r="A21" s="92">
        <v>19</v>
      </c>
      <c r="B21" s="233" t="s">
        <v>73</v>
      </c>
      <c r="C21" s="263" t="s">
        <v>74</v>
      </c>
      <c r="D21" s="233" t="s">
        <v>93</v>
      </c>
      <c r="E21" s="125" t="s">
        <v>54</v>
      </c>
      <c r="F21" s="181" t="s">
        <v>55</v>
      </c>
      <c r="G21" s="181" t="s">
        <v>76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1</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19</v>
      </c>
      <c r="BT21" s="174"/>
    </row>
    <row r="22" spans="1:72" ht="14.25" hidden="1" customHeight="1" x14ac:dyDescent="0.2">
      <c r="A22" s="92">
        <v>20</v>
      </c>
      <c r="B22" s="233" t="s">
        <v>73</v>
      </c>
      <c r="C22" s="263" t="s">
        <v>74</v>
      </c>
      <c r="D22" s="233" t="s">
        <v>94</v>
      </c>
      <c r="E22" s="125" t="s">
        <v>54</v>
      </c>
      <c r="F22" s="181" t="s">
        <v>55</v>
      </c>
      <c r="G22" s="181" t="s">
        <v>76</v>
      </c>
      <c r="H22" s="181" t="s">
        <v>91</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20</v>
      </c>
      <c r="BT22" s="174"/>
    </row>
    <row r="23" spans="1:72" ht="14.25" hidden="1" customHeight="1" x14ac:dyDescent="0.2">
      <c r="A23" s="92">
        <v>21</v>
      </c>
      <c r="B23" s="233" t="s">
        <v>73</v>
      </c>
      <c r="C23" s="263" t="s">
        <v>74</v>
      </c>
      <c r="D23" s="233" t="s">
        <v>95</v>
      </c>
      <c r="E23" s="125" t="s">
        <v>54</v>
      </c>
      <c r="F23" s="181" t="s">
        <v>55</v>
      </c>
      <c r="G23" s="181" t="s">
        <v>76</v>
      </c>
      <c r="H23" s="181" t="s">
        <v>91</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21</v>
      </c>
      <c r="BT23" s="174"/>
    </row>
    <row r="24" spans="1:72" ht="14.25" hidden="1" customHeight="1" x14ac:dyDescent="0.2">
      <c r="A24" s="92">
        <v>22</v>
      </c>
      <c r="B24" s="233" t="s">
        <v>73</v>
      </c>
      <c r="C24" s="263" t="s">
        <v>74</v>
      </c>
      <c r="D24" s="233" t="s">
        <v>96</v>
      </c>
      <c r="E24" s="125" t="s">
        <v>54</v>
      </c>
      <c r="F24" s="181" t="s">
        <v>55</v>
      </c>
      <c r="G24" s="181" t="s">
        <v>76</v>
      </c>
      <c r="H24" s="181" t="s">
        <v>91</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22</v>
      </c>
      <c r="BT24" s="174"/>
    </row>
    <row r="25" spans="1:72" ht="14.25" hidden="1" customHeight="1" x14ac:dyDescent="0.2">
      <c r="A25" s="92">
        <v>23</v>
      </c>
      <c r="B25" s="233" t="s">
        <v>73</v>
      </c>
      <c r="C25" s="263" t="s">
        <v>74</v>
      </c>
      <c r="D25" s="233" t="s">
        <v>97</v>
      </c>
      <c r="E25" s="125" t="s">
        <v>54</v>
      </c>
      <c r="F25" s="181" t="s">
        <v>55</v>
      </c>
      <c r="G25" s="181" t="s">
        <v>56</v>
      </c>
      <c r="H25" s="181" t="s">
        <v>91</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5</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23</v>
      </c>
      <c r="BT25" s="174"/>
    </row>
    <row r="26" spans="1:72" ht="14.25" hidden="1" customHeight="1" x14ac:dyDescent="0.2">
      <c r="A26" s="92">
        <v>24</v>
      </c>
      <c r="B26" s="233" t="s">
        <v>73</v>
      </c>
      <c r="C26" s="263" t="s">
        <v>74</v>
      </c>
      <c r="D26" s="233" t="s">
        <v>90</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24</v>
      </c>
      <c r="BT26" s="174"/>
    </row>
    <row r="27" spans="1:72" ht="14.25" hidden="1" customHeight="1" x14ac:dyDescent="0.2">
      <c r="A27" s="92">
        <v>25</v>
      </c>
      <c r="B27" s="233" t="s">
        <v>73</v>
      </c>
      <c r="C27" s="263" t="s">
        <v>74</v>
      </c>
      <c r="D27" s="233" t="s">
        <v>93</v>
      </c>
      <c r="E27" s="125" t="s">
        <v>54</v>
      </c>
      <c r="F27" s="181" t="s">
        <v>71</v>
      </c>
      <c r="G27" s="181" t="s">
        <v>76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1</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25</v>
      </c>
      <c r="BT27" s="174"/>
    </row>
    <row r="28" spans="1:72" ht="14.25" hidden="1" customHeight="1" x14ac:dyDescent="0.2">
      <c r="A28" s="92">
        <v>26</v>
      </c>
      <c r="B28" s="233" t="s">
        <v>73</v>
      </c>
      <c r="C28" s="263" t="s">
        <v>74</v>
      </c>
      <c r="D28" s="233" t="s">
        <v>94</v>
      </c>
      <c r="E28" s="125" t="s">
        <v>54</v>
      </c>
      <c r="F28" s="181" t="s">
        <v>71</v>
      </c>
      <c r="G28" s="181" t="s">
        <v>76</v>
      </c>
      <c r="H28" s="181" t="s">
        <v>98</v>
      </c>
      <c r="I28" s="181"/>
      <c r="J28" s="178">
        <v>600</v>
      </c>
      <c r="K28" s="182"/>
      <c r="L28" s="182" t="s">
        <v>58</v>
      </c>
      <c r="M28" s="178" t="s">
        <v>78</v>
      </c>
      <c r="N28" s="178" t="s">
        <v>67</v>
      </c>
      <c r="O28" s="178" t="s">
        <v>60</v>
      </c>
      <c r="P28" s="178" t="s">
        <v>92</v>
      </c>
      <c r="Q28" s="179"/>
      <c r="R28" s="179"/>
      <c r="S28" s="180">
        <v>180</v>
      </c>
      <c r="T28" s="179"/>
      <c r="U28" s="179"/>
      <c r="V28" s="167"/>
      <c r="W28" s="168"/>
      <c r="Y28" s="167"/>
      <c r="Z28" s="169" t="s">
        <v>63</v>
      </c>
      <c r="AA28" s="166">
        <v>1</v>
      </c>
      <c r="AB28" s="166">
        <v>0</v>
      </c>
      <c r="AC28" s="165"/>
      <c r="AD28" s="165" t="s">
        <v>80</v>
      </c>
      <c r="AE28" s="165"/>
      <c r="AF28" s="165"/>
      <c r="AG28" s="165"/>
      <c r="AH28" s="165"/>
      <c r="AI28" s="165">
        <v>58</v>
      </c>
      <c r="AJ28" s="165">
        <v>68</v>
      </c>
      <c r="AK28" s="166"/>
      <c r="AL28" s="166" t="s">
        <v>81</v>
      </c>
      <c r="AM28" s="166"/>
      <c r="AN28" s="166"/>
      <c r="AO28" s="166"/>
      <c r="AP28" s="166"/>
      <c r="AQ28" s="166">
        <v>46</v>
      </c>
      <c r="AR28" s="166">
        <v>65</v>
      </c>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26</v>
      </c>
      <c r="BT28" s="174"/>
    </row>
    <row r="29" spans="1:72" ht="14.25" hidden="1" customHeight="1" x14ac:dyDescent="0.2">
      <c r="A29" s="92">
        <v>27</v>
      </c>
      <c r="B29" s="233" t="s">
        <v>73</v>
      </c>
      <c r="C29" s="263" t="s">
        <v>74</v>
      </c>
      <c r="D29" s="233" t="s">
        <v>95</v>
      </c>
      <c r="E29" s="125" t="s">
        <v>54</v>
      </c>
      <c r="F29" s="181" t="s">
        <v>71</v>
      </c>
      <c r="G29" s="181" t="s">
        <v>76</v>
      </c>
      <c r="H29" s="181" t="s">
        <v>98</v>
      </c>
      <c r="I29" s="181"/>
      <c r="J29" s="178">
        <v>600</v>
      </c>
      <c r="K29" s="182"/>
      <c r="L29" s="182" t="s">
        <v>58</v>
      </c>
      <c r="M29" s="178" t="s">
        <v>78</v>
      </c>
      <c r="N29" s="178" t="s">
        <v>67</v>
      </c>
      <c r="O29" s="178" t="s">
        <v>60</v>
      </c>
      <c r="P29" s="178" t="s">
        <v>92</v>
      </c>
      <c r="Q29" s="179"/>
      <c r="R29" s="179"/>
      <c r="S29" s="180">
        <v>180</v>
      </c>
      <c r="T29" s="179"/>
      <c r="U29" s="179"/>
      <c r="V29" s="167"/>
      <c r="W29" s="168"/>
      <c r="Y29" s="167"/>
      <c r="Z29" s="169" t="s">
        <v>63</v>
      </c>
      <c r="AA29" s="166">
        <v>1</v>
      </c>
      <c r="AB29" s="166">
        <v>0</v>
      </c>
      <c r="AC29" s="165"/>
      <c r="AD29" s="165" t="s">
        <v>80</v>
      </c>
      <c r="AE29" s="165"/>
      <c r="AF29" s="165"/>
      <c r="AG29" s="165"/>
      <c r="AH29" s="165"/>
      <c r="AI29" s="165">
        <v>58</v>
      </c>
      <c r="AJ29" s="165">
        <v>68</v>
      </c>
      <c r="AK29" s="166"/>
      <c r="AL29" s="166" t="s">
        <v>81</v>
      </c>
      <c r="AM29" s="166"/>
      <c r="AN29" s="166"/>
      <c r="AO29" s="166"/>
      <c r="AP29" s="166"/>
      <c r="AQ29" s="166">
        <v>46</v>
      </c>
      <c r="AR29" s="166">
        <v>65</v>
      </c>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27</v>
      </c>
      <c r="BT29" s="174"/>
    </row>
    <row r="30" spans="1:72" ht="14.25" hidden="1" customHeight="1" x14ac:dyDescent="0.2">
      <c r="A30" s="92">
        <v>28</v>
      </c>
      <c r="B30" s="233" t="s">
        <v>73</v>
      </c>
      <c r="C30" s="263" t="s">
        <v>74</v>
      </c>
      <c r="D30" s="233" t="s">
        <v>96</v>
      </c>
      <c r="E30" s="125" t="s">
        <v>54</v>
      </c>
      <c r="F30" s="181" t="s">
        <v>71</v>
      </c>
      <c r="G30" s="181" t="s">
        <v>76</v>
      </c>
      <c r="H30" s="181" t="s">
        <v>98</v>
      </c>
      <c r="I30" s="181"/>
      <c r="J30" s="178">
        <v>600</v>
      </c>
      <c r="K30" s="182"/>
      <c r="L30" s="182" t="s">
        <v>58</v>
      </c>
      <c r="M30" s="178" t="s">
        <v>78</v>
      </c>
      <c r="N30" s="178" t="s">
        <v>67</v>
      </c>
      <c r="O30" s="178" t="s">
        <v>60</v>
      </c>
      <c r="P30" s="178" t="s">
        <v>92</v>
      </c>
      <c r="Q30" s="179"/>
      <c r="R30" s="179"/>
      <c r="S30" s="180">
        <v>180</v>
      </c>
      <c r="T30" s="179"/>
      <c r="U30" s="179"/>
      <c r="V30" s="167"/>
      <c r="W30" s="168"/>
      <c r="Y30" s="167"/>
      <c r="Z30" s="169" t="s">
        <v>63</v>
      </c>
      <c r="AA30" s="166">
        <v>1</v>
      </c>
      <c r="AB30" s="166">
        <v>0</v>
      </c>
      <c r="AC30" s="165"/>
      <c r="AD30" s="165" t="s">
        <v>80</v>
      </c>
      <c r="AE30" s="165"/>
      <c r="AF30" s="165"/>
      <c r="AG30" s="165"/>
      <c r="AH30" s="165"/>
      <c r="AI30" s="165">
        <v>58</v>
      </c>
      <c r="AJ30" s="165">
        <v>68</v>
      </c>
      <c r="AK30" s="166"/>
      <c r="AL30" s="166" t="s">
        <v>81</v>
      </c>
      <c r="AM30" s="166"/>
      <c r="AN30" s="166"/>
      <c r="AO30" s="166"/>
      <c r="AP30" s="166"/>
      <c r="AQ30" s="166">
        <v>46</v>
      </c>
      <c r="AR30" s="166">
        <v>65</v>
      </c>
      <c r="AS30" s="165"/>
      <c r="AT30" s="165"/>
      <c r="AU30" s="165"/>
      <c r="AV30" s="165"/>
      <c r="AW30" s="165"/>
      <c r="AX30" s="165"/>
      <c r="AY30" s="165"/>
      <c r="AZ30" s="165"/>
      <c r="BA30" s="166"/>
      <c r="BB30" s="166"/>
      <c r="BC30" s="166"/>
      <c r="BD30" s="166"/>
      <c r="BE30" s="166"/>
      <c r="BF30" s="166"/>
      <c r="BG30" s="166"/>
      <c r="BH30" s="166"/>
      <c r="BI30" s="165"/>
      <c r="BJ30" s="165"/>
      <c r="BK30" s="165"/>
      <c r="BL30" s="165"/>
      <c r="BM30" s="165"/>
      <c r="BN30" s="165"/>
      <c r="BO30" s="165"/>
      <c r="BP30" s="165"/>
      <c r="BQ30" s="166"/>
      <c r="BR30" s="165"/>
      <c r="BS30" s="124">
        <v>28</v>
      </c>
      <c r="BT30" s="174"/>
    </row>
    <row r="31" spans="1:72" ht="14.25" hidden="1" customHeight="1" x14ac:dyDescent="0.2">
      <c r="A31" s="92">
        <v>29</v>
      </c>
      <c r="B31" s="233" t="s">
        <v>73</v>
      </c>
      <c r="C31" s="263" t="s">
        <v>74</v>
      </c>
      <c r="D31" s="233" t="s">
        <v>97</v>
      </c>
      <c r="E31" s="125" t="s">
        <v>54</v>
      </c>
      <c r="F31" s="181" t="s">
        <v>71</v>
      </c>
      <c r="G31" s="181" t="s">
        <v>56</v>
      </c>
      <c r="H31" s="181" t="s">
        <v>98</v>
      </c>
      <c r="I31" s="181"/>
      <c r="J31" s="178">
        <v>600</v>
      </c>
      <c r="K31" s="182"/>
      <c r="L31" s="182" t="s">
        <v>58</v>
      </c>
      <c r="M31" s="178" t="s">
        <v>78</v>
      </c>
      <c r="N31" s="178" t="s">
        <v>67</v>
      </c>
      <c r="O31" s="178" t="s">
        <v>60</v>
      </c>
      <c r="P31" s="178" t="s">
        <v>92</v>
      </c>
      <c r="Q31" s="179"/>
      <c r="R31" s="179"/>
      <c r="S31" s="180">
        <v>180</v>
      </c>
      <c r="T31" s="179"/>
      <c r="U31" s="179"/>
      <c r="V31" s="167"/>
      <c r="W31" s="168"/>
      <c r="Y31" s="167"/>
      <c r="Z31" s="169" t="s">
        <v>63</v>
      </c>
      <c r="AA31" s="166">
        <v>5</v>
      </c>
      <c r="AB31" s="166">
        <v>0</v>
      </c>
      <c r="AC31" s="165"/>
      <c r="AD31" s="165" t="s">
        <v>80</v>
      </c>
      <c r="AE31" s="165"/>
      <c r="AF31" s="165"/>
      <c r="AG31" s="165"/>
      <c r="AH31" s="165"/>
      <c r="AI31" s="165">
        <v>58</v>
      </c>
      <c r="AJ31" s="165">
        <v>68</v>
      </c>
      <c r="AK31" s="166"/>
      <c r="AL31" s="166" t="s">
        <v>81</v>
      </c>
      <c r="AM31" s="166"/>
      <c r="AN31" s="166"/>
      <c r="AO31" s="166"/>
      <c r="AP31" s="166"/>
      <c r="AQ31" s="166">
        <v>46</v>
      </c>
      <c r="AR31" s="166">
        <v>65</v>
      </c>
      <c r="AS31" s="165"/>
      <c r="AT31" s="165"/>
      <c r="AU31" s="165"/>
      <c r="AV31" s="165"/>
      <c r="AW31" s="165"/>
      <c r="AX31" s="165"/>
      <c r="AY31" s="165"/>
      <c r="AZ31" s="165"/>
      <c r="BA31" s="166"/>
      <c r="BB31" s="166"/>
      <c r="BC31" s="166"/>
      <c r="BD31" s="166"/>
      <c r="BE31" s="166"/>
      <c r="BF31" s="166"/>
      <c r="BG31" s="166"/>
      <c r="BH31" s="166"/>
      <c r="BI31" s="165"/>
      <c r="BJ31" s="165"/>
      <c r="BK31" s="165"/>
      <c r="BL31" s="165"/>
      <c r="BM31" s="165"/>
      <c r="BN31" s="165"/>
      <c r="BO31" s="165"/>
      <c r="BP31" s="165"/>
      <c r="BQ31" s="166"/>
      <c r="BR31" s="165"/>
      <c r="BS31" s="124">
        <v>29</v>
      </c>
      <c r="BT31" s="174"/>
    </row>
    <row r="32" spans="1:72" ht="14.25" hidden="1" customHeight="1" x14ac:dyDescent="0.2">
      <c r="A32" s="205">
        <v>30</v>
      </c>
      <c r="B32" s="233" t="s">
        <v>587</v>
      </c>
      <c r="C32" s="263" t="s">
        <v>588</v>
      </c>
      <c r="D32" s="233" t="s">
        <v>589</v>
      </c>
      <c r="E32" s="125" t="s">
        <v>54</v>
      </c>
      <c r="F32" s="181" t="s">
        <v>55</v>
      </c>
      <c r="G32" s="181" t="s">
        <v>76</v>
      </c>
      <c r="H32" s="181" t="s">
        <v>399</v>
      </c>
      <c r="I32" s="181"/>
      <c r="J32" s="178">
        <v>600</v>
      </c>
      <c r="K32" s="182"/>
      <c r="L32" s="182" t="s">
        <v>58</v>
      </c>
      <c r="M32" s="178" t="s">
        <v>78</v>
      </c>
      <c r="N32" s="178">
        <v>0</v>
      </c>
      <c r="O32" s="178" t="s">
        <v>60</v>
      </c>
      <c r="P32" s="178"/>
      <c r="Q32" s="179"/>
      <c r="R32" s="179" t="s">
        <v>590</v>
      </c>
      <c r="S32" s="180">
        <v>180</v>
      </c>
      <c r="T32" s="179"/>
      <c r="U32" s="179"/>
      <c r="V32" s="167"/>
      <c r="W32" s="168"/>
      <c r="X32" s="168"/>
      <c r="Y32" s="167"/>
      <c r="Z32" s="169" t="s">
        <v>63</v>
      </c>
      <c r="AA32" s="166">
        <v>1</v>
      </c>
      <c r="AB32" s="166">
        <v>0</v>
      </c>
      <c r="AC32" s="165"/>
      <c r="AD32" s="165"/>
      <c r="AE32" s="165"/>
      <c r="AF32" s="165"/>
      <c r="AG32" s="165"/>
      <c r="AH32" s="165"/>
      <c r="AI32" s="165"/>
      <c r="AJ32" s="165"/>
      <c r="AK32" s="166"/>
      <c r="AL32" s="166"/>
      <c r="AM32" s="166"/>
      <c r="AN32" s="166"/>
      <c r="AO32" s="166"/>
      <c r="AP32" s="166"/>
      <c r="AQ32" s="166"/>
      <c r="AR32" s="166"/>
      <c r="AS32" s="165"/>
      <c r="AT32" s="165"/>
      <c r="AU32" s="165"/>
      <c r="AV32" s="165"/>
      <c r="AW32" s="165"/>
      <c r="AX32" s="165"/>
      <c r="AY32" s="165"/>
      <c r="AZ32" s="165"/>
      <c r="BA32" s="166"/>
      <c r="BB32" s="166"/>
      <c r="BC32" s="166"/>
      <c r="BD32" s="166"/>
      <c r="BE32" s="166"/>
      <c r="BF32" s="166"/>
      <c r="BG32" s="166"/>
      <c r="BH32" s="166"/>
      <c r="BI32" s="165"/>
      <c r="BJ32" s="165"/>
      <c r="BK32" s="165"/>
      <c r="BL32" s="165"/>
      <c r="BM32" s="165"/>
      <c r="BN32" s="165"/>
      <c r="BO32" s="165"/>
      <c r="BP32" s="165"/>
      <c r="BQ32" s="166" t="s">
        <v>582</v>
      </c>
      <c r="BR32" s="165" t="s">
        <v>591</v>
      </c>
      <c r="BS32" s="124">
        <v>30</v>
      </c>
      <c r="BT32" s="124" t="s">
        <v>584</v>
      </c>
    </row>
    <row r="33" spans="1:72" ht="14.25" hidden="1" customHeight="1" x14ac:dyDescent="0.2">
      <c r="A33" s="205">
        <v>31</v>
      </c>
      <c r="B33" s="233" t="s">
        <v>587</v>
      </c>
      <c r="C33" s="263" t="s">
        <v>588</v>
      </c>
      <c r="D33" s="233" t="s">
        <v>592</v>
      </c>
      <c r="E33" s="125" t="s">
        <v>54</v>
      </c>
      <c r="F33" s="181" t="s">
        <v>55</v>
      </c>
      <c r="G33" s="181" t="s">
        <v>76</v>
      </c>
      <c r="H33" s="181" t="s">
        <v>399</v>
      </c>
      <c r="I33" s="181"/>
      <c r="J33" s="178">
        <v>600</v>
      </c>
      <c r="K33" s="182"/>
      <c r="L33" s="182" t="s">
        <v>58</v>
      </c>
      <c r="M33" s="178" t="s">
        <v>78</v>
      </c>
      <c r="N33" s="178">
        <v>0</v>
      </c>
      <c r="O33" s="178" t="s">
        <v>60</v>
      </c>
      <c r="P33" s="178"/>
      <c r="Q33" s="179"/>
      <c r="R33" s="179" t="s">
        <v>590</v>
      </c>
      <c r="S33" s="180">
        <v>180</v>
      </c>
      <c r="T33" s="179"/>
      <c r="U33" s="179"/>
      <c r="V33" s="167"/>
      <c r="W33" s="168"/>
      <c r="X33" s="168"/>
      <c r="Y33" s="167"/>
      <c r="Z33" s="169" t="s">
        <v>63</v>
      </c>
      <c r="AA33" s="166">
        <v>1</v>
      </c>
      <c r="AB33" s="166">
        <v>0</v>
      </c>
      <c r="AC33" s="165"/>
      <c r="AD33" s="165"/>
      <c r="AE33" s="165"/>
      <c r="AF33" s="165"/>
      <c r="AG33" s="165"/>
      <c r="AH33" s="165"/>
      <c r="AI33" s="165"/>
      <c r="AJ33" s="165"/>
      <c r="AK33" s="166"/>
      <c r="AL33" s="166"/>
      <c r="AM33" s="166"/>
      <c r="AN33" s="166"/>
      <c r="AO33" s="166"/>
      <c r="AP33" s="166"/>
      <c r="AQ33" s="166"/>
      <c r="AR33" s="166"/>
      <c r="AS33" s="165"/>
      <c r="AT33" s="165"/>
      <c r="AU33" s="165"/>
      <c r="AV33" s="165"/>
      <c r="AW33" s="165"/>
      <c r="AX33" s="165"/>
      <c r="AY33" s="165"/>
      <c r="AZ33" s="165"/>
      <c r="BA33" s="166"/>
      <c r="BB33" s="166"/>
      <c r="BC33" s="166"/>
      <c r="BD33" s="166"/>
      <c r="BE33" s="166"/>
      <c r="BF33" s="166"/>
      <c r="BG33" s="166"/>
      <c r="BH33" s="166"/>
      <c r="BI33" s="165"/>
      <c r="BJ33" s="165"/>
      <c r="BK33" s="165"/>
      <c r="BL33" s="165"/>
      <c r="BM33" s="165"/>
      <c r="BN33" s="165"/>
      <c r="BO33" s="165"/>
      <c r="BP33" s="165"/>
      <c r="BQ33" s="166" t="s">
        <v>582</v>
      </c>
      <c r="BR33" s="165" t="s">
        <v>591</v>
      </c>
      <c r="BS33" s="124">
        <v>31</v>
      </c>
      <c r="BT33" s="2" t="s">
        <v>584</v>
      </c>
    </row>
    <row r="34" spans="1:72" ht="14.25" hidden="1" customHeight="1" x14ac:dyDescent="0.2">
      <c r="A34" s="205">
        <v>32</v>
      </c>
      <c r="B34" s="233" t="s">
        <v>587</v>
      </c>
      <c r="C34" s="263" t="s">
        <v>588</v>
      </c>
      <c r="D34" s="233" t="s">
        <v>593</v>
      </c>
      <c r="E34" s="125" t="s">
        <v>54</v>
      </c>
      <c r="F34" s="181" t="s">
        <v>55</v>
      </c>
      <c r="G34" s="181" t="s">
        <v>76</v>
      </c>
      <c r="H34" s="181" t="s">
        <v>399</v>
      </c>
      <c r="I34" s="181"/>
      <c r="J34" s="178">
        <v>600</v>
      </c>
      <c r="K34" s="182"/>
      <c r="L34" s="182" t="s">
        <v>58</v>
      </c>
      <c r="M34" s="178" t="s">
        <v>78</v>
      </c>
      <c r="N34" s="178">
        <v>0</v>
      </c>
      <c r="O34" s="178" t="s">
        <v>60</v>
      </c>
      <c r="P34" s="178"/>
      <c r="Q34" s="179"/>
      <c r="R34" s="179" t="s">
        <v>590</v>
      </c>
      <c r="S34" s="180">
        <v>120</v>
      </c>
      <c r="T34" s="179"/>
      <c r="U34" s="179"/>
      <c r="V34" s="167"/>
      <c r="W34" s="168"/>
      <c r="X34" s="168"/>
      <c r="Y34" s="167"/>
      <c r="Z34" s="169" t="s">
        <v>63</v>
      </c>
      <c r="AA34" s="166">
        <v>1</v>
      </c>
      <c r="AB34" s="166">
        <v>0</v>
      </c>
      <c r="AC34" s="165"/>
      <c r="AD34" s="165"/>
      <c r="AE34" s="165"/>
      <c r="AF34" s="165"/>
      <c r="AG34" s="165"/>
      <c r="AH34" s="165"/>
      <c r="AI34" s="165"/>
      <c r="AJ34" s="165"/>
      <c r="AK34" s="166"/>
      <c r="AL34" s="166"/>
      <c r="AM34" s="166"/>
      <c r="AN34" s="166"/>
      <c r="AO34" s="166"/>
      <c r="AP34" s="166"/>
      <c r="AQ34" s="166"/>
      <c r="AR34" s="166"/>
      <c r="AS34" s="165"/>
      <c r="AT34" s="165"/>
      <c r="AU34" s="165"/>
      <c r="AV34" s="165"/>
      <c r="AW34" s="165"/>
      <c r="AX34" s="165"/>
      <c r="AY34" s="165"/>
      <c r="AZ34" s="165"/>
      <c r="BA34" s="166"/>
      <c r="BB34" s="166"/>
      <c r="BC34" s="166"/>
      <c r="BD34" s="166"/>
      <c r="BE34" s="166"/>
      <c r="BF34" s="166"/>
      <c r="BG34" s="166"/>
      <c r="BH34" s="166"/>
      <c r="BI34" s="165"/>
      <c r="BJ34" s="165"/>
      <c r="BK34" s="165"/>
      <c r="BL34" s="165"/>
      <c r="BM34" s="165"/>
      <c r="BN34" s="165"/>
      <c r="BO34" s="165"/>
      <c r="BP34" s="165"/>
      <c r="BQ34" s="166" t="s">
        <v>582</v>
      </c>
      <c r="BR34" s="165" t="s">
        <v>591</v>
      </c>
      <c r="BS34" s="124">
        <v>32</v>
      </c>
      <c r="BT34" s="2" t="s">
        <v>584</v>
      </c>
    </row>
    <row r="35" spans="1:72" ht="14.25" hidden="1" customHeight="1" x14ac:dyDescent="0.2">
      <c r="A35" s="205">
        <v>33</v>
      </c>
      <c r="B35" s="233" t="s">
        <v>587</v>
      </c>
      <c r="C35" s="263" t="s">
        <v>588</v>
      </c>
      <c r="D35" s="233" t="s">
        <v>594</v>
      </c>
      <c r="E35" s="125" t="s">
        <v>54</v>
      </c>
      <c r="F35" s="181" t="s">
        <v>55</v>
      </c>
      <c r="G35" s="181" t="s">
        <v>76</v>
      </c>
      <c r="H35" s="181" t="s">
        <v>399</v>
      </c>
      <c r="I35" s="181"/>
      <c r="J35" s="178">
        <v>600</v>
      </c>
      <c r="K35" s="182"/>
      <c r="L35" s="182" t="s">
        <v>58</v>
      </c>
      <c r="M35" s="178" t="s">
        <v>78</v>
      </c>
      <c r="N35" s="178">
        <v>0</v>
      </c>
      <c r="O35" s="178" t="s">
        <v>60</v>
      </c>
      <c r="P35" s="178"/>
      <c r="Q35" s="179"/>
      <c r="R35" s="179" t="s">
        <v>590</v>
      </c>
      <c r="S35" s="180">
        <v>120</v>
      </c>
      <c r="T35" s="179"/>
      <c r="U35" s="179"/>
      <c r="V35" s="167"/>
      <c r="W35" s="168"/>
      <c r="X35" s="168"/>
      <c r="Y35" s="167"/>
      <c r="Z35" s="169" t="s">
        <v>63</v>
      </c>
      <c r="AA35" s="166">
        <v>1</v>
      </c>
      <c r="AB35" s="166">
        <v>0</v>
      </c>
      <c r="AC35" s="165"/>
      <c r="AD35" s="165"/>
      <c r="AE35" s="165"/>
      <c r="AF35" s="165"/>
      <c r="AG35" s="165"/>
      <c r="AH35" s="165"/>
      <c r="AI35" s="165"/>
      <c r="AJ35" s="165"/>
      <c r="AK35" s="166"/>
      <c r="AL35" s="166"/>
      <c r="AM35" s="166"/>
      <c r="AN35" s="166"/>
      <c r="AO35" s="166"/>
      <c r="AP35" s="166"/>
      <c r="AQ35" s="166"/>
      <c r="AR35" s="166"/>
      <c r="AS35" s="165"/>
      <c r="AT35" s="165"/>
      <c r="AU35" s="165"/>
      <c r="AV35" s="165"/>
      <c r="AW35" s="165"/>
      <c r="AX35" s="165"/>
      <c r="AY35" s="165"/>
      <c r="AZ35" s="165"/>
      <c r="BA35" s="166"/>
      <c r="BB35" s="166"/>
      <c r="BC35" s="166"/>
      <c r="BD35" s="166"/>
      <c r="BE35" s="166"/>
      <c r="BF35" s="166"/>
      <c r="BG35" s="166"/>
      <c r="BH35" s="166"/>
      <c r="BI35" s="165"/>
      <c r="BJ35" s="165"/>
      <c r="BK35" s="165"/>
      <c r="BL35" s="165"/>
      <c r="BM35" s="165"/>
      <c r="BN35" s="165"/>
      <c r="BO35" s="165"/>
      <c r="BP35" s="165"/>
      <c r="BQ35" s="166" t="s">
        <v>582</v>
      </c>
      <c r="BR35" s="165" t="s">
        <v>591</v>
      </c>
      <c r="BS35" s="124">
        <v>33</v>
      </c>
      <c r="BT35" s="2" t="s">
        <v>584</v>
      </c>
    </row>
    <row r="36" spans="1:72" ht="14.25" hidden="1" customHeight="1" x14ac:dyDescent="0.2">
      <c r="A36" s="205">
        <v>34</v>
      </c>
      <c r="B36" s="233" t="s">
        <v>587</v>
      </c>
      <c r="C36" s="263" t="s">
        <v>588</v>
      </c>
      <c r="D36" s="233" t="s">
        <v>595</v>
      </c>
      <c r="E36" s="125" t="s">
        <v>54</v>
      </c>
      <c r="F36" s="181" t="s">
        <v>55</v>
      </c>
      <c r="G36" s="181" t="s">
        <v>76</v>
      </c>
      <c r="H36" s="181" t="s">
        <v>399</v>
      </c>
      <c r="I36" s="181"/>
      <c r="J36" s="178">
        <v>600</v>
      </c>
      <c r="K36" s="182"/>
      <c r="L36" s="182" t="s">
        <v>58</v>
      </c>
      <c r="M36" s="178" t="s">
        <v>78</v>
      </c>
      <c r="N36" s="178">
        <v>0</v>
      </c>
      <c r="O36" s="178" t="s">
        <v>60</v>
      </c>
      <c r="P36" s="178"/>
      <c r="Q36" s="179"/>
      <c r="R36" s="179" t="s">
        <v>590</v>
      </c>
      <c r="S36" s="180">
        <v>60</v>
      </c>
      <c r="T36" s="179"/>
      <c r="U36" s="179"/>
      <c r="V36" s="167"/>
      <c r="W36" s="168"/>
      <c r="X36" s="168"/>
      <c r="Y36" s="167"/>
      <c r="Z36" s="169" t="s">
        <v>63</v>
      </c>
      <c r="AA36" s="166">
        <v>1</v>
      </c>
      <c r="AB36" s="166">
        <v>0</v>
      </c>
      <c r="AC36" s="165"/>
      <c r="AD36" s="165"/>
      <c r="AE36" s="165"/>
      <c r="AF36" s="165"/>
      <c r="AG36" s="165"/>
      <c r="AH36" s="165"/>
      <c r="AI36" s="165"/>
      <c r="AJ36" s="165"/>
      <c r="AK36" s="166"/>
      <c r="AL36" s="166"/>
      <c r="AM36" s="166"/>
      <c r="AN36" s="166"/>
      <c r="AO36" s="166"/>
      <c r="AP36" s="166"/>
      <c r="AQ36" s="166"/>
      <c r="AR36" s="166"/>
      <c r="AS36" s="165"/>
      <c r="AT36" s="165"/>
      <c r="AU36" s="165"/>
      <c r="AV36" s="165"/>
      <c r="AW36" s="165"/>
      <c r="AX36" s="165"/>
      <c r="AY36" s="165"/>
      <c r="AZ36" s="165"/>
      <c r="BA36" s="166"/>
      <c r="BB36" s="166"/>
      <c r="BC36" s="166"/>
      <c r="BD36" s="166"/>
      <c r="BE36" s="166"/>
      <c r="BF36" s="166"/>
      <c r="BG36" s="166"/>
      <c r="BH36" s="166"/>
      <c r="BI36" s="165"/>
      <c r="BJ36" s="165"/>
      <c r="BK36" s="165"/>
      <c r="BL36" s="165"/>
      <c r="BM36" s="165"/>
      <c r="BN36" s="165"/>
      <c r="BO36" s="165"/>
      <c r="BP36" s="165"/>
      <c r="BQ36" s="166" t="s">
        <v>582</v>
      </c>
      <c r="BR36" s="165" t="s">
        <v>591</v>
      </c>
      <c r="BS36" s="124">
        <v>34</v>
      </c>
      <c r="BT36" s="2" t="s">
        <v>584</v>
      </c>
    </row>
    <row r="37" spans="1:72" ht="14.25" hidden="1" customHeight="1" x14ac:dyDescent="0.2">
      <c r="A37" s="205">
        <v>35</v>
      </c>
      <c r="B37" s="233" t="s">
        <v>587</v>
      </c>
      <c r="C37" s="263" t="s">
        <v>588</v>
      </c>
      <c r="D37" s="233" t="s">
        <v>596</v>
      </c>
      <c r="E37" s="125" t="s">
        <v>54</v>
      </c>
      <c r="F37" s="181" t="s">
        <v>55</v>
      </c>
      <c r="G37" s="181" t="s">
        <v>76</v>
      </c>
      <c r="H37" s="181" t="s">
        <v>399</v>
      </c>
      <c r="I37" s="181"/>
      <c r="J37" s="178">
        <v>600</v>
      </c>
      <c r="K37" s="182"/>
      <c r="L37" s="182" t="s">
        <v>58</v>
      </c>
      <c r="M37" s="178" t="s">
        <v>78</v>
      </c>
      <c r="N37" s="178">
        <v>0</v>
      </c>
      <c r="O37" s="178" t="s">
        <v>60</v>
      </c>
      <c r="P37" s="178"/>
      <c r="Q37" s="179"/>
      <c r="R37" s="179" t="s">
        <v>590</v>
      </c>
      <c r="S37" s="180">
        <v>60</v>
      </c>
      <c r="T37" s="179"/>
      <c r="U37" s="179"/>
      <c r="V37" s="167"/>
      <c r="W37" s="168"/>
      <c r="X37" s="168"/>
      <c r="Y37" s="167"/>
      <c r="Z37" s="169" t="s">
        <v>63</v>
      </c>
      <c r="AA37" s="166">
        <v>1</v>
      </c>
      <c r="AB37" s="166">
        <v>0</v>
      </c>
      <c r="AC37" s="165"/>
      <c r="AD37" s="165"/>
      <c r="AE37" s="165"/>
      <c r="AF37" s="165"/>
      <c r="AG37" s="165"/>
      <c r="AH37" s="165"/>
      <c r="AI37" s="165"/>
      <c r="AJ37" s="165"/>
      <c r="AK37" s="166"/>
      <c r="AL37" s="166"/>
      <c r="AM37" s="166"/>
      <c r="AN37" s="166"/>
      <c r="AO37" s="166"/>
      <c r="AP37" s="166"/>
      <c r="AQ37" s="166"/>
      <c r="AR37" s="166"/>
      <c r="AS37" s="165"/>
      <c r="AT37" s="165"/>
      <c r="AU37" s="165"/>
      <c r="AV37" s="165"/>
      <c r="AW37" s="165"/>
      <c r="AX37" s="165"/>
      <c r="AY37" s="165"/>
      <c r="AZ37" s="165"/>
      <c r="BA37" s="166"/>
      <c r="BB37" s="166"/>
      <c r="BC37" s="166"/>
      <c r="BD37" s="166"/>
      <c r="BE37" s="166"/>
      <c r="BF37" s="166"/>
      <c r="BG37" s="166"/>
      <c r="BH37" s="166"/>
      <c r="BI37" s="165"/>
      <c r="BJ37" s="165"/>
      <c r="BK37" s="165"/>
      <c r="BL37" s="165"/>
      <c r="BM37" s="165"/>
      <c r="BN37" s="165"/>
      <c r="BO37" s="165"/>
      <c r="BP37" s="165"/>
      <c r="BQ37" s="166" t="s">
        <v>582</v>
      </c>
      <c r="BR37" s="165" t="s">
        <v>591</v>
      </c>
      <c r="BS37" s="124">
        <v>35</v>
      </c>
      <c r="BT37" s="2" t="s">
        <v>584</v>
      </c>
    </row>
    <row r="38" spans="1:72" ht="14.25" hidden="1" customHeight="1" x14ac:dyDescent="0.2">
      <c r="A38" s="205">
        <v>36</v>
      </c>
      <c r="B38" s="233" t="s">
        <v>587</v>
      </c>
      <c r="C38" s="263" t="s">
        <v>588</v>
      </c>
      <c r="D38" s="233" t="s">
        <v>597</v>
      </c>
      <c r="E38" s="125" t="s">
        <v>54</v>
      </c>
      <c r="F38" s="181" t="s">
        <v>55</v>
      </c>
      <c r="G38" s="181" t="s">
        <v>76</v>
      </c>
      <c r="H38" s="181" t="s">
        <v>399</v>
      </c>
      <c r="I38" s="181"/>
      <c r="J38" s="178">
        <v>900</v>
      </c>
      <c r="K38" s="182"/>
      <c r="L38" s="182" t="s">
        <v>58</v>
      </c>
      <c r="M38" s="178" t="s">
        <v>78</v>
      </c>
      <c r="N38" s="178">
        <v>0</v>
      </c>
      <c r="O38" s="178" t="s">
        <v>60</v>
      </c>
      <c r="P38" s="178"/>
      <c r="Q38" s="179"/>
      <c r="R38" s="179" t="s">
        <v>590</v>
      </c>
      <c r="S38" s="180">
        <v>180</v>
      </c>
      <c r="T38" s="179"/>
      <c r="U38" s="179"/>
      <c r="V38" s="167"/>
      <c r="W38" s="168"/>
      <c r="X38" s="168"/>
      <c r="Y38" s="167"/>
      <c r="Z38" s="169" t="s">
        <v>63</v>
      </c>
      <c r="AA38" s="166">
        <v>1</v>
      </c>
      <c r="AB38" s="166">
        <v>0</v>
      </c>
      <c r="AC38" s="165"/>
      <c r="AD38" s="165"/>
      <c r="AE38" s="165"/>
      <c r="AF38" s="165"/>
      <c r="AG38" s="165"/>
      <c r="AH38" s="165"/>
      <c r="AI38" s="165"/>
      <c r="AJ38" s="165"/>
      <c r="AK38" s="166"/>
      <c r="AL38" s="166"/>
      <c r="AM38" s="166"/>
      <c r="AN38" s="166"/>
      <c r="AO38" s="166"/>
      <c r="AP38" s="166"/>
      <c r="AQ38" s="166"/>
      <c r="AR38" s="166"/>
      <c r="AS38" s="165"/>
      <c r="AT38" s="165"/>
      <c r="AU38" s="165"/>
      <c r="AV38" s="165"/>
      <c r="AW38" s="165"/>
      <c r="AX38" s="165"/>
      <c r="AY38" s="165"/>
      <c r="AZ38" s="165"/>
      <c r="BA38" s="166"/>
      <c r="BB38" s="166"/>
      <c r="BC38" s="166"/>
      <c r="BD38" s="166"/>
      <c r="BE38" s="166"/>
      <c r="BF38" s="166"/>
      <c r="BG38" s="166"/>
      <c r="BH38" s="166"/>
      <c r="BI38" s="165"/>
      <c r="BJ38" s="165"/>
      <c r="BK38" s="165"/>
      <c r="BL38" s="165"/>
      <c r="BM38" s="165"/>
      <c r="BN38" s="165"/>
      <c r="BO38" s="165"/>
      <c r="BP38" s="165"/>
      <c r="BQ38" s="166" t="s">
        <v>582</v>
      </c>
      <c r="BR38" s="165" t="s">
        <v>591</v>
      </c>
      <c r="BS38" s="124">
        <v>36</v>
      </c>
      <c r="BT38" s="2" t="s">
        <v>584</v>
      </c>
    </row>
    <row r="39" spans="1:72" ht="14.25" hidden="1" customHeight="1" x14ac:dyDescent="0.2">
      <c r="A39" s="205">
        <v>37</v>
      </c>
      <c r="B39" s="233" t="s">
        <v>587</v>
      </c>
      <c r="C39" s="263" t="s">
        <v>588</v>
      </c>
      <c r="D39" s="233" t="s">
        <v>598</v>
      </c>
      <c r="E39" s="125" t="s">
        <v>54</v>
      </c>
      <c r="F39" s="181" t="s">
        <v>55</v>
      </c>
      <c r="G39" s="181" t="s">
        <v>76</v>
      </c>
      <c r="H39" s="181" t="s">
        <v>399</v>
      </c>
      <c r="I39" s="181"/>
      <c r="J39" s="178">
        <v>900</v>
      </c>
      <c r="K39" s="182"/>
      <c r="L39" s="182" t="s">
        <v>58</v>
      </c>
      <c r="M39" s="178" t="s">
        <v>78</v>
      </c>
      <c r="N39" s="178">
        <v>0</v>
      </c>
      <c r="O39" s="178" t="s">
        <v>60</v>
      </c>
      <c r="P39" s="178"/>
      <c r="Q39" s="179"/>
      <c r="R39" s="179" t="s">
        <v>590</v>
      </c>
      <c r="S39" s="180">
        <v>180</v>
      </c>
      <c r="T39" s="179"/>
      <c r="U39" s="179"/>
      <c r="V39" s="167"/>
      <c r="W39" s="168"/>
      <c r="X39" s="168"/>
      <c r="Y39" s="167"/>
      <c r="Z39" s="169" t="s">
        <v>63</v>
      </c>
      <c r="AA39" s="166">
        <v>1</v>
      </c>
      <c r="AB39" s="166">
        <v>0</v>
      </c>
      <c r="AC39" s="165"/>
      <c r="AD39" s="165"/>
      <c r="AE39" s="165"/>
      <c r="AF39" s="165"/>
      <c r="AG39" s="165"/>
      <c r="AH39" s="165"/>
      <c r="AI39" s="165"/>
      <c r="AJ39" s="165"/>
      <c r="AK39" s="166"/>
      <c r="AL39" s="166"/>
      <c r="AM39" s="166"/>
      <c r="AN39" s="166"/>
      <c r="AO39" s="166"/>
      <c r="AP39" s="166"/>
      <c r="AQ39" s="166"/>
      <c r="AR39" s="166"/>
      <c r="AS39" s="165"/>
      <c r="AT39" s="165"/>
      <c r="AU39" s="165"/>
      <c r="AV39" s="165"/>
      <c r="AW39" s="165"/>
      <c r="AX39" s="165"/>
      <c r="AY39" s="165"/>
      <c r="AZ39" s="165"/>
      <c r="BA39" s="166"/>
      <c r="BB39" s="166"/>
      <c r="BC39" s="166"/>
      <c r="BD39" s="166"/>
      <c r="BE39" s="166"/>
      <c r="BF39" s="166"/>
      <c r="BG39" s="166"/>
      <c r="BH39" s="166"/>
      <c r="BI39" s="165"/>
      <c r="BJ39" s="165"/>
      <c r="BK39" s="165"/>
      <c r="BL39" s="165"/>
      <c r="BM39" s="165"/>
      <c r="BN39" s="165"/>
      <c r="BO39" s="165"/>
      <c r="BP39" s="165"/>
      <c r="BQ39" s="166" t="s">
        <v>582</v>
      </c>
      <c r="BR39" s="165" t="s">
        <v>591</v>
      </c>
      <c r="BS39" s="124">
        <v>37</v>
      </c>
      <c r="BT39" s="2" t="s">
        <v>584</v>
      </c>
    </row>
    <row r="40" spans="1:72" ht="14.25" hidden="1" customHeight="1" x14ac:dyDescent="0.2">
      <c r="A40" s="205">
        <v>38</v>
      </c>
      <c r="B40" s="233" t="s">
        <v>587</v>
      </c>
      <c r="C40" s="263" t="s">
        <v>588</v>
      </c>
      <c r="D40" s="233" t="s">
        <v>599</v>
      </c>
      <c r="E40" s="125" t="s">
        <v>54</v>
      </c>
      <c r="F40" s="181" t="s">
        <v>55</v>
      </c>
      <c r="G40" s="181" t="s">
        <v>76</v>
      </c>
      <c r="H40" s="181" t="s">
        <v>399</v>
      </c>
      <c r="I40" s="181"/>
      <c r="J40" s="178">
        <v>900</v>
      </c>
      <c r="K40" s="182"/>
      <c r="L40" s="182" t="s">
        <v>58</v>
      </c>
      <c r="M40" s="178" t="s">
        <v>78</v>
      </c>
      <c r="N40" s="178">
        <v>0</v>
      </c>
      <c r="O40" s="178" t="s">
        <v>60</v>
      </c>
      <c r="P40" s="178"/>
      <c r="Q40" s="179"/>
      <c r="R40" s="179" t="s">
        <v>590</v>
      </c>
      <c r="S40" s="180">
        <v>120</v>
      </c>
      <c r="T40" s="179"/>
      <c r="U40" s="179"/>
      <c r="V40" s="167"/>
      <c r="W40" s="168"/>
      <c r="X40" s="168"/>
      <c r="Y40" s="167"/>
      <c r="Z40" s="169" t="s">
        <v>63</v>
      </c>
      <c r="AA40" s="166">
        <v>1</v>
      </c>
      <c r="AB40" s="166">
        <v>0</v>
      </c>
      <c r="AC40" s="165"/>
      <c r="AD40" s="165"/>
      <c r="AE40" s="165"/>
      <c r="AF40" s="165"/>
      <c r="AG40" s="165"/>
      <c r="AH40" s="165"/>
      <c r="AI40" s="165"/>
      <c r="AJ40" s="165"/>
      <c r="AK40" s="166"/>
      <c r="AL40" s="166"/>
      <c r="AM40" s="166"/>
      <c r="AN40" s="166"/>
      <c r="AO40" s="166"/>
      <c r="AP40" s="166"/>
      <c r="AQ40" s="166"/>
      <c r="AR40" s="166"/>
      <c r="AS40" s="165"/>
      <c r="AT40" s="165"/>
      <c r="AU40" s="165"/>
      <c r="AV40" s="165"/>
      <c r="AW40" s="165"/>
      <c r="AX40" s="165"/>
      <c r="AY40" s="165"/>
      <c r="AZ40" s="165"/>
      <c r="BA40" s="166"/>
      <c r="BB40" s="166"/>
      <c r="BC40" s="166"/>
      <c r="BD40" s="166"/>
      <c r="BE40" s="166"/>
      <c r="BF40" s="166"/>
      <c r="BG40" s="166"/>
      <c r="BH40" s="166"/>
      <c r="BI40" s="165"/>
      <c r="BJ40" s="165"/>
      <c r="BK40" s="165"/>
      <c r="BL40" s="165"/>
      <c r="BM40" s="165"/>
      <c r="BN40" s="165"/>
      <c r="BO40" s="165"/>
      <c r="BP40" s="165"/>
      <c r="BQ40" s="166" t="s">
        <v>582</v>
      </c>
      <c r="BR40" s="165" t="s">
        <v>591</v>
      </c>
      <c r="BS40" s="124">
        <v>38</v>
      </c>
      <c r="BT40" s="2" t="s">
        <v>584</v>
      </c>
    </row>
    <row r="41" spans="1:72" ht="14.25" hidden="1" customHeight="1" x14ac:dyDescent="0.2">
      <c r="A41" s="205">
        <v>39</v>
      </c>
      <c r="B41" s="233" t="s">
        <v>587</v>
      </c>
      <c r="C41" s="263" t="s">
        <v>588</v>
      </c>
      <c r="D41" s="233" t="s">
        <v>600</v>
      </c>
      <c r="E41" s="125" t="s">
        <v>54</v>
      </c>
      <c r="F41" s="181" t="s">
        <v>55</v>
      </c>
      <c r="G41" s="181" t="s">
        <v>76</v>
      </c>
      <c r="H41" s="181" t="s">
        <v>399</v>
      </c>
      <c r="I41" s="181"/>
      <c r="J41" s="178">
        <v>900</v>
      </c>
      <c r="K41" s="182"/>
      <c r="L41" s="182" t="s">
        <v>58</v>
      </c>
      <c r="M41" s="178" t="s">
        <v>78</v>
      </c>
      <c r="N41" s="178">
        <v>0</v>
      </c>
      <c r="O41" s="178" t="s">
        <v>60</v>
      </c>
      <c r="P41" s="178"/>
      <c r="Q41" s="179"/>
      <c r="R41" s="179" t="s">
        <v>590</v>
      </c>
      <c r="S41" s="180">
        <v>120</v>
      </c>
      <c r="T41" s="179"/>
      <c r="U41" s="179"/>
      <c r="V41" s="167"/>
      <c r="W41" s="168"/>
      <c r="X41" s="168"/>
      <c r="Y41" s="167"/>
      <c r="Z41" s="169" t="s">
        <v>63</v>
      </c>
      <c r="AA41" s="166">
        <v>1</v>
      </c>
      <c r="AB41" s="166">
        <v>0</v>
      </c>
      <c r="AC41" s="165"/>
      <c r="AD41" s="165"/>
      <c r="AE41" s="165"/>
      <c r="AF41" s="165"/>
      <c r="AG41" s="165"/>
      <c r="AH41" s="165"/>
      <c r="AI41" s="165"/>
      <c r="AJ41" s="165"/>
      <c r="AK41" s="166"/>
      <c r="AL41" s="166"/>
      <c r="AM41" s="166"/>
      <c r="AN41" s="166"/>
      <c r="AO41" s="166"/>
      <c r="AP41" s="166"/>
      <c r="AQ41" s="166"/>
      <c r="AR41" s="166"/>
      <c r="AS41" s="165"/>
      <c r="AT41" s="165"/>
      <c r="AU41" s="165"/>
      <c r="AV41" s="165"/>
      <c r="AW41" s="165"/>
      <c r="AX41" s="165"/>
      <c r="AY41" s="165"/>
      <c r="AZ41" s="165"/>
      <c r="BA41" s="166"/>
      <c r="BB41" s="166"/>
      <c r="BC41" s="166"/>
      <c r="BD41" s="166"/>
      <c r="BE41" s="166"/>
      <c r="BF41" s="166"/>
      <c r="BG41" s="166"/>
      <c r="BH41" s="166"/>
      <c r="BI41" s="165"/>
      <c r="BJ41" s="165"/>
      <c r="BK41" s="165"/>
      <c r="BL41" s="165"/>
      <c r="BM41" s="165"/>
      <c r="BN41" s="165"/>
      <c r="BO41" s="165"/>
      <c r="BP41" s="165"/>
      <c r="BQ41" s="166" t="s">
        <v>582</v>
      </c>
      <c r="BR41" s="165" t="s">
        <v>591</v>
      </c>
      <c r="BS41" s="124">
        <v>39</v>
      </c>
      <c r="BT41" s="2" t="s">
        <v>584</v>
      </c>
    </row>
    <row r="42" spans="1:72" ht="14.25" hidden="1" customHeight="1" x14ac:dyDescent="0.2">
      <c r="A42" s="205">
        <v>40</v>
      </c>
      <c r="B42" s="233" t="s">
        <v>587</v>
      </c>
      <c r="C42" s="263" t="s">
        <v>588</v>
      </c>
      <c r="D42" s="233" t="s">
        <v>601</v>
      </c>
      <c r="E42" s="125" t="s">
        <v>54</v>
      </c>
      <c r="F42" s="181" t="s">
        <v>55</v>
      </c>
      <c r="G42" s="181" t="s">
        <v>76</v>
      </c>
      <c r="H42" s="181" t="s">
        <v>399</v>
      </c>
      <c r="I42" s="181"/>
      <c r="J42" s="178">
        <v>900</v>
      </c>
      <c r="K42" s="182"/>
      <c r="L42" s="182" t="s">
        <v>58</v>
      </c>
      <c r="M42" s="178" t="s">
        <v>78</v>
      </c>
      <c r="N42" s="178">
        <v>0</v>
      </c>
      <c r="O42" s="178" t="s">
        <v>60</v>
      </c>
      <c r="P42" s="178"/>
      <c r="Q42" s="179"/>
      <c r="R42" s="179" t="s">
        <v>590</v>
      </c>
      <c r="S42" s="180">
        <v>60</v>
      </c>
      <c r="T42" s="179"/>
      <c r="U42" s="179"/>
      <c r="V42" s="167"/>
      <c r="W42" s="168"/>
      <c r="X42" s="168"/>
      <c r="Y42" s="167"/>
      <c r="Z42" s="169" t="s">
        <v>63</v>
      </c>
      <c r="AA42" s="166">
        <v>1</v>
      </c>
      <c r="AB42" s="166">
        <v>0</v>
      </c>
      <c r="AC42" s="165"/>
      <c r="AD42" s="165"/>
      <c r="AE42" s="165"/>
      <c r="AF42" s="165"/>
      <c r="AG42" s="165"/>
      <c r="AH42" s="165"/>
      <c r="AI42" s="165"/>
      <c r="AJ42" s="165"/>
      <c r="AK42" s="166"/>
      <c r="AL42" s="166"/>
      <c r="AM42" s="166"/>
      <c r="AN42" s="166"/>
      <c r="AO42" s="166"/>
      <c r="AP42" s="166"/>
      <c r="AQ42" s="166"/>
      <c r="AR42" s="166"/>
      <c r="AS42" s="165"/>
      <c r="AT42" s="165"/>
      <c r="AU42" s="165"/>
      <c r="AV42" s="165"/>
      <c r="AW42" s="165"/>
      <c r="AX42" s="165"/>
      <c r="AY42" s="165"/>
      <c r="AZ42" s="165"/>
      <c r="BA42" s="166"/>
      <c r="BB42" s="166"/>
      <c r="BC42" s="166"/>
      <c r="BD42" s="166"/>
      <c r="BE42" s="166"/>
      <c r="BF42" s="166"/>
      <c r="BG42" s="166"/>
      <c r="BH42" s="166"/>
      <c r="BI42" s="165"/>
      <c r="BJ42" s="165"/>
      <c r="BK42" s="165"/>
      <c r="BL42" s="165"/>
      <c r="BM42" s="165"/>
      <c r="BN42" s="165"/>
      <c r="BO42" s="165"/>
      <c r="BP42" s="165"/>
      <c r="BQ42" s="166" t="s">
        <v>582</v>
      </c>
      <c r="BR42" s="165" t="s">
        <v>591</v>
      </c>
      <c r="BS42" s="124">
        <v>40</v>
      </c>
      <c r="BT42" s="2" t="s">
        <v>584</v>
      </c>
    </row>
    <row r="43" spans="1:72" ht="14.25" hidden="1" customHeight="1" x14ac:dyDescent="0.2">
      <c r="A43" s="205">
        <v>41</v>
      </c>
      <c r="B43" s="233" t="s">
        <v>587</v>
      </c>
      <c r="C43" s="263" t="s">
        <v>588</v>
      </c>
      <c r="D43" s="233" t="s">
        <v>602</v>
      </c>
      <c r="E43" s="125" t="s">
        <v>54</v>
      </c>
      <c r="F43" s="181" t="s">
        <v>55</v>
      </c>
      <c r="G43" s="181" t="s">
        <v>76</v>
      </c>
      <c r="H43" s="181" t="s">
        <v>399</v>
      </c>
      <c r="I43" s="181"/>
      <c r="J43" s="178">
        <v>900</v>
      </c>
      <c r="K43" s="182"/>
      <c r="L43" s="182" t="s">
        <v>58</v>
      </c>
      <c r="M43" s="178" t="s">
        <v>78</v>
      </c>
      <c r="N43" s="178">
        <v>0</v>
      </c>
      <c r="O43" s="178" t="s">
        <v>60</v>
      </c>
      <c r="P43" s="178"/>
      <c r="Q43" s="179"/>
      <c r="R43" s="179" t="s">
        <v>590</v>
      </c>
      <c r="S43" s="180">
        <v>60</v>
      </c>
      <c r="T43" s="179"/>
      <c r="U43" s="179"/>
      <c r="V43" s="167"/>
      <c r="W43" s="168"/>
      <c r="X43" s="168"/>
      <c r="Y43" s="167"/>
      <c r="Z43" s="169" t="s">
        <v>63</v>
      </c>
      <c r="AA43" s="166">
        <v>1</v>
      </c>
      <c r="AB43" s="166">
        <v>0</v>
      </c>
      <c r="AC43" s="165"/>
      <c r="AD43" s="165"/>
      <c r="AE43" s="165"/>
      <c r="AF43" s="165"/>
      <c r="AG43" s="165"/>
      <c r="AH43" s="165"/>
      <c r="AI43" s="165"/>
      <c r="AJ43" s="165"/>
      <c r="AK43" s="166"/>
      <c r="AL43" s="166"/>
      <c r="AM43" s="166"/>
      <c r="AN43" s="166"/>
      <c r="AO43" s="166"/>
      <c r="AP43" s="166"/>
      <c r="AQ43" s="166"/>
      <c r="AR43" s="166"/>
      <c r="AS43" s="165"/>
      <c r="AT43" s="165"/>
      <c r="AU43" s="165"/>
      <c r="AV43" s="165"/>
      <c r="AW43" s="165"/>
      <c r="AX43" s="165"/>
      <c r="AY43" s="165"/>
      <c r="AZ43" s="165"/>
      <c r="BA43" s="166"/>
      <c r="BB43" s="166"/>
      <c r="BC43" s="166"/>
      <c r="BD43" s="166"/>
      <c r="BE43" s="166"/>
      <c r="BF43" s="166"/>
      <c r="BG43" s="166"/>
      <c r="BH43" s="166"/>
      <c r="BI43" s="165"/>
      <c r="BJ43" s="165"/>
      <c r="BK43" s="165"/>
      <c r="BL43" s="165"/>
      <c r="BM43" s="165"/>
      <c r="BN43" s="165"/>
      <c r="BO43" s="165"/>
      <c r="BP43" s="165"/>
      <c r="BQ43" s="166" t="s">
        <v>582</v>
      </c>
      <c r="BR43" s="165" t="s">
        <v>591</v>
      </c>
      <c r="BS43" s="124">
        <v>41</v>
      </c>
      <c r="BT43" s="2" t="s">
        <v>584</v>
      </c>
    </row>
    <row r="44" spans="1:72" ht="14.25" hidden="1" customHeight="1" x14ac:dyDescent="0.2">
      <c r="A44" s="205">
        <v>42</v>
      </c>
      <c r="B44" s="233" t="s">
        <v>587</v>
      </c>
      <c r="C44" s="263" t="s">
        <v>588</v>
      </c>
      <c r="D44" s="233" t="s">
        <v>603</v>
      </c>
      <c r="E44" s="125" t="s">
        <v>54</v>
      </c>
      <c r="F44" s="181" t="s">
        <v>55</v>
      </c>
      <c r="G44" s="181" t="s">
        <v>76</v>
      </c>
      <c r="H44" s="181" t="s">
        <v>399</v>
      </c>
      <c r="I44" s="181"/>
      <c r="J44" s="178">
        <v>1200</v>
      </c>
      <c r="K44" s="182"/>
      <c r="L44" s="182" t="s">
        <v>58</v>
      </c>
      <c r="M44" s="178" t="s">
        <v>78</v>
      </c>
      <c r="N44" s="178">
        <v>0</v>
      </c>
      <c r="O44" s="178" t="s">
        <v>60</v>
      </c>
      <c r="P44" s="178"/>
      <c r="Q44" s="179"/>
      <c r="R44" s="179" t="s">
        <v>590</v>
      </c>
      <c r="S44" s="180">
        <v>180</v>
      </c>
      <c r="T44" s="179"/>
      <c r="U44" s="179"/>
      <c r="V44" s="167"/>
      <c r="W44" s="168"/>
      <c r="X44" s="168"/>
      <c r="Y44" s="167"/>
      <c r="Z44" s="169" t="s">
        <v>63</v>
      </c>
      <c r="AA44" s="166">
        <v>1</v>
      </c>
      <c r="AB44" s="166">
        <v>0</v>
      </c>
      <c r="AC44" s="165"/>
      <c r="AD44" s="165"/>
      <c r="AE44" s="165"/>
      <c r="AF44" s="165"/>
      <c r="AG44" s="165"/>
      <c r="AH44" s="165"/>
      <c r="AI44" s="165"/>
      <c r="AJ44" s="165"/>
      <c r="AK44" s="166"/>
      <c r="AL44" s="166"/>
      <c r="AM44" s="166"/>
      <c r="AN44" s="166"/>
      <c r="AO44" s="166"/>
      <c r="AP44" s="166"/>
      <c r="AQ44" s="166"/>
      <c r="AR44" s="166"/>
      <c r="AS44" s="165"/>
      <c r="AT44" s="165"/>
      <c r="AU44" s="165"/>
      <c r="AV44" s="165"/>
      <c r="AW44" s="165"/>
      <c r="AX44" s="165"/>
      <c r="AY44" s="165"/>
      <c r="AZ44" s="165"/>
      <c r="BA44" s="166"/>
      <c r="BB44" s="166"/>
      <c r="BC44" s="166"/>
      <c r="BD44" s="166"/>
      <c r="BE44" s="166"/>
      <c r="BF44" s="166"/>
      <c r="BG44" s="166"/>
      <c r="BH44" s="166"/>
      <c r="BI44" s="165"/>
      <c r="BJ44" s="165"/>
      <c r="BK44" s="165"/>
      <c r="BL44" s="165"/>
      <c r="BM44" s="165"/>
      <c r="BN44" s="165"/>
      <c r="BO44" s="165"/>
      <c r="BP44" s="165"/>
      <c r="BQ44" s="166" t="s">
        <v>582</v>
      </c>
      <c r="BR44" s="165" t="s">
        <v>591</v>
      </c>
      <c r="BS44" s="124">
        <v>42</v>
      </c>
      <c r="BT44" s="2" t="s">
        <v>584</v>
      </c>
    </row>
    <row r="45" spans="1:72" ht="14.25" hidden="1" customHeight="1" x14ac:dyDescent="0.2">
      <c r="A45" s="205">
        <v>43</v>
      </c>
      <c r="B45" s="233" t="s">
        <v>587</v>
      </c>
      <c r="C45" s="263" t="s">
        <v>588</v>
      </c>
      <c r="D45" s="233" t="s">
        <v>604</v>
      </c>
      <c r="E45" s="125" t="s">
        <v>54</v>
      </c>
      <c r="F45" s="181" t="s">
        <v>55</v>
      </c>
      <c r="G45" s="181" t="s">
        <v>76</v>
      </c>
      <c r="H45" s="181" t="s">
        <v>399</v>
      </c>
      <c r="I45" s="181"/>
      <c r="J45" s="178">
        <v>1200</v>
      </c>
      <c r="K45" s="182"/>
      <c r="L45" s="182" t="s">
        <v>58</v>
      </c>
      <c r="M45" s="178" t="s">
        <v>78</v>
      </c>
      <c r="N45" s="178">
        <v>0</v>
      </c>
      <c r="O45" s="178" t="s">
        <v>60</v>
      </c>
      <c r="P45" s="178"/>
      <c r="Q45" s="179"/>
      <c r="R45" s="179" t="s">
        <v>590</v>
      </c>
      <c r="S45" s="180">
        <v>180</v>
      </c>
      <c r="T45" s="179"/>
      <c r="U45" s="179"/>
      <c r="V45" s="167"/>
      <c r="W45" s="168"/>
      <c r="X45" s="168"/>
      <c r="Y45" s="167"/>
      <c r="Z45" s="169" t="s">
        <v>63</v>
      </c>
      <c r="AA45" s="166">
        <v>1</v>
      </c>
      <c r="AB45" s="166">
        <v>0</v>
      </c>
      <c r="AC45" s="165"/>
      <c r="AD45" s="165"/>
      <c r="AE45" s="165"/>
      <c r="AF45" s="165"/>
      <c r="AG45" s="165"/>
      <c r="AH45" s="165"/>
      <c r="AI45" s="165"/>
      <c r="AJ45" s="165"/>
      <c r="AK45" s="166"/>
      <c r="AL45" s="166"/>
      <c r="AM45" s="166"/>
      <c r="AN45" s="166"/>
      <c r="AO45" s="166"/>
      <c r="AP45" s="166"/>
      <c r="AQ45" s="166"/>
      <c r="AR45" s="166"/>
      <c r="AS45" s="165"/>
      <c r="AT45" s="165"/>
      <c r="AU45" s="165"/>
      <c r="AV45" s="165"/>
      <c r="AW45" s="165"/>
      <c r="AX45" s="165"/>
      <c r="AY45" s="165"/>
      <c r="AZ45" s="165"/>
      <c r="BA45" s="166"/>
      <c r="BB45" s="166"/>
      <c r="BC45" s="166"/>
      <c r="BD45" s="166"/>
      <c r="BE45" s="166"/>
      <c r="BF45" s="166"/>
      <c r="BG45" s="166"/>
      <c r="BH45" s="166"/>
      <c r="BI45" s="165"/>
      <c r="BJ45" s="165"/>
      <c r="BK45" s="165"/>
      <c r="BL45" s="165"/>
      <c r="BM45" s="165"/>
      <c r="BN45" s="165"/>
      <c r="BO45" s="165"/>
      <c r="BP45" s="165"/>
      <c r="BQ45" s="166" t="s">
        <v>582</v>
      </c>
      <c r="BR45" s="165" t="s">
        <v>591</v>
      </c>
      <c r="BS45" s="124">
        <v>43</v>
      </c>
      <c r="BT45" s="2" t="s">
        <v>584</v>
      </c>
    </row>
    <row r="46" spans="1:72" ht="14.25" hidden="1" customHeight="1" x14ac:dyDescent="0.2">
      <c r="A46" s="205">
        <v>44</v>
      </c>
      <c r="B46" s="233" t="s">
        <v>587</v>
      </c>
      <c r="C46" s="263" t="s">
        <v>588</v>
      </c>
      <c r="D46" s="233" t="s">
        <v>605</v>
      </c>
      <c r="E46" s="125" t="s">
        <v>54</v>
      </c>
      <c r="F46" s="181" t="s">
        <v>55</v>
      </c>
      <c r="G46" s="181" t="s">
        <v>76</v>
      </c>
      <c r="H46" s="181" t="s">
        <v>399</v>
      </c>
      <c r="I46" s="181"/>
      <c r="J46" s="178">
        <v>1200</v>
      </c>
      <c r="K46" s="182"/>
      <c r="L46" s="182" t="s">
        <v>58</v>
      </c>
      <c r="M46" s="178" t="s">
        <v>78</v>
      </c>
      <c r="N46" s="178">
        <v>0</v>
      </c>
      <c r="O46" s="178" t="s">
        <v>60</v>
      </c>
      <c r="P46" s="178"/>
      <c r="Q46" s="179"/>
      <c r="R46" s="179" t="s">
        <v>590</v>
      </c>
      <c r="S46" s="180">
        <v>120</v>
      </c>
      <c r="T46" s="179"/>
      <c r="U46" s="179"/>
      <c r="V46" s="167"/>
      <c r="W46" s="168"/>
      <c r="X46" s="168"/>
      <c r="Y46" s="167"/>
      <c r="Z46" s="169" t="s">
        <v>63</v>
      </c>
      <c r="AA46" s="166">
        <v>1</v>
      </c>
      <c r="AB46" s="166">
        <v>0</v>
      </c>
      <c r="AC46" s="165"/>
      <c r="AD46" s="165"/>
      <c r="AE46" s="165"/>
      <c r="AF46" s="165"/>
      <c r="AG46" s="165"/>
      <c r="AH46" s="165"/>
      <c r="AI46" s="165"/>
      <c r="AJ46" s="165"/>
      <c r="AK46" s="166"/>
      <c r="AL46" s="166"/>
      <c r="AM46" s="166"/>
      <c r="AN46" s="166"/>
      <c r="AO46" s="166"/>
      <c r="AP46" s="166"/>
      <c r="AQ46" s="166"/>
      <c r="AR46" s="166"/>
      <c r="AS46" s="165"/>
      <c r="AT46" s="165"/>
      <c r="AU46" s="165"/>
      <c r="AV46" s="165"/>
      <c r="AW46" s="165"/>
      <c r="AX46" s="165"/>
      <c r="AY46" s="165"/>
      <c r="AZ46" s="165"/>
      <c r="BA46" s="166"/>
      <c r="BB46" s="166"/>
      <c r="BC46" s="166"/>
      <c r="BD46" s="166"/>
      <c r="BE46" s="166"/>
      <c r="BF46" s="166"/>
      <c r="BG46" s="166"/>
      <c r="BH46" s="166"/>
      <c r="BI46" s="165"/>
      <c r="BJ46" s="165"/>
      <c r="BK46" s="165"/>
      <c r="BL46" s="165"/>
      <c r="BM46" s="165"/>
      <c r="BN46" s="165"/>
      <c r="BO46" s="165"/>
      <c r="BP46" s="165"/>
      <c r="BQ46" s="166" t="s">
        <v>582</v>
      </c>
      <c r="BR46" s="165" t="s">
        <v>591</v>
      </c>
      <c r="BS46" s="124">
        <v>44</v>
      </c>
      <c r="BT46" s="2" t="s">
        <v>584</v>
      </c>
    </row>
    <row r="47" spans="1:72" ht="14.25" hidden="1" customHeight="1" x14ac:dyDescent="0.2">
      <c r="A47" s="205">
        <v>45</v>
      </c>
      <c r="B47" s="233" t="s">
        <v>587</v>
      </c>
      <c r="C47" s="263" t="s">
        <v>588</v>
      </c>
      <c r="D47" s="233" t="s">
        <v>606</v>
      </c>
      <c r="E47" s="125" t="s">
        <v>54</v>
      </c>
      <c r="F47" s="181" t="s">
        <v>55</v>
      </c>
      <c r="G47" s="181" t="s">
        <v>76</v>
      </c>
      <c r="H47" s="181" t="s">
        <v>399</v>
      </c>
      <c r="I47" s="181"/>
      <c r="J47" s="178">
        <v>1200</v>
      </c>
      <c r="K47" s="182"/>
      <c r="L47" s="182" t="s">
        <v>58</v>
      </c>
      <c r="M47" s="178" t="s">
        <v>78</v>
      </c>
      <c r="N47" s="178">
        <v>0</v>
      </c>
      <c r="O47" s="178" t="s">
        <v>60</v>
      </c>
      <c r="P47" s="178"/>
      <c r="Q47" s="179"/>
      <c r="R47" s="179" t="s">
        <v>590</v>
      </c>
      <c r="S47" s="180">
        <v>120</v>
      </c>
      <c r="T47" s="179"/>
      <c r="U47" s="179"/>
      <c r="V47" s="167"/>
      <c r="W47" s="168"/>
      <c r="X47" s="168"/>
      <c r="Y47" s="167"/>
      <c r="Z47" s="169" t="s">
        <v>63</v>
      </c>
      <c r="AA47" s="166">
        <v>1</v>
      </c>
      <c r="AB47" s="166">
        <v>0</v>
      </c>
      <c r="AC47" s="165"/>
      <c r="AD47" s="165"/>
      <c r="AE47" s="165"/>
      <c r="AF47" s="165"/>
      <c r="AG47" s="165"/>
      <c r="AH47" s="165"/>
      <c r="AI47" s="165"/>
      <c r="AJ47" s="165"/>
      <c r="AK47" s="166"/>
      <c r="AL47" s="166"/>
      <c r="AM47" s="166"/>
      <c r="AN47" s="166"/>
      <c r="AO47" s="166"/>
      <c r="AP47" s="166"/>
      <c r="AQ47" s="166"/>
      <c r="AR47" s="166"/>
      <c r="AS47" s="165"/>
      <c r="AT47" s="165"/>
      <c r="AU47" s="165"/>
      <c r="AV47" s="165"/>
      <c r="AW47" s="165"/>
      <c r="AX47" s="165"/>
      <c r="AY47" s="165"/>
      <c r="AZ47" s="165"/>
      <c r="BA47" s="166"/>
      <c r="BB47" s="166"/>
      <c r="BC47" s="166"/>
      <c r="BD47" s="166"/>
      <c r="BE47" s="166"/>
      <c r="BF47" s="166"/>
      <c r="BG47" s="166"/>
      <c r="BH47" s="166"/>
      <c r="BI47" s="165"/>
      <c r="BJ47" s="165"/>
      <c r="BK47" s="165"/>
      <c r="BL47" s="165"/>
      <c r="BM47" s="165"/>
      <c r="BN47" s="165"/>
      <c r="BO47" s="165"/>
      <c r="BP47" s="165"/>
      <c r="BQ47" s="166" t="s">
        <v>582</v>
      </c>
      <c r="BR47" s="165" t="s">
        <v>591</v>
      </c>
      <c r="BS47" s="124">
        <v>45</v>
      </c>
      <c r="BT47" s="2" t="s">
        <v>584</v>
      </c>
    </row>
    <row r="48" spans="1:72" ht="14.25" hidden="1" customHeight="1" x14ac:dyDescent="0.2">
      <c r="A48" s="205">
        <v>46</v>
      </c>
      <c r="B48" s="233" t="s">
        <v>587</v>
      </c>
      <c r="C48" s="263" t="s">
        <v>588</v>
      </c>
      <c r="D48" s="233" t="s">
        <v>607</v>
      </c>
      <c r="E48" s="125" t="s">
        <v>54</v>
      </c>
      <c r="F48" s="181" t="s">
        <v>55</v>
      </c>
      <c r="G48" s="181" t="s">
        <v>76</v>
      </c>
      <c r="H48" s="181" t="s">
        <v>399</v>
      </c>
      <c r="I48" s="181"/>
      <c r="J48" s="178">
        <v>1200</v>
      </c>
      <c r="K48" s="182"/>
      <c r="L48" s="182" t="s">
        <v>58</v>
      </c>
      <c r="M48" s="178" t="s">
        <v>78</v>
      </c>
      <c r="N48" s="178">
        <v>0</v>
      </c>
      <c r="O48" s="178" t="s">
        <v>60</v>
      </c>
      <c r="P48" s="178"/>
      <c r="Q48" s="179"/>
      <c r="R48" s="179" t="s">
        <v>590</v>
      </c>
      <c r="S48" s="180">
        <v>60</v>
      </c>
      <c r="T48" s="179"/>
      <c r="U48" s="179"/>
      <c r="V48" s="167"/>
      <c r="W48" s="168"/>
      <c r="X48" s="168"/>
      <c r="Y48" s="167"/>
      <c r="Z48" s="169" t="s">
        <v>63</v>
      </c>
      <c r="AA48" s="166">
        <v>1</v>
      </c>
      <c r="AB48" s="166">
        <v>0</v>
      </c>
      <c r="AC48" s="165"/>
      <c r="AD48" s="165"/>
      <c r="AE48" s="165"/>
      <c r="AF48" s="165"/>
      <c r="AG48" s="165"/>
      <c r="AH48" s="165"/>
      <c r="AI48" s="165"/>
      <c r="AJ48" s="165"/>
      <c r="AK48" s="166"/>
      <c r="AL48" s="166"/>
      <c r="AM48" s="166"/>
      <c r="AN48" s="166"/>
      <c r="AO48" s="166"/>
      <c r="AP48" s="166"/>
      <c r="AQ48" s="166"/>
      <c r="AR48" s="166"/>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t="s">
        <v>582</v>
      </c>
      <c r="BR48" s="165" t="s">
        <v>591</v>
      </c>
      <c r="BS48" s="124">
        <v>46</v>
      </c>
      <c r="BT48" s="2" t="s">
        <v>584</v>
      </c>
    </row>
    <row r="49" spans="1:72" ht="14.25" hidden="1" customHeight="1" x14ac:dyDescent="0.2">
      <c r="A49" s="205">
        <v>47</v>
      </c>
      <c r="B49" s="233" t="s">
        <v>587</v>
      </c>
      <c r="C49" s="263" t="s">
        <v>588</v>
      </c>
      <c r="D49" s="233" t="s">
        <v>608</v>
      </c>
      <c r="E49" s="125" t="s">
        <v>54</v>
      </c>
      <c r="F49" s="181" t="s">
        <v>55</v>
      </c>
      <c r="G49" s="181" t="s">
        <v>76</v>
      </c>
      <c r="H49" s="181" t="s">
        <v>399</v>
      </c>
      <c r="I49" s="181"/>
      <c r="J49" s="178">
        <v>1200</v>
      </c>
      <c r="K49" s="182"/>
      <c r="L49" s="182" t="s">
        <v>58</v>
      </c>
      <c r="M49" s="178" t="s">
        <v>78</v>
      </c>
      <c r="N49" s="178">
        <v>0</v>
      </c>
      <c r="O49" s="178" t="s">
        <v>60</v>
      </c>
      <c r="P49" s="178"/>
      <c r="Q49" s="179"/>
      <c r="R49" s="179" t="s">
        <v>590</v>
      </c>
      <c r="S49" s="180">
        <v>60</v>
      </c>
      <c r="T49" s="179"/>
      <c r="U49" s="179"/>
      <c r="V49" s="167"/>
      <c r="W49" s="168"/>
      <c r="X49" s="168"/>
      <c r="Y49" s="167"/>
      <c r="Z49" s="169" t="s">
        <v>63</v>
      </c>
      <c r="AA49" s="166">
        <v>1</v>
      </c>
      <c r="AB49" s="166">
        <v>0</v>
      </c>
      <c r="AC49" s="165"/>
      <c r="AD49" s="165"/>
      <c r="AE49" s="165"/>
      <c r="AF49" s="165"/>
      <c r="AG49" s="165"/>
      <c r="AH49" s="165"/>
      <c r="AI49" s="165"/>
      <c r="AJ49" s="165"/>
      <c r="AK49" s="166"/>
      <c r="AL49" s="166"/>
      <c r="AM49" s="166"/>
      <c r="AN49" s="166"/>
      <c r="AO49" s="166"/>
      <c r="AP49" s="166"/>
      <c r="AQ49" s="166"/>
      <c r="AR49" s="166"/>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t="s">
        <v>582</v>
      </c>
      <c r="BR49" s="165" t="s">
        <v>591</v>
      </c>
      <c r="BS49" s="124">
        <v>47</v>
      </c>
      <c r="BT49" s="124" t="s">
        <v>584</v>
      </c>
    </row>
    <row r="50" spans="1:72" ht="14.25" hidden="1" customHeight="1" x14ac:dyDescent="0.2">
      <c r="A50" s="205">
        <v>48</v>
      </c>
      <c r="B50" s="233" t="s">
        <v>609</v>
      </c>
      <c r="C50" s="264" t="s">
        <v>432</v>
      </c>
      <c r="D50" s="231" t="s">
        <v>610</v>
      </c>
      <c r="E50" s="125" t="s">
        <v>54</v>
      </c>
      <c r="F50" s="181" t="s">
        <v>103</v>
      </c>
      <c r="G50" s="181" t="s">
        <v>56</v>
      </c>
      <c r="H50" s="181" t="s">
        <v>157</v>
      </c>
      <c r="I50" s="181"/>
      <c r="J50" s="178">
        <v>10</v>
      </c>
      <c r="K50" s="182"/>
      <c r="L50" s="182" t="s">
        <v>107</v>
      </c>
      <c r="M50" s="178" t="s">
        <v>59</v>
      </c>
      <c r="N50" s="178">
        <v>0</v>
      </c>
      <c r="O50" s="178" t="s">
        <v>60</v>
      </c>
      <c r="P50" s="178" t="s">
        <v>1403</v>
      </c>
      <c r="Q50" s="179" t="s">
        <v>54</v>
      </c>
      <c r="R50" s="179" t="s">
        <v>580</v>
      </c>
      <c r="S50" s="180"/>
      <c r="T50" s="179"/>
      <c r="U50" s="179"/>
      <c r="V50" s="167"/>
      <c r="W50" s="168"/>
      <c r="X50" s="168"/>
      <c r="Y50" s="167"/>
      <c r="Z50" s="169" t="s">
        <v>63</v>
      </c>
      <c r="AA50" s="166">
        <v>4</v>
      </c>
      <c r="AB50" s="166">
        <v>0</v>
      </c>
      <c r="AC50" s="165"/>
      <c r="AD50" s="165"/>
      <c r="AE50" s="165"/>
      <c r="AF50" s="165"/>
      <c r="AG50" s="165"/>
      <c r="AH50" s="165"/>
      <c r="AI50" s="165"/>
      <c r="AJ50" s="165"/>
      <c r="AK50" s="166">
        <v>75.75</v>
      </c>
      <c r="AL50" s="166" t="s">
        <v>81</v>
      </c>
      <c r="AM50" s="166" t="s">
        <v>335</v>
      </c>
      <c r="AN50" s="166"/>
      <c r="AO50" s="166"/>
      <c r="AP50" s="166"/>
      <c r="AQ50" s="166">
        <v>64</v>
      </c>
      <c r="AR50" s="166">
        <v>94</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t="s">
        <v>582</v>
      </c>
      <c r="BR50" s="165" t="s">
        <v>1404</v>
      </c>
      <c r="BS50" s="124">
        <v>48</v>
      </c>
      <c r="BT50" s="124"/>
    </row>
    <row r="51" spans="1:72" ht="14.25" hidden="1" customHeight="1" x14ac:dyDescent="0.2">
      <c r="A51" s="205">
        <v>49</v>
      </c>
      <c r="B51" s="231" t="s">
        <v>611</v>
      </c>
      <c r="C51" s="264" t="s">
        <v>1415</v>
      </c>
      <c r="D51" s="233" t="s">
        <v>200</v>
      </c>
      <c r="E51" s="125" t="s">
        <v>102</v>
      </c>
      <c r="F51" s="181" t="s">
        <v>103</v>
      </c>
      <c r="G51" s="181" t="s">
        <v>56</v>
      </c>
      <c r="H51" s="181" t="s">
        <v>57</v>
      </c>
      <c r="I51" s="181" t="s">
        <v>1343</v>
      </c>
      <c r="J51" s="178">
        <v>7.5</v>
      </c>
      <c r="K51" s="182"/>
      <c r="L51" s="182" t="s">
        <v>58</v>
      </c>
      <c r="M51" s="178" t="s">
        <v>59</v>
      </c>
      <c r="N51" s="178">
        <v>0</v>
      </c>
      <c r="O51" s="178" t="s">
        <v>60</v>
      </c>
      <c r="P51" s="178"/>
      <c r="Q51" s="179"/>
      <c r="R51" s="179" t="s">
        <v>1344</v>
      </c>
      <c r="S51" s="180"/>
      <c r="T51" s="179">
        <v>150</v>
      </c>
      <c r="U51" s="179"/>
      <c r="V51" s="167" t="s">
        <v>615</v>
      </c>
      <c r="W51" s="168">
        <v>3</v>
      </c>
      <c r="X51" s="168">
        <v>4</v>
      </c>
      <c r="Y51" s="167"/>
      <c r="Z51" s="169" t="s">
        <v>63</v>
      </c>
      <c r="AA51" s="166">
        <v>12</v>
      </c>
      <c r="AB51" s="166">
        <v>8</v>
      </c>
      <c r="AC51" s="165"/>
      <c r="AD51" s="165" t="s">
        <v>80</v>
      </c>
      <c r="AE51" s="165"/>
      <c r="AF51" s="165"/>
      <c r="AG51" s="165"/>
      <c r="AH51" s="165"/>
      <c r="AI51" s="165">
        <v>19</v>
      </c>
      <c r="AJ51" s="165">
        <v>30</v>
      </c>
      <c r="AK51" s="166"/>
      <c r="AL51" s="166" t="s">
        <v>81</v>
      </c>
      <c r="AM51" s="166"/>
      <c r="AN51" s="166"/>
      <c r="AO51" s="166"/>
      <c r="AP51" s="166"/>
      <c r="AQ51" s="166">
        <v>54</v>
      </c>
      <c r="AR51" s="166">
        <v>98</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t="s">
        <v>354</v>
      </c>
      <c r="BR51" s="165" t="s">
        <v>1345</v>
      </c>
      <c r="BS51" s="124">
        <v>49</v>
      </c>
      <c r="BT51" s="124"/>
    </row>
    <row r="52" spans="1:72" ht="14.25" hidden="1" customHeight="1" x14ac:dyDescent="0.2">
      <c r="A52" s="205">
        <v>50</v>
      </c>
      <c r="B52" s="231" t="s">
        <v>611</v>
      </c>
      <c r="C52" s="264" t="s">
        <v>1415</v>
      </c>
      <c r="D52" s="233" t="s">
        <v>360</v>
      </c>
      <c r="E52" s="125" t="s">
        <v>102</v>
      </c>
      <c r="F52" s="181" t="s">
        <v>103</v>
      </c>
      <c r="G52" s="181" t="s">
        <v>56</v>
      </c>
      <c r="H52" s="181" t="s">
        <v>57</v>
      </c>
      <c r="I52" s="181"/>
      <c r="J52" s="178">
        <v>7.5</v>
      </c>
      <c r="K52" s="182"/>
      <c r="L52" s="182" t="s">
        <v>58</v>
      </c>
      <c r="M52" s="178" t="s">
        <v>59</v>
      </c>
      <c r="N52" s="178">
        <v>74</v>
      </c>
      <c r="O52" s="178" t="s">
        <v>60</v>
      </c>
      <c r="P52" s="178"/>
      <c r="Q52" s="179"/>
      <c r="R52" s="179" t="s">
        <v>1344</v>
      </c>
      <c r="S52" s="180"/>
      <c r="T52" s="179">
        <v>150</v>
      </c>
      <c r="U52" s="179"/>
      <c r="V52" s="167" t="s">
        <v>615</v>
      </c>
      <c r="W52" s="168">
        <v>3</v>
      </c>
      <c r="X52" s="168">
        <v>4</v>
      </c>
      <c r="Y52" s="167"/>
      <c r="Z52" s="169" t="s">
        <v>63</v>
      </c>
      <c r="AA52" s="166">
        <v>12</v>
      </c>
      <c r="AB52" s="166">
        <v>8</v>
      </c>
      <c r="AC52" s="165"/>
      <c r="AD52" s="165"/>
      <c r="AE52" s="165"/>
      <c r="AF52" s="165"/>
      <c r="AG52" s="165"/>
      <c r="AH52" s="165"/>
      <c r="AI52" s="165"/>
      <c r="AJ52" s="165"/>
      <c r="AK52" s="166"/>
      <c r="AL52" s="166"/>
      <c r="AM52" s="166"/>
      <c r="AN52" s="166"/>
      <c r="AO52" s="166"/>
      <c r="AP52" s="166"/>
      <c r="AQ52" s="166"/>
      <c r="AR52" s="166"/>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t="s">
        <v>354</v>
      </c>
      <c r="BR52" s="165" t="s">
        <v>1345</v>
      </c>
      <c r="BS52" s="124">
        <v>50</v>
      </c>
      <c r="BT52" s="124"/>
    </row>
    <row r="53" spans="1:72" ht="14.25" hidden="1" customHeight="1" x14ac:dyDescent="0.2">
      <c r="A53" s="92">
        <v>51</v>
      </c>
      <c r="B53" s="231" t="s">
        <v>99</v>
      </c>
      <c r="C53" s="264" t="s">
        <v>100</v>
      </c>
      <c r="D53" s="231" t="s">
        <v>101</v>
      </c>
      <c r="E53" s="125" t="s">
        <v>102</v>
      </c>
      <c r="F53" s="181" t="s">
        <v>103</v>
      </c>
      <c r="G53" s="181" t="s">
        <v>56</v>
      </c>
      <c r="H53" s="181" t="s">
        <v>104</v>
      </c>
      <c r="I53" s="181"/>
      <c r="J53" s="178">
        <v>15</v>
      </c>
      <c r="K53" s="182"/>
      <c r="L53" s="182" t="s">
        <v>58</v>
      </c>
      <c r="M53" s="178" t="s">
        <v>59</v>
      </c>
      <c r="N53" s="178">
        <v>0</v>
      </c>
      <c r="O53" s="178" t="s">
        <v>60</v>
      </c>
      <c r="P53" s="178" t="s">
        <v>79</v>
      </c>
      <c r="Q53" s="179"/>
      <c r="R53" s="179" t="s">
        <v>105</v>
      </c>
      <c r="S53" s="180"/>
      <c r="T53" s="179"/>
      <c r="U53" s="179"/>
      <c r="V53" s="167" t="s">
        <v>62</v>
      </c>
      <c r="W53" s="168">
        <v>12</v>
      </c>
      <c r="Y53" s="167"/>
      <c r="Z53" s="169" t="s">
        <v>63</v>
      </c>
      <c r="AA53" s="166">
        <v>6</v>
      </c>
      <c r="AB53" s="166">
        <v>0</v>
      </c>
      <c r="AC53" s="165"/>
      <c r="AD53" s="165" t="s">
        <v>80</v>
      </c>
      <c r="AE53" s="165"/>
      <c r="AF53" s="165"/>
      <c r="AG53" s="165"/>
      <c r="AH53" s="165"/>
      <c r="AI53" s="165">
        <v>25</v>
      </c>
      <c r="AJ53" s="165">
        <v>37</v>
      </c>
      <c r="AK53" s="166"/>
      <c r="AL53" s="166"/>
      <c r="AM53" s="166"/>
      <c r="AN53" s="166"/>
      <c r="AO53" s="166"/>
      <c r="AP53" s="166"/>
      <c r="AQ53" s="166"/>
      <c r="AR53" s="166"/>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51</v>
      </c>
      <c r="BT53" s="174"/>
    </row>
    <row r="54" spans="1:72" ht="14.25" hidden="1" customHeight="1" x14ac:dyDescent="0.2">
      <c r="A54" s="92">
        <v>52</v>
      </c>
      <c r="B54" s="231" t="s">
        <v>99</v>
      </c>
      <c r="C54" s="264" t="s">
        <v>100</v>
      </c>
      <c r="D54" s="231" t="s">
        <v>106</v>
      </c>
      <c r="E54" s="125" t="s">
        <v>102</v>
      </c>
      <c r="F54" s="181" t="s">
        <v>103</v>
      </c>
      <c r="G54" s="181" t="s">
        <v>56</v>
      </c>
      <c r="H54" s="181" t="s">
        <v>104</v>
      </c>
      <c r="I54" s="181"/>
      <c r="J54" s="178">
        <v>7.4999999999999997E-2</v>
      </c>
      <c r="K54" s="182"/>
      <c r="L54" s="182" t="s">
        <v>107</v>
      </c>
      <c r="M54" s="178" t="s">
        <v>78</v>
      </c>
      <c r="N54" s="178">
        <v>0</v>
      </c>
      <c r="O54" s="178" t="s">
        <v>60</v>
      </c>
      <c r="P54" s="178" t="s">
        <v>79</v>
      </c>
      <c r="Q54" s="179"/>
      <c r="R54" s="179"/>
      <c r="S54" s="180">
        <v>1</v>
      </c>
      <c r="T54" s="179"/>
      <c r="U54" s="179"/>
      <c r="V54" s="167" t="s">
        <v>62</v>
      </c>
      <c r="W54" s="168">
        <v>12</v>
      </c>
      <c r="Y54" s="167"/>
      <c r="Z54" s="169" t="s">
        <v>63</v>
      </c>
      <c r="AA54" s="166">
        <v>6</v>
      </c>
      <c r="AB54" s="166">
        <v>0</v>
      </c>
      <c r="AC54" s="165"/>
      <c r="AD54" s="165" t="s">
        <v>80</v>
      </c>
      <c r="AE54" s="165"/>
      <c r="AF54" s="165"/>
      <c r="AG54" s="165"/>
      <c r="AH54" s="165"/>
      <c r="AI54" s="165">
        <v>25</v>
      </c>
      <c r="AJ54" s="165">
        <v>37</v>
      </c>
      <c r="AK54" s="166"/>
      <c r="AL54" s="166"/>
      <c r="AM54" s="166"/>
      <c r="AN54" s="166"/>
      <c r="AO54" s="166"/>
      <c r="AP54" s="166"/>
      <c r="AQ54" s="166"/>
      <c r="AR54" s="166"/>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52</v>
      </c>
      <c r="BT54" s="174"/>
    </row>
    <row r="55" spans="1:72" ht="14.25" hidden="1" customHeight="1" x14ac:dyDescent="0.2">
      <c r="A55" s="205">
        <v>53</v>
      </c>
      <c r="B55" s="233" t="s">
        <v>612</v>
      </c>
      <c r="C55" s="263" t="s">
        <v>613</v>
      </c>
      <c r="D55" s="233" t="s">
        <v>200</v>
      </c>
      <c r="E55" s="125" t="s">
        <v>102</v>
      </c>
      <c r="F55" s="181" t="s">
        <v>103</v>
      </c>
      <c r="G55" s="181" t="s">
        <v>56</v>
      </c>
      <c r="H55" s="181" t="s">
        <v>57</v>
      </c>
      <c r="I55" s="181"/>
      <c r="J55" s="178">
        <v>15</v>
      </c>
      <c r="K55" s="182"/>
      <c r="L55" s="182" t="s">
        <v>58</v>
      </c>
      <c r="M55" s="178" t="s">
        <v>59</v>
      </c>
      <c r="N55" s="178">
        <v>0</v>
      </c>
      <c r="O55" s="178" t="s">
        <v>60</v>
      </c>
      <c r="P55" s="178"/>
      <c r="Q55" s="179"/>
      <c r="R55" s="179" t="s">
        <v>614</v>
      </c>
      <c r="S55" s="180"/>
      <c r="T55" s="179">
        <v>150</v>
      </c>
      <c r="U55" s="179"/>
      <c r="V55" s="167" t="s">
        <v>615</v>
      </c>
      <c r="W55" s="168">
        <v>3</v>
      </c>
      <c r="X55" s="168">
        <v>4</v>
      </c>
      <c r="Y55" s="167"/>
      <c r="Z55" s="169" t="s">
        <v>63</v>
      </c>
      <c r="AA55" s="166">
        <v>10</v>
      </c>
      <c r="AB55" s="166">
        <v>5</v>
      </c>
      <c r="AC55" s="165"/>
      <c r="AD55" s="165" t="s">
        <v>80</v>
      </c>
      <c r="AE55" s="165"/>
      <c r="AF55" s="165"/>
      <c r="AG55" s="165"/>
      <c r="AH55" s="165"/>
      <c r="AI55" s="165">
        <v>19</v>
      </c>
      <c r="AJ55" s="165">
        <v>30</v>
      </c>
      <c r="AK55" s="166"/>
      <c r="AL55" s="166" t="s">
        <v>81</v>
      </c>
      <c r="AM55" s="166"/>
      <c r="AN55" s="166"/>
      <c r="AO55" s="166"/>
      <c r="AP55" s="166"/>
      <c r="AQ55" s="166">
        <v>50</v>
      </c>
      <c r="AR55" s="166">
        <v>93</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t="s">
        <v>354</v>
      </c>
      <c r="BR55" s="165" t="s">
        <v>616</v>
      </c>
      <c r="BS55" s="124">
        <v>53</v>
      </c>
      <c r="BT55" s="124" t="s">
        <v>584</v>
      </c>
    </row>
    <row r="56" spans="1:72" ht="14.25" hidden="1" customHeight="1" x14ac:dyDescent="0.2">
      <c r="A56" s="205">
        <v>54</v>
      </c>
      <c r="B56" s="233" t="s">
        <v>612</v>
      </c>
      <c r="C56" s="263" t="s">
        <v>613</v>
      </c>
      <c r="D56" s="233" t="s">
        <v>205</v>
      </c>
      <c r="E56" s="125" t="s">
        <v>102</v>
      </c>
      <c r="F56" s="181" t="s">
        <v>103</v>
      </c>
      <c r="G56" s="181" t="s">
        <v>56</v>
      </c>
      <c r="H56" s="181" t="s">
        <v>57</v>
      </c>
      <c r="I56" s="181"/>
      <c r="J56" s="178">
        <v>15</v>
      </c>
      <c r="K56" s="182"/>
      <c r="L56" s="182" t="s">
        <v>58</v>
      </c>
      <c r="M56" s="178" t="s">
        <v>59</v>
      </c>
      <c r="N56" s="178">
        <v>113</v>
      </c>
      <c r="O56" s="178" t="s">
        <v>60</v>
      </c>
      <c r="P56" s="178"/>
      <c r="Q56" s="179"/>
      <c r="R56" s="179" t="s">
        <v>614</v>
      </c>
      <c r="S56" s="180"/>
      <c r="T56" s="179">
        <v>150</v>
      </c>
      <c r="U56" s="179"/>
      <c r="V56" s="167" t="s">
        <v>615</v>
      </c>
      <c r="W56" s="168">
        <v>3</v>
      </c>
      <c r="X56" s="168">
        <v>4</v>
      </c>
      <c r="Y56" s="167"/>
      <c r="Z56" s="169" t="s">
        <v>63</v>
      </c>
      <c r="AA56" s="166">
        <v>10</v>
      </c>
      <c r="AB56" s="166">
        <v>5</v>
      </c>
      <c r="AC56" s="165"/>
      <c r="AD56" s="165" t="s">
        <v>80</v>
      </c>
      <c r="AE56" s="165"/>
      <c r="AF56" s="165"/>
      <c r="AG56" s="165"/>
      <c r="AH56" s="165"/>
      <c r="AI56" s="165">
        <v>19</v>
      </c>
      <c r="AJ56" s="165">
        <v>30</v>
      </c>
      <c r="AK56" s="166"/>
      <c r="AL56" s="166" t="s">
        <v>81</v>
      </c>
      <c r="AM56" s="166"/>
      <c r="AN56" s="166"/>
      <c r="AO56" s="166"/>
      <c r="AP56" s="166"/>
      <c r="AQ56" s="166">
        <v>50</v>
      </c>
      <c r="AR56" s="166">
        <v>93</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t="s">
        <v>354</v>
      </c>
      <c r="BR56" s="165" t="s">
        <v>616</v>
      </c>
      <c r="BS56" s="124">
        <v>54</v>
      </c>
      <c r="BT56" s="124" t="s">
        <v>584</v>
      </c>
    </row>
    <row r="57" spans="1:72" ht="14.25" hidden="1" customHeight="1" x14ac:dyDescent="0.2">
      <c r="A57" s="205">
        <v>55</v>
      </c>
      <c r="B57" s="233" t="s">
        <v>617</v>
      </c>
      <c r="C57" s="263" t="s">
        <v>618</v>
      </c>
      <c r="D57" s="233" t="s">
        <v>619</v>
      </c>
      <c r="E57" s="125" t="s">
        <v>102</v>
      </c>
      <c r="F57" s="181" t="s">
        <v>103</v>
      </c>
      <c r="G57" s="134" t="s">
        <v>56</v>
      </c>
      <c r="H57" s="181" t="s">
        <v>620</v>
      </c>
      <c r="I57" s="181"/>
      <c r="J57" s="178">
        <v>15</v>
      </c>
      <c r="K57" s="182"/>
      <c r="L57" s="182" t="s">
        <v>58</v>
      </c>
      <c r="M57" s="178" t="s">
        <v>59</v>
      </c>
      <c r="N57" s="178">
        <v>0</v>
      </c>
      <c r="O57" s="178" t="s">
        <v>60</v>
      </c>
      <c r="P57" s="178" t="s">
        <v>79</v>
      </c>
      <c r="Q57" s="179" t="s">
        <v>621</v>
      </c>
      <c r="R57" s="179" t="s">
        <v>622</v>
      </c>
      <c r="S57" s="180"/>
      <c r="T57" s="180">
        <v>150</v>
      </c>
      <c r="U57" s="179" t="s">
        <v>623</v>
      </c>
      <c r="V57" s="167" t="s">
        <v>62</v>
      </c>
      <c r="W57" s="168">
        <v>2</v>
      </c>
      <c r="X57" s="168">
        <v>4</v>
      </c>
      <c r="Y57" s="167"/>
      <c r="Z57" s="169" t="s">
        <v>63</v>
      </c>
      <c r="AA57" s="166">
        <v>9</v>
      </c>
      <c r="AB57" s="166">
        <v>5</v>
      </c>
      <c r="AC57" s="165"/>
      <c r="AD57" s="165" t="s">
        <v>80</v>
      </c>
      <c r="AE57" s="165"/>
      <c r="AF57" s="165"/>
      <c r="AG57" s="165"/>
      <c r="AH57" s="165"/>
      <c r="AI57" s="165">
        <v>22</v>
      </c>
      <c r="AJ57" s="165">
        <v>34</v>
      </c>
      <c r="AK57" s="166"/>
      <c r="AL57" s="166" t="s">
        <v>81</v>
      </c>
      <c r="AM57" s="166"/>
      <c r="AN57" s="166"/>
      <c r="AO57" s="166"/>
      <c r="AP57" s="166"/>
      <c r="AQ57" s="166">
        <v>55</v>
      </c>
      <c r="AR57" s="166">
        <v>78</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t="s">
        <v>354</v>
      </c>
      <c r="BR57" s="165" t="s">
        <v>624</v>
      </c>
      <c r="BS57" s="124">
        <v>55</v>
      </c>
      <c r="BT57" s="124" t="s">
        <v>584</v>
      </c>
    </row>
    <row r="58" spans="1:72" ht="14.25" hidden="1" customHeight="1" x14ac:dyDescent="0.2">
      <c r="A58" s="205">
        <v>56</v>
      </c>
      <c r="B58" s="233" t="s">
        <v>617</v>
      </c>
      <c r="C58" s="263" t="s">
        <v>618</v>
      </c>
      <c r="D58" s="233" t="s">
        <v>625</v>
      </c>
      <c r="E58" s="125" t="s">
        <v>102</v>
      </c>
      <c r="F58" s="181" t="s">
        <v>103</v>
      </c>
      <c r="G58" s="134" t="s">
        <v>56</v>
      </c>
      <c r="H58" s="181" t="s">
        <v>620</v>
      </c>
      <c r="I58" s="181"/>
      <c r="J58" s="178">
        <v>15</v>
      </c>
      <c r="K58" s="182"/>
      <c r="L58" s="182" t="s">
        <v>58</v>
      </c>
      <c r="M58" s="178" t="s">
        <v>59</v>
      </c>
      <c r="N58" s="178">
        <v>113</v>
      </c>
      <c r="O58" s="178" t="s">
        <v>60</v>
      </c>
      <c r="P58" s="178" t="s">
        <v>79</v>
      </c>
      <c r="Q58" s="179" t="s">
        <v>621</v>
      </c>
      <c r="R58" s="179" t="s">
        <v>622</v>
      </c>
      <c r="S58" s="180"/>
      <c r="T58" s="180">
        <v>150</v>
      </c>
      <c r="U58" s="179" t="s">
        <v>623</v>
      </c>
      <c r="V58" s="167" t="s">
        <v>62</v>
      </c>
      <c r="W58" s="168">
        <v>2</v>
      </c>
      <c r="X58" s="168">
        <v>4</v>
      </c>
      <c r="Y58" s="167"/>
      <c r="Z58" s="169" t="s">
        <v>63</v>
      </c>
      <c r="AA58" s="166">
        <v>9</v>
      </c>
      <c r="AB58" s="166">
        <v>5</v>
      </c>
      <c r="AC58" s="165"/>
      <c r="AD58" s="165" t="s">
        <v>80</v>
      </c>
      <c r="AE58" s="165"/>
      <c r="AF58" s="165"/>
      <c r="AG58" s="165"/>
      <c r="AH58" s="165"/>
      <c r="AI58" s="165">
        <v>22</v>
      </c>
      <c r="AJ58" s="165">
        <v>34</v>
      </c>
      <c r="AK58" s="166"/>
      <c r="AL58" s="166" t="s">
        <v>81</v>
      </c>
      <c r="AM58" s="166"/>
      <c r="AN58" s="166"/>
      <c r="AO58" s="166"/>
      <c r="AP58" s="166"/>
      <c r="AQ58" s="166">
        <v>55</v>
      </c>
      <c r="AR58" s="166">
        <v>78</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t="s">
        <v>354</v>
      </c>
      <c r="BR58" s="165" t="s">
        <v>624</v>
      </c>
      <c r="BS58" s="124">
        <v>56</v>
      </c>
      <c r="BT58" s="124" t="s">
        <v>584</v>
      </c>
    </row>
    <row r="59" spans="1:72" ht="14.25" hidden="1" customHeight="1" x14ac:dyDescent="0.2">
      <c r="A59" s="205">
        <v>57</v>
      </c>
      <c r="B59" s="233" t="s">
        <v>617</v>
      </c>
      <c r="C59" s="263" t="s">
        <v>618</v>
      </c>
      <c r="D59" s="233" t="s">
        <v>626</v>
      </c>
      <c r="E59" s="125" t="s">
        <v>102</v>
      </c>
      <c r="F59" s="181" t="s">
        <v>103</v>
      </c>
      <c r="G59" s="134" t="s">
        <v>56</v>
      </c>
      <c r="H59" s="181" t="s">
        <v>620</v>
      </c>
      <c r="I59" s="181"/>
      <c r="J59" s="178">
        <v>15</v>
      </c>
      <c r="K59" s="182"/>
      <c r="L59" s="182" t="s">
        <v>58</v>
      </c>
      <c r="M59" s="178" t="s">
        <v>59</v>
      </c>
      <c r="N59" s="178">
        <v>185</v>
      </c>
      <c r="O59" s="178" t="s">
        <v>60</v>
      </c>
      <c r="P59" s="178" t="s">
        <v>79</v>
      </c>
      <c r="Q59" s="179" t="s">
        <v>621</v>
      </c>
      <c r="R59" s="179" t="s">
        <v>622</v>
      </c>
      <c r="S59" s="180"/>
      <c r="T59" s="180">
        <v>150</v>
      </c>
      <c r="U59" s="179" t="s">
        <v>623</v>
      </c>
      <c r="V59" s="167" t="s">
        <v>62</v>
      </c>
      <c r="W59" s="168">
        <v>2</v>
      </c>
      <c r="X59" s="168">
        <v>4</v>
      </c>
      <c r="Y59" s="167"/>
      <c r="Z59" s="169" t="s">
        <v>63</v>
      </c>
      <c r="AA59" s="166">
        <v>9</v>
      </c>
      <c r="AB59" s="166">
        <v>5</v>
      </c>
      <c r="AC59" s="165"/>
      <c r="AD59" s="165" t="s">
        <v>80</v>
      </c>
      <c r="AE59" s="165"/>
      <c r="AF59" s="165"/>
      <c r="AG59" s="165"/>
      <c r="AH59" s="165"/>
      <c r="AI59" s="165">
        <v>22</v>
      </c>
      <c r="AJ59" s="165">
        <v>34</v>
      </c>
      <c r="AK59" s="166"/>
      <c r="AL59" s="166" t="s">
        <v>81</v>
      </c>
      <c r="AM59" s="166"/>
      <c r="AN59" s="166"/>
      <c r="AO59" s="166"/>
      <c r="AP59" s="166"/>
      <c r="AQ59" s="166">
        <v>55</v>
      </c>
      <c r="AR59" s="166">
        <v>78</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t="s">
        <v>354</v>
      </c>
      <c r="BR59" s="165" t="s">
        <v>624</v>
      </c>
      <c r="BS59" s="124">
        <v>57</v>
      </c>
      <c r="BT59" s="124" t="s">
        <v>584</v>
      </c>
    </row>
    <row r="60" spans="1:72" ht="14.25" hidden="1" customHeight="1" x14ac:dyDescent="0.2">
      <c r="A60" s="205">
        <v>58</v>
      </c>
      <c r="B60" s="233" t="s">
        <v>617</v>
      </c>
      <c r="C60" s="263" t="s">
        <v>618</v>
      </c>
      <c r="D60" s="233" t="s">
        <v>627</v>
      </c>
      <c r="E60" s="125" t="s">
        <v>102</v>
      </c>
      <c r="F60" s="181" t="s">
        <v>103</v>
      </c>
      <c r="G60" s="134" t="s">
        <v>56</v>
      </c>
      <c r="H60" s="181" t="s">
        <v>620</v>
      </c>
      <c r="I60" s="181" t="s">
        <v>628</v>
      </c>
      <c r="J60" s="178" t="s">
        <v>629</v>
      </c>
      <c r="K60" s="182"/>
      <c r="L60" s="182" t="s">
        <v>58</v>
      </c>
      <c r="M60" s="178" t="s">
        <v>59</v>
      </c>
      <c r="N60" s="178">
        <v>74</v>
      </c>
      <c r="O60" s="178" t="s">
        <v>60</v>
      </c>
      <c r="P60" s="178" t="s">
        <v>79</v>
      </c>
      <c r="Q60" s="179" t="s">
        <v>621</v>
      </c>
      <c r="R60" s="179" t="s">
        <v>622</v>
      </c>
      <c r="S60" s="180"/>
      <c r="T60" s="180">
        <v>150</v>
      </c>
      <c r="U60" s="179" t="s">
        <v>623</v>
      </c>
      <c r="V60" s="167" t="s">
        <v>62</v>
      </c>
      <c r="W60" s="168">
        <v>2</v>
      </c>
      <c r="X60" s="168">
        <v>4</v>
      </c>
      <c r="Y60" s="167"/>
      <c r="Z60" s="169" t="s">
        <v>63</v>
      </c>
      <c r="AA60" s="166">
        <v>9</v>
      </c>
      <c r="AB60" s="166">
        <v>5</v>
      </c>
      <c r="AC60" s="165"/>
      <c r="AD60" s="165" t="s">
        <v>80</v>
      </c>
      <c r="AE60" s="165"/>
      <c r="AF60" s="165"/>
      <c r="AG60" s="165"/>
      <c r="AH60" s="165"/>
      <c r="AI60" s="165">
        <v>22</v>
      </c>
      <c r="AJ60" s="165">
        <v>34</v>
      </c>
      <c r="AK60" s="166"/>
      <c r="AL60" s="166" t="s">
        <v>81</v>
      </c>
      <c r="AM60" s="166"/>
      <c r="AN60" s="166"/>
      <c r="AO60" s="166"/>
      <c r="AP60" s="166"/>
      <c r="AQ60" s="166">
        <v>55</v>
      </c>
      <c r="AR60" s="166">
        <v>78</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t="s">
        <v>354</v>
      </c>
      <c r="BR60" s="165" t="s">
        <v>624</v>
      </c>
      <c r="BS60" s="124">
        <v>58</v>
      </c>
      <c r="BT60" s="124" t="s">
        <v>584</v>
      </c>
    </row>
    <row r="61" spans="1:72" ht="14.25" hidden="1" customHeight="1" x14ac:dyDescent="0.2">
      <c r="A61" s="205">
        <v>59</v>
      </c>
      <c r="B61" s="233" t="s">
        <v>617</v>
      </c>
      <c r="C61" s="263" t="s">
        <v>618</v>
      </c>
      <c r="D61" s="233" t="s">
        <v>630</v>
      </c>
      <c r="E61" s="125" t="s">
        <v>102</v>
      </c>
      <c r="F61" s="181" t="s">
        <v>103</v>
      </c>
      <c r="G61" s="134" t="s">
        <v>56</v>
      </c>
      <c r="H61" s="181" t="s">
        <v>620</v>
      </c>
      <c r="I61" s="181" t="s">
        <v>628</v>
      </c>
      <c r="J61" s="178" t="s">
        <v>629</v>
      </c>
      <c r="K61" s="182"/>
      <c r="L61" s="182" t="s">
        <v>58</v>
      </c>
      <c r="M61" s="178" t="s">
        <v>59</v>
      </c>
      <c r="N61" s="178">
        <v>170</v>
      </c>
      <c r="O61" s="178" t="s">
        <v>60</v>
      </c>
      <c r="P61" s="178" t="s">
        <v>79</v>
      </c>
      <c r="Q61" s="179" t="s">
        <v>621</v>
      </c>
      <c r="R61" s="179" t="s">
        <v>622</v>
      </c>
      <c r="S61" s="180"/>
      <c r="T61" s="180">
        <v>150</v>
      </c>
      <c r="U61" s="179" t="s">
        <v>623</v>
      </c>
      <c r="V61" s="167" t="s">
        <v>62</v>
      </c>
      <c r="W61" s="168">
        <v>2</v>
      </c>
      <c r="X61" s="168">
        <v>4</v>
      </c>
      <c r="Y61" s="167"/>
      <c r="Z61" s="169" t="s">
        <v>63</v>
      </c>
      <c r="AA61" s="166">
        <v>9</v>
      </c>
      <c r="AB61" s="166">
        <v>5</v>
      </c>
      <c r="AC61" s="165"/>
      <c r="AD61" s="165" t="s">
        <v>80</v>
      </c>
      <c r="AE61" s="165"/>
      <c r="AF61" s="165"/>
      <c r="AG61" s="165"/>
      <c r="AH61" s="165"/>
      <c r="AI61" s="165">
        <v>22</v>
      </c>
      <c r="AJ61" s="165">
        <v>34</v>
      </c>
      <c r="AK61" s="166"/>
      <c r="AL61" s="166" t="s">
        <v>81</v>
      </c>
      <c r="AM61" s="166"/>
      <c r="AN61" s="166"/>
      <c r="AO61" s="166"/>
      <c r="AP61" s="166"/>
      <c r="AQ61" s="166">
        <v>55</v>
      </c>
      <c r="AR61" s="166">
        <v>78</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t="s">
        <v>354</v>
      </c>
      <c r="BR61" s="165" t="s">
        <v>624</v>
      </c>
      <c r="BS61" s="124">
        <v>59</v>
      </c>
      <c r="BT61" s="124" t="s">
        <v>584</v>
      </c>
    </row>
    <row r="62" spans="1:72" ht="14.25" hidden="1" customHeight="1" x14ac:dyDescent="0.2">
      <c r="A62" s="205">
        <v>60</v>
      </c>
      <c r="B62" s="233" t="s">
        <v>631</v>
      </c>
      <c r="C62" s="263" t="s">
        <v>632</v>
      </c>
      <c r="D62" s="233" t="s">
        <v>1341</v>
      </c>
      <c r="E62" s="125" t="s">
        <v>54</v>
      </c>
      <c r="F62" s="181" t="s">
        <v>103</v>
      </c>
      <c r="G62" s="181" t="s">
        <v>56</v>
      </c>
      <c r="H62" s="181" t="s">
        <v>633</v>
      </c>
      <c r="I62" s="181"/>
      <c r="J62" s="178">
        <v>600</v>
      </c>
      <c r="K62" s="182"/>
      <c r="L62" s="182" t="s">
        <v>58</v>
      </c>
      <c r="M62" s="178" t="s">
        <v>59</v>
      </c>
      <c r="N62" s="178" t="s">
        <v>1149</v>
      </c>
      <c r="O62" s="178" t="s">
        <v>60</v>
      </c>
      <c r="P62" s="178" t="s">
        <v>92</v>
      </c>
      <c r="Q62" s="179"/>
      <c r="R62" s="179"/>
      <c r="S62" s="180"/>
      <c r="T62" s="179"/>
      <c r="U62" s="179"/>
      <c r="V62" s="167"/>
      <c r="W62" s="168"/>
      <c r="X62" s="168"/>
      <c r="Y62" s="167"/>
      <c r="Z62" s="169" t="s">
        <v>63</v>
      </c>
      <c r="AA62" s="166">
        <v>12</v>
      </c>
      <c r="AB62" s="166">
        <v>0</v>
      </c>
      <c r="AC62" s="165"/>
      <c r="AD62" s="165"/>
      <c r="AE62" s="165"/>
      <c r="AF62" s="165"/>
      <c r="AG62" s="165"/>
      <c r="AH62" s="165"/>
      <c r="AI62" s="165"/>
      <c r="AJ62" s="165"/>
      <c r="AK62" s="166"/>
      <c r="AL62" s="166"/>
      <c r="AM62" s="166"/>
      <c r="AN62" s="166"/>
      <c r="AO62" s="166"/>
      <c r="AP62" s="166"/>
      <c r="AQ62" s="166"/>
      <c r="AR62" s="166"/>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t="s">
        <v>1346</v>
      </c>
      <c r="BS62" s="124">
        <v>60</v>
      </c>
      <c r="BT62" s="124"/>
    </row>
    <row r="63" spans="1:72" ht="14.25" hidden="1" customHeight="1" x14ac:dyDescent="0.2">
      <c r="A63" s="92">
        <v>61</v>
      </c>
      <c r="B63" s="234" t="s">
        <v>108</v>
      </c>
      <c r="C63" s="263" t="s">
        <v>109</v>
      </c>
      <c r="D63" s="234" t="s">
        <v>110</v>
      </c>
      <c r="E63" s="17" t="s">
        <v>111</v>
      </c>
      <c r="F63" s="18" t="s">
        <v>103</v>
      </c>
      <c r="G63" s="181" t="s">
        <v>56</v>
      </c>
      <c r="H63" s="18" t="s">
        <v>57</v>
      </c>
      <c r="I63" s="18"/>
      <c r="J63" s="138">
        <v>10</v>
      </c>
      <c r="K63" s="139">
        <f t="shared" ref="K63:K80" si="0">J63*0.9135071</f>
        <v>9.1350709999999999</v>
      </c>
      <c r="L63" s="139" t="s">
        <v>58</v>
      </c>
      <c r="M63" s="138" t="s">
        <v>59</v>
      </c>
      <c r="N63" s="138">
        <v>0</v>
      </c>
      <c r="O63" s="138" t="s">
        <v>60</v>
      </c>
      <c r="P63" s="138" t="s">
        <v>112</v>
      </c>
      <c r="Q63" s="176" t="s">
        <v>113</v>
      </c>
      <c r="R63" s="176" t="s">
        <v>114</v>
      </c>
      <c r="S63" s="176"/>
      <c r="T63" s="177">
        <v>120</v>
      </c>
      <c r="U63" s="177"/>
      <c r="V63" s="19" t="s">
        <v>62</v>
      </c>
      <c r="W63" s="75">
        <v>10</v>
      </c>
      <c r="X63" s="108">
        <v>4</v>
      </c>
      <c r="Y63" s="73" t="s">
        <v>115</v>
      </c>
      <c r="Z63" s="82" t="s">
        <v>63</v>
      </c>
      <c r="AA63" s="20">
        <v>12</v>
      </c>
      <c r="AB63" s="20">
        <v>6</v>
      </c>
      <c r="AC63" s="21">
        <v>34</v>
      </c>
      <c r="AD63" s="21" t="s">
        <v>80</v>
      </c>
      <c r="AE63" s="21" t="s">
        <v>116</v>
      </c>
      <c r="AF63" s="21">
        <v>2.6</v>
      </c>
      <c r="AG63" s="21" t="s">
        <v>80</v>
      </c>
      <c r="AH63" s="21" t="s">
        <v>117</v>
      </c>
      <c r="AI63" s="21"/>
      <c r="AJ63" s="21"/>
      <c r="AK63" s="20">
        <v>65</v>
      </c>
      <c r="AL63" s="20" t="s">
        <v>81</v>
      </c>
      <c r="AM63" s="20" t="s">
        <v>118</v>
      </c>
      <c r="AN63" s="20">
        <v>3.8</v>
      </c>
      <c r="AO63" s="20" t="s">
        <v>81</v>
      </c>
      <c r="AP63" s="20" t="s">
        <v>117</v>
      </c>
      <c r="AQ63" s="20"/>
      <c r="AR63" s="20"/>
      <c r="AS63" s="21">
        <v>174</v>
      </c>
      <c r="AT63" s="21" t="s">
        <v>119</v>
      </c>
      <c r="AU63" s="21" t="s">
        <v>118</v>
      </c>
      <c r="AV63" s="21">
        <v>2.9</v>
      </c>
      <c r="AW63" s="21" t="s">
        <v>119</v>
      </c>
      <c r="AX63" s="21" t="s">
        <v>117</v>
      </c>
      <c r="AY63" s="21"/>
      <c r="AZ63" s="21"/>
      <c r="BA63" s="20"/>
      <c r="BB63" s="20"/>
      <c r="BC63" s="20"/>
      <c r="BD63" s="20"/>
      <c r="BE63" s="20"/>
      <c r="BF63" s="20"/>
      <c r="BG63" s="20"/>
      <c r="BH63" s="20"/>
      <c r="BI63" s="165">
        <v>1.78</v>
      </c>
      <c r="BJ63" s="165" t="s">
        <v>120</v>
      </c>
      <c r="BK63" s="165" t="s">
        <v>118</v>
      </c>
      <c r="BL63" s="165">
        <v>0.06</v>
      </c>
      <c r="BM63" s="165" t="s">
        <v>120</v>
      </c>
      <c r="BN63" s="165" t="s">
        <v>117</v>
      </c>
      <c r="BO63" s="165"/>
      <c r="BP63" s="165"/>
      <c r="BQ63" s="20" t="s">
        <v>121</v>
      </c>
      <c r="BR63" s="71"/>
      <c r="BS63" s="124">
        <v>61</v>
      </c>
      <c r="BT63" s="174"/>
    </row>
    <row r="64" spans="1:72" ht="14.25" hidden="1" customHeight="1" x14ac:dyDescent="0.2">
      <c r="A64" s="92">
        <v>62</v>
      </c>
      <c r="B64" s="234" t="s">
        <v>108</v>
      </c>
      <c r="C64" s="263" t="s">
        <v>109</v>
      </c>
      <c r="D64" s="234" t="s">
        <v>122</v>
      </c>
      <c r="E64" s="17" t="s">
        <v>111</v>
      </c>
      <c r="F64" s="18" t="s">
        <v>103</v>
      </c>
      <c r="G64" s="181" t="s">
        <v>56</v>
      </c>
      <c r="H64" s="18" t="s">
        <v>57</v>
      </c>
      <c r="I64" s="18"/>
      <c r="J64" s="138">
        <v>10</v>
      </c>
      <c r="K64" s="139">
        <f t="shared" si="0"/>
        <v>9.1350709999999999</v>
      </c>
      <c r="L64" s="139" t="s">
        <v>58</v>
      </c>
      <c r="M64" s="138" t="s">
        <v>59</v>
      </c>
      <c r="N64" s="138">
        <v>0</v>
      </c>
      <c r="O64" s="138" t="s">
        <v>60</v>
      </c>
      <c r="P64" s="138" t="s">
        <v>112</v>
      </c>
      <c r="Q64" s="176" t="s">
        <v>113</v>
      </c>
      <c r="R64" s="176" t="s">
        <v>114</v>
      </c>
      <c r="S64" s="176"/>
      <c r="T64" s="177">
        <v>120</v>
      </c>
      <c r="U64" s="177"/>
      <c r="V64" s="19" t="s">
        <v>62</v>
      </c>
      <c r="W64" s="75">
        <v>10</v>
      </c>
      <c r="X64" s="108">
        <v>4</v>
      </c>
      <c r="Y64" s="73" t="s">
        <v>115</v>
      </c>
      <c r="Z64" s="82" t="s">
        <v>63</v>
      </c>
      <c r="AA64" s="20">
        <v>6</v>
      </c>
      <c r="AB64" s="20">
        <v>4</v>
      </c>
      <c r="AC64" s="21">
        <v>52</v>
      </c>
      <c r="AD64" s="21" t="s">
        <v>80</v>
      </c>
      <c r="AE64" s="21" t="s">
        <v>116</v>
      </c>
      <c r="AF64" s="21">
        <v>4.5</v>
      </c>
      <c r="AG64" s="21" t="s">
        <v>80</v>
      </c>
      <c r="AH64" s="21" t="s">
        <v>117</v>
      </c>
      <c r="AI64" s="21"/>
      <c r="AJ64" s="21"/>
      <c r="AK64" s="20">
        <v>66</v>
      </c>
      <c r="AL64" s="20" t="s">
        <v>81</v>
      </c>
      <c r="AM64" s="20" t="s">
        <v>118</v>
      </c>
      <c r="AN64" s="20">
        <v>4.9000000000000004</v>
      </c>
      <c r="AO64" s="20" t="s">
        <v>81</v>
      </c>
      <c r="AP64" s="20" t="s">
        <v>117</v>
      </c>
      <c r="AQ64" s="20"/>
      <c r="AR64" s="20"/>
      <c r="AS64" s="21">
        <v>161</v>
      </c>
      <c r="AT64" s="21" t="s">
        <v>119</v>
      </c>
      <c r="AU64" s="21" t="s">
        <v>118</v>
      </c>
      <c r="AV64" s="21">
        <v>1.6</v>
      </c>
      <c r="AW64" s="21" t="s">
        <v>119</v>
      </c>
      <c r="AX64" s="21" t="s">
        <v>117</v>
      </c>
      <c r="AY64" s="21"/>
      <c r="AZ64" s="21"/>
      <c r="BA64" s="20"/>
      <c r="BB64" s="20"/>
      <c r="BC64" s="20"/>
      <c r="BD64" s="20"/>
      <c r="BE64" s="20"/>
      <c r="BF64" s="20"/>
      <c r="BG64" s="20"/>
      <c r="BH64" s="20"/>
      <c r="BI64" s="165">
        <v>1.69</v>
      </c>
      <c r="BJ64" s="165" t="s">
        <v>123</v>
      </c>
      <c r="BK64" s="165" t="s">
        <v>118</v>
      </c>
      <c r="BL64" s="165">
        <v>0.05</v>
      </c>
      <c r="BM64" s="165" t="s">
        <v>123</v>
      </c>
      <c r="BN64" s="165" t="s">
        <v>117</v>
      </c>
      <c r="BO64" s="165"/>
      <c r="BP64" s="165"/>
      <c r="BQ64" s="20" t="s">
        <v>121</v>
      </c>
      <c r="BR64" s="71"/>
      <c r="BS64" s="124">
        <v>62</v>
      </c>
      <c r="BT64" s="174"/>
    </row>
    <row r="65" spans="1:72" ht="14.25" hidden="1" customHeight="1" x14ac:dyDescent="0.2">
      <c r="A65" s="92">
        <v>63</v>
      </c>
      <c r="B65" s="234" t="s">
        <v>108</v>
      </c>
      <c r="C65" s="263" t="s">
        <v>109</v>
      </c>
      <c r="D65" s="234" t="s">
        <v>124</v>
      </c>
      <c r="E65" s="17" t="s">
        <v>111</v>
      </c>
      <c r="F65" s="18" t="s">
        <v>103</v>
      </c>
      <c r="G65" s="181" t="s">
        <v>56</v>
      </c>
      <c r="H65" s="18" t="s">
        <v>57</v>
      </c>
      <c r="I65" s="18"/>
      <c r="J65" s="138">
        <v>10</v>
      </c>
      <c r="K65" s="139">
        <f t="shared" si="0"/>
        <v>9.1350709999999999</v>
      </c>
      <c r="L65" s="139" t="s">
        <v>58</v>
      </c>
      <c r="M65" s="138" t="s">
        <v>59</v>
      </c>
      <c r="N65" s="138">
        <v>0</v>
      </c>
      <c r="O65" s="138" t="s">
        <v>60</v>
      </c>
      <c r="P65" s="138" t="s">
        <v>112</v>
      </c>
      <c r="Q65" s="176" t="s">
        <v>113</v>
      </c>
      <c r="R65" s="176" t="s">
        <v>114</v>
      </c>
      <c r="S65" s="176"/>
      <c r="T65" s="177">
        <v>120</v>
      </c>
      <c r="U65" s="177"/>
      <c r="V65" s="19" t="s">
        <v>62</v>
      </c>
      <c r="W65" s="75">
        <v>10</v>
      </c>
      <c r="X65" s="108">
        <v>4</v>
      </c>
      <c r="Y65" s="73" t="s">
        <v>115</v>
      </c>
      <c r="Z65" s="82" t="s">
        <v>63</v>
      </c>
      <c r="AA65" s="20">
        <v>5</v>
      </c>
      <c r="AB65" s="20">
        <v>2</v>
      </c>
      <c r="AC65" s="21">
        <v>59</v>
      </c>
      <c r="AD65" s="21" t="s">
        <v>80</v>
      </c>
      <c r="AE65" s="21" t="s">
        <v>116</v>
      </c>
      <c r="AF65" s="21">
        <v>2.7</v>
      </c>
      <c r="AG65" s="21" t="s">
        <v>80</v>
      </c>
      <c r="AH65" s="21" t="s">
        <v>117</v>
      </c>
      <c r="AI65" s="21"/>
      <c r="AJ65" s="21"/>
      <c r="AK65" s="20">
        <v>67</v>
      </c>
      <c r="AL65" s="20" t="s">
        <v>81</v>
      </c>
      <c r="AM65" s="20" t="s">
        <v>118</v>
      </c>
      <c r="AN65" s="20">
        <v>4.5</v>
      </c>
      <c r="AO65" s="20" t="s">
        <v>81</v>
      </c>
      <c r="AP65" s="20" t="s">
        <v>117</v>
      </c>
      <c r="AQ65" s="20"/>
      <c r="AR65" s="20"/>
      <c r="AS65" s="21">
        <v>164</v>
      </c>
      <c r="AT65" s="21" t="s">
        <v>119</v>
      </c>
      <c r="AU65" s="21" t="s">
        <v>118</v>
      </c>
      <c r="AV65" s="21">
        <v>1.8</v>
      </c>
      <c r="AW65" s="21" t="s">
        <v>119</v>
      </c>
      <c r="AX65" s="21" t="s">
        <v>117</v>
      </c>
      <c r="AY65" s="21"/>
      <c r="AZ65" s="21"/>
      <c r="BA65" s="20"/>
      <c r="BB65" s="20"/>
      <c r="BC65" s="20"/>
      <c r="BD65" s="20"/>
      <c r="BE65" s="20"/>
      <c r="BF65" s="20"/>
      <c r="BG65" s="20"/>
      <c r="BH65" s="20"/>
      <c r="BI65" s="165">
        <v>1.73</v>
      </c>
      <c r="BJ65" s="165" t="s">
        <v>125</v>
      </c>
      <c r="BK65" s="165" t="s">
        <v>118</v>
      </c>
      <c r="BL65" s="165">
        <v>0.06</v>
      </c>
      <c r="BM65" s="165" t="s">
        <v>125</v>
      </c>
      <c r="BN65" s="165" t="s">
        <v>117</v>
      </c>
      <c r="BO65" s="165"/>
      <c r="BP65" s="165"/>
      <c r="BQ65" s="20" t="s">
        <v>121</v>
      </c>
      <c r="BR65" s="71"/>
      <c r="BS65" s="124">
        <v>63</v>
      </c>
      <c r="BT65" s="124"/>
    </row>
    <row r="66" spans="1:72" ht="14.25" hidden="1" customHeight="1" x14ac:dyDescent="0.2">
      <c r="A66" s="92">
        <v>64</v>
      </c>
      <c r="B66" s="234" t="s">
        <v>108</v>
      </c>
      <c r="C66" s="263" t="s">
        <v>109</v>
      </c>
      <c r="D66" s="234" t="s">
        <v>126</v>
      </c>
      <c r="E66" s="17" t="s">
        <v>111</v>
      </c>
      <c r="F66" s="18" t="s">
        <v>103</v>
      </c>
      <c r="G66" s="181" t="s">
        <v>56</v>
      </c>
      <c r="H66" s="18" t="s">
        <v>57</v>
      </c>
      <c r="I66" s="18"/>
      <c r="J66" s="138">
        <v>10</v>
      </c>
      <c r="K66" s="139">
        <f t="shared" si="0"/>
        <v>9.1350709999999999</v>
      </c>
      <c r="L66" s="139" t="s">
        <v>58</v>
      </c>
      <c r="M66" s="138" t="s">
        <v>59</v>
      </c>
      <c r="N66" s="138">
        <v>0</v>
      </c>
      <c r="O66" s="138" t="s">
        <v>60</v>
      </c>
      <c r="P66" s="138" t="s">
        <v>112</v>
      </c>
      <c r="Q66" s="176" t="s">
        <v>113</v>
      </c>
      <c r="R66" s="176" t="s">
        <v>114</v>
      </c>
      <c r="S66" s="176"/>
      <c r="T66" s="177">
        <v>120</v>
      </c>
      <c r="U66" s="177"/>
      <c r="V66" s="19" t="s">
        <v>62</v>
      </c>
      <c r="W66" s="75">
        <v>10</v>
      </c>
      <c r="X66" s="108">
        <v>4</v>
      </c>
      <c r="Y66" s="73" t="s">
        <v>115</v>
      </c>
      <c r="Z66" s="82" t="s">
        <v>63</v>
      </c>
      <c r="AA66" s="20">
        <v>6</v>
      </c>
      <c r="AB66" s="20">
        <v>0</v>
      </c>
      <c r="AC66" s="21">
        <v>47</v>
      </c>
      <c r="AD66" s="21" t="s">
        <v>80</v>
      </c>
      <c r="AE66" s="21" t="s">
        <v>116</v>
      </c>
      <c r="AF66" s="21">
        <v>6.1</v>
      </c>
      <c r="AG66" s="21" t="s">
        <v>80</v>
      </c>
      <c r="AH66" s="21" t="s">
        <v>117</v>
      </c>
      <c r="AI66" s="21"/>
      <c r="AJ66" s="21"/>
      <c r="AK66" s="20">
        <v>66</v>
      </c>
      <c r="AL66" s="20" t="s">
        <v>81</v>
      </c>
      <c r="AM66" s="20" t="s">
        <v>118</v>
      </c>
      <c r="AN66" s="20">
        <v>4.5</v>
      </c>
      <c r="AO66" s="20" t="s">
        <v>81</v>
      </c>
      <c r="AP66" s="20" t="s">
        <v>117</v>
      </c>
      <c r="AQ66" s="20"/>
      <c r="AR66" s="20"/>
      <c r="AS66" s="21">
        <v>171</v>
      </c>
      <c r="AT66" s="21" t="s">
        <v>119</v>
      </c>
      <c r="AU66" s="21" t="s">
        <v>118</v>
      </c>
      <c r="AV66" s="21">
        <v>2.4</v>
      </c>
      <c r="AW66" s="21" t="s">
        <v>119</v>
      </c>
      <c r="AX66" s="21" t="s">
        <v>117</v>
      </c>
      <c r="AY66" s="21"/>
      <c r="AZ66" s="21"/>
      <c r="BA66" s="20"/>
      <c r="BB66" s="20"/>
      <c r="BC66" s="20"/>
      <c r="BD66" s="20"/>
      <c r="BE66" s="20"/>
      <c r="BF66" s="20"/>
      <c r="BG66" s="20"/>
      <c r="BH66" s="20"/>
      <c r="BI66" s="165">
        <v>1.76</v>
      </c>
      <c r="BJ66" s="165" t="s">
        <v>127</v>
      </c>
      <c r="BK66" s="165" t="s">
        <v>118</v>
      </c>
      <c r="BL66" s="165">
        <v>0.06</v>
      </c>
      <c r="BM66" s="165" t="s">
        <v>127</v>
      </c>
      <c r="BN66" s="165" t="s">
        <v>117</v>
      </c>
      <c r="BO66" s="165"/>
      <c r="BP66" s="165"/>
      <c r="BQ66" s="20" t="s">
        <v>121</v>
      </c>
      <c r="BR66" s="71"/>
      <c r="BS66" s="124">
        <v>64</v>
      </c>
      <c r="BT66" s="124"/>
    </row>
    <row r="67" spans="1:72" ht="14.25" hidden="1" customHeight="1" x14ac:dyDescent="0.2">
      <c r="A67" s="92">
        <v>65</v>
      </c>
      <c r="B67" s="234" t="s">
        <v>108</v>
      </c>
      <c r="C67" s="263" t="s">
        <v>109</v>
      </c>
      <c r="D67" s="234" t="s">
        <v>128</v>
      </c>
      <c r="E67" s="17" t="s">
        <v>111</v>
      </c>
      <c r="F67" s="18" t="s">
        <v>103</v>
      </c>
      <c r="G67" s="181" t="s">
        <v>56</v>
      </c>
      <c r="H67" s="18" t="s">
        <v>57</v>
      </c>
      <c r="I67" s="18"/>
      <c r="J67" s="138">
        <v>10</v>
      </c>
      <c r="K67" s="139">
        <f t="shared" si="0"/>
        <v>9.1350709999999999</v>
      </c>
      <c r="L67" s="139" t="s">
        <v>58</v>
      </c>
      <c r="M67" s="138" t="s">
        <v>59</v>
      </c>
      <c r="N67" s="138">
        <v>0</v>
      </c>
      <c r="O67" s="138" t="s">
        <v>60</v>
      </c>
      <c r="P67" s="138" t="s">
        <v>112</v>
      </c>
      <c r="Q67" s="176" t="s">
        <v>113</v>
      </c>
      <c r="R67" s="176" t="s">
        <v>114</v>
      </c>
      <c r="S67" s="176"/>
      <c r="T67" s="177">
        <v>120</v>
      </c>
      <c r="U67" s="177"/>
      <c r="V67" s="19" t="s">
        <v>62</v>
      </c>
      <c r="W67" s="75">
        <v>10</v>
      </c>
      <c r="X67" s="108">
        <v>4</v>
      </c>
      <c r="Y67" s="73" t="s">
        <v>115</v>
      </c>
      <c r="Z67" s="82" t="s">
        <v>63</v>
      </c>
      <c r="AA67" s="20">
        <v>6</v>
      </c>
      <c r="AB67" s="20">
        <v>2</v>
      </c>
      <c r="AC67" s="21">
        <v>53</v>
      </c>
      <c r="AD67" s="21" t="s">
        <v>80</v>
      </c>
      <c r="AE67" s="21" t="s">
        <v>116</v>
      </c>
      <c r="AF67" s="21">
        <v>6.1</v>
      </c>
      <c r="AG67" s="21" t="s">
        <v>80</v>
      </c>
      <c r="AH67" s="21" t="s">
        <v>117</v>
      </c>
      <c r="AI67" s="21"/>
      <c r="AJ67" s="21"/>
      <c r="AK67" s="20">
        <v>65</v>
      </c>
      <c r="AL67" s="20" t="s">
        <v>81</v>
      </c>
      <c r="AM67" s="20" t="s">
        <v>118</v>
      </c>
      <c r="AN67" s="20">
        <v>3.4</v>
      </c>
      <c r="AO67" s="20" t="s">
        <v>81</v>
      </c>
      <c r="AP67" s="20" t="s">
        <v>117</v>
      </c>
      <c r="AQ67" s="20"/>
      <c r="AR67" s="20"/>
      <c r="AS67" s="21">
        <v>167</v>
      </c>
      <c r="AT67" s="21" t="s">
        <v>119</v>
      </c>
      <c r="AU67" s="21" t="s">
        <v>118</v>
      </c>
      <c r="AV67" s="21">
        <v>3.7</v>
      </c>
      <c r="AW67" s="21" t="s">
        <v>119</v>
      </c>
      <c r="AX67" s="21" t="s">
        <v>117</v>
      </c>
      <c r="AY67" s="21"/>
      <c r="AZ67" s="21"/>
      <c r="BA67" s="20"/>
      <c r="BB67" s="20"/>
      <c r="BC67" s="20"/>
      <c r="BD67" s="20"/>
      <c r="BE67" s="20"/>
      <c r="BF67" s="20"/>
      <c r="BG67" s="20"/>
      <c r="BH67" s="20"/>
      <c r="BI67" s="165">
        <v>1.73</v>
      </c>
      <c r="BJ67" s="165" t="s">
        <v>129</v>
      </c>
      <c r="BK67" s="165" t="s">
        <v>118</v>
      </c>
      <c r="BL67" s="165">
        <v>0.06</v>
      </c>
      <c r="BM67" s="165" t="s">
        <v>129</v>
      </c>
      <c r="BN67" s="165" t="s">
        <v>117</v>
      </c>
      <c r="BO67" s="165"/>
      <c r="BP67" s="165"/>
      <c r="BQ67" s="20" t="s">
        <v>121</v>
      </c>
      <c r="BR67" s="71"/>
      <c r="BS67" s="124">
        <v>65</v>
      </c>
      <c r="BT67" s="124"/>
    </row>
    <row r="68" spans="1:72" ht="14.25" hidden="1" customHeight="1" x14ac:dyDescent="0.2">
      <c r="A68" s="92">
        <v>66</v>
      </c>
      <c r="B68" s="234" t="s">
        <v>108</v>
      </c>
      <c r="C68" s="263" t="s">
        <v>109</v>
      </c>
      <c r="D68" s="234" t="s">
        <v>130</v>
      </c>
      <c r="E68" s="17" t="s">
        <v>111</v>
      </c>
      <c r="F68" s="18" t="s">
        <v>103</v>
      </c>
      <c r="G68" s="181" t="s">
        <v>56</v>
      </c>
      <c r="H68" s="18" t="s">
        <v>57</v>
      </c>
      <c r="I68" s="18"/>
      <c r="J68" s="138">
        <v>10</v>
      </c>
      <c r="K68" s="139">
        <f t="shared" si="0"/>
        <v>9.1350709999999999</v>
      </c>
      <c r="L68" s="139" t="s">
        <v>58</v>
      </c>
      <c r="M68" s="138" t="s">
        <v>59</v>
      </c>
      <c r="N68" s="138">
        <v>0</v>
      </c>
      <c r="O68" s="138" t="s">
        <v>60</v>
      </c>
      <c r="P68" s="138" t="s">
        <v>112</v>
      </c>
      <c r="Q68" s="176" t="s">
        <v>113</v>
      </c>
      <c r="R68" s="176" t="s">
        <v>114</v>
      </c>
      <c r="S68" s="176"/>
      <c r="T68" s="177">
        <v>120</v>
      </c>
      <c r="U68" s="177"/>
      <c r="V68" s="19" t="s">
        <v>62</v>
      </c>
      <c r="W68" s="75">
        <v>10</v>
      </c>
      <c r="X68" s="108">
        <v>4</v>
      </c>
      <c r="Y68" s="73" t="s">
        <v>115</v>
      </c>
      <c r="Z68" s="82" t="s">
        <v>63</v>
      </c>
      <c r="AA68" s="20">
        <v>6</v>
      </c>
      <c r="AB68" s="20">
        <v>3</v>
      </c>
      <c r="AC68" s="21">
        <v>54</v>
      </c>
      <c r="AD68" s="21" t="s">
        <v>80</v>
      </c>
      <c r="AE68" s="21" t="s">
        <v>116</v>
      </c>
      <c r="AF68" s="21">
        <v>4.0999999999999996</v>
      </c>
      <c r="AG68" s="21" t="s">
        <v>80</v>
      </c>
      <c r="AH68" s="21" t="s">
        <v>117</v>
      </c>
      <c r="AI68" s="21"/>
      <c r="AJ68" s="21"/>
      <c r="AK68" s="20">
        <v>72</v>
      </c>
      <c r="AL68" s="20" t="s">
        <v>81</v>
      </c>
      <c r="AM68" s="20" t="s">
        <v>118</v>
      </c>
      <c r="AN68" s="20">
        <v>4.0999999999999996</v>
      </c>
      <c r="AO68" s="20" t="s">
        <v>81</v>
      </c>
      <c r="AP68" s="20" t="s">
        <v>117</v>
      </c>
      <c r="AQ68" s="20"/>
      <c r="AR68" s="20"/>
      <c r="AS68" s="21">
        <v>168</v>
      </c>
      <c r="AT68" s="21" t="s">
        <v>119</v>
      </c>
      <c r="AU68" s="21" t="s">
        <v>118</v>
      </c>
      <c r="AV68" s="21">
        <v>3.3</v>
      </c>
      <c r="AW68" s="21" t="s">
        <v>119</v>
      </c>
      <c r="AX68" s="21" t="s">
        <v>117</v>
      </c>
      <c r="AY68" s="21"/>
      <c r="AZ68" s="21"/>
      <c r="BA68" s="20"/>
      <c r="BB68" s="20"/>
      <c r="BC68" s="20"/>
      <c r="BD68" s="20"/>
      <c r="BE68" s="20"/>
      <c r="BF68" s="20"/>
      <c r="BG68" s="20"/>
      <c r="BH68" s="20"/>
      <c r="BI68" s="165">
        <v>1.82</v>
      </c>
      <c r="BJ68" s="165" t="s">
        <v>131</v>
      </c>
      <c r="BK68" s="165" t="s">
        <v>118</v>
      </c>
      <c r="BL68" s="165">
        <v>7.0000000000000007E-2</v>
      </c>
      <c r="BM68" s="165" t="s">
        <v>131</v>
      </c>
      <c r="BN68" s="165" t="s">
        <v>117</v>
      </c>
      <c r="BO68" s="165"/>
      <c r="BP68" s="165"/>
      <c r="BQ68" s="20" t="s">
        <v>121</v>
      </c>
      <c r="BR68" s="71"/>
      <c r="BS68" s="124">
        <v>66</v>
      </c>
      <c r="BT68" s="124"/>
    </row>
    <row r="69" spans="1:72" ht="14.25" hidden="1" customHeight="1" x14ac:dyDescent="0.2">
      <c r="A69" s="92">
        <v>67</v>
      </c>
      <c r="B69" s="234" t="s">
        <v>108</v>
      </c>
      <c r="C69" s="263" t="s">
        <v>109</v>
      </c>
      <c r="D69" s="234" t="s">
        <v>132</v>
      </c>
      <c r="E69" s="17" t="s">
        <v>111</v>
      </c>
      <c r="F69" s="18" t="s">
        <v>103</v>
      </c>
      <c r="G69" s="181" t="s">
        <v>56</v>
      </c>
      <c r="H69" s="18" t="s">
        <v>57</v>
      </c>
      <c r="I69" s="18"/>
      <c r="J69" s="138">
        <v>10</v>
      </c>
      <c r="K69" s="139">
        <f t="shared" si="0"/>
        <v>9.1350709999999999</v>
      </c>
      <c r="L69" s="139" t="s">
        <v>58</v>
      </c>
      <c r="M69" s="138" t="s">
        <v>59</v>
      </c>
      <c r="N69" s="138" t="s">
        <v>133</v>
      </c>
      <c r="O69" s="138" t="s">
        <v>60</v>
      </c>
      <c r="P69" s="138" t="s">
        <v>112</v>
      </c>
      <c r="Q69" s="176" t="s">
        <v>113</v>
      </c>
      <c r="R69" s="176" t="s">
        <v>114</v>
      </c>
      <c r="S69" s="176"/>
      <c r="T69" s="177">
        <v>120</v>
      </c>
      <c r="U69" s="177"/>
      <c r="V69" s="19" t="s">
        <v>62</v>
      </c>
      <c r="W69" s="75">
        <v>10</v>
      </c>
      <c r="X69" s="108">
        <v>4</v>
      </c>
      <c r="Y69" s="73" t="s">
        <v>115</v>
      </c>
      <c r="Z69" s="82" t="s">
        <v>63</v>
      </c>
      <c r="AA69" s="20">
        <v>12</v>
      </c>
      <c r="AB69" s="20">
        <v>6</v>
      </c>
      <c r="AC69" s="21">
        <v>34</v>
      </c>
      <c r="AD69" s="21" t="s">
        <v>80</v>
      </c>
      <c r="AE69" s="21" t="s">
        <v>116</v>
      </c>
      <c r="AF69" s="21">
        <v>2.6</v>
      </c>
      <c r="AG69" s="21" t="s">
        <v>80</v>
      </c>
      <c r="AH69" s="21" t="s">
        <v>117</v>
      </c>
      <c r="AI69" s="21"/>
      <c r="AJ69" s="21"/>
      <c r="AK69" s="20">
        <v>65</v>
      </c>
      <c r="AL69" s="20" t="s">
        <v>81</v>
      </c>
      <c r="AM69" s="20" t="s">
        <v>118</v>
      </c>
      <c r="AN69" s="20">
        <v>3.8</v>
      </c>
      <c r="AO69" s="20" t="s">
        <v>81</v>
      </c>
      <c r="AP69" s="20" t="s">
        <v>117</v>
      </c>
      <c r="AQ69" s="20"/>
      <c r="AR69" s="20"/>
      <c r="AS69" s="21">
        <v>174</v>
      </c>
      <c r="AT69" s="21" t="s">
        <v>119</v>
      </c>
      <c r="AU69" s="21" t="s">
        <v>118</v>
      </c>
      <c r="AV69" s="21">
        <v>2.9</v>
      </c>
      <c r="AW69" s="21" t="s">
        <v>119</v>
      </c>
      <c r="AX69" s="21" t="s">
        <v>117</v>
      </c>
      <c r="AY69" s="21"/>
      <c r="AZ69" s="21"/>
      <c r="BA69" s="20"/>
      <c r="BB69" s="20"/>
      <c r="BC69" s="20"/>
      <c r="BD69" s="20"/>
      <c r="BE69" s="20"/>
      <c r="BF69" s="20"/>
      <c r="BG69" s="20"/>
      <c r="BH69" s="20"/>
      <c r="BI69" s="165">
        <v>1.78</v>
      </c>
      <c r="BJ69" s="165" t="s">
        <v>120</v>
      </c>
      <c r="BK69" s="165" t="s">
        <v>118</v>
      </c>
      <c r="BL69" s="165">
        <v>0.06</v>
      </c>
      <c r="BM69" s="165" t="s">
        <v>120</v>
      </c>
      <c r="BN69" s="165" t="s">
        <v>117</v>
      </c>
      <c r="BO69" s="165"/>
      <c r="BP69" s="165"/>
      <c r="BQ69" s="20" t="s">
        <v>121</v>
      </c>
      <c r="BR69" s="71"/>
      <c r="BS69" s="124">
        <v>67</v>
      </c>
      <c r="BT69" s="124"/>
    </row>
    <row r="70" spans="1:72" ht="14.25" hidden="1" customHeight="1" x14ac:dyDescent="0.2">
      <c r="A70" s="92">
        <v>68</v>
      </c>
      <c r="B70" s="234" t="s">
        <v>108</v>
      </c>
      <c r="C70" s="263" t="s">
        <v>109</v>
      </c>
      <c r="D70" s="234" t="s">
        <v>134</v>
      </c>
      <c r="E70" s="17" t="s">
        <v>111</v>
      </c>
      <c r="F70" s="18" t="s">
        <v>103</v>
      </c>
      <c r="G70" s="181" t="s">
        <v>56</v>
      </c>
      <c r="H70" s="18" t="s">
        <v>57</v>
      </c>
      <c r="I70" s="18"/>
      <c r="J70" s="138">
        <v>10</v>
      </c>
      <c r="K70" s="139">
        <f t="shared" si="0"/>
        <v>9.1350709999999999</v>
      </c>
      <c r="L70" s="139" t="s">
        <v>58</v>
      </c>
      <c r="M70" s="138" t="s">
        <v>59</v>
      </c>
      <c r="N70" s="138" t="s">
        <v>133</v>
      </c>
      <c r="O70" s="138" t="s">
        <v>60</v>
      </c>
      <c r="P70" s="138" t="s">
        <v>112</v>
      </c>
      <c r="Q70" s="176" t="s">
        <v>113</v>
      </c>
      <c r="R70" s="176" t="s">
        <v>114</v>
      </c>
      <c r="S70" s="176"/>
      <c r="T70" s="177">
        <v>120</v>
      </c>
      <c r="U70" s="177"/>
      <c r="V70" s="19" t="s">
        <v>62</v>
      </c>
      <c r="W70" s="75">
        <v>10</v>
      </c>
      <c r="X70" s="108">
        <v>4</v>
      </c>
      <c r="Y70" s="73" t="s">
        <v>115</v>
      </c>
      <c r="Z70" s="82" t="s">
        <v>63</v>
      </c>
      <c r="AA70" s="20">
        <v>6</v>
      </c>
      <c r="AB70" s="20">
        <v>4</v>
      </c>
      <c r="AC70" s="21">
        <v>52</v>
      </c>
      <c r="AD70" s="21" t="s">
        <v>80</v>
      </c>
      <c r="AE70" s="21" t="s">
        <v>116</v>
      </c>
      <c r="AF70" s="21">
        <v>4.5</v>
      </c>
      <c r="AG70" s="21" t="s">
        <v>80</v>
      </c>
      <c r="AH70" s="21" t="s">
        <v>117</v>
      </c>
      <c r="AI70" s="21"/>
      <c r="AJ70" s="21"/>
      <c r="AK70" s="20">
        <v>66</v>
      </c>
      <c r="AL70" s="20" t="s">
        <v>81</v>
      </c>
      <c r="AM70" s="20" t="s">
        <v>118</v>
      </c>
      <c r="AN70" s="20">
        <v>4.9000000000000004</v>
      </c>
      <c r="AO70" s="20" t="s">
        <v>81</v>
      </c>
      <c r="AP70" s="20" t="s">
        <v>117</v>
      </c>
      <c r="AQ70" s="20"/>
      <c r="AR70" s="20"/>
      <c r="AS70" s="21">
        <v>161</v>
      </c>
      <c r="AT70" s="21" t="s">
        <v>119</v>
      </c>
      <c r="AU70" s="21" t="s">
        <v>118</v>
      </c>
      <c r="AV70" s="21">
        <v>1.6</v>
      </c>
      <c r="AW70" s="21" t="s">
        <v>119</v>
      </c>
      <c r="AX70" s="21" t="s">
        <v>117</v>
      </c>
      <c r="AY70" s="21"/>
      <c r="AZ70" s="21"/>
      <c r="BA70" s="20"/>
      <c r="BB70" s="20"/>
      <c r="BC70" s="20"/>
      <c r="BD70" s="20"/>
      <c r="BE70" s="20"/>
      <c r="BF70" s="20"/>
      <c r="BG70" s="20"/>
      <c r="BH70" s="20"/>
      <c r="BI70" s="165">
        <v>1.69</v>
      </c>
      <c r="BJ70" s="165" t="s">
        <v>123</v>
      </c>
      <c r="BK70" s="165" t="s">
        <v>118</v>
      </c>
      <c r="BL70" s="165">
        <v>0.05</v>
      </c>
      <c r="BM70" s="165" t="s">
        <v>123</v>
      </c>
      <c r="BN70" s="165" t="s">
        <v>117</v>
      </c>
      <c r="BO70" s="165"/>
      <c r="BP70" s="165"/>
      <c r="BQ70" s="20" t="s">
        <v>121</v>
      </c>
      <c r="BR70" s="71"/>
      <c r="BS70" s="124">
        <v>68</v>
      </c>
      <c r="BT70" s="124"/>
    </row>
    <row r="71" spans="1:72" ht="14.25" hidden="1" customHeight="1" x14ac:dyDescent="0.2">
      <c r="A71" s="92">
        <v>69</v>
      </c>
      <c r="B71" s="234" t="s">
        <v>108</v>
      </c>
      <c r="C71" s="263" t="s">
        <v>109</v>
      </c>
      <c r="D71" s="234" t="s">
        <v>135</v>
      </c>
      <c r="E71" s="17" t="s">
        <v>111</v>
      </c>
      <c r="F71" s="18" t="s">
        <v>103</v>
      </c>
      <c r="G71" s="181" t="s">
        <v>56</v>
      </c>
      <c r="H71" s="18" t="s">
        <v>57</v>
      </c>
      <c r="I71" s="18"/>
      <c r="J71" s="138">
        <v>10</v>
      </c>
      <c r="K71" s="139">
        <f t="shared" si="0"/>
        <v>9.1350709999999999</v>
      </c>
      <c r="L71" s="139" t="s">
        <v>58</v>
      </c>
      <c r="M71" s="138" t="s">
        <v>59</v>
      </c>
      <c r="N71" s="138" t="s">
        <v>133</v>
      </c>
      <c r="O71" s="138" t="s">
        <v>60</v>
      </c>
      <c r="P71" s="138" t="s">
        <v>112</v>
      </c>
      <c r="Q71" s="176" t="s">
        <v>113</v>
      </c>
      <c r="R71" s="176" t="s">
        <v>114</v>
      </c>
      <c r="S71" s="176"/>
      <c r="T71" s="177">
        <v>120</v>
      </c>
      <c r="U71" s="177"/>
      <c r="V71" s="19" t="s">
        <v>62</v>
      </c>
      <c r="W71" s="75">
        <v>10</v>
      </c>
      <c r="X71" s="108">
        <v>4</v>
      </c>
      <c r="Y71" s="73" t="s">
        <v>115</v>
      </c>
      <c r="Z71" s="82" t="s">
        <v>63</v>
      </c>
      <c r="AA71" s="20">
        <v>5</v>
      </c>
      <c r="AB71" s="20">
        <v>2</v>
      </c>
      <c r="AC71" s="21">
        <v>59</v>
      </c>
      <c r="AD71" s="21" t="s">
        <v>80</v>
      </c>
      <c r="AE71" s="21" t="s">
        <v>116</v>
      </c>
      <c r="AF71" s="21">
        <v>2.7</v>
      </c>
      <c r="AG71" s="21" t="s">
        <v>80</v>
      </c>
      <c r="AH71" s="21" t="s">
        <v>117</v>
      </c>
      <c r="AI71" s="21"/>
      <c r="AJ71" s="21"/>
      <c r="AK71" s="20">
        <v>67</v>
      </c>
      <c r="AL71" s="20" t="s">
        <v>81</v>
      </c>
      <c r="AM71" s="20" t="s">
        <v>118</v>
      </c>
      <c r="AN71" s="20">
        <v>4.5</v>
      </c>
      <c r="AO71" s="20" t="s">
        <v>81</v>
      </c>
      <c r="AP71" s="20" t="s">
        <v>117</v>
      </c>
      <c r="AQ71" s="20"/>
      <c r="AR71" s="20"/>
      <c r="AS71" s="21">
        <v>164</v>
      </c>
      <c r="AT71" s="21" t="s">
        <v>119</v>
      </c>
      <c r="AU71" s="21" t="s">
        <v>118</v>
      </c>
      <c r="AV71" s="21">
        <v>1.8</v>
      </c>
      <c r="AW71" s="21" t="s">
        <v>119</v>
      </c>
      <c r="AX71" s="21" t="s">
        <v>117</v>
      </c>
      <c r="AY71" s="21"/>
      <c r="AZ71" s="21"/>
      <c r="BA71" s="20"/>
      <c r="BB71" s="20"/>
      <c r="BC71" s="20"/>
      <c r="BD71" s="20"/>
      <c r="BE71" s="20"/>
      <c r="BF71" s="20"/>
      <c r="BG71" s="20"/>
      <c r="BH71" s="20"/>
      <c r="BI71" s="165">
        <v>1.73</v>
      </c>
      <c r="BJ71" s="165" t="s">
        <v>125</v>
      </c>
      <c r="BK71" s="165" t="s">
        <v>118</v>
      </c>
      <c r="BL71" s="165">
        <v>0.06</v>
      </c>
      <c r="BM71" s="165" t="s">
        <v>125</v>
      </c>
      <c r="BN71" s="165" t="s">
        <v>117</v>
      </c>
      <c r="BO71" s="165"/>
      <c r="BP71" s="165"/>
      <c r="BQ71" s="20" t="s">
        <v>121</v>
      </c>
      <c r="BR71" s="71"/>
      <c r="BS71" s="124">
        <v>69</v>
      </c>
      <c r="BT71" s="124"/>
    </row>
    <row r="72" spans="1:72" ht="14.25" hidden="1" customHeight="1" x14ac:dyDescent="0.2">
      <c r="A72" s="92">
        <v>70</v>
      </c>
      <c r="B72" s="234" t="s">
        <v>108</v>
      </c>
      <c r="C72" s="263" t="s">
        <v>109</v>
      </c>
      <c r="D72" s="234" t="s">
        <v>136</v>
      </c>
      <c r="E72" s="17" t="s">
        <v>111</v>
      </c>
      <c r="F72" s="18" t="s">
        <v>103</v>
      </c>
      <c r="G72" s="181" t="s">
        <v>56</v>
      </c>
      <c r="H72" s="18" t="s">
        <v>57</v>
      </c>
      <c r="I72" s="18"/>
      <c r="J72" s="138">
        <v>10</v>
      </c>
      <c r="K72" s="139">
        <f t="shared" si="0"/>
        <v>9.1350709999999999</v>
      </c>
      <c r="L72" s="139" t="s">
        <v>58</v>
      </c>
      <c r="M72" s="138" t="s">
        <v>59</v>
      </c>
      <c r="N72" s="138" t="s">
        <v>133</v>
      </c>
      <c r="O72" s="138" t="s">
        <v>60</v>
      </c>
      <c r="P72" s="138" t="s">
        <v>112</v>
      </c>
      <c r="Q72" s="176" t="s">
        <v>113</v>
      </c>
      <c r="R72" s="176" t="s">
        <v>114</v>
      </c>
      <c r="S72" s="176"/>
      <c r="T72" s="177">
        <v>120</v>
      </c>
      <c r="U72" s="177"/>
      <c r="V72" s="19" t="s">
        <v>62</v>
      </c>
      <c r="W72" s="75">
        <v>10</v>
      </c>
      <c r="X72" s="108">
        <v>4</v>
      </c>
      <c r="Y72" s="73" t="s">
        <v>115</v>
      </c>
      <c r="Z72" s="82" t="s">
        <v>63</v>
      </c>
      <c r="AA72" s="20">
        <v>6</v>
      </c>
      <c r="AB72" s="20">
        <v>0</v>
      </c>
      <c r="AC72" s="21">
        <v>47</v>
      </c>
      <c r="AD72" s="21" t="s">
        <v>80</v>
      </c>
      <c r="AE72" s="21" t="s">
        <v>116</v>
      </c>
      <c r="AF72" s="21">
        <v>6.1</v>
      </c>
      <c r="AG72" s="21" t="s">
        <v>80</v>
      </c>
      <c r="AH72" s="21" t="s">
        <v>117</v>
      </c>
      <c r="AI72" s="21"/>
      <c r="AJ72" s="21"/>
      <c r="AK72" s="20">
        <v>66</v>
      </c>
      <c r="AL72" s="20" t="s">
        <v>81</v>
      </c>
      <c r="AM72" s="20" t="s">
        <v>118</v>
      </c>
      <c r="AN72" s="20">
        <v>4.5</v>
      </c>
      <c r="AO72" s="20" t="s">
        <v>81</v>
      </c>
      <c r="AP72" s="20" t="s">
        <v>117</v>
      </c>
      <c r="AQ72" s="20"/>
      <c r="AR72" s="20"/>
      <c r="AS72" s="21">
        <v>171</v>
      </c>
      <c r="AT72" s="21" t="s">
        <v>119</v>
      </c>
      <c r="AU72" s="21" t="s">
        <v>118</v>
      </c>
      <c r="AV72" s="21">
        <v>2.4</v>
      </c>
      <c r="AW72" s="21" t="s">
        <v>119</v>
      </c>
      <c r="AX72" s="21" t="s">
        <v>117</v>
      </c>
      <c r="AY72" s="21"/>
      <c r="AZ72" s="21"/>
      <c r="BA72" s="20"/>
      <c r="BB72" s="20"/>
      <c r="BC72" s="20"/>
      <c r="BD72" s="20"/>
      <c r="BE72" s="20"/>
      <c r="BF72" s="20"/>
      <c r="BG72" s="20"/>
      <c r="BH72" s="20"/>
      <c r="BI72" s="165">
        <v>1.76</v>
      </c>
      <c r="BJ72" s="165" t="s">
        <v>127</v>
      </c>
      <c r="BK72" s="165" t="s">
        <v>118</v>
      </c>
      <c r="BL72" s="165">
        <v>0.06</v>
      </c>
      <c r="BM72" s="165" t="s">
        <v>127</v>
      </c>
      <c r="BN72" s="165" t="s">
        <v>117</v>
      </c>
      <c r="BO72" s="165"/>
      <c r="BP72" s="165"/>
      <c r="BQ72" s="20" t="s">
        <v>121</v>
      </c>
      <c r="BR72" s="71"/>
      <c r="BS72" s="124">
        <v>70</v>
      </c>
      <c r="BT72" s="124"/>
    </row>
    <row r="73" spans="1:72" ht="14.25" hidden="1" customHeight="1" x14ac:dyDescent="0.2">
      <c r="A73" s="92">
        <v>71</v>
      </c>
      <c r="B73" s="234" t="s">
        <v>108</v>
      </c>
      <c r="C73" s="263" t="s">
        <v>109</v>
      </c>
      <c r="D73" s="234" t="s">
        <v>137</v>
      </c>
      <c r="E73" s="17" t="s">
        <v>111</v>
      </c>
      <c r="F73" s="18" t="s">
        <v>103</v>
      </c>
      <c r="G73" s="181" t="s">
        <v>56</v>
      </c>
      <c r="H73" s="18" t="s">
        <v>57</v>
      </c>
      <c r="I73" s="18"/>
      <c r="J73" s="138">
        <v>10</v>
      </c>
      <c r="K73" s="139">
        <f t="shared" si="0"/>
        <v>9.1350709999999999</v>
      </c>
      <c r="L73" s="139" t="s">
        <v>58</v>
      </c>
      <c r="M73" s="138" t="s">
        <v>59</v>
      </c>
      <c r="N73" s="138" t="s">
        <v>133</v>
      </c>
      <c r="O73" s="138" t="s">
        <v>60</v>
      </c>
      <c r="P73" s="138" t="s">
        <v>112</v>
      </c>
      <c r="Q73" s="176" t="s">
        <v>113</v>
      </c>
      <c r="R73" s="176" t="s">
        <v>114</v>
      </c>
      <c r="S73" s="176"/>
      <c r="T73" s="177">
        <v>120</v>
      </c>
      <c r="U73" s="177"/>
      <c r="V73" s="19" t="s">
        <v>62</v>
      </c>
      <c r="W73" s="75">
        <v>10</v>
      </c>
      <c r="X73" s="108">
        <v>4</v>
      </c>
      <c r="Y73" s="73" t="s">
        <v>115</v>
      </c>
      <c r="Z73" s="82" t="s">
        <v>63</v>
      </c>
      <c r="AA73" s="20">
        <v>6</v>
      </c>
      <c r="AB73" s="20">
        <v>2</v>
      </c>
      <c r="AC73" s="21">
        <v>53</v>
      </c>
      <c r="AD73" s="21" t="s">
        <v>80</v>
      </c>
      <c r="AE73" s="21" t="s">
        <v>116</v>
      </c>
      <c r="AF73" s="21">
        <v>6.1</v>
      </c>
      <c r="AG73" s="21" t="s">
        <v>80</v>
      </c>
      <c r="AH73" s="21" t="s">
        <v>117</v>
      </c>
      <c r="AI73" s="21"/>
      <c r="AJ73" s="21"/>
      <c r="AK73" s="20">
        <v>65</v>
      </c>
      <c r="AL73" s="20" t="s">
        <v>81</v>
      </c>
      <c r="AM73" s="20" t="s">
        <v>118</v>
      </c>
      <c r="AN73" s="20">
        <v>3.4</v>
      </c>
      <c r="AO73" s="20" t="s">
        <v>81</v>
      </c>
      <c r="AP73" s="20" t="s">
        <v>117</v>
      </c>
      <c r="AQ73" s="20"/>
      <c r="AR73" s="20"/>
      <c r="AS73" s="21">
        <v>167</v>
      </c>
      <c r="AT73" s="21" t="s">
        <v>119</v>
      </c>
      <c r="AU73" s="21" t="s">
        <v>118</v>
      </c>
      <c r="AV73" s="21">
        <v>3.7</v>
      </c>
      <c r="AW73" s="21" t="s">
        <v>119</v>
      </c>
      <c r="AX73" s="21" t="s">
        <v>117</v>
      </c>
      <c r="AY73" s="21"/>
      <c r="AZ73" s="21"/>
      <c r="BA73" s="20"/>
      <c r="BB73" s="20"/>
      <c r="BC73" s="20"/>
      <c r="BD73" s="20"/>
      <c r="BE73" s="20"/>
      <c r="BF73" s="20"/>
      <c r="BG73" s="20"/>
      <c r="BH73" s="20"/>
      <c r="BI73" s="165">
        <v>1.73</v>
      </c>
      <c r="BJ73" s="165" t="s">
        <v>129</v>
      </c>
      <c r="BK73" s="165" t="s">
        <v>118</v>
      </c>
      <c r="BL73" s="165">
        <v>0.06</v>
      </c>
      <c r="BM73" s="165" t="s">
        <v>129</v>
      </c>
      <c r="BN73" s="165" t="s">
        <v>117</v>
      </c>
      <c r="BO73" s="165"/>
      <c r="BP73" s="165"/>
      <c r="BQ73" s="20" t="s">
        <v>121</v>
      </c>
      <c r="BR73" s="71"/>
      <c r="BS73" s="124">
        <v>71</v>
      </c>
      <c r="BT73" s="124"/>
    </row>
    <row r="74" spans="1:72" ht="14.25" hidden="1" customHeight="1" x14ac:dyDescent="0.2">
      <c r="A74" s="92">
        <v>72</v>
      </c>
      <c r="B74" s="234" t="s">
        <v>108</v>
      </c>
      <c r="C74" s="263" t="s">
        <v>109</v>
      </c>
      <c r="D74" s="234" t="s">
        <v>138</v>
      </c>
      <c r="E74" s="17" t="s">
        <v>111</v>
      </c>
      <c r="F74" s="18" t="s">
        <v>103</v>
      </c>
      <c r="G74" s="181" t="s">
        <v>56</v>
      </c>
      <c r="H74" s="18" t="s">
        <v>57</v>
      </c>
      <c r="I74" s="18"/>
      <c r="J74" s="138">
        <v>10</v>
      </c>
      <c r="K74" s="139">
        <f t="shared" si="0"/>
        <v>9.1350709999999999</v>
      </c>
      <c r="L74" s="139" t="s">
        <v>58</v>
      </c>
      <c r="M74" s="138" t="s">
        <v>59</v>
      </c>
      <c r="N74" s="138" t="s">
        <v>133</v>
      </c>
      <c r="O74" s="138" t="s">
        <v>60</v>
      </c>
      <c r="P74" s="138" t="s">
        <v>112</v>
      </c>
      <c r="Q74" s="176" t="s">
        <v>113</v>
      </c>
      <c r="R74" s="176" t="s">
        <v>114</v>
      </c>
      <c r="S74" s="176"/>
      <c r="T74" s="177">
        <v>120</v>
      </c>
      <c r="U74" s="177"/>
      <c r="V74" s="19" t="s">
        <v>62</v>
      </c>
      <c r="W74" s="75">
        <v>10</v>
      </c>
      <c r="X74" s="108">
        <v>4</v>
      </c>
      <c r="Y74" s="73" t="s">
        <v>115</v>
      </c>
      <c r="Z74" s="82" t="s">
        <v>63</v>
      </c>
      <c r="AA74" s="20">
        <v>6</v>
      </c>
      <c r="AB74" s="20">
        <v>3</v>
      </c>
      <c r="AC74" s="21">
        <v>54</v>
      </c>
      <c r="AD74" s="21" t="s">
        <v>80</v>
      </c>
      <c r="AE74" s="21" t="s">
        <v>116</v>
      </c>
      <c r="AF74" s="21">
        <v>4.0999999999999996</v>
      </c>
      <c r="AG74" s="21" t="s">
        <v>80</v>
      </c>
      <c r="AH74" s="21" t="s">
        <v>117</v>
      </c>
      <c r="AI74" s="21"/>
      <c r="AJ74" s="21"/>
      <c r="AK74" s="20">
        <v>72</v>
      </c>
      <c r="AL74" s="20" t="s">
        <v>81</v>
      </c>
      <c r="AM74" s="20" t="s">
        <v>118</v>
      </c>
      <c r="AN74" s="20">
        <v>4.0999999999999996</v>
      </c>
      <c r="AO74" s="20" t="s">
        <v>81</v>
      </c>
      <c r="AP74" s="20" t="s">
        <v>117</v>
      </c>
      <c r="AQ74" s="20"/>
      <c r="AR74" s="20"/>
      <c r="AS74" s="21">
        <v>168</v>
      </c>
      <c r="AT74" s="21" t="s">
        <v>119</v>
      </c>
      <c r="AU74" s="21" t="s">
        <v>118</v>
      </c>
      <c r="AV74" s="21">
        <v>3.3</v>
      </c>
      <c r="AW74" s="21" t="s">
        <v>119</v>
      </c>
      <c r="AX74" s="21" t="s">
        <v>117</v>
      </c>
      <c r="AY74" s="21"/>
      <c r="AZ74" s="21"/>
      <c r="BA74" s="20"/>
      <c r="BB74" s="20"/>
      <c r="BC74" s="20"/>
      <c r="BD74" s="20"/>
      <c r="BE74" s="20"/>
      <c r="BF74" s="20"/>
      <c r="BG74" s="20"/>
      <c r="BH74" s="20"/>
      <c r="BI74" s="165">
        <v>1.82</v>
      </c>
      <c r="BJ74" s="165" t="s">
        <v>131</v>
      </c>
      <c r="BK74" s="165" t="s">
        <v>118</v>
      </c>
      <c r="BL74" s="165">
        <v>7.0000000000000007E-2</v>
      </c>
      <c r="BM74" s="165" t="s">
        <v>131</v>
      </c>
      <c r="BN74" s="165" t="s">
        <v>117</v>
      </c>
      <c r="BO74" s="165"/>
      <c r="BP74" s="165"/>
      <c r="BQ74" s="20" t="s">
        <v>121</v>
      </c>
      <c r="BR74" s="71"/>
      <c r="BS74" s="124">
        <v>72</v>
      </c>
      <c r="BT74" s="124"/>
    </row>
    <row r="75" spans="1:72" ht="14.25" hidden="1" customHeight="1" x14ac:dyDescent="0.2">
      <c r="A75" s="92">
        <v>73</v>
      </c>
      <c r="B75" s="234" t="s">
        <v>108</v>
      </c>
      <c r="C75" s="263" t="s">
        <v>109</v>
      </c>
      <c r="D75" s="234" t="s">
        <v>139</v>
      </c>
      <c r="E75" s="17" t="s">
        <v>111</v>
      </c>
      <c r="F75" s="18" t="s">
        <v>103</v>
      </c>
      <c r="G75" s="181" t="s">
        <v>56</v>
      </c>
      <c r="H75" s="18" t="s">
        <v>57</v>
      </c>
      <c r="I75" s="18"/>
      <c r="J75" s="138">
        <v>10</v>
      </c>
      <c r="K75" s="139">
        <f t="shared" si="0"/>
        <v>9.1350709999999999</v>
      </c>
      <c r="L75" s="139" t="s">
        <v>58</v>
      </c>
      <c r="M75" s="138" t="s">
        <v>59</v>
      </c>
      <c r="N75" s="138" t="s">
        <v>133</v>
      </c>
      <c r="O75" s="138" t="s">
        <v>60</v>
      </c>
      <c r="P75" s="138" t="s">
        <v>112</v>
      </c>
      <c r="Q75" s="176" t="s">
        <v>113</v>
      </c>
      <c r="R75" s="176" t="s">
        <v>114</v>
      </c>
      <c r="S75" s="176"/>
      <c r="T75" s="177">
        <v>120</v>
      </c>
      <c r="U75" s="177"/>
      <c r="V75" s="19" t="s">
        <v>62</v>
      </c>
      <c r="W75" s="75">
        <v>10</v>
      </c>
      <c r="X75" s="108">
        <v>4</v>
      </c>
      <c r="Y75" s="73" t="s">
        <v>115</v>
      </c>
      <c r="Z75" s="82" t="s">
        <v>63</v>
      </c>
      <c r="AA75" s="20">
        <v>12</v>
      </c>
      <c r="AB75" s="20">
        <v>6</v>
      </c>
      <c r="AC75" s="21">
        <v>34</v>
      </c>
      <c r="AD75" s="21" t="s">
        <v>80</v>
      </c>
      <c r="AE75" s="21" t="s">
        <v>116</v>
      </c>
      <c r="AF75" s="21">
        <v>2.6</v>
      </c>
      <c r="AG75" s="21" t="s">
        <v>80</v>
      </c>
      <c r="AH75" s="21" t="s">
        <v>117</v>
      </c>
      <c r="AI75" s="21"/>
      <c r="AJ75" s="21"/>
      <c r="AK75" s="20">
        <v>65</v>
      </c>
      <c r="AL75" s="20" t="s">
        <v>81</v>
      </c>
      <c r="AM75" s="20" t="s">
        <v>118</v>
      </c>
      <c r="AN75" s="20">
        <v>3.8</v>
      </c>
      <c r="AO75" s="20" t="s">
        <v>81</v>
      </c>
      <c r="AP75" s="20" t="s">
        <v>117</v>
      </c>
      <c r="AQ75" s="20"/>
      <c r="AR75" s="20"/>
      <c r="AS75" s="21">
        <v>174</v>
      </c>
      <c r="AT75" s="21" t="s">
        <v>119</v>
      </c>
      <c r="AU75" s="21" t="s">
        <v>118</v>
      </c>
      <c r="AV75" s="21">
        <v>2.9</v>
      </c>
      <c r="AW75" s="21" t="s">
        <v>119</v>
      </c>
      <c r="AX75" s="21" t="s">
        <v>117</v>
      </c>
      <c r="AY75" s="21"/>
      <c r="AZ75" s="21"/>
      <c r="BA75" s="20"/>
      <c r="BB75" s="20"/>
      <c r="BC75" s="20"/>
      <c r="BD75" s="20"/>
      <c r="BE75" s="20"/>
      <c r="BF75" s="20"/>
      <c r="BG75" s="20"/>
      <c r="BH75" s="20"/>
      <c r="BI75" s="165">
        <v>1.78</v>
      </c>
      <c r="BJ75" s="165" t="s">
        <v>120</v>
      </c>
      <c r="BK75" s="165" t="s">
        <v>118</v>
      </c>
      <c r="BL75" s="165">
        <v>0.06</v>
      </c>
      <c r="BM75" s="165" t="s">
        <v>120</v>
      </c>
      <c r="BN75" s="165" t="s">
        <v>117</v>
      </c>
      <c r="BO75" s="165"/>
      <c r="BP75" s="165"/>
      <c r="BQ75" s="20" t="s">
        <v>121</v>
      </c>
      <c r="BR75" s="71"/>
      <c r="BS75" s="124">
        <v>73</v>
      </c>
      <c r="BT75" s="124"/>
    </row>
    <row r="76" spans="1:72" ht="14.25" hidden="1" customHeight="1" x14ac:dyDescent="0.2">
      <c r="A76" s="92">
        <v>74</v>
      </c>
      <c r="B76" s="234" t="s">
        <v>108</v>
      </c>
      <c r="C76" s="263" t="s">
        <v>109</v>
      </c>
      <c r="D76" s="234" t="s">
        <v>140</v>
      </c>
      <c r="E76" s="17" t="s">
        <v>111</v>
      </c>
      <c r="F76" s="18" t="s">
        <v>103</v>
      </c>
      <c r="G76" s="181" t="s">
        <v>56</v>
      </c>
      <c r="H76" s="18" t="s">
        <v>57</v>
      </c>
      <c r="I76" s="18"/>
      <c r="J76" s="138">
        <v>10</v>
      </c>
      <c r="K76" s="139">
        <f t="shared" si="0"/>
        <v>9.1350709999999999</v>
      </c>
      <c r="L76" s="139" t="s">
        <v>58</v>
      </c>
      <c r="M76" s="138" t="s">
        <v>59</v>
      </c>
      <c r="N76" s="138" t="s">
        <v>141</v>
      </c>
      <c r="O76" s="138" t="s">
        <v>60</v>
      </c>
      <c r="P76" s="138" t="s">
        <v>112</v>
      </c>
      <c r="Q76" s="176" t="s">
        <v>113</v>
      </c>
      <c r="R76" s="176" t="s">
        <v>114</v>
      </c>
      <c r="S76" s="176"/>
      <c r="T76" s="177">
        <v>120</v>
      </c>
      <c r="U76" s="177"/>
      <c r="V76" s="19" t="s">
        <v>62</v>
      </c>
      <c r="W76" s="75">
        <v>10</v>
      </c>
      <c r="X76" s="108">
        <v>4</v>
      </c>
      <c r="Y76" s="73" t="s">
        <v>115</v>
      </c>
      <c r="Z76" s="82" t="s">
        <v>63</v>
      </c>
      <c r="AA76" s="20">
        <v>6</v>
      </c>
      <c r="AB76" s="20">
        <v>4</v>
      </c>
      <c r="AC76" s="21">
        <v>52</v>
      </c>
      <c r="AD76" s="21" t="s">
        <v>80</v>
      </c>
      <c r="AE76" s="21" t="s">
        <v>116</v>
      </c>
      <c r="AF76" s="21">
        <v>4.5</v>
      </c>
      <c r="AG76" s="21" t="s">
        <v>80</v>
      </c>
      <c r="AH76" s="21" t="s">
        <v>117</v>
      </c>
      <c r="AI76" s="21"/>
      <c r="AJ76" s="21"/>
      <c r="AK76" s="20">
        <v>66</v>
      </c>
      <c r="AL76" s="20" t="s">
        <v>81</v>
      </c>
      <c r="AM76" s="20" t="s">
        <v>118</v>
      </c>
      <c r="AN76" s="20">
        <v>4.9000000000000004</v>
      </c>
      <c r="AO76" s="20" t="s">
        <v>81</v>
      </c>
      <c r="AP76" s="20" t="s">
        <v>117</v>
      </c>
      <c r="AQ76" s="20"/>
      <c r="AR76" s="20"/>
      <c r="AS76" s="21">
        <v>161</v>
      </c>
      <c r="AT76" s="21" t="s">
        <v>119</v>
      </c>
      <c r="AU76" s="21" t="s">
        <v>118</v>
      </c>
      <c r="AV76" s="21">
        <v>1.6</v>
      </c>
      <c r="AW76" s="21" t="s">
        <v>119</v>
      </c>
      <c r="AX76" s="21" t="s">
        <v>117</v>
      </c>
      <c r="AY76" s="21"/>
      <c r="AZ76" s="21"/>
      <c r="BA76" s="20"/>
      <c r="BB76" s="20"/>
      <c r="BC76" s="20"/>
      <c r="BD76" s="20"/>
      <c r="BE76" s="20"/>
      <c r="BF76" s="20"/>
      <c r="BG76" s="20"/>
      <c r="BH76" s="20"/>
      <c r="BI76" s="165">
        <v>1.69</v>
      </c>
      <c r="BJ76" s="165" t="s">
        <v>123</v>
      </c>
      <c r="BK76" s="165" t="s">
        <v>118</v>
      </c>
      <c r="BL76" s="165">
        <v>0.05</v>
      </c>
      <c r="BM76" s="165" t="s">
        <v>123</v>
      </c>
      <c r="BN76" s="165" t="s">
        <v>117</v>
      </c>
      <c r="BO76" s="165"/>
      <c r="BP76" s="165"/>
      <c r="BQ76" s="20" t="s">
        <v>121</v>
      </c>
      <c r="BR76" s="71"/>
      <c r="BS76" s="124">
        <v>74</v>
      </c>
      <c r="BT76" s="124"/>
    </row>
    <row r="77" spans="1:72" ht="14.25" hidden="1" customHeight="1" x14ac:dyDescent="0.2">
      <c r="A77" s="92">
        <v>75</v>
      </c>
      <c r="B77" s="234" t="s">
        <v>108</v>
      </c>
      <c r="C77" s="263" t="s">
        <v>109</v>
      </c>
      <c r="D77" s="234" t="s">
        <v>142</v>
      </c>
      <c r="E77" s="17" t="s">
        <v>111</v>
      </c>
      <c r="F77" s="18" t="s">
        <v>103</v>
      </c>
      <c r="G77" s="181" t="s">
        <v>56</v>
      </c>
      <c r="H77" s="18" t="s">
        <v>57</v>
      </c>
      <c r="I77" s="18"/>
      <c r="J77" s="138">
        <v>10</v>
      </c>
      <c r="K77" s="139">
        <f t="shared" si="0"/>
        <v>9.1350709999999999</v>
      </c>
      <c r="L77" s="139" t="s">
        <v>58</v>
      </c>
      <c r="M77" s="138" t="s">
        <v>59</v>
      </c>
      <c r="N77" s="138" t="s">
        <v>141</v>
      </c>
      <c r="O77" s="138" t="s">
        <v>60</v>
      </c>
      <c r="P77" s="138" t="s">
        <v>112</v>
      </c>
      <c r="Q77" s="176" t="s">
        <v>113</v>
      </c>
      <c r="R77" s="176" t="s">
        <v>114</v>
      </c>
      <c r="S77" s="176"/>
      <c r="T77" s="177">
        <v>120</v>
      </c>
      <c r="U77" s="177"/>
      <c r="V77" s="19" t="s">
        <v>62</v>
      </c>
      <c r="W77" s="75">
        <v>10</v>
      </c>
      <c r="X77" s="108">
        <v>4</v>
      </c>
      <c r="Y77" s="73" t="s">
        <v>115</v>
      </c>
      <c r="Z77" s="82" t="s">
        <v>63</v>
      </c>
      <c r="AA77" s="20">
        <v>5</v>
      </c>
      <c r="AB77" s="20">
        <v>2</v>
      </c>
      <c r="AC77" s="21">
        <v>59</v>
      </c>
      <c r="AD77" s="21" t="s">
        <v>80</v>
      </c>
      <c r="AE77" s="21" t="s">
        <v>116</v>
      </c>
      <c r="AF77" s="21">
        <v>2.7</v>
      </c>
      <c r="AG77" s="21" t="s">
        <v>80</v>
      </c>
      <c r="AH77" s="21" t="s">
        <v>117</v>
      </c>
      <c r="AI77" s="21"/>
      <c r="AJ77" s="21"/>
      <c r="AK77" s="20">
        <v>67</v>
      </c>
      <c r="AL77" s="20" t="s">
        <v>81</v>
      </c>
      <c r="AM77" s="20" t="s">
        <v>118</v>
      </c>
      <c r="AN77" s="20">
        <v>4.5</v>
      </c>
      <c r="AO77" s="20" t="s">
        <v>81</v>
      </c>
      <c r="AP77" s="20" t="s">
        <v>117</v>
      </c>
      <c r="AQ77" s="20"/>
      <c r="AR77" s="20"/>
      <c r="AS77" s="21">
        <v>164</v>
      </c>
      <c r="AT77" s="21" t="s">
        <v>119</v>
      </c>
      <c r="AU77" s="21" t="s">
        <v>118</v>
      </c>
      <c r="AV77" s="21">
        <v>1.8</v>
      </c>
      <c r="AW77" s="21" t="s">
        <v>119</v>
      </c>
      <c r="AX77" s="21" t="s">
        <v>117</v>
      </c>
      <c r="AY77" s="21"/>
      <c r="AZ77" s="21"/>
      <c r="BA77" s="20"/>
      <c r="BB77" s="20"/>
      <c r="BC77" s="20"/>
      <c r="BD77" s="20"/>
      <c r="BE77" s="20"/>
      <c r="BF77" s="20"/>
      <c r="BG77" s="20"/>
      <c r="BH77" s="20"/>
      <c r="BI77" s="165">
        <v>1.73</v>
      </c>
      <c r="BJ77" s="165" t="s">
        <v>125</v>
      </c>
      <c r="BK77" s="165" t="s">
        <v>118</v>
      </c>
      <c r="BL77" s="165">
        <v>0.06</v>
      </c>
      <c r="BM77" s="165" t="s">
        <v>125</v>
      </c>
      <c r="BN77" s="165" t="s">
        <v>117</v>
      </c>
      <c r="BO77" s="165"/>
      <c r="BP77" s="165"/>
      <c r="BQ77" s="20" t="s">
        <v>121</v>
      </c>
      <c r="BR77" s="71"/>
      <c r="BS77" s="124">
        <v>75</v>
      </c>
      <c r="BT77" s="124"/>
    </row>
    <row r="78" spans="1:72" ht="14.25" hidden="1" customHeight="1" x14ac:dyDescent="0.2">
      <c r="A78" s="92">
        <v>76</v>
      </c>
      <c r="B78" s="234" t="s">
        <v>108</v>
      </c>
      <c r="C78" s="263" t="s">
        <v>109</v>
      </c>
      <c r="D78" s="234" t="s">
        <v>143</v>
      </c>
      <c r="E78" s="17" t="s">
        <v>111</v>
      </c>
      <c r="F78" s="18" t="s">
        <v>103</v>
      </c>
      <c r="G78" s="181" t="s">
        <v>56</v>
      </c>
      <c r="H78" s="18" t="s">
        <v>57</v>
      </c>
      <c r="I78" s="18"/>
      <c r="J78" s="138">
        <v>10</v>
      </c>
      <c r="K78" s="139">
        <f t="shared" si="0"/>
        <v>9.1350709999999999</v>
      </c>
      <c r="L78" s="139" t="s">
        <v>58</v>
      </c>
      <c r="M78" s="138" t="s">
        <v>59</v>
      </c>
      <c r="N78" s="138" t="s">
        <v>141</v>
      </c>
      <c r="O78" s="138" t="s">
        <v>60</v>
      </c>
      <c r="P78" s="138" t="s">
        <v>112</v>
      </c>
      <c r="Q78" s="176" t="s">
        <v>113</v>
      </c>
      <c r="R78" s="176" t="s">
        <v>114</v>
      </c>
      <c r="S78" s="176"/>
      <c r="T78" s="177">
        <v>120</v>
      </c>
      <c r="U78" s="177"/>
      <c r="V78" s="19" t="s">
        <v>62</v>
      </c>
      <c r="W78" s="75">
        <v>10</v>
      </c>
      <c r="X78" s="108">
        <v>4</v>
      </c>
      <c r="Y78" s="73" t="s">
        <v>115</v>
      </c>
      <c r="Z78" s="82" t="s">
        <v>63</v>
      </c>
      <c r="AA78" s="20">
        <v>6</v>
      </c>
      <c r="AB78" s="20">
        <v>0</v>
      </c>
      <c r="AC78" s="21">
        <v>47</v>
      </c>
      <c r="AD78" s="21" t="s">
        <v>80</v>
      </c>
      <c r="AE78" s="21" t="s">
        <v>116</v>
      </c>
      <c r="AF78" s="21">
        <v>6.1</v>
      </c>
      <c r="AG78" s="21" t="s">
        <v>80</v>
      </c>
      <c r="AH78" s="21" t="s">
        <v>117</v>
      </c>
      <c r="AI78" s="21"/>
      <c r="AJ78" s="21"/>
      <c r="AK78" s="20">
        <v>66</v>
      </c>
      <c r="AL78" s="20" t="s">
        <v>81</v>
      </c>
      <c r="AM78" s="20" t="s">
        <v>118</v>
      </c>
      <c r="AN78" s="20">
        <v>4.5</v>
      </c>
      <c r="AO78" s="20" t="s">
        <v>81</v>
      </c>
      <c r="AP78" s="20" t="s">
        <v>117</v>
      </c>
      <c r="AQ78" s="20"/>
      <c r="AR78" s="20"/>
      <c r="AS78" s="21">
        <v>171</v>
      </c>
      <c r="AT78" s="21" t="s">
        <v>119</v>
      </c>
      <c r="AU78" s="21" t="s">
        <v>118</v>
      </c>
      <c r="AV78" s="21">
        <v>2.4</v>
      </c>
      <c r="AW78" s="21" t="s">
        <v>119</v>
      </c>
      <c r="AX78" s="21" t="s">
        <v>117</v>
      </c>
      <c r="AY78" s="21"/>
      <c r="AZ78" s="21"/>
      <c r="BA78" s="20"/>
      <c r="BB78" s="20"/>
      <c r="BC78" s="20"/>
      <c r="BD78" s="20"/>
      <c r="BE78" s="20"/>
      <c r="BF78" s="20"/>
      <c r="BG78" s="20"/>
      <c r="BH78" s="20"/>
      <c r="BI78" s="165">
        <v>1.76</v>
      </c>
      <c r="BJ78" s="165" t="s">
        <v>127</v>
      </c>
      <c r="BK78" s="165" t="s">
        <v>118</v>
      </c>
      <c r="BL78" s="165">
        <v>0.06</v>
      </c>
      <c r="BM78" s="165" t="s">
        <v>127</v>
      </c>
      <c r="BN78" s="165" t="s">
        <v>117</v>
      </c>
      <c r="BO78" s="165"/>
      <c r="BP78" s="165"/>
      <c r="BQ78" s="20" t="s">
        <v>121</v>
      </c>
      <c r="BR78" s="71"/>
      <c r="BS78" s="124">
        <v>76</v>
      </c>
      <c r="BT78" s="124"/>
    </row>
    <row r="79" spans="1:72" ht="14.25" hidden="1" customHeight="1" x14ac:dyDescent="0.2">
      <c r="A79" s="92">
        <v>77</v>
      </c>
      <c r="B79" s="234" t="s">
        <v>108</v>
      </c>
      <c r="C79" s="263" t="s">
        <v>109</v>
      </c>
      <c r="D79" s="234" t="s">
        <v>144</v>
      </c>
      <c r="E79" s="17" t="s">
        <v>111</v>
      </c>
      <c r="F79" s="18" t="s">
        <v>103</v>
      </c>
      <c r="G79" s="181" t="s">
        <v>56</v>
      </c>
      <c r="H79" s="18" t="s">
        <v>57</v>
      </c>
      <c r="I79" s="18"/>
      <c r="J79" s="138">
        <v>10</v>
      </c>
      <c r="K79" s="139">
        <f t="shared" si="0"/>
        <v>9.1350709999999999</v>
      </c>
      <c r="L79" s="139" t="s">
        <v>58</v>
      </c>
      <c r="M79" s="138" t="s">
        <v>59</v>
      </c>
      <c r="N79" s="138" t="s">
        <v>141</v>
      </c>
      <c r="O79" s="138" t="s">
        <v>60</v>
      </c>
      <c r="P79" s="138" t="s">
        <v>112</v>
      </c>
      <c r="Q79" s="176" t="s">
        <v>113</v>
      </c>
      <c r="R79" s="176" t="s">
        <v>114</v>
      </c>
      <c r="S79" s="176"/>
      <c r="T79" s="177">
        <v>120</v>
      </c>
      <c r="U79" s="177"/>
      <c r="V79" s="19" t="s">
        <v>62</v>
      </c>
      <c r="W79" s="75">
        <v>10</v>
      </c>
      <c r="X79" s="108">
        <v>4</v>
      </c>
      <c r="Y79" s="73" t="s">
        <v>115</v>
      </c>
      <c r="Z79" s="82" t="s">
        <v>63</v>
      </c>
      <c r="AA79" s="20">
        <v>6</v>
      </c>
      <c r="AB79" s="20">
        <v>2</v>
      </c>
      <c r="AC79" s="21">
        <v>53</v>
      </c>
      <c r="AD79" s="21" t="s">
        <v>80</v>
      </c>
      <c r="AE79" s="21" t="s">
        <v>116</v>
      </c>
      <c r="AF79" s="21">
        <v>6.1</v>
      </c>
      <c r="AG79" s="21" t="s">
        <v>80</v>
      </c>
      <c r="AH79" s="21" t="s">
        <v>117</v>
      </c>
      <c r="AI79" s="21"/>
      <c r="AJ79" s="21"/>
      <c r="AK79" s="20">
        <v>65</v>
      </c>
      <c r="AL79" s="20" t="s">
        <v>81</v>
      </c>
      <c r="AM79" s="20" t="s">
        <v>118</v>
      </c>
      <c r="AN79" s="20">
        <v>3.4</v>
      </c>
      <c r="AO79" s="20" t="s">
        <v>81</v>
      </c>
      <c r="AP79" s="20" t="s">
        <v>117</v>
      </c>
      <c r="AQ79" s="20"/>
      <c r="AR79" s="20"/>
      <c r="AS79" s="21">
        <v>167</v>
      </c>
      <c r="AT79" s="21" t="s">
        <v>119</v>
      </c>
      <c r="AU79" s="21" t="s">
        <v>118</v>
      </c>
      <c r="AV79" s="21">
        <v>3.7</v>
      </c>
      <c r="AW79" s="21" t="s">
        <v>119</v>
      </c>
      <c r="AX79" s="21" t="s">
        <v>117</v>
      </c>
      <c r="AY79" s="21"/>
      <c r="AZ79" s="21"/>
      <c r="BA79" s="20"/>
      <c r="BB79" s="20"/>
      <c r="BC79" s="20"/>
      <c r="BD79" s="20"/>
      <c r="BE79" s="20"/>
      <c r="BF79" s="20"/>
      <c r="BG79" s="20"/>
      <c r="BH79" s="20"/>
      <c r="BI79" s="165">
        <v>1.73</v>
      </c>
      <c r="BJ79" s="165" t="s">
        <v>129</v>
      </c>
      <c r="BK79" s="165" t="s">
        <v>118</v>
      </c>
      <c r="BL79" s="165">
        <v>0.06</v>
      </c>
      <c r="BM79" s="165" t="s">
        <v>129</v>
      </c>
      <c r="BN79" s="165" t="s">
        <v>117</v>
      </c>
      <c r="BO79" s="165"/>
      <c r="BP79" s="165"/>
      <c r="BQ79" s="20" t="s">
        <v>121</v>
      </c>
      <c r="BR79" s="71"/>
      <c r="BS79" s="124">
        <v>77</v>
      </c>
      <c r="BT79" s="124"/>
    </row>
    <row r="80" spans="1:72" ht="14.25" hidden="1" customHeight="1" x14ac:dyDescent="0.2">
      <c r="A80" s="92">
        <v>78</v>
      </c>
      <c r="B80" s="234" t="s">
        <v>108</v>
      </c>
      <c r="C80" s="263" t="s">
        <v>109</v>
      </c>
      <c r="D80" s="234" t="s">
        <v>145</v>
      </c>
      <c r="E80" s="17" t="s">
        <v>111</v>
      </c>
      <c r="F80" s="18" t="s">
        <v>103</v>
      </c>
      <c r="G80" s="181" t="s">
        <v>56</v>
      </c>
      <c r="H80" s="18" t="s">
        <v>57</v>
      </c>
      <c r="I80" s="18"/>
      <c r="J80" s="138">
        <v>10</v>
      </c>
      <c r="K80" s="139">
        <f t="shared" si="0"/>
        <v>9.1350709999999999</v>
      </c>
      <c r="L80" s="139" t="s">
        <v>58</v>
      </c>
      <c r="M80" s="138" t="s">
        <v>59</v>
      </c>
      <c r="N80" s="138" t="s">
        <v>141</v>
      </c>
      <c r="O80" s="138" t="s">
        <v>60</v>
      </c>
      <c r="P80" s="138" t="s">
        <v>112</v>
      </c>
      <c r="Q80" s="176" t="s">
        <v>113</v>
      </c>
      <c r="R80" s="176" t="s">
        <v>114</v>
      </c>
      <c r="S80" s="176"/>
      <c r="T80" s="177">
        <v>120</v>
      </c>
      <c r="U80" s="177"/>
      <c r="V80" s="19" t="s">
        <v>62</v>
      </c>
      <c r="W80" s="75">
        <v>10</v>
      </c>
      <c r="X80" s="108">
        <v>4</v>
      </c>
      <c r="Y80" s="73" t="s">
        <v>115</v>
      </c>
      <c r="Z80" s="82" t="s">
        <v>63</v>
      </c>
      <c r="AA80" s="20">
        <v>6</v>
      </c>
      <c r="AB80" s="20">
        <v>3</v>
      </c>
      <c r="AC80" s="21">
        <v>54</v>
      </c>
      <c r="AD80" s="21" t="s">
        <v>80</v>
      </c>
      <c r="AE80" s="21" t="s">
        <v>116</v>
      </c>
      <c r="AF80" s="21">
        <v>4.0999999999999996</v>
      </c>
      <c r="AG80" s="21" t="s">
        <v>80</v>
      </c>
      <c r="AH80" s="21" t="s">
        <v>117</v>
      </c>
      <c r="AI80" s="21"/>
      <c r="AJ80" s="21"/>
      <c r="AK80" s="20">
        <v>72</v>
      </c>
      <c r="AL80" s="20" t="s">
        <v>81</v>
      </c>
      <c r="AM80" s="20" t="s">
        <v>118</v>
      </c>
      <c r="AN80" s="20">
        <v>4.0999999999999996</v>
      </c>
      <c r="AO80" s="20" t="s">
        <v>81</v>
      </c>
      <c r="AP80" s="20" t="s">
        <v>117</v>
      </c>
      <c r="AQ80" s="20"/>
      <c r="AR80" s="20"/>
      <c r="AS80" s="21">
        <v>168</v>
      </c>
      <c r="AT80" s="21" t="s">
        <v>119</v>
      </c>
      <c r="AU80" s="21" t="s">
        <v>118</v>
      </c>
      <c r="AV80" s="21">
        <v>3.3</v>
      </c>
      <c r="AW80" s="21" t="s">
        <v>119</v>
      </c>
      <c r="AX80" s="21" t="s">
        <v>117</v>
      </c>
      <c r="AY80" s="21"/>
      <c r="AZ80" s="21"/>
      <c r="BA80" s="20"/>
      <c r="BB80" s="20"/>
      <c r="BC80" s="20"/>
      <c r="BD80" s="20"/>
      <c r="BE80" s="20"/>
      <c r="BF80" s="20"/>
      <c r="BG80" s="20"/>
      <c r="BH80" s="20"/>
      <c r="BI80" s="165">
        <v>1.82</v>
      </c>
      <c r="BJ80" s="165" t="s">
        <v>131</v>
      </c>
      <c r="BK80" s="165" t="s">
        <v>118</v>
      </c>
      <c r="BL80" s="165">
        <v>7.0000000000000007E-2</v>
      </c>
      <c r="BM80" s="165" t="s">
        <v>131</v>
      </c>
      <c r="BN80" s="165" t="s">
        <v>117</v>
      </c>
      <c r="BO80" s="165"/>
      <c r="BP80" s="165"/>
      <c r="BQ80" s="20" t="s">
        <v>121</v>
      </c>
      <c r="BR80" s="71"/>
      <c r="BS80" s="124">
        <v>78</v>
      </c>
      <c r="BT80" s="124"/>
    </row>
    <row r="81" spans="1:72" ht="14.25" hidden="1" customHeight="1" x14ac:dyDescent="0.2">
      <c r="A81" s="92">
        <v>79</v>
      </c>
      <c r="B81" s="233" t="s">
        <v>146</v>
      </c>
      <c r="C81" s="263" t="s">
        <v>147</v>
      </c>
      <c r="D81" s="233" t="s">
        <v>148</v>
      </c>
      <c r="E81" s="125" t="s">
        <v>149</v>
      </c>
      <c r="F81" s="181" t="s">
        <v>103</v>
      </c>
      <c r="G81" s="181" t="s">
        <v>56</v>
      </c>
      <c r="H81" s="181" t="s">
        <v>57</v>
      </c>
      <c r="I81" s="181"/>
      <c r="J81" s="178">
        <v>200</v>
      </c>
      <c r="K81" s="182"/>
      <c r="L81" s="182" t="s">
        <v>58</v>
      </c>
      <c r="M81" s="178" t="s">
        <v>59</v>
      </c>
      <c r="N81" s="178">
        <v>0</v>
      </c>
      <c r="O81" s="178" t="s">
        <v>60</v>
      </c>
      <c r="P81" s="178" t="s">
        <v>79</v>
      </c>
      <c r="Q81" s="179"/>
      <c r="R81" s="179" t="s">
        <v>150</v>
      </c>
      <c r="S81" s="180"/>
      <c r="T81" s="179">
        <v>200</v>
      </c>
      <c r="U81" s="179" t="s">
        <v>151</v>
      </c>
      <c r="V81" s="167" t="s">
        <v>62</v>
      </c>
      <c r="W81" s="168"/>
      <c r="Y81" s="167"/>
      <c r="Z81" s="82" t="s">
        <v>63</v>
      </c>
      <c r="AA81" s="166">
        <v>28</v>
      </c>
      <c r="AB81" s="166">
        <v>0</v>
      </c>
      <c r="AC81" s="165">
        <v>23</v>
      </c>
      <c r="AD81" s="165" t="s">
        <v>80</v>
      </c>
      <c r="AE81" s="165" t="s">
        <v>116</v>
      </c>
      <c r="AF81" s="165"/>
      <c r="AG81" s="165"/>
      <c r="AH81" s="165"/>
      <c r="AI81" s="165">
        <v>20</v>
      </c>
      <c r="AJ81" s="165">
        <v>32</v>
      </c>
      <c r="AK81" s="166">
        <v>70.900000000000006</v>
      </c>
      <c r="AL81" s="166" t="s">
        <v>81</v>
      </c>
      <c r="AM81" s="166" t="s">
        <v>118</v>
      </c>
      <c r="AN81" s="166"/>
      <c r="AO81" s="166"/>
      <c r="AP81" s="166"/>
      <c r="AQ81" s="166">
        <v>56.8</v>
      </c>
      <c r="AR81" s="166">
        <v>89.5</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c r="BR81" s="165"/>
      <c r="BS81" s="124">
        <v>79</v>
      </c>
      <c r="BT81" s="124"/>
    </row>
    <row r="82" spans="1:72" ht="14.25" hidden="1" customHeight="1" x14ac:dyDescent="0.2">
      <c r="A82" s="92">
        <v>80</v>
      </c>
      <c r="B82" s="233" t="s">
        <v>146</v>
      </c>
      <c r="C82" s="263" t="s">
        <v>147</v>
      </c>
      <c r="D82" s="233" t="s">
        <v>148</v>
      </c>
      <c r="E82" s="125" t="s">
        <v>152</v>
      </c>
      <c r="F82" s="181" t="s">
        <v>103</v>
      </c>
      <c r="G82" s="181" t="s">
        <v>56</v>
      </c>
      <c r="H82" s="181" t="s">
        <v>66</v>
      </c>
      <c r="I82" s="181"/>
      <c r="J82" s="178">
        <v>200</v>
      </c>
      <c r="K82" s="182"/>
      <c r="L82" s="182" t="s">
        <v>58</v>
      </c>
      <c r="M82" s="178" t="s">
        <v>59</v>
      </c>
      <c r="N82" s="178">
        <v>0</v>
      </c>
      <c r="O82" s="178" t="s">
        <v>60</v>
      </c>
      <c r="P82" s="178" t="s">
        <v>79</v>
      </c>
      <c r="Q82" s="179"/>
      <c r="R82" s="179" t="s">
        <v>150</v>
      </c>
      <c r="S82" s="180"/>
      <c r="T82" s="179">
        <v>200</v>
      </c>
      <c r="U82" s="179" t="s">
        <v>151</v>
      </c>
      <c r="V82" s="167" t="s">
        <v>62</v>
      </c>
      <c r="W82" s="168"/>
      <c r="Y82" s="167"/>
      <c r="Z82" s="82" t="s">
        <v>63</v>
      </c>
      <c r="AA82" s="166">
        <v>28</v>
      </c>
      <c r="AB82" s="166">
        <v>0</v>
      </c>
      <c r="AC82" s="165">
        <v>23</v>
      </c>
      <c r="AD82" s="165" t="s">
        <v>80</v>
      </c>
      <c r="AE82" s="165" t="s">
        <v>116</v>
      </c>
      <c r="AF82" s="165"/>
      <c r="AG82" s="165"/>
      <c r="AH82" s="165"/>
      <c r="AI82" s="165">
        <v>20</v>
      </c>
      <c r="AJ82" s="165">
        <v>32</v>
      </c>
      <c r="AK82" s="166">
        <v>70.900000000000006</v>
      </c>
      <c r="AL82" s="166" t="s">
        <v>81</v>
      </c>
      <c r="AM82" s="166" t="s">
        <v>118</v>
      </c>
      <c r="AN82" s="166"/>
      <c r="AO82" s="166"/>
      <c r="AP82" s="166"/>
      <c r="AQ82" s="166">
        <v>56.8</v>
      </c>
      <c r="AR82" s="166">
        <v>89.5</v>
      </c>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c r="BR82" s="165"/>
      <c r="BS82" s="124">
        <v>80</v>
      </c>
      <c r="BT82" s="124"/>
    </row>
    <row r="83" spans="1:72" ht="14.25" hidden="1" customHeight="1" x14ac:dyDescent="0.2">
      <c r="A83" s="92">
        <v>81</v>
      </c>
      <c r="B83" s="233" t="s">
        <v>146</v>
      </c>
      <c r="C83" s="263" t="s">
        <v>147</v>
      </c>
      <c r="D83" s="233" t="s">
        <v>153</v>
      </c>
      <c r="E83" s="125" t="s">
        <v>149</v>
      </c>
      <c r="F83" s="181" t="s">
        <v>103</v>
      </c>
      <c r="G83" s="181" t="s">
        <v>56</v>
      </c>
      <c r="H83" s="181" t="s">
        <v>57</v>
      </c>
      <c r="I83" s="181"/>
      <c r="J83" s="178">
        <v>200</v>
      </c>
      <c r="K83" s="182"/>
      <c r="L83" s="182" t="s">
        <v>58</v>
      </c>
      <c r="M83" s="178" t="s">
        <v>59</v>
      </c>
      <c r="N83" s="178">
        <v>0</v>
      </c>
      <c r="O83" s="178" t="s">
        <v>60</v>
      </c>
      <c r="P83" s="178" t="s">
        <v>79</v>
      </c>
      <c r="Q83" s="179"/>
      <c r="R83" s="179" t="s">
        <v>150</v>
      </c>
      <c r="S83" s="180"/>
      <c r="T83" s="179">
        <v>200</v>
      </c>
      <c r="U83" s="179" t="s">
        <v>151</v>
      </c>
      <c r="V83" s="167" t="s">
        <v>154</v>
      </c>
      <c r="W83" s="168">
        <v>0</v>
      </c>
      <c r="Y83" s="167" t="s">
        <v>155</v>
      </c>
      <c r="Z83" s="82" t="s">
        <v>63</v>
      </c>
      <c r="AA83" s="166">
        <v>28</v>
      </c>
      <c r="AB83" s="166">
        <v>0</v>
      </c>
      <c r="AC83" s="165">
        <v>23</v>
      </c>
      <c r="AD83" s="165" t="s">
        <v>80</v>
      </c>
      <c r="AE83" s="165" t="s">
        <v>116</v>
      </c>
      <c r="AF83" s="165"/>
      <c r="AG83" s="165"/>
      <c r="AH83" s="165"/>
      <c r="AI83" s="165">
        <v>20</v>
      </c>
      <c r="AJ83" s="165">
        <v>32</v>
      </c>
      <c r="AK83" s="166">
        <v>70.900000000000006</v>
      </c>
      <c r="AL83" s="166" t="s">
        <v>81</v>
      </c>
      <c r="AM83" s="166" t="s">
        <v>118</v>
      </c>
      <c r="AN83" s="166"/>
      <c r="AO83" s="166"/>
      <c r="AP83" s="166"/>
      <c r="AQ83" s="166">
        <v>56.8</v>
      </c>
      <c r="AR83" s="166">
        <v>89.5</v>
      </c>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c r="BR83" s="165"/>
      <c r="BS83" s="124">
        <v>81</v>
      </c>
      <c r="BT83" s="124"/>
    </row>
    <row r="84" spans="1:72" ht="14.25" hidden="1" customHeight="1" x14ac:dyDescent="0.2">
      <c r="A84" s="92">
        <v>82</v>
      </c>
      <c r="B84" s="233" t="s">
        <v>146</v>
      </c>
      <c r="C84" s="263" t="s">
        <v>147</v>
      </c>
      <c r="D84" s="233" t="s">
        <v>153</v>
      </c>
      <c r="E84" s="125" t="s">
        <v>152</v>
      </c>
      <c r="F84" s="181" t="s">
        <v>103</v>
      </c>
      <c r="G84" s="181" t="s">
        <v>56</v>
      </c>
      <c r="H84" s="181" t="s">
        <v>66</v>
      </c>
      <c r="I84" s="181"/>
      <c r="J84" s="178">
        <v>200</v>
      </c>
      <c r="K84" s="182"/>
      <c r="L84" s="182" t="s">
        <v>58</v>
      </c>
      <c r="M84" s="178" t="s">
        <v>59</v>
      </c>
      <c r="N84" s="178">
        <v>0</v>
      </c>
      <c r="O84" s="178" t="s">
        <v>60</v>
      </c>
      <c r="P84" s="178" t="s">
        <v>79</v>
      </c>
      <c r="Q84" s="179"/>
      <c r="R84" s="179" t="s">
        <v>150</v>
      </c>
      <c r="S84" s="180"/>
      <c r="T84" s="179">
        <v>200</v>
      </c>
      <c r="U84" s="179" t="s">
        <v>151</v>
      </c>
      <c r="V84" s="167" t="s">
        <v>154</v>
      </c>
      <c r="W84" s="168">
        <v>0</v>
      </c>
      <c r="Y84" s="167" t="s">
        <v>155</v>
      </c>
      <c r="Z84" s="82" t="s">
        <v>63</v>
      </c>
      <c r="AA84" s="166">
        <v>28</v>
      </c>
      <c r="AB84" s="166">
        <v>0</v>
      </c>
      <c r="AC84" s="165">
        <v>23</v>
      </c>
      <c r="AD84" s="165" t="s">
        <v>80</v>
      </c>
      <c r="AE84" s="165" t="s">
        <v>116</v>
      </c>
      <c r="AF84" s="165"/>
      <c r="AG84" s="165"/>
      <c r="AH84" s="165"/>
      <c r="AI84" s="165">
        <v>20</v>
      </c>
      <c r="AJ84" s="165">
        <v>32</v>
      </c>
      <c r="AK84" s="166">
        <v>70.900000000000006</v>
      </c>
      <c r="AL84" s="166" t="s">
        <v>81</v>
      </c>
      <c r="AM84" s="166" t="s">
        <v>118</v>
      </c>
      <c r="AN84" s="166"/>
      <c r="AO84" s="166"/>
      <c r="AP84" s="166"/>
      <c r="AQ84" s="166">
        <v>56.8</v>
      </c>
      <c r="AR84" s="166">
        <v>89.5</v>
      </c>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c r="BR84" s="165"/>
      <c r="BS84" s="124">
        <v>82</v>
      </c>
      <c r="BT84" s="124"/>
    </row>
    <row r="85" spans="1:72" ht="14.25" hidden="1" customHeight="1" x14ac:dyDescent="0.2">
      <c r="A85" s="92">
        <v>83</v>
      </c>
      <c r="B85" s="233" t="s">
        <v>146</v>
      </c>
      <c r="C85" s="263" t="s">
        <v>147</v>
      </c>
      <c r="D85" s="233" t="s">
        <v>156</v>
      </c>
      <c r="E85" s="125" t="s">
        <v>149</v>
      </c>
      <c r="F85" s="181" t="s">
        <v>103</v>
      </c>
      <c r="G85" s="181" t="s">
        <v>56</v>
      </c>
      <c r="H85" s="181" t="s">
        <v>157</v>
      </c>
      <c r="I85" s="181"/>
      <c r="J85" s="178">
        <v>200</v>
      </c>
      <c r="K85" s="182"/>
      <c r="L85" s="182" t="s">
        <v>58</v>
      </c>
      <c r="M85" s="178" t="s">
        <v>59</v>
      </c>
      <c r="N85" s="138" t="s">
        <v>158</v>
      </c>
      <c r="O85" s="178" t="s">
        <v>60</v>
      </c>
      <c r="P85" s="178" t="s">
        <v>112</v>
      </c>
      <c r="Q85" s="179"/>
      <c r="R85" s="179" t="s">
        <v>150</v>
      </c>
      <c r="S85" s="180"/>
      <c r="T85" s="179">
        <v>200</v>
      </c>
      <c r="U85" s="179" t="s">
        <v>151</v>
      </c>
      <c r="V85" s="167" t="s">
        <v>154</v>
      </c>
      <c r="W85" s="168">
        <v>0</v>
      </c>
      <c r="Y85" s="167"/>
      <c r="Z85" s="82" t="s">
        <v>63</v>
      </c>
      <c r="AA85" s="166">
        <v>28</v>
      </c>
      <c r="AB85" s="166">
        <v>0</v>
      </c>
      <c r="AC85" s="165">
        <v>23</v>
      </c>
      <c r="AD85" s="165" t="s">
        <v>80</v>
      </c>
      <c r="AE85" s="165" t="s">
        <v>116</v>
      </c>
      <c r="AF85" s="165"/>
      <c r="AG85" s="165"/>
      <c r="AH85" s="165"/>
      <c r="AI85" s="165">
        <v>20</v>
      </c>
      <c r="AJ85" s="165">
        <v>32</v>
      </c>
      <c r="AK85" s="166">
        <v>70.900000000000006</v>
      </c>
      <c r="AL85" s="166" t="s">
        <v>81</v>
      </c>
      <c r="AM85" s="166" t="s">
        <v>118</v>
      </c>
      <c r="AN85" s="166"/>
      <c r="AO85" s="166"/>
      <c r="AP85" s="166"/>
      <c r="AQ85" s="166">
        <v>56.8</v>
      </c>
      <c r="AR85" s="166">
        <v>89.5</v>
      </c>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c r="BR85" s="165"/>
      <c r="BS85" s="124">
        <v>83</v>
      </c>
      <c r="BT85" s="124"/>
    </row>
    <row r="86" spans="1:72" ht="14.25" hidden="1" customHeight="1" x14ac:dyDescent="0.2">
      <c r="A86" s="92">
        <v>84</v>
      </c>
      <c r="B86" s="233" t="s">
        <v>146</v>
      </c>
      <c r="C86" s="263" t="s">
        <v>147</v>
      </c>
      <c r="D86" s="233" t="s">
        <v>156</v>
      </c>
      <c r="E86" s="125" t="s">
        <v>152</v>
      </c>
      <c r="F86" s="181" t="s">
        <v>103</v>
      </c>
      <c r="G86" s="181" t="s">
        <v>56</v>
      </c>
      <c r="H86" s="181" t="s">
        <v>157</v>
      </c>
      <c r="I86" s="181"/>
      <c r="J86" s="178">
        <v>200</v>
      </c>
      <c r="K86" s="182"/>
      <c r="L86" s="182" t="s">
        <v>58</v>
      </c>
      <c r="M86" s="178" t="s">
        <v>59</v>
      </c>
      <c r="N86" s="138" t="s">
        <v>158</v>
      </c>
      <c r="O86" s="178" t="s">
        <v>60</v>
      </c>
      <c r="P86" s="178" t="s">
        <v>112</v>
      </c>
      <c r="Q86" s="179"/>
      <c r="R86" s="179" t="s">
        <v>150</v>
      </c>
      <c r="S86" s="180"/>
      <c r="T86" s="179">
        <v>200</v>
      </c>
      <c r="U86" s="179" t="s">
        <v>151</v>
      </c>
      <c r="V86" s="167" t="s">
        <v>154</v>
      </c>
      <c r="W86" s="168">
        <v>0</v>
      </c>
      <c r="Y86" s="167"/>
      <c r="Z86" s="82" t="s">
        <v>63</v>
      </c>
      <c r="AA86" s="166">
        <v>28</v>
      </c>
      <c r="AB86" s="166">
        <v>0</v>
      </c>
      <c r="AC86" s="165">
        <v>23</v>
      </c>
      <c r="AD86" s="165" t="s">
        <v>80</v>
      </c>
      <c r="AE86" s="165" t="s">
        <v>116</v>
      </c>
      <c r="AF86" s="165"/>
      <c r="AG86" s="165"/>
      <c r="AH86" s="165"/>
      <c r="AI86" s="165">
        <v>20</v>
      </c>
      <c r="AJ86" s="165">
        <v>32</v>
      </c>
      <c r="AK86" s="166">
        <v>70.900000000000006</v>
      </c>
      <c r="AL86" s="166" t="s">
        <v>81</v>
      </c>
      <c r="AM86" s="166" t="s">
        <v>118</v>
      </c>
      <c r="AN86" s="166"/>
      <c r="AO86" s="166"/>
      <c r="AP86" s="166"/>
      <c r="AQ86" s="166">
        <v>56.8</v>
      </c>
      <c r="AR86" s="166">
        <v>89.5</v>
      </c>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c r="BR86" s="165"/>
      <c r="BS86" s="124">
        <v>84</v>
      </c>
      <c r="BT86" s="124"/>
    </row>
    <row r="87" spans="1:72" ht="14.25" hidden="1" customHeight="1" x14ac:dyDescent="0.2">
      <c r="A87" s="92">
        <v>85</v>
      </c>
      <c r="B87" s="233" t="s">
        <v>159</v>
      </c>
      <c r="C87" s="263" t="s">
        <v>160</v>
      </c>
      <c r="D87" s="233" t="s">
        <v>148</v>
      </c>
      <c r="E87" s="125" t="s">
        <v>149</v>
      </c>
      <c r="F87" s="181" t="s">
        <v>103</v>
      </c>
      <c r="G87" s="181" t="s">
        <v>56</v>
      </c>
      <c r="H87" s="181" t="s">
        <v>57</v>
      </c>
      <c r="I87" s="181"/>
      <c r="J87" s="178">
        <v>200</v>
      </c>
      <c r="K87" s="182"/>
      <c r="L87" s="182" t="s">
        <v>58</v>
      </c>
      <c r="M87" s="178" t="s">
        <v>59</v>
      </c>
      <c r="N87" s="178">
        <v>0</v>
      </c>
      <c r="O87" s="178" t="s">
        <v>60</v>
      </c>
      <c r="P87" s="178" t="s">
        <v>79</v>
      </c>
      <c r="Q87" s="179"/>
      <c r="R87" s="179" t="s">
        <v>161</v>
      </c>
      <c r="S87" s="180"/>
      <c r="T87" s="179">
        <v>200</v>
      </c>
      <c r="U87" s="179" t="s">
        <v>162</v>
      </c>
      <c r="V87" s="167" t="s">
        <v>62</v>
      </c>
      <c r="W87" s="168"/>
      <c r="X87" s="106">
        <v>4</v>
      </c>
      <c r="Y87" s="167" t="s">
        <v>163</v>
      </c>
      <c r="Z87" s="82" t="s">
        <v>63</v>
      </c>
      <c r="AA87" s="166">
        <v>27</v>
      </c>
      <c r="AB87" s="166">
        <v>0</v>
      </c>
      <c r="AC87" s="165"/>
      <c r="AD87" s="165" t="s">
        <v>80</v>
      </c>
      <c r="AE87" s="165"/>
      <c r="AF87" s="165"/>
      <c r="AG87" s="165"/>
      <c r="AH87" s="165"/>
      <c r="AI87" s="165">
        <v>18</v>
      </c>
      <c r="AJ87" s="165">
        <v>34</v>
      </c>
      <c r="AK87" s="166"/>
      <c r="AL87" s="166" t="s">
        <v>164</v>
      </c>
      <c r="AM87" s="166"/>
      <c r="AN87" s="166"/>
      <c r="AO87" s="166"/>
      <c r="AP87" s="166"/>
      <c r="AQ87" s="166">
        <v>134</v>
      </c>
      <c r="AR87" s="166">
        <v>206</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c r="BR87" s="165"/>
      <c r="BS87" s="124">
        <v>85</v>
      </c>
      <c r="BT87" s="124"/>
    </row>
    <row r="88" spans="1:72" ht="14.25" hidden="1" customHeight="1" x14ac:dyDescent="0.2">
      <c r="A88" s="92">
        <v>86</v>
      </c>
      <c r="B88" s="233" t="s">
        <v>159</v>
      </c>
      <c r="C88" s="263" t="s">
        <v>160</v>
      </c>
      <c r="D88" s="233" t="s">
        <v>148</v>
      </c>
      <c r="E88" s="125" t="s">
        <v>152</v>
      </c>
      <c r="F88" s="181" t="s">
        <v>103</v>
      </c>
      <c r="G88" s="181" t="s">
        <v>56</v>
      </c>
      <c r="H88" s="181" t="s">
        <v>66</v>
      </c>
      <c r="I88" s="181"/>
      <c r="J88" s="178">
        <v>200</v>
      </c>
      <c r="K88" s="182"/>
      <c r="L88" s="182" t="s">
        <v>58</v>
      </c>
      <c r="M88" s="178" t="s">
        <v>59</v>
      </c>
      <c r="N88" s="178">
        <v>0</v>
      </c>
      <c r="O88" s="178" t="s">
        <v>60</v>
      </c>
      <c r="P88" s="178" t="s">
        <v>79</v>
      </c>
      <c r="Q88" s="179"/>
      <c r="R88" s="179" t="s">
        <v>161</v>
      </c>
      <c r="S88" s="180"/>
      <c r="T88" s="179">
        <v>200</v>
      </c>
      <c r="U88" s="179" t="s">
        <v>162</v>
      </c>
      <c r="V88" s="167" t="s">
        <v>62</v>
      </c>
      <c r="W88" s="168"/>
      <c r="X88" s="106">
        <v>4</v>
      </c>
      <c r="Y88" s="167" t="s">
        <v>163</v>
      </c>
      <c r="Z88" s="82" t="s">
        <v>63</v>
      </c>
      <c r="AA88" s="166">
        <v>27</v>
      </c>
      <c r="AB88" s="166">
        <v>0</v>
      </c>
      <c r="AC88" s="165"/>
      <c r="AD88" s="165" t="s">
        <v>80</v>
      </c>
      <c r="AE88" s="165"/>
      <c r="AF88" s="165"/>
      <c r="AG88" s="165"/>
      <c r="AH88" s="165"/>
      <c r="AI88" s="165">
        <v>18</v>
      </c>
      <c r="AJ88" s="165">
        <v>34</v>
      </c>
      <c r="AK88" s="166"/>
      <c r="AL88" s="166" t="s">
        <v>164</v>
      </c>
      <c r="AM88" s="166"/>
      <c r="AN88" s="166"/>
      <c r="AO88" s="166"/>
      <c r="AP88" s="166"/>
      <c r="AQ88" s="166">
        <v>134</v>
      </c>
      <c r="AR88" s="166">
        <v>206</v>
      </c>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c r="BR88" s="165"/>
      <c r="BS88" s="124">
        <v>86</v>
      </c>
      <c r="BT88" s="124"/>
    </row>
    <row r="89" spans="1:72" ht="14.25" hidden="1" customHeight="1" x14ac:dyDescent="0.2">
      <c r="A89" s="92">
        <v>87</v>
      </c>
      <c r="B89" s="233" t="s">
        <v>159</v>
      </c>
      <c r="C89" s="263" t="s">
        <v>160</v>
      </c>
      <c r="D89" s="233" t="s">
        <v>165</v>
      </c>
      <c r="E89" s="125" t="s">
        <v>149</v>
      </c>
      <c r="F89" s="181" t="s">
        <v>103</v>
      </c>
      <c r="G89" s="181" t="s">
        <v>56</v>
      </c>
      <c r="H89" s="181" t="s">
        <v>157</v>
      </c>
      <c r="I89" s="181"/>
      <c r="J89" s="178">
        <v>200</v>
      </c>
      <c r="K89" s="182"/>
      <c r="L89" s="182" t="s">
        <v>58</v>
      </c>
      <c r="M89" s="178" t="s">
        <v>59</v>
      </c>
      <c r="N89" s="178" t="s">
        <v>166</v>
      </c>
      <c r="O89" s="178" t="s">
        <v>60</v>
      </c>
      <c r="P89" s="178" t="s">
        <v>167</v>
      </c>
      <c r="Q89" s="179"/>
      <c r="R89" s="179" t="s">
        <v>161</v>
      </c>
      <c r="S89" s="180"/>
      <c r="T89" s="179">
        <v>200</v>
      </c>
      <c r="U89" s="179" t="s">
        <v>162</v>
      </c>
      <c r="V89" s="167" t="s">
        <v>62</v>
      </c>
      <c r="W89" s="168"/>
      <c r="X89" s="106">
        <v>4</v>
      </c>
      <c r="Y89" s="167" t="s">
        <v>163</v>
      </c>
      <c r="Z89" s="82" t="s">
        <v>63</v>
      </c>
      <c r="AA89" s="166">
        <v>27</v>
      </c>
      <c r="AB89" s="166">
        <v>0</v>
      </c>
      <c r="AC89" s="165"/>
      <c r="AD89" s="165" t="s">
        <v>80</v>
      </c>
      <c r="AE89" s="165"/>
      <c r="AF89" s="165"/>
      <c r="AG89" s="165"/>
      <c r="AH89" s="165"/>
      <c r="AI89" s="165">
        <v>18</v>
      </c>
      <c r="AJ89" s="165">
        <v>34</v>
      </c>
      <c r="AK89" s="166"/>
      <c r="AL89" s="166" t="s">
        <v>164</v>
      </c>
      <c r="AM89" s="166"/>
      <c r="AN89" s="166"/>
      <c r="AO89" s="166"/>
      <c r="AP89" s="166"/>
      <c r="AQ89" s="166">
        <v>134</v>
      </c>
      <c r="AR89" s="166">
        <v>206</v>
      </c>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c r="BR89" s="165"/>
      <c r="BS89" s="124">
        <v>87</v>
      </c>
      <c r="BT89" s="124"/>
    </row>
    <row r="90" spans="1:72" ht="14.25" hidden="1" customHeight="1" x14ac:dyDescent="0.2">
      <c r="A90" s="92">
        <v>88</v>
      </c>
      <c r="B90" s="233" t="s">
        <v>159</v>
      </c>
      <c r="C90" s="263" t="s">
        <v>160</v>
      </c>
      <c r="D90" s="233" t="s">
        <v>165</v>
      </c>
      <c r="E90" s="125" t="s">
        <v>152</v>
      </c>
      <c r="F90" s="181" t="s">
        <v>103</v>
      </c>
      <c r="G90" s="181" t="s">
        <v>56</v>
      </c>
      <c r="H90" s="181" t="s">
        <v>168</v>
      </c>
      <c r="I90" s="181"/>
      <c r="J90" s="178">
        <v>200</v>
      </c>
      <c r="K90" s="182"/>
      <c r="L90" s="182" t="s">
        <v>58</v>
      </c>
      <c r="M90" s="178" t="s">
        <v>59</v>
      </c>
      <c r="N90" s="178" t="s">
        <v>166</v>
      </c>
      <c r="O90" s="178" t="s">
        <v>60</v>
      </c>
      <c r="P90" s="178" t="s">
        <v>167</v>
      </c>
      <c r="Q90" s="179"/>
      <c r="R90" s="179" t="s">
        <v>161</v>
      </c>
      <c r="S90" s="180"/>
      <c r="T90" s="179">
        <v>200</v>
      </c>
      <c r="U90" s="179" t="s">
        <v>162</v>
      </c>
      <c r="V90" s="167" t="s">
        <v>62</v>
      </c>
      <c r="W90" s="168"/>
      <c r="X90" s="106">
        <v>4</v>
      </c>
      <c r="Y90" s="167" t="s">
        <v>163</v>
      </c>
      <c r="Z90" s="82" t="s">
        <v>63</v>
      </c>
      <c r="AA90" s="166">
        <v>27</v>
      </c>
      <c r="AB90" s="166">
        <v>0</v>
      </c>
      <c r="AC90" s="165"/>
      <c r="AD90" s="165" t="s">
        <v>80</v>
      </c>
      <c r="AE90" s="165"/>
      <c r="AF90" s="165"/>
      <c r="AG90" s="165"/>
      <c r="AH90" s="165"/>
      <c r="AI90" s="165">
        <v>18</v>
      </c>
      <c r="AJ90" s="165">
        <v>34</v>
      </c>
      <c r="AK90" s="166"/>
      <c r="AL90" s="166" t="s">
        <v>164</v>
      </c>
      <c r="AM90" s="166"/>
      <c r="AN90" s="166"/>
      <c r="AO90" s="166"/>
      <c r="AP90" s="166"/>
      <c r="AQ90" s="166">
        <v>134</v>
      </c>
      <c r="AR90" s="166">
        <v>206</v>
      </c>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c r="BR90" s="165"/>
      <c r="BS90" s="124">
        <v>88</v>
      </c>
      <c r="BT90" s="124"/>
    </row>
    <row r="91" spans="1:72" ht="14.25" hidden="1" customHeight="1" x14ac:dyDescent="0.2">
      <c r="A91" s="92">
        <v>89</v>
      </c>
      <c r="B91" s="233" t="s">
        <v>159</v>
      </c>
      <c r="C91" s="263" t="s">
        <v>160</v>
      </c>
      <c r="D91" s="233" t="s">
        <v>153</v>
      </c>
      <c r="E91" s="125" t="s">
        <v>149</v>
      </c>
      <c r="F91" s="181" t="s">
        <v>103</v>
      </c>
      <c r="G91" s="181" t="s">
        <v>56</v>
      </c>
      <c r="H91" s="181" t="s">
        <v>57</v>
      </c>
      <c r="I91" s="181"/>
      <c r="J91" s="178">
        <v>200</v>
      </c>
      <c r="K91" s="182"/>
      <c r="L91" s="182" t="s">
        <v>58</v>
      </c>
      <c r="M91" s="178" t="s">
        <v>59</v>
      </c>
      <c r="N91" s="178">
        <v>0</v>
      </c>
      <c r="O91" s="178" t="s">
        <v>60</v>
      </c>
      <c r="P91" s="178" t="s">
        <v>79</v>
      </c>
      <c r="Q91" s="179"/>
      <c r="R91" s="179" t="s">
        <v>161</v>
      </c>
      <c r="S91" s="180"/>
      <c r="T91" s="179">
        <v>200</v>
      </c>
      <c r="U91" s="179" t="s">
        <v>162</v>
      </c>
      <c r="V91" s="167" t="s">
        <v>154</v>
      </c>
      <c r="W91" s="168">
        <v>0</v>
      </c>
      <c r="X91" s="106">
        <v>4</v>
      </c>
      <c r="Y91" s="167" t="s">
        <v>163</v>
      </c>
      <c r="Z91" s="82" t="s">
        <v>63</v>
      </c>
      <c r="AA91" s="166">
        <v>27</v>
      </c>
      <c r="AB91" s="166">
        <v>0</v>
      </c>
      <c r="AC91" s="165"/>
      <c r="AD91" s="165" t="s">
        <v>80</v>
      </c>
      <c r="AE91" s="165"/>
      <c r="AF91" s="165"/>
      <c r="AG91" s="165"/>
      <c r="AH91" s="165"/>
      <c r="AI91" s="165">
        <v>18</v>
      </c>
      <c r="AJ91" s="165">
        <v>34</v>
      </c>
      <c r="AK91" s="166"/>
      <c r="AL91" s="166" t="s">
        <v>164</v>
      </c>
      <c r="AM91" s="166"/>
      <c r="AN91" s="166"/>
      <c r="AO91" s="166"/>
      <c r="AP91" s="166"/>
      <c r="AQ91" s="166">
        <v>134</v>
      </c>
      <c r="AR91" s="166">
        <v>206</v>
      </c>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c r="BR91" s="165"/>
      <c r="BS91" s="124">
        <v>89</v>
      </c>
      <c r="BT91" s="124"/>
    </row>
    <row r="92" spans="1:72" ht="14.25" hidden="1" customHeight="1" x14ac:dyDescent="0.2">
      <c r="A92" s="92">
        <v>90</v>
      </c>
      <c r="B92" s="233" t="s">
        <v>159</v>
      </c>
      <c r="C92" s="263" t="s">
        <v>160</v>
      </c>
      <c r="D92" s="233" t="s">
        <v>153</v>
      </c>
      <c r="E92" s="125" t="s">
        <v>152</v>
      </c>
      <c r="F92" s="181" t="s">
        <v>103</v>
      </c>
      <c r="G92" s="181" t="s">
        <v>56</v>
      </c>
      <c r="H92" s="181" t="s">
        <v>66</v>
      </c>
      <c r="I92" s="181"/>
      <c r="J92" s="178">
        <v>200</v>
      </c>
      <c r="K92" s="182"/>
      <c r="L92" s="182" t="s">
        <v>58</v>
      </c>
      <c r="M92" s="178" t="s">
        <v>59</v>
      </c>
      <c r="N92" s="178">
        <v>0</v>
      </c>
      <c r="O92" s="178" t="s">
        <v>60</v>
      </c>
      <c r="P92" s="178" t="s">
        <v>79</v>
      </c>
      <c r="Q92" s="179"/>
      <c r="R92" s="179" t="s">
        <v>161</v>
      </c>
      <c r="S92" s="180"/>
      <c r="T92" s="179">
        <v>200</v>
      </c>
      <c r="U92" s="179" t="s">
        <v>162</v>
      </c>
      <c r="V92" s="167" t="s">
        <v>154</v>
      </c>
      <c r="W92" s="168">
        <v>0</v>
      </c>
      <c r="X92" s="106">
        <v>4</v>
      </c>
      <c r="Y92" s="167" t="s">
        <v>163</v>
      </c>
      <c r="Z92" s="82" t="s">
        <v>63</v>
      </c>
      <c r="AA92" s="166">
        <v>27</v>
      </c>
      <c r="AB92" s="166">
        <v>0</v>
      </c>
      <c r="AC92" s="165"/>
      <c r="AD92" s="165" t="s">
        <v>80</v>
      </c>
      <c r="AE92" s="165"/>
      <c r="AF92" s="165"/>
      <c r="AG92" s="165"/>
      <c r="AH92" s="165"/>
      <c r="AI92" s="165">
        <v>18</v>
      </c>
      <c r="AJ92" s="165">
        <v>34</v>
      </c>
      <c r="AK92" s="166"/>
      <c r="AL92" s="166" t="s">
        <v>164</v>
      </c>
      <c r="AM92" s="166"/>
      <c r="AN92" s="166"/>
      <c r="AO92" s="166"/>
      <c r="AP92" s="166"/>
      <c r="AQ92" s="166">
        <v>134</v>
      </c>
      <c r="AR92" s="166">
        <v>206</v>
      </c>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c r="BR92" s="165"/>
      <c r="BS92" s="124">
        <v>90</v>
      </c>
      <c r="BT92" s="124"/>
    </row>
    <row r="93" spans="1:72" ht="14.25" hidden="1" customHeight="1" x14ac:dyDescent="0.2">
      <c r="A93" s="92">
        <v>91</v>
      </c>
      <c r="B93" s="233" t="s">
        <v>159</v>
      </c>
      <c r="C93" s="263" t="s">
        <v>160</v>
      </c>
      <c r="D93" s="233" t="s">
        <v>156</v>
      </c>
      <c r="E93" s="125" t="s">
        <v>149</v>
      </c>
      <c r="F93" s="181" t="s">
        <v>103</v>
      </c>
      <c r="G93" s="181" t="s">
        <v>56</v>
      </c>
      <c r="H93" s="181" t="s">
        <v>157</v>
      </c>
      <c r="I93" s="181"/>
      <c r="J93" s="178">
        <v>200</v>
      </c>
      <c r="K93" s="182"/>
      <c r="L93" s="182" t="s">
        <v>58</v>
      </c>
      <c r="M93" s="178" t="s">
        <v>59</v>
      </c>
      <c r="N93" s="178" t="s">
        <v>166</v>
      </c>
      <c r="O93" s="178" t="s">
        <v>60</v>
      </c>
      <c r="P93" s="178" t="s">
        <v>167</v>
      </c>
      <c r="Q93" s="179"/>
      <c r="R93" s="179" t="s">
        <v>161</v>
      </c>
      <c r="S93" s="180"/>
      <c r="T93" s="179">
        <v>200</v>
      </c>
      <c r="U93" s="179" t="s">
        <v>162</v>
      </c>
      <c r="V93" s="167" t="s">
        <v>154</v>
      </c>
      <c r="W93" s="168">
        <v>0</v>
      </c>
      <c r="X93" s="106">
        <v>4</v>
      </c>
      <c r="Y93" s="167" t="s">
        <v>163</v>
      </c>
      <c r="Z93" s="82" t="s">
        <v>63</v>
      </c>
      <c r="AA93" s="166">
        <v>27</v>
      </c>
      <c r="AB93" s="166">
        <v>0</v>
      </c>
      <c r="AC93" s="165"/>
      <c r="AD93" s="165" t="s">
        <v>80</v>
      </c>
      <c r="AE93" s="165"/>
      <c r="AF93" s="165"/>
      <c r="AG93" s="165"/>
      <c r="AH93" s="165"/>
      <c r="AI93" s="165">
        <v>18</v>
      </c>
      <c r="AJ93" s="165">
        <v>34</v>
      </c>
      <c r="AK93" s="166"/>
      <c r="AL93" s="166" t="s">
        <v>164</v>
      </c>
      <c r="AM93" s="166"/>
      <c r="AN93" s="166"/>
      <c r="AO93" s="166"/>
      <c r="AP93" s="166"/>
      <c r="AQ93" s="166">
        <v>134</v>
      </c>
      <c r="AR93" s="166">
        <v>206</v>
      </c>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c r="BR93" s="165"/>
      <c r="BS93" s="124">
        <v>91</v>
      </c>
      <c r="BT93" s="124"/>
    </row>
    <row r="94" spans="1:72" ht="14.25" hidden="1" customHeight="1" x14ac:dyDescent="0.2">
      <c r="A94" s="92">
        <v>92</v>
      </c>
      <c r="B94" s="233" t="s">
        <v>159</v>
      </c>
      <c r="C94" s="263" t="s">
        <v>160</v>
      </c>
      <c r="D94" s="233" t="s">
        <v>156</v>
      </c>
      <c r="E94" s="125" t="s">
        <v>152</v>
      </c>
      <c r="F94" s="181" t="s">
        <v>103</v>
      </c>
      <c r="G94" s="181" t="s">
        <v>56</v>
      </c>
      <c r="H94" s="181" t="s">
        <v>168</v>
      </c>
      <c r="I94" s="181"/>
      <c r="J94" s="178">
        <v>200</v>
      </c>
      <c r="K94" s="182"/>
      <c r="L94" s="182" t="s">
        <v>58</v>
      </c>
      <c r="M94" s="178" t="s">
        <v>59</v>
      </c>
      <c r="N94" s="178" t="s">
        <v>166</v>
      </c>
      <c r="O94" s="178" t="s">
        <v>60</v>
      </c>
      <c r="P94" s="178" t="s">
        <v>167</v>
      </c>
      <c r="Q94" s="179"/>
      <c r="R94" s="179" t="s">
        <v>161</v>
      </c>
      <c r="S94" s="180"/>
      <c r="T94" s="179">
        <v>200</v>
      </c>
      <c r="U94" s="179" t="s">
        <v>162</v>
      </c>
      <c r="V94" s="167" t="s">
        <v>154</v>
      </c>
      <c r="W94" s="168">
        <v>0</v>
      </c>
      <c r="X94" s="106">
        <v>4</v>
      </c>
      <c r="Y94" s="167" t="s">
        <v>163</v>
      </c>
      <c r="Z94" s="82" t="s">
        <v>63</v>
      </c>
      <c r="AA94" s="166">
        <v>27</v>
      </c>
      <c r="AB94" s="166">
        <v>0</v>
      </c>
      <c r="AC94" s="165"/>
      <c r="AD94" s="165" t="s">
        <v>80</v>
      </c>
      <c r="AE94" s="165"/>
      <c r="AF94" s="165"/>
      <c r="AG94" s="165"/>
      <c r="AH94" s="165"/>
      <c r="AI94" s="165">
        <v>18</v>
      </c>
      <c r="AJ94" s="165">
        <v>34</v>
      </c>
      <c r="AK94" s="166"/>
      <c r="AL94" s="166" t="s">
        <v>164</v>
      </c>
      <c r="AM94" s="166"/>
      <c r="AN94" s="166"/>
      <c r="AO94" s="166"/>
      <c r="AP94" s="166"/>
      <c r="AQ94" s="166">
        <v>134</v>
      </c>
      <c r="AR94" s="166">
        <v>206</v>
      </c>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c r="BR94" s="165"/>
      <c r="BS94" s="124">
        <v>92</v>
      </c>
      <c r="BT94" s="124"/>
    </row>
    <row r="95" spans="1:72" ht="14.25" hidden="1" customHeight="1" x14ac:dyDescent="0.2">
      <c r="A95" s="91">
        <v>93</v>
      </c>
      <c r="B95" s="231" t="s">
        <v>169</v>
      </c>
      <c r="C95" s="264" t="s">
        <v>170</v>
      </c>
      <c r="D95" s="231" t="s">
        <v>171</v>
      </c>
      <c r="E95" s="125" t="s">
        <v>149</v>
      </c>
      <c r="F95" s="181" t="s">
        <v>103</v>
      </c>
      <c r="G95" s="181" t="s">
        <v>56</v>
      </c>
      <c r="H95" s="181" t="s">
        <v>57</v>
      </c>
      <c r="I95" s="181"/>
      <c r="J95" s="178">
        <v>200</v>
      </c>
      <c r="K95" s="182"/>
      <c r="L95" s="182" t="s">
        <v>58</v>
      </c>
      <c r="M95" s="178" t="s">
        <v>59</v>
      </c>
      <c r="N95" s="178">
        <v>0</v>
      </c>
      <c r="O95" s="178" t="s">
        <v>60</v>
      </c>
      <c r="P95" s="178" t="s">
        <v>79</v>
      </c>
      <c r="Q95" s="179"/>
      <c r="R95" s="179" t="s">
        <v>172</v>
      </c>
      <c r="S95" s="180"/>
      <c r="T95" s="179">
        <v>200</v>
      </c>
      <c r="U95" s="179" t="s">
        <v>173</v>
      </c>
      <c r="V95" s="167" t="s">
        <v>154</v>
      </c>
      <c r="W95" s="168">
        <v>0</v>
      </c>
      <c r="X95" s="106">
        <v>4</v>
      </c>
      <c r="Y95" s="167" t="s">
        <v>174</v>
      </c>
      <c r="Z95" s="169" t="s">
        <v>63</v>
      </c>
      <c r="AA95" s="166">
        <v>30</v>
      </c>
      <c r="AB95" s="166">
        <v>0</v>
      </c>
      <c r="AC95" s="165">
        <v>34</v>
      </c>
      <c r="AD95" s="165" t="s">
        <v>80</v>
      </c>
      <c r="AE95" s="165" t="s">
        <v>116</v>
      </c>
      <c r="AF95" s="165"/>
      <c r="AG95" s="165"/>
      <c r="AH95" s="165"/>
      <c r="AI95" s="165">
        <v>19</v>
      </c>
      <c r="AJ95" s="165">
        <v>34</v>
      </c>
      <c r="AK95" s="166">
        <v>167</v>
      </c>
      <c r="AL95" s="166" t="s">
        <v>175</v>
      </c>
      <c r="AM95" s="166" t="s">
        <v>116</v>
      </c>
      <c r="AN95" s="166"/>
      <c r="AO95" s="166"/>
      <c r="AP95" s="166"/>
      <c r="AQ95" s="166">
        <v>130</v>
      </c>
      <c r="AR95" s="166">
        <v>206</v>
      </c>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c r="BR95" s="165"/>
      <c r="BS95" s="124">
        <v>93</v>
      </c>
      <c r="BT95" s="124"/>
    </row>
    <row r="96" spans="1:72" ht="14.25" hidden="1" customHeight="1" x14ac:dyDescent="0.2">
      <c r="A96" s="91">
        <v>94</v>
      </c>
      <c r="B96" s="231" t="s">
        <v>169</v>
      </c>
      <c r="C96" s="264" t="s">
        <v>170</v>
      </c>
      <c r="D96" s="231" t="s">
        <v>171</v>
      </c>
      <c r="E96" s="125" t="s">
        <v>152</v>
      </c>
      <c r="F96" s="181" t="s">
        <v>103</v>
      </c>
      <c r="G96" s="181" t="s">
        <v>56</v>
      </c>
      <c r="H96" s="181" t="s">
        <v>66</v>
      </c>
      <c r="I96" s="181"/>
      <c r="J96" s="178">
        <v>200</v>
      </c>
      <c r="K96" s="182"/>
      <c r="L96" s="182" t="s">
        <v>58</v>
      </c>
      <c r="M96" s="178" t="s">
        <v>59</v>
      </c>
      <c r="N96" s="178">
        <v>0</v>
      </c>
      <c r="O96" s="178" t="s">
        <v>60</v>
      </c>
      <c r="P96" s="178" t="s">
        <v>79</v>
      </c>
      <c r="Q96" s="179"/>
      <c r="R96" s="179" t="s">
        <v>172</v>
      </c>
      <c r="S96" s="180"/>
      <c r="T96" s="179">
        <v>200</v>
      </c>
      <c r="U96" s="179" t="s">
        <v>173</v>
      </c>
      <c r="V96" s="167" t="s">
        <v>154</v>
      </c>
      <c r="W96" s="168">
        <v>0</v>
      </c>
      <c r="X96" s="106">
        <v>4</v>
      </c>
      <c r="Y96" s="167" t="s">
        <v>174</v>
      </c>
      <c r="Z96" s="169" t="s">
        <v>63</v>
      </c>
      <c r="AA96" s="166">
        <v>30</v>
      </c>
      <c r="AB96" s="166">
        <v>0</v>
      </c>
      <c r="AC96" s="165">
        <v>34</v>
      </c>
      <c r="AD96" s="165" t="s">
        <v>80</v>
      </c>
      <c r="AE96" s="165" t="s">
        <v>116</v>
      </c>
      <c r="AF96" s="165"/>
      <c r="AG96" s="165"/>
      <c r="AH96" s="165"/>
      <c r="AI96" s="165">
        <v>19</v>
      </c>
      <c r="AJ96" s="165">
        <v>34</v>
      </c>
      <c r="AK96" s="166">
        <v>167</v>
      </c>
      <c r="AL96" s="166" t="s">
        <v>175</v>
      </c>
      <c r="AM96" s="166" t="s">
        <v>116</v>
      </c>
      <c r="AN96" s="166"/>
      <c r="AO96" s="166"/>
      <c r="AP96" s="166"/>
      <c r="AQ96" s="166">
        <v>130</v>
      </c>
      <c r="AR96" s="166">
        <v>206</v>
      </c>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c r="BR96" s="165"/>
      <c r="BS96" s="124">
        <v>94</v>
      </c>
      <c r="BT96" s="124"/>
    </row>
    <row r="97" spans="1:72" ht="14.25" hidden="1" customHeight="1" x14ac:dyDescent="0.2">
      <c r="A97" s="91">
        <v>95</v>
      </c>
      <c r="B97" s="231" t="s">
        <v>169</v>
      </c>
      <c r="C97" s="264" t="s">
        <v>170</v>
      </c>
      <c r="D97" s="231" t="s">
        <v>176</v>
      </c>
      <c r="E97" s="125" t="s">
        <v>149</v>
      </c>
      <c r="F97" s="181" t="s">
        <v>103</v>
      </c>
      <c r="G97" s="181" t="s">
        <v>56</v>
      </c>
      <c r="H97" s="181" t="s">
        <v>57</v>
      </c>
      <c r="I97" s="181"/>
      <c r="J97" s="178">
        <v>200</v>
      </c>
      <c r="K97" s="182"/>
      <c r="L97" s="182" t="s">
        <v>58</v>
      </c>
      <c r="M97" s="178" t="s">
        <v>59</v>
      </c>
      <c r="N97" s="178">
        <v>0</v>
      </c>
      <c r="O97" s="178" t="s">
        <v>60</v>
      </c>
      <c r="P97" s="178" t="s">
        <v>79</v>
      </c>
      <c r="Q97" s="179"/>
      <c r="R97" s="179" t="s">
        <v>177</v>
      </c>
      <c r="S97" s="180"/>
      <c r="T97" s="179">
        <v>200</v>
      </c>
      <c r="U97" s="179" t="s">
        <v>178</v>
      </c>
      <c r="V97" s="167" t="s">
        <v>154</v>
      </c>
      <c r="W97" s="168">
        <v>0</v>
      </c>
      <c r="X97" s="106">
        <v>4</v>
      </c>
      <c r="Y97" s="167" t="s">
        <v>174</v>
      </c>
      <c r="Z97" s="169" t="s">
        <v>63</v>
      </c>
      <c r="AA97" s="166">
        <v>30</v>
      </c>
      <c r="AB97" s="166">
        <v>0</v>
      </c>
      <c r="AC97" s="165">
        <v>34</v>
      </c>
      <c r="AD97" s="165" t="s">
        <v>80</v>
      </c>
      <c r="AE97" s="165" t="s">
        <v>116</v>
      </c>
      <c r="AF97" s="165"/>
      <c r="AG97" s="165"/>
      <c r="AH97" s="165"/>
      <c r="AI97" s="165">
        <v>19</v>
      </c>
      <c r="AJ97" s="165">
        <v>34</v>
      </c>
      <c r="AK97" s="166">
        <v>167</v>
      </c>
      <c r="AL97" s="166" t="s">
        <v>175</v>
      </c>
      <c r="AM97" s="166" t="s">
        <v>116</v>
      </c>
      <c r="AN97" s="166"/>
      <c r="AO97" s="166"/>
      <c r="AP97" s="166"/>
      <c r="AQ97" s="166">
        <v>130</v>
      </c>
      <c r="AR97" s="166">
        <v>206</v>
      </c>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c r="BR97" s="165"/>
      <c r="BS97" s="124">
        <v>95</v>
      </c>
      <c r="BT97" s="174"/>
    </row>
    <row r="98" spans="1:72" ht="14.25" hidden="1" customHeight="1" x14ac:dyDescent="0.2">
      <c r="A98" s="91">
        <v>96</v>
      </c>
      <c r="B98" s="231" t="s">
        <v>169</v>
      </c>
      <c r="C98" s="264" t="s">
        <v>170</v>
      </c>
      <c r="D98" s="231" t="s">
        <v>176</v>
      </c>
      <c r="E98" s="125" t="s">
        <v>152</v>
      </c>
      <c r="F98" s="181" t="s">
        <v>103</v>
      </c>
      <c r="G98" s="181" t="s">
        <v>56</v>
      </c>
      <c r="H98" s="181" t="s">
        <v>66</v>
      </c>
      <c r="I98" s="181"/>
      <c r="J98" s="178">
        <v>200</v>
      </c>
      <c r="K98" s="182"/>
      <c r="L98" s="182" t="s">
        <v>58</v>
      </c>
      <c r="M98" s="178" t="s">
        <v>59</v>
      </c>
      <c r="N98" s="178">
        <v>0</v>
      </c>
      <c r="O98" s="178" t="s">
        <v>60</v>
      </c>
      <c r="P98" s="178" t="s">
        <v>79</v>
      </c>
      <c r="Q98" s="179"/>
      <c r="R98" s="179" t="s">
        <v>177</v>
      </c>
      <c r="S98" s="180"/>
      <c r="T98" s="179">
        <v>200</v>
      </c>
      <c r="U98" s="179" t="s">
        <v>178</v>
      </c>
      <c r="V98" s="167" t="s">
        <v>154</v>
      </c>
      <c r="W98" s="168">
        <v>0</v>
      </c>
      <c r="X98" s="106">
        <v>4</v>
      </c>
      <c r="Y98" s="167" t="s">
        <v>174</v>
      </c>
      <c r="Z98" s="169" t="s">
        <v>63</v>
      </c>
      <c r="AA98" s="166">
        <v>30</v>
      </c>
      <c r="AB98" s="166">
        <v>0</v>
      </c>
      <c r="AC98" s="165">
        <v>34</v>
      </c>
      <c r="AD98" s="165" t="s">
        <v>80</v>
      </c>
      <c r="AE98" s="165" t="s">
        <v>116</v>
      </c>
      <c r="AF98" s="165"/>
      <c r="AG98" s="165"/>
      <c r="AH98" s="165"/>
      <c r="AI98" s="165">
        <v>19</v>
      </c>
      <c r="AJ98" s="165">
        <v>34</v>
      </c>
      <c r="AK98" s="166">
        <v>167</v>
      </c>
      <c r="AL98" s="166" t="s">
        <v>175</v>
      </c>
      <c r="AM98" s="166" t="s">
        <v>116</v>
      </c>
      <c r="AN98" s="166"/>
      <c r="AO98" s="166"/>
      <c r="AP98" s="166"/>
      <c r="AQ98" s="166">
        <v>130</v>
      </c>
      <c r="AR98" s="166">
        <v>206</v>
      </c>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c r="BR98" s="165"/>
      <c r="BS98" s="124">
        <v>96</v>
      </c>
      <c r="BT98" s="174"/>
    </row>
    <row r="99" spans="1:72" ht="14.25" hidden="1" customHeight="1" x14ac:dyDescent="0.2">
      <c r="A99" s="91">
        <v>97</v>
      </c>
      <c r="B99" s="231" t="s">
        <v>169</v>
      </c>
      <c r="C99" s="264" t="s">
        <v>170</v>
      </c>
      <c r="D99" s="231" t="s">
        <v>179</v>
      </c>
      <c r="E99" s="125" t="s">
        <v>149</v>
      </c>
      <c r="F99" s="181" t="s">
        <v>103</v>
      </c>
      <c r="G99" s="181" t="s">
        <v>56</v>
      </c>
      <c r="H99" s="181" t="s">
        <v>57</v>
      </c>
      <c r="I99" s="181"/>
      <c r="J99" s="178">
        <v>200</v>
      </c>
      <c r="K99" s="182"/>
      <c r="L99" s="182" t="s">
        <v>58</v>
      </c>
      <c r="M99" s="178" t="s">
        <v>59</v>
      </c>
      <c r="N99" s="178">
        <v>0</v>
      </c>
      <c r="O99" s="178" t="s">
        <v>60</v>
      </c>
      <c r="P99" s="178" t="s">
        <v>79</v>
      </c>
      <c r="Q99" s="179"/>
      <c r="R99" s="179" t="s">
        <v>180</v>
      </c>
      <c r="S99" s="180"/>
      <c r="T99" s="179">
        <v>200</v>
      </c>
      <c r="U99" s="179" t="s">
        <v>178</v>
      </c>
      <c r="V99" s="167" t="s">
        <v>154</v>
      </c>
      <c r="W99" s="168">
        <v>0</v>
      </c>
      <c r="X99" s="106">
        <v>4</v>
      </c>
      <c r="Y99" s="167" t="s">
        <v>174</v>
      </c>
      <c r="Z99" s="169" t="s">
        <v>63</v>
      </c>
      <c r="AA99" s="166">
        <v>30</v>
      </c>
      <c r="AB99" s="166">
        <v>0</v>
      </c>
      <c r="AC99" s="165">
        <v>34</v>
      </c>
      <c r="AD99" s="165" t="s">
        <v>80</v>
      </c>
      <c r="AE99" s="165" t="s">
        <v>116</v>
      </c>
      <c r="AF99" s="165"/>
      <c r="AG99" s="165"/>
      <c r="AH99" s="165"/>
      <c r="AI99" s="165">
        <v>19</v>
      </c>
      <c r="AJ99" s="165">
        <v>34</v>
      </c>
      <c r="AK99" s="166">
        <v>167</v>
      </c>
      <c r="AL99" s="166" t="s">
        <v>175</v>
      </c>
      <c r="AM99" s="166" t="s">
        <v>116</v>
      </c>
      <c r="AN99" s="166"/>
      <c r="AO99" s="166"/>
      <c r="AP99" s="166"/>
      <c r="AQ99" s="166">
        <v>130</v>
      </c>
      <c r="AR99" s="166">
        <v>206</v>
      </c>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c r="BR99" s="165"/>
      <c r="BS99" s="124">
        <v>97</v>
      </c>
      <c r="BT99" s="174"/>
    </row>
    <row r="100" spans="1:72" ht="14.25" hidden="1" customHeight="1" x14ac:dyDescent="0.2">
      <c r="A100" s="91">
        <v>98</v>
      </c>
      <c r="B100" s="231" t="s">
        <v>169</v>
      </c>
      <c r="C100" s="264" t="s">
        <v>170</v>
      </c>
      <c r="D100" s="231" t="s">
        <v>179</v>
      </c>
      <c r="E100" s="125" t="s">
        <v>152</v>
      </c>
      <c r="F100" s="181" t="s">
        <v>103</v>
      </c>
      <c r="G100" s="181" t="s">
        <v>56</v>
      </c>
      <c r="H100" s="181" t="s">
        <v>66</v>
      </c>
      <c r="I100" s="181"/>
      <c r="J100" s="178">
        <v>200</v>
      </c>
      <c r="K100" s="182"/>
      <c r="L100" s="182" t="s">
        <v>58</v>
      </c>
      <c r="M100" s="178" t="s">
        <v>59</v>
      </c>
      <c r="N100" s="178">
        <v>0</v>
      </c>
      <c r="O100" s="178" t="s">
        <v>60</v>
      </c>
      <c r="P100" s="178" t="s">
        <v>79</v>
      </c>
      <c r="Q100" s="179"/>
      <c r="R100" s="179" t="s">
        <v>180</v>
      </c>
      <c r="S100" s="180"/>
      <c r="T100" s="179">
        <v>200</v>
      </c>
      <c r="U100" s="179" t="s">
        <v>178</v>
      </c>
      <c r="V100" s="167" t="s">
        <v>154</v>
      </c>
      <c r="W100" s="168">
        <v>0</v>
      </c>
      <c r="X100" s="106">
        <v>4</v>
      </c>
      <c r="Y100" s="167" t="s">
        <v>174</v>
      </c>
      <c r="Z100" s="169" t="s">
        <v>63</v>
      </c>
      <c r="AA100" s="166">
        <v>30</v>
      </c>
      <c r="AB100" s="166">
        <v>0</v>
      </c>
      <c r="AC100" s="165">
        <v>34</v>
      </c>
      <c r="AD100" s="165" t="s">
        <v>80</v>
      </c>
      <c r="AE100" s="165" t="s">
        <v>116</v>
      </c>
      <c r="AF100" s="165"/>
      <c r="AG100" s="165"/>
      <c r="AH100" s="165"/>
      <c r="AI100" s="165">
        <v>19</v>
      </c>
      <c r="AJ100" s="165">
        <v>34</v>
      </c>
      <c r="AK100" s="166">
        <v>167</v>
      </c>
      <c r="AL100" s="166" t="s">
        <v>175</v>
      </c>
      <c r="AM100" s="166" t="s">
        <v>116</v>
      </c>
      <c r="AN100" s="166"/>
      <c r="AO100" s="166"/>
      <c r="AP100" s="166"/>
      <c r="AQ100" s="166">
        <v>130</v>
      </c>
      <c r="AR100" s="166">
        <v>206</v>
      </c>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c r="BR100" s="165"/>
      <c r="BS100" s="124">
        <v>98</v>
      </c>
      <c r="BT100" s="174"/>
    </row>
    <row r="101" spans="1:72" ht="14.25" hidden="1" customHeight="1" x14ac:dyDescent="0.2">
      <c r="A101" s="92">
        <v>100</v>
      </c>
      <c r="B101" s="233" t="s">
        <v>185</v>
      </c>
      <c r="C101" s="263" t="s">
        <v>186</v>
      </c>
      <c r="D101" s="233" t="s">
        <v>187</v>
      </c>
      <c r="E101" s="125" t="s">
        <v>54</v>
      </c>
      <c r="F101" s="181" t="s">
        <v>103</v>
      </c>
      <c r="G101" s="181" t="s">
        <v>56</v>
      </c>
      <c r="H101" s="181" t="s">
        <v>188</v>
      </c>
      <c r="I101" s="181"/>
      <c r="J101" s="178">
        <v>450</v>
      </c>
      <c r="K101" s="182"/>
      <c r="L101" s="182" t="s">
        <v>58</v>
      </c>
      <c r="M101" s="178" t="s">
        <v>59</v>
      </c>
      <c r="N101" s="178">
        <v>0</v>
      </c>
      <c r="O101" s="178" t="s">
        <v>60</v>
      </c>
      <c r="P101" s="178" t="s">
        <v>79</v>
      </c>
      <c r="Q101" s="179"/>
      <c r="R101" s="179" t="s">
        <v>189</v>
      </c>
      <c r="S101" s="180"/>
      <c r="T101" s="179">
        <v>100</v>
      </c>
      <c r="U101" s="179"/>
      <c r="V101" s="167" t="s">
        <v>62</v>
      </c>
      <c r="W101" s="168">
        <v>12</v>
      </c>
      <c r="X101" s="106">
        <v>1</v>
      </c>
      <c r="Y101" s="167"/>
      <c r="Z101" s="169" t="s">
        <v>63</v>
      </c>
      <c r="AA101" s="166">
        <v>8</v>
      </c>
      <c r="AB101" s="166">
        <v>5</v>
      </c>
      <c r="AC101" s="165">
        <v>43</v>
      </c>
      <c r="AD101" s="165" t="s">
        <v>80</v>
      </c>
      <c r="AE101" s="165" t="s">
        <v>190</v>
      </c>
      <c r="AF101" s="165"/>
      <c r="AG101" s="165"/>
      <c r="AH101" s="165"/>
      <c r="AI101" s="165">
        <v>32</v>
      </c>
      <c r="AJ101" s="165">
        <v>60</v>
      </c>
      <c r="AK101" s="166">
        <v>80</v>
      </c>
      <c r="AL101" s="166" t="s">
        <v>81</v>
      </c>
      <c r="AM101" s="166" t="s">
        <v>190</v>
      </c>
      <c r="AN101" s="166"/>
      <c r="AO101" s="166"/>
      <c r="AP101" s="166"/>
      <c r="AQ101" s="166">
        <v>56</v>
      </c>
      <c r="AR101" s="166">
        <v>95</v>
      </c>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c r="BR101" s="165"/>
      <c r="BS101" s="124">
        <v>100</v>
      </c>
      <c r="BT101" s="174"/>
    </row>
    <row r="102" spans="1:72" ht="14.25" hidden="1" customHeight="1" x14ac:dyDescent="0.2">
      <c r="A102" s="92">
        <v>101</v>
      </c>
      <c r="B102" s="233" t="s">
        <v>185</v>
      </c>
      <c r="C102" s="263" t="s">
        <v>186</v>
      </c>
      <c r="D102" s="233" t="s">
        <v>191</v>
      </c>
      <c r="E102" s="125" t="s">
        <v>54</v>
      </c>
      <c r="F102" s="181" t="s">
        <v>103</v>
      </c>
      <c r="G102" s="181" t="s">
        <v>56</v>
      </c>
      <c r="H102" s="181" t="s">
        <v>192</v>
      </c>
      <c r="I102" s="181"/>
      <c r="J102" s="178">
        <v>600</v>
      </c>
      <c r="K102" s="182"/>
      <c r="L102" s="182" t="s">
        <v>58</v>
      </c>
      <c r="M102" s="178" t="s">
        <v>59</v>
      </c>
      <c r="N102" s="178">
        <v>0</v>
      </c>
      <c r="O102" s="178" t="s">
        <v>60</v>
      </c>
      <c r="P102" s="178" t="s">
        <v>79</v>
      </c>
      <c r="Q102" s="179"/>
      <c r="R102" s="179" t="s">
        <v>193</v>
      </c>
      <c r="S102" s="180"/>
      <c r="T102" s="179">
        <v>100</v>
      </c>
      <c r="U102" s="179"/>
      <c r="V102" s="167" t="s">
        <v>62</v>
      </c>
      <c r="W102" s="168">
        <v>12</v>
      </c>
      <c r="X102" s="106">
        <v>2</v>
      </c>
      <c r="Y102" s="167"/>
      <c r="Z102" s="169" t="s">
        <v>63</v>
      </c>
      <c r="AA102" s="166">
        <v>12</v>
      </c>
      <c r="AB102" s="166">
        <v>6</v>
      </c>
      <c r="AC102" s="165">
        <v>45</v>
      </c>
      <c r="AD102" s="165" t="s">
        <v>80</v>
      </c>
      <c r="AE102" s="165" t="s">
        <v>190</v>
      </c>
      <c r="AF102" s="165"/>
      <c r="AG102" s="165"/>
      <c r="AH102" s="165"/>
      <c r="AI102" s="165">
        <v>26</v>
      </c>
      <c r="AJ102" s="165">
        <v>57</v>
      </c>
      <c r="AK102" s="166">
        <v>71</v>
      </c>
      <c r="AL102" s="166" t="s">
        <v>81</v>
      </c>
      <c r="AM102" s="166" t="s">
        <v>190</v>
      </c>
      <c r="AN102" s="166"/>
      <c r="AO102" s="166"/>
      <c r="AP102" s="166"/>
      <c r="AQ102" s="166">
        <v>55</v>
      </c>
      <c r="AR102" s="166">
        <v>89</v>
      </c>
      <c r="AS102" s="165">
        <v>166</v>
      </c>
      <c r="AT102" s="165" t="s">
        <v>119</v>
      </c>
      <c r="AU102" s="165" t="s">
        <v>190</v>
      </c>
      <c r="AV102" s="165"/>
      <c r="AW102" s="165"/>
      <c r="AX102" s="165"/>
      <c r="AY102" s="165">
        <v>151</v>
      </c>
      <c r="AZ102" s="165">
        <v>194</v>
      </c>
      <c r="BA102" s="166"/>
      <c r="BB102" s="166"/>
      <c r="BC102" s="166"/>
      <c r="BD102" s="166"/>
      <c r="BE102" s="166"/>
      <c r="BF102" s="166"/>
      <c r="BG102" s="166"/>
      <c r="BH102" s="166"/>
      <c r="BI102" s="165"/>
      <c r="BJ102" s="165"/>
      <c r="BK102" s="165"/>
      <c r="BL102" s="165"/>
      <c r="BM102" s="165"/>
      <c r="BN102" s="165"/>
      <c r="BO102" s="165"/>
      <c r="BP102" s="165"/>
      <c r="BQ102" s="166"/>
      <c r="BR102" s="165"/>
      <c r="BS102" s="124">
        <v>101</v>
      </c>
      <c r="BT102" s="174"/>
    </row>
    <row r="103" spans="1:72" ht="14.25" hidden="1" customHeight="1" x14ac:dyDescent="0.2">
      <c r="A103" s="205">
        <v>104</v>
      </c>
      <c r="B103" s="231" t="s">
        <v>634</v>
      </c>
      <c r="C103" s="264" t="s">
        <v>635</v>
      </c>
      <c r="D103" s="231" t="s">
        <v>636</v>
      </c>
      <c r="E103" s="125" t="s">
        <v>102</v>
      </c>
      <c r="F103" s="181" t="s">
        <v>103</v>
      </c>
      <c r="G103" s="181" t="s">
        <v>56</v>
      </c>
      <c r="H103" s="181" t="s">
        <v>57</v>
      </c>
      <c r="I103" s="181"/>
      <c r="J103" s="178">
        <v>15</v>
      </c>
      <c r="K103" s="182"/>
      <c r="L103" s="182" t="s">
        <v>58</v>
      </c>
      <c r="M103" s="178" t="s">
        <v>59</v>
      </c>
      <c r="N103" s="178">
        <v>1</v>
      </c>
      <c r="O103" s="178" t="s">
        <v>60</v>
      </c>
      <c r="P103" s="178" t="s">
        <v>79</v>
      </c>
      <c r="Q103" s="179" t="s">
        <v>1361</v>
      </c>
      <c r="R103" s="179"/>
      <c r="S103" s="180"/>
      <c r="T103" s="179"/>
      <c r="U103" s="179"/>
      <c r="V103" s="167" t="s">
        <v>436</v>
      </c>
      <c r="W103" s="168"/>
      <c r="X103" s="168">
        <v>4</v>
      </c>
      <c r="Y103" s="167" t="s">
        <v>655</v>
      </c>
      <c r="Z103" s="169" t="s">
        <v>63</v>
      </c>
      <c r="AA103" s="166">
        <v>18</v>
      </c>
      <c r="AB103" s="166">
        <v>5</v>
      </c>
      <c r="AC103" s="165">
        <v>32</v>
      </c>
      <c r="AD103" s="165" t="s">
        <v>80</v>
      </c>
      <c r="AE103" s="165" t="s">
        <v>116</v>
      </c>
      <c r="AF103" s="165"/>
      <c r="AG103" s="165"/>
      <c r="AH103" s="165"/>
      <c r="AI103" s="165">
        <v>19</v>
      </c>
      <c r="AJ103" s="165">
        <v>46</v>
      </c>
      <c r="AK103" s="166">
        <v>70.8</v>
      </c>
      <c r="AL103" s="166" t="s">
        <v>81</v>
      </c>
      <c r="AM103" s="166" t="s">
        <v>116</v>
      </c>
      <c r="AN103" s="166"/>
      <c r="AO103" s="166"/>
      <c r="AP103" s="166"/>
      <c r="AQ103" s="166">
        <v>56</v>
      </c>
      <c r="AR103" s="166">
        <v>83</v>
      </c>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214</v>
      </c>
      <c r="BR103" s="165"/>
      <c r="BS103" s="124">
        <v>104</v>
      </c>
      <c r="BT103" s="124"/>
    </row>
    <row r="104" spans="1:72" ht="14.25" hidden="1" customHeight="1" x14ac:dyDescent="0.2">
      <c r="A104" s="205">
        <v>105</v>
      </c>
      <c r="B104" s="231" t="s">
        <v>634</v>
      </c>
      <c r="C104" s="264" t="s">
        <v>635</v>
      </c>
      <c r="D104" s="231" t="s">
        <v>637</v>
      </c>
      <c r="E104" s="125" t="s">
        <v>102</v>
      </c>
      <c r="F104" s="181" t="s">
        <v>103</v>
      </c>
      <c r="G104" s="181" t="s">
        <v>56</v>
      </c>
      <c r="H104" s="181" t="s">
        <v>57</v>
      </c>
      <c r="I104" s="181"/>
      <c r="J104" s="178">
        <v>15</v>
      </c>
      <c r="K104" s="182"/>
      <c r="L104" s="182" t="s">
        <v>58</v>
      </c>
      <c r="M104" s="178" t="s">
        <v>59</v>
      </c>
      <c r="N104" s="178">
        <v>0</v>
      </c>
      <c r="O104" s="178" t="s">
        <v>60</v>
      </c>
      <c r="P104" s="178" t="s">
        <v>79</v>
      </c>
      <c r="Q104" s="179" t="s">
        <v>1361</v>
      </c>
      <c r="R104" s="179"/>
      <c r="S104" s="180"/>
      <c r="T104" s="179"/>
      <c r="U104" s="179"/>
      <c r="V104" s="167" t="s">
        <v>62</v>
      </c>
      <c r="W104" s="168"/>
      <c r="X104" s="168"/>
      <c r="Y104" s="167" t="s">
        <v>655</v>
      </c>
      <c r="Z104" s="169" t="s">
        <v>63</v>
      </c>
      <c r="AA104" s="166">
        <v>18</v>
      </c>
      <c r="AB104" s="166">
        <v>5</v>
      </c>
      <c r="AC104" s="165">
        <v>32</v>
      </c>
      <c r="AD104" s="165" t="s">
        <v>80</v>
      </c>
      <c r="AE104" s="165" t="s">
        <v>116</v>
      </c>
      <c r="AF104" s="165"/>
      <c r="AG104" s="165"/>
      <c r="AH104" s="165"/>
      <c r="AI104" s="165">
        <v>19</v>
      </c>
      <c r="AJ104" s="165">
        <v>46</v>
      </c>
      <c r="AK104" s="166">
        <v>70.8</v>
      </c>
      <c r="AL104" s="166" t="s">
        <v>81</v>
      </c>
      <c r="AM104" s="166" t="s">
        <v>116</v>
      </c>
      <c r="AN104" s="166"/>
      <c r="AO104" s="166"/>
      <c r="AP104" s="166"/>
      <c r="AQ104" s="166">
        <v>56</v>
      </c>
      <c r="AR104" s="166">
        <v>83</v>
      </c>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214</v>
      </c>
      <c r="BR104" s="165"/>
      <c r="BS104" s="124">
        <v>105</v>
      </c>
      <c r="BT104" s="124"/>
    </row>
    <row r="105" spans="1:72" ht="14.25" hidden="1" customHeight="1" x14ac:dyDescent="0.2">
      <c r="A105" s="205">
        <v>106</v>
      </c>
      <c r="B105" s="231" t="s">
        <v>634</v>
      </c>
      <c r="C105" s="264" t="s">
        <v>635</v>
      </c>
      <c r="D105" s="231" t="s">
        <v>638</v>
      </c>
      <c r="E105" s="125" t="s">
        <v>102</v>
      </c>
      <c r="F105" s="181" t="s">
        <v>103</v>
      </c>
      <c r="G105" s="181" t="s">
        <v>56</v>
      </c>
      <c r="H105" s="181" t="s">
        <v>57</v>
      </c>
      <c r="I105" s="181"/>
      <c r="J105" s="178">
        <v>15</v>
      </c>
      <c r="K105" s="182"/>
      <c r="L105" s="182" t="s">
        <v>58</v>
      </c>
      <c r="M105" s="178" t="s">
        <v>59</v>
      </c>
      <c r="N105" s="178">
        <v>0</v>
      </c>
      <c r="O105" s="178" t="s">
        <v>60</v>
      </c>
      <c r="P105" s="178" t="s">
        <v>79</v>
      </c>
      <c r="Q105" s="179" t="s">
        <v>1361</v>
      </c>
      <c r="R105" s="179"/>
      <c r="S105" s="180"/>
      <c r="T105" s="179"/>
      <c r="U105" s="179"/>
      <c r="V105" s="167" t="s">
        <v>436</v>
      </c>
      <c r="W105" s="168"/>
      <c r="X105" s="168">
        <v>4</v>
      </c>
      <c r="Y105" s="167" t="s">
        <v>655</v>
      </c>
      <c r="Z105" s="169" t="s">
        <v>63</v>
      </c>
      <c r="AA105" s="166">
        <v>18</v>
      </c>
      <c r="AB105" s="166">
        <v>5</v>
      </c>
      <c r="AC105" s="165">
        <v>32</v>
      </c>
      <c r="AD105" s="165" t="s">
        <v>80</v>
      </c>
      <c r="AE105" s="165" t="s">
        <v>116</v>
      </c>
      <c r="AF105" s="165"/>
      <c r="AG105" s="165"/>
      <c r="AH105" s="165"/>
      <c r="AI105" s="165">
        <v>19</v>
      </c>
      <c r="AJ105" s="165">
        <v>46</v>
      </c>
      <c r="AK105" s="166">
        <v>70.8</v>
      </c>
      <c r="AL105" s="166" t="s">
        <v>81</v>
      </c>
      <c r="AM105" s="166" t="s">
        <v>116</v>
      </c>
      <c r="AN105" s="166"/>
      <c r="AO105" s="166"/>
      <c r="AP105" s="166"/>
      <c r="AQ105" s="166">
        <v>56</v>
      </c>
      <c r="AR105" s="166">
        <v>83</v>
      </c>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214</v>
      </c>
      <c r="BR105" s="165"/>
      <c r="BS105" s="124">
        <v>106</v>
      </c>
      <c r="BT105" s="124"/>
    </row>
    <row r="106" spans="1:72" ht="14.25" hidden="1" customHeight="1" x14ac:dyDescent="0.2">
      <c r="A106" s="205">
        <v>107</v>
      </c>
      <c r="B106" s="231" t="s">
        <v>634</v>
      </c>
      <c r="C106" s="264" t="s">
        <v>635</v>
      </c>
      <c r="D106" s="231" t="s">
        <v>639</v>
      </c>
      <c r="E106" s="125" t="s">
        <v>102</v>
      </c>
      <c r="F106" s="181" t="s">
        <v>103</v>
      </c>
      <c r="G106" s="181" t="s">
        <v>56</v>
      </c>
      <c r="H106" s="181" t="s">
        <v>57</v>
      </c>
      <c r="I106" s="181"/>
      <c r="J106" s="178">
        <v>15</v>
      </c>
      <c r="K106" s="182"/>
      <c r="L106" s="182" t="s">
        <v>58</v>
      </c>
      <c r="M106" s="178" t="s">
        <v>59</v>
      </c>
      <c r="N106" s="178">
        <v>0</v>
      </c>
      <c r="O106" s="178" t="s">
        <v>60</v>
      </c>
      <c r="P106" s="178" t="s">
        <v>79</v>
      </c>
      <c r="Q106" s="179" t="s">
        <v>1361</v>
      </c>
      <c r="R106" s="179"/>
      <c r="S106" s="180"/>
      <c r="T106" s="179"/>
      <c r="U106" s="179"/>
      <c r="V106" s="167" t="s">
        <v>62</v>
      </c>
      <c r="W106" s="168"/>
      <c r="X106" s="168">
        <v>4</v>
      </c>
      <c r="Y106" s="167" t="s">
        <v>655</v>
      </c>
      <c r="Z106" s="169" t="s">
        <v>63</v>
      </c>
      <c r="AA106" s="166">
        <v>18</v>
      </c>
      <c r="AB106" s="166">
        <v>5</v>
      </c>
      <c r="AC106" s="165">
        <v>32</v>
      </c>
      <c r="AD106" s="165" t="s">
        <v>80</v>
      </c>
      <c r="AE106" s="165" t="s">
        <v>116</v>
      </c>
      <c r="AF106" s="165"/>
      <c r="AG106" s="165"/>
      <c r="AH106" s="165"/>
      <c r="AI106" s="165">
        <v>19</v>
      </c>
      <c r="AJ106" s="165">
        <v>46</v>
      </c>
      <c r="AK106" s="166">
        <v>70.8</v>
      </c>
      <c r="AL106" s="166" t="s">
        <v>81</v>
      </c>
      <c r="AM106" s="166" t="s">
        <v>116</v>
      </c>
      <c r="AN106" s="166"/>
      <c r="AO106" s="166"/>
      <c r="AP106" s="166"/>
      <c r="AQ106" s="166">
        <v>56</v>
      </c>
      <c r="AR106" s="166">
        <v>83</v>
      </c>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214</v>
      </c>
      <c r="BR106" s="165"/>
      <c r="BS106" s="124">
        <v>107</v>
      </c>
      <c r="BT106" s="124"/>
    </row>
    <row r="107" spans="1:72" ht="14.25" hidden="1" customHeight="1" x14ac:dyDescent="0.2">
      <c r="A107" s="205">
        <v>109</v>
      </c>
      <c r="B107" s="231" t="s">
        <v>640</v>
      </c>
      <c r="C107" s="264" t="s">
        <v>641</v>
      </c>
      <c r="D107" s="231" t="s">
        <v>642</v>
      </c>
      <c r="E107" s="125" t="s">
        <v>54</v>
      </c>
      <c r="F107" s="181" t="s">
        <v>103</v>
      </c>
      <c r="G107" s="181" t="s">
        <v>56</v>
      </c>
      <c r="H107" s="181" t="s">
        <v>157</v>
      </c>
      <c r="I107" s="181"/>
      <c r="J107" s="178">
        <v>600</v>
      </c>
      <c r="K107" s="182"/>
      <c r="L107" s="182" t="s">
        <v>58</v>
      </c>
      <c r="M107" s="178" t="s">
        <v>59</v>
      </c>
      <c r="N107" s="178" t="s">
        <v>643</v>
      </c>
      <c r="O107" s="178" t="s">
        <v>60</v>
      </c>
      <c r="P107" s="178" t="s">
        <v>92</v>
      </c>
      <c r="Q107" s="179"/>
      <c r="R107" s="179"/>
      <c r="S107" s="180"/>
      <c r="T107" s="179"/>
      <c r="U107" s="179"/>
      <c r="V107" s="167" t="s">
        <v>644</v>
      </c>
      <c r="W107" s="168"/>
      <c r="X107" s="168"/>
      <c r="Y107" s="167" t="s">
        <v>645</v>
      </c>
      <c r="Z107" s="169" t="s">
        <v>63</v>
      </c>
      <c r="AA107" s="166">
        <v>14</v>
      </c>
      <c r="AB107" s="127">
        <v>0.34</v>
      </c>
      <c r="AC107" s="165">
        <v>31</v>
      </c>
      <c r="AD107" s="165" t="s">
        <v>80</v>
      </c>
      <c r="AE107" s="165" t="s">
        <v>335</v>
      </c>
      <c r="AF107" s="165">
        <v>10</v>
      </c>
      <c r="AG107" s="165" t="s">
        <v>80</v>
      </c>
      <c r="AH107" s="165" t="s">
        <v>646</v>
      </c>
      <c r="AI107" s="165"/>
      <c r="AJ107" s="165"/>
      <c r="AK107" s="166">
        <v>79</v>
      </c>
      <c r="AL107" s="166" t="s">
        <v>81</v>
      </c>
      <c r="AM107" s="166" t="s">
        <v>118</v>
      </c>
      <c r="AN107" s="166">
        <v>11</v>
      </c>
      <c r="AO107" s="166" t="s">
        <v>81</v>
      </c>
      <c r="AP107" s="166" t="s">
        <v>646</v>
      </c>
      <c r="AQ107" s="166"/>
      <c r="AR107" s="166"/>
      <c r="AS107" s="165"/>
      <c r="AT107" s="165"/>
      <c r="AU107" s="165"/>
      <c r="AV107" s="165"/>
      <c r="AW107" s="165"/>
      <c r="AX107" s="165"/>
      <c r="AY107" s="165"/>
      <c r="AZ107" s="165"/>
      <c r="BA107" s="166">
        <v>24</v>
      </c>
      <c r="BB107" s="166" t="s">
        <v>647</v>
      </c>
      <c r="BC107" s="166" t="s">
        <v>335</v>
      </c>
      <c r="BD107" s="166">
        <v>3</v>
      </c>
      <c r="BE107" s="166" t="s">
        <v>647</v>
      </c>
      <c r="BF107" s="166" t="s">
        <v>646</v>
      </c>
      <c r="BG107" s="166"/>
      <c r="BH107" s="166"/>
      <c r="BI107" s="165"/>
      <c r="BJ107" s="165"/>
      <c r="BK107" s="165"/>
      <c r="BL107" s="165"/>
      <c r="BM107" s="165"/>
      <c r="BN107" s="165"/>
      <c r="BO107" s="165"/>
      <c r="BP107" s="165"/>
      <c r="BQ107" s="166" t="s">
        <v>648</v>
      </c>
      <c r="BR107" s="165" t="s">
        <v>649</v>
      </c>
      <c r="BS107" s="124">
        <v>109</v>
      </c>
      <c r="BT107" s="124" t="s">
        <v>584</v>
      </c>
    </row>
    <row r="108" spans="1:72" ht="14.25" hidden="1" customHeight="1" x14ac:dyDescent="0.2">
      <c r="A108" s="205">
        <v>110</v>
      </c>
      <c r="B108" s="233" t="s">
        <v>650</v>
      </c>
      <c r="C108" s="263" t="s">
        <v>651</v>
      </c>
      <c r="D108" s="233" t="s">
        <v>652</v>
      </c>
      <c r="E108" s="125" t="s">
        <v>54</v>
      </c>
      <c r="F108" s="181" t="s">
        <v>103</v>
      </c>
      <c r="G108" s="181" t="s">
        <v>56</v>
      </c>
      <c r="H108" s="181" t="s">
        <v>653</v>
      </c>
      <c r="I108" s="181"/>
      <c r="J108" s="208">
        <v>300</v>
      </c>
      <c r="K108" s="209"/>
      <c r="L108" s="209" t="s">
        <v>58</v>
      </c>
      <c r="M108" s="208" t="s">
        <v>59</v>
      </c>
      <c r="N108" s="208">
        <v>0</v>
      </c>
      <c r="O108" s="208" t="s">
        <v>60</v>
      </c>
      <c r="P108" s="208" t="s">
        <v>79</v>
      </c>
      <c r="Q108" s="210"/>
      <c r="R108" s="210" t="s">
        <v>654</v>
      </c>
      <c r="S108" s="211"/>
      <c r="T108" s="210"/>
      <c r="U108" s="210"/>
      <c r="V108" s="170" t="s">
        <v>62</v>
      </c>
      <c r="W108" s="129"/>
      <c r="X108" s="129">
        <v>2</v>
      </c>
      <c r="Y108" s="170" t="s">
        <v>655</v>
      </c>
      <c r="Z108" s="135" t="s">
        <v>63</v>
      </c>
      <c r="AA108" s="171">
        <v>12</v>
      </c>
      <c r="AB108" s="171">
        <v>6</v>
      </c>
      <c r="AC108" s="172">
        <v>39</v>
      </c>
      <c r="AD108" s="172" t="s">
        <v>80</v>
      </c>
      <c r="AE108" s="172" t="s">
        <v>116</v>
      </c>
      <c r="AF108" s="172">
        <v>9.6300000000000008</v>
      </c>
      <c r="AG108" s="172" t="s">
        <v>80</v>
      </c>
      <c r="AH108" s="172" t="s">
        <v>117</v>
      </c>
      <c r="AI108" s="172">
        <v>20</v>
      </c>
      <c r="AJ108" s="172">
        <v>53</v>
      </c>
      <c r="AK108" s="171">
        <v>63.4</v>
      </c>
      <c r="AL108" s="171" t="s">
        <v>81</v>
      </c>
      <c r="AM108" s="171" t="s">
        <v>118</v>
      </c>
      <c r="AN108" s="171">
        <v>12.15</v>
      </c>
      <c r="AO108" s="171" t="s">
        <v>81</v>
      </c>
      <c r="AP108" s="171" t="s">
        <v>117</v>
      </c>
      <c r="AQ108" s="171">
        <v>48</v>
      </c>
      <c r="AR108" s="171">
        <v>88</v>
      </c>
      <c r="AS108" s="172"/>
      <c r="AT108" s="172"/>
      <c r="AU108" s="172"/>
      <c r="AV108" s="172"/>
      <c r="AW108" s="172"/>
      <c r="AX108" s="172"/>
      <c r="AY108" s="172"/>
      <c r="AZ108" s="172"/>
      <c r="BA108" s="171"/>
      <c r="BB108" s="171"/>
      <c r="BC108" s="171"/>
      <c r="BD108" s="171"/>
      <c r="BE108" s="171"/>
      <c r="BF108" s="171"/>
      <c r="BG108" s="171"/>
      <c r="BH108" s="171"/>
      <c r="BI108" s="172"/>
      <c r="BJ108" s="172"/>
      <c r="BK108" s="172"/>
      <c r="BL108" s="172"/>
      <c r="BM108" s="172"/>
      <c r="BN108" s="172"/>
      <c r="BO108" s="172"/>
      <c r="BP108" s="172"/>
      <c r="BQ108" s="171" t="s">
        <v>184</v>
      </c>
      <c r="BR108" s="165"/>
      <c r="BS108" s="124">
        <v>110</v>
      </c>
      <c r="BT108" s="124" t="s">
        <v>584</v>
      </c>
    </row>
    <row r="109" spans="1:72" ht="14.25" hidden="1" customHeight="1" x14ac:dyDescent="0.2">
      <c r="A109" s="205">
        <v>111</v>
      </c>
      <c r="B109" s="233" t="s">
        <v>650</v>
      </c>
      <c r="C109" s="263" t="s">
        <v>651</v>
      </c>
      <c r="D109" s="233" t="s">
        <v>656</v>
      </c>
      <c r="E109" s="125" t="s">
        <v>54</v>
      </c>
      <c r="F109" s="181" t="s">
        <v>103</v>
      </c>
      <c r="G109" s="181" t="s">
        <v>56</v>
      </c>
      <c r="H109" s="181" t="s">
        <v>653</v>
      </c>
      <c r="I109" s="181"/>
      <c r="J109" s="208">
        <v>300</v>
      </c>
      <c r="K109" s="209"/>
      <c r="L109" s="209" t="s">
        <v>58</v>
      </c>
      <c r="M109" s="208" t="s">
        <v>59</v>
      </c>
      <c r="N109" s="208">
        <v>0</v>
      </c>
      <c r="O109" s="208" t="s">
        <v>60</v>
      </c>
      <c r="P109" s="208" t="s">
        <v>79</v>
      </c>
      <c r="Q109" s="210"/>
      <c r="R109" s="210" t="s">
        <v>657</v>
      </c>
      <c r="S109" s="211"/>
      <c r="T109" s="210"/>
      <c r="U109" s="210"/>
      <c r="V109" s="170" t="s">
        <v>62</v>
      </c>
      <c r="W109" s="129"/>
      <c r="X109" s="129">
        <v>2</v>
      </c>
      <c r="Y109" s="170" t="s">
        <v>655</v>
      </c>
      <c r="Z109" s="135" t="s">
        <v>63</v>
      </c>
      <c r="AA109" s="171">
        <v>12</v>
      </c>
      <c r="AB109" s="171">
        <v>6</v>
      </c>
      <c r="AC109" s="172">
        <v>39</v>
      </c>
      <c r="AD109" s="172" t="s">
        <v>80</v>
      </c>
      <c r="AE109" s="172" t="s">
        <v>116</v>
      </c>
      <c r="AF109" s="172">
        <v>9.6300000000000008</v>
      </c>
      <c r="AG109" s="172" t="s">
        <v>80</v>
      </c>
      <c r="AH109" s="172" t="s">
        <v>117</v>
      </c>
      <c r="AI109" s="172">
        <v>20</v>
      </c>
      <c r="AJ109" s="172">
        <v>53</v>
      </c>
      <c r="AK109" s="171">
        <v>63.4</v>
      </c>
      <c r="AL109" s="171" t="s">
        <v>81</v>
      </c>
      <c r="AM109" s="171" t="s">
        <v>118</v>
      </c>
      <c r="AN109" s="171">
        <v>12.15</v>
      </c>
      <c r="AO109" s="171" t="s">
        <v>81</v>
      </c>
      <c r="AP109" s="171" t="s">
        <v>117</v>
      </c>
      <c r="AQ109" s="171">
        <v>48</v>
      </c>
      <c r="AR109" s="171">
        <v>88</v>
      </c>
      <c r="AS109" s="172"/>
      <c r="AT109" s="172"/>
      <c r="AU109" s="172"/>
      <c r="AV109" s="172"/>
      <c r="AW109" s="172"/>
      <c r="AX109" s="172"/>
      <c r="AY109" s="172"/>
      <c r="AZ109" s="172"/>
      <c r="BA109" s="171"/>
      <c r="BB109" s="171"/>
      <c r="BC109" s="171"/>
      <c r="BD109" s="171"/>
      <c r="BE109" s="171"/>
      <c r="BF109" s="171"/>
      <c r="BG109" s="171"/>
      <c r="BH109" s="171"/>
      <c r="BI109" s="172"/>
      <c r="BJ109" s="172"/>
      <c r="BK109" s="172"/>
      <c r="BL109" s="172"/>
      <c r="BM109" s="172"/>
      <c r="BN109" s="172"/>
      <c r="BO109" s="172"/>
      <c r="BP109" s="172"/>
      <c r="BQ109" s="171" t="s">
        <v>184</v>
      </c>
      <c r="BR109" s="165"/>
      <c r="BS109" s="124">
        <v>111</v>
      </c>
      <c r="BT109" s="124" t="s">
        <v>584</v>
      </c>
    </row>
    <row r="110" spans="1:72" ht="14.25" hidden="1" customHeight="1" x14ac:dyDescent="0.2">
      <c r="A110" s="92">
        <v>112</v>
      </c>
      <c r="B110" s="233" t="s">
        <v>198</v>
      </c>
      <c r="C110" s="263" t="s">
        <v>199</v>
      </c>
      <c r="D110" s="233" t="s">
        <v>200</v>
      </c>
      <c r="E110" s="125" t="s">
        <v>102</v>
      </c>
      <c r="F110" s="181" t="s">
        <v>103</v>
      </c>
      <c r="G110" s="181" t="s">
        <v>56</v>
      </c>
      <c r="H110" s="181" t="s">
        <v>66</v>
      </c>
      <c r="I110" s="181"/>
      <c r="J110" s="178">
        <v>7.4999999999999997E-2</v>
      </c>
      <c r="K110" s="182"/>
      <c r="L110" s="182" t="s">
        <v>107</v>
      </c>
      <c r="M110" s="178" t="s">
        <v>59</v>
      </c>
      <c r="N110" s="178">
        <v>0</v>
      </c>
      <c r="O110" s="178" t="s">
        <v>60</v>
      </c>
      <c r="P110" s="178"/>
      <c r="Q110" s="179"/>
      <c r="R110" s="179" t="s">
        <v>201</v>
      </c>
      <c r="S110" s="180"/>
      <c r="T110" s="179"/>
      <c r="U110" s="179" t="s">
        <v>202</v>
      </c>
      <c r="V110" s="167" t="s">
        <v>62</v>
      </c>
      <c r="W110" s="168">
        <v>8</v>
      </c>
      <c r="X110" s="106" t="s">
        <v>203</v>
      </c>
      <c r="Y110" s="167"/>
      <c r="Z110" s="169" t="s">
        <v>63</v>
      </c>
      <c r="AA110" s="166">
        <v>18</v>
      </c>
      <c r="AB110" s="166">
        <v>10</v>
      </c>
      <c r="AC110" s="165">
        <v>38.700000000000003</v>
      </c>
      <c r="AD110" s="165" t="s">
        <v>80</v>
      </c>
      <c r="AE110" s="165" t="s">
        <v>116</v>
      </c>
      <c r="AF110" s="165">
        <v>8.8000000000000007</v>
      </c>
      <c r="AG110" s="165" t="s">
        <v>80</v>
      </c>
      <c r="AH110" s="165" t="s">
        <v>117</v>
      </c>
      <c r="AI110" s="165"/>
      <c r="AJ110" s="165"/>
      <c r="AK110" s="166">
        <v>73.400000000000006</v>
      </c>
      <c r="AL110" s="166" t="s">
        <v>81</v>
      </c>
      <c r="AM110" s="166" t="s">
        <v>116</v>
      </c>
      <c r="AN110" s="166">
        <v>11.3</v>
      </c>
      <c r="AO110" s="166" t="s">
        <v>81</v>
      </c>
      <c r="AP110" s="166" t="s">
        <v>117</v>
      </c>
      <c r="AQ110" s="166"/>
      <c r="AR110" s="166"/>
      <c r="AS110" s="165"/>
      <c r="AT110" s="165"/>
      <c r="AU110" s="165"/>
      <c r="AV110" s="165"/>
      <c r="AW110" s="165"/>
      <c r="AX110" s="165"/>
      <c r="AY110" s="165"/>
      <c r="AZ110" s="165"/>
      <c r="BA110" s="166">
        <v>25.5</v>
      </c>
      <c r="BB110" s="166" t="s">
        <v>204</v>
      </c>
      <c r="BC110" s="166" t="s">
        <v>116</v>
      </c>
      <c r="BD110" s="166">
        <v>2.8</v>
      </c>
      <c r="BE110" s="166" t="s">
        <v>204</v>
      </c>
      <c r="BF110" s="166" t="s">
        <v>117</v>
      </c>
      <c r="BG110" s="166"/>
      <c r="BH110" s="166"/>
      <c r="BI110" s="165"/>
      <c r="BJ110" s="165"/>
      <c r="BK110" s="165"/>
      <c r="BL110" s="165"/>
      <c r="BM110" s="165"/>
      <c r="BN110" s="165"/>
      <c r="BO110" s="165"/>
      <c r="BP110" s="165"/>
      <c r="BQ110" s="166"/>
      <c r="BR110" s="165"/>
      <c r="BS110" s="124">
        <v>112</v>
      </c>
      <c r="BT110" s="174"/>
    </row>
    <row r="111" spans="1:72" ht="14.25" hidden="1" customHeight="1" x14ac:dyDescent="0.2">
      <c r="A111" s="92">
        <v>113</v>
      </c>
      <c r="B111" s="233" t="s">
        <v>198</v>
      </c>
      <c r="C111" s="263" t="s">
        <v>199</v>
      </c>
      <c r="D111" s="233" t="s">
        <v>205</v>
      </c>
      <c r="E111" s="125" t="s">
        <v>102</v>
      </c>
      <c r="F111" s="181" t="s">
        <v>103</v>
      </c>
      <c r="G111" s="181" t="s">
        <v>56</v>
      </c>
      <c r="H111" s="181" t="s">
        <v>66</v>
      </c>
      <c r="I111" s="181"/>
      <c r="J111" s="178">
        <v>7.4999999999999997E-2</v>
      </c>
      <c r="K111" s="182"/>
      <c r="L111" s="182" t="s">
        <v>107</v>
      </c>
      <c r="M111" s="178" t="s">
        <v>59</v>
      </c>
      <c r="N111" s="178">
        <f>7*24-2</f>
        <v>166</v>
      </c>
      <c r="O111" s="178" t="s">
        <v>60</v>
      </c>
      <c r="P111" s="178"/>
      <c r="Q111" s="179"/>
      <c r="R111" s="179"/>
      <c r="S111" s="180"/>
      <c r="T111" s="179"/>
      <c r="U111" s="179"/>
      <c r="V111" s="167" t="s">
        <v>62</v>
      </c>
      <c r="W111" s="168">
        <v>8</v>
      </c>
      <c r="X111" s="106" t="s">
        <v>206</v>
      </c>
      <c r="Y111" s="167"/>
      <c r="Z111" s="169" t="s">
        <v>63</v>
      </c>
      <c r="AA111" s="166">
        <v>18</v>
      </c>
      <c r="AB111" s="166">
        <v>10</v>
      </c>
      <c r="AC111" s="165">
        <v>38.700000000000003</v>
      </c>
      <c r="AD111" s="165" t="s">
        <v>80</v>
      </c>
      <c r="AE111" s="165" t="s">
        <v>116</v>
      </c>
      <c r="AF111" s="165">
        <v>8.8000000000000007</v>
      </c>
      <c r="AG111" s="165" t="s">
        <v>80</v>
      </c>
      <c r="AH111" s="165" t="s">
        <v>117</v>
      </c>
      <c r="AI111" s="165"/>
      <c r="AJ111" s="165"/>
      <c r="AK111" s="166">
        <v>73.400000000000006</v>
      </c>
      <c r="AL111" s="166" t="s">
        <v>81</v>
      </c>
      <c r="AM111" s="166" t="s">
        <v>116</v>
      </c>
      <c r="AN111" s="166">
        <v>11.3</v>
      </c>
      <c r="AO111" s="166" t="s">
        <v>81</v>
      </c>
      <c r="AP111" s="166" t="s">
        <v>117</v>
      </c>
      <c r="AQ111" s="166"/>
      <c r="AR111" s="166"/>
      <c r="AS111" s="165"/>
      <c r="AT111" s="165"/>
      <c r="AU111" s="165"/>
      <c r="AV111" s="165"/>
      <c r="AW111" s="165"/>
      <c r="AX111" s="165"/>
      <c r="AY111" s="165"/>
      <c r="AZ111" s="165"/>
      <c r="BA111" s="166">
        <v>25.5</v>
      </c>
      <c r="BB111" s="166" t="s">
        <v>204</v>
      </c>
      <c r="BC111" s="166" t="s">
        <v>116</v>
      </c>
      <c r="BD111" s="166">
        <v>2.8</v>
      </c>
      <c r="BE111" s="166" t="s">
        <v>204</v>
      </c>
      <c r="BF111" s="166" t="s">
        <v>117</v>
      </c>
      <c r="BG111" s="166"/>
      <c r="BH111" s="166"/>
      <c r="BI111" s="165"/>
      <c r="BJ111" s="165"/>
      <c r="BK111" s="165"/>
      <c r="BL111" s="165"/>
      <c r="BM111" s="165"/>
      <c r="BN111" s="165"/>
      <c r="BO111" s="165"/>
      <c r="BP111" s="165"/>
      <c r="BQ111" s="166"/>
      <c r="BR111" s="165"/>
      <c r="BS111" s="124">
        <v>113</v>
      </c>
      <c r="BT111" s="174"/>
    </row>
    <row r="112" spans="1:72" ht="14.25" hidden="1" customHeight="1" x14ac:dyDescent="0.2">
      <c r="A112" s="92">
        <v>114</v>
      </c>
      <c r="B112" s="233" t="s">
        <v>198</v>
      </c>
      <c r="C112" s="263" t="s">
        <v>199</v>
      </c>
      <c r="D112" s="233" t="s">
        <v>207</v>
      </c>
      <c r="E112" s="125" t="s">
        <v>102</v>
      </c>
      <c r="F112" s="181" t="s">
        <v>103</v>
      </c>
      <c r="G112" s="181" t="s">
        <v>56</v>
      </c>
      <c r="H112" s="181" t="s">
        <v>66</v>
      </c>
      <c r="I112" s="181"/>
      <c r="J112" s="178">
        <v>7.4999999999999997E-2</v>
      </c>
      <c r="K112" s="182"/>
      <c r="L112" s="182" t="s">
        <v>107</v>
      </c>
      <c r="M112" s="178" t="s">
        <v>59</v>
      </c>
      <c r="N112" s="178">
        <f>5*24-2</f>
        <v>118</v>
      </c>
      <c r="O112" s="178" t="s">
        <v>60</v>
      </c>
      <c r="P112" s="178"/>
      <c r="Q112" s="179"/>
      <c r="R112" s="179"/>
      <c r="S112" s="180"/>
      <c r="T112" s="179"/>
      <c r="U112" s="179"/>
      <c r="V112" s="167" t="s">
        <v>62</v>
      </c>
      <c r="W112" s="168">
        <v>8</v>
      </c>
      <c r="X112" s="106" t="s">
        <v>206</v>
      </c>
      <c r="Y112" s="167"/>
      <c r="Z112" s="169" t="s">
        <v>63</v>
      </c>
      <c r="AA112" s="166">
        <v>18</v>
      </c>
      <c r="AB112" s="166">
        <v>10</v>
      </c>
      <c r="AC112" s="165">
        <v>38.700000000000003</v>
      </c>
      <c r="AD112" s="165" t="s">
        <v>80</v>
      </c>
      <c r="AE112" s="165" t="s">
        <v>116</v>
      </c>
      <c r="AF112" s="165">
        <v>8.8000000000000007</v>
      </c>
      <c r="AG112" s="165" t="s">
        <v>80</v>
      </c>
      <c r="AH112" s="165" t="s">
        <v>117</v>
      </c>
      <c r="AI112" s="165"/>
      <c r="AJ112" s="165"/>
      <c r="AK112" s="166">
        <v>73.400000000000006</v>
      </c>
      <c r="AL112" s="166" t="s">
        <v>81</v>
      </c>
      <c r="AM112" s="166" t="s">
        <v>116</v>
      </c>
      <c r="AN112" s="166">
        <v>11.3</v>
      </c>
      <c r="AO112" s="166" t="s">
        <v>81</v>
      </c>
      <c r="AP112" s="166" t="s">
        <v>117</v>
      </c>
      <c r="AQ112" s="166"/>
      <c r="AR112" s="166"/>
      <c r="AS112" s="165"/>
      <c r="AT112" s="165"/>
      <c r="AU112" s="165"/>
      <c r="AV112" s="165"/>
      <c r="AW112" s="165"/>
      <c r="AX112" s="165"/>
      <c r="AY112" s="165"/>
      <c r="AZ112" s="165"/>
      <c r="BA112" s="166">
        <v>25.5</v>
      </c>
      <c r="BB112" s="166" t="s">
        <v>204</v>
      </c>
      <c r="BC112" s="166" t="s">
        <v>116</v>
      </c>
      <c r="BD112" s="166">
        <v>2.8</v>
      </c>
      <c r="BE112" s="166" t="s">
        <v>204</v>
      </c>
      <c r="BF112" s="166" t="s">
        <v>117</v>
      </c>
      <c r="BG112" s="166"/>
      <c r="BH112" s="166"/>
      <c r="BI112" s="165"/>
      <c r="BJ112" s="165"/>
      <c r="BK112" s="165"/>
      <c r="BL112" s="165"/>
      <c r="BM112" s="165"/>
      <c r="BN112" s="165"/>
      <c r="BO112" s="165"/>
      <c r="BP112" s="165"/>
      <c r="BQ112" s="166"/>
      <c r="BR112" s="165"/>
      <c r="BS112" s="124">
        <v>114</v>
      </c>
      <c r="BT112" s="174"/>
    </row>
    <row r="113" spans="1:72" ht="14.25" hidden="1" customHeight="1" x14ac:dyDescent="0.2">
      <c r="A113" s="92">
        <v>115</v>
      </c>
      <c r="B113" s="233" t="s">
        <v>198</v>
      </c>
      <c r="C113" s="263" t="s">
        <v>199</v>
      </c>
      <c r="D113" s="233" t="s">
        <v>200</v>
      </c>
      <c r="E113" s="125" t="s">
        <v>208</v>
      </c>
      <c r="F113" s="181" t="s">
        <v>103</v>
      </c>
      <c r="G113" s="181" t="s">
        <v>56</v>
      </c>
      <c r="H113" s="181" t="s">
        <v>157</v>
      </c>
      <c r="I113" s="181"/>
      <c r="J113" s="178">
        <v>40</v>
      </c>
      <c r="K113" s="182"/>
      <c r="L113" s="182" t="s">
        <v>58</v>
      </c>
      <c r="M113" s="178" t="s">
        <v>59</v>
      </c>
      <c r="N113" s="178">
        <v>0</v>
      </c>
      <c r="O113" s="178" t="s">
        <v>60</v>
      </c>
      <c r="P113" s="178"/>
      <c r="Q113" s="179"/>
      <c r="R113" s="179" t="s">
        <v>209</v>
      </c>
      <c r="S113" s="180"/>
      <c r="T113" s="179"/>
      <c r="U113" s="179" t="s">
        <v>210</v>
      </c>
      <c r="V113" s="167" t="s">
        <v>62</v>
      </c>
      <c r="W113" s="168">
        <v>8</v>
      </c>
      <c r="X113" s="106" t="s">
        <v>203</v>
      </c>
      <c r="Y113" s="167"/>
      <c r="Z113" s="169" t="s">
        <v>63</v>
      </c>
      <c r="AA113" s="166">
        <v>18</v>
      </c>
      <c r="AB113" s="166">
        <v>10</v>
      </c>
      <c r="AC113" s="165">
        <v>38.700000000000003</v>
      </c>
      <c r="AD113" s="165" t="s">
        <v>80</v>
      </c>
      <c r="AE113" s="165" t="s">
        <v>116</v>
      </c>
      <c r="AF113" s="165">
        <v>8.8000000000000007</v>
      </c>
      <c r="AG113" s="165" t="s">
        <v>80</v>
      </c>
      <c r="AH113" s="165" t="s">
        <v>117</v>
      </c>
      <c r="AI113" s="165"/>
      <c r="AJ113" s="165"/>
      <c r="AK113" s="166">
        <v>73.400000000000006</v>
      </c>
      <c r="AL113" s="166" t="s">
        <v>81</v>
      </c>
      <c r="AM113" s="166" t="s">
        <v>116</v>
      </c>
      <c r="AN113" s="166">
        <v>11.3</v>
      </c>
      <c r="AO113" s="166" t="s">
        <v>81</v>
      </c>
      <c r="AP113" s="166" t="s">
        <v>117</v>
      </c>
      <c r="AQ113" s="166"/>
      <c r="AR113" s="166"/>
      <c r="AS113" s="165"/>
      <c r="AT113" s="165"/>
      <c r="AU113" s="165"/>
      <c r="AV113" s="165"/>
      <c r="AW113" s="165"/>
      <c r="AX113" s="165"/>
      <c r="AY113" s="165"/>
      <c r="AZ113" s="165"/>
      <c r="BA113" s="166">
        <v>25.5</v>
      </c>
      <c r="BB113" s="166" t="s">
        <v>204</v>
      </c>
      <c r="BC113" s="166" t="s">
        <v>116</v>
      </c>
      <c r="BD113" s="166">
        <v>2.8</v>
      </c>
      <c r="BE113" s="166" t="s">
        <v>204</v>
      </c>
      <c r="BF113" s="166" t="s">
        <v>117</v>
      </c>
      <c r="BG113" s="166"/>
      <c r="BH113" s="166"/>
      <c r="BI113" s="165"/>
      <c r="BJ113" s="165"/>
      <c r="BK113" s="165"/>
      <c r="BL113" s="165"/>
      <c r="BM113" s="165"/>
      <c r="BN113" s="165"/>
      <c r="BO113" s="165"/>
      <c r="BP113" s="165"/>
      <c r="BQ113" s="166"/>
      <c r="BR113" s="165"/>
      <c r="BS113" s="124">
        <v>115</v>
      </c>
      <c r="BT113" s="174"/>
    </row>
    <row r="114" spans="1:72" ht="14.25" hidden="1" customHeight="1" x14ac:dyDescent="0.2">
      <c r="A114" s="92">
        <v>116</v>
      </c>
      <c r="B114" s="233" t="s">
        <v>198</v>
      </c>
      <c r="C114" s="263" t="s">
        <v>199</v>
      </c>
      <c r="D114" s="233" t="s">
        <v>205</v>
      </c>
      <c r="E114" s="125" t="s">
        <v>208</v>
      </c>
      <c r="F114" s="181" t="s">
        <v>103</v>
      </c>
      <c r="G114" s="181" t="s">
        <v>56</v>
      </c>
      <c r="H114" s="181" t="s">
        <v>157</v>
      </c>
      <c r="I114" s="181"/>
      <c r="J114" s="178">
        <v>40</v>
      </c>
      <c r="K114" s="182"/>
      <c r="L114" s="182" t="s">
        <v>58</v>
      </c>
      <c r="M114" s="178" t="s">
        <v>59</v>
      </c>
      <c r="N114" s="178">
        <f>8*24-2</f>
        <v>190</v>
      </c>
      <c r="O114" s="178" t="s">
        <v>60</v>
      </c>
      <c r="P114" s="178"/>
      <c r="Q114" s="179"/>
      <c r="R114" s="179"/>
      <c r="S114" s="180"/>
      <c r="T114" s="179"/>
      <c r="U114" s="179"/>
      <c r="V114" s="167" t="s">
        <v>62</v>
      </c>
      <c r="W114" s="168">
        <v>8</v>
      </c>
      <c r="X114" s="106" t="s">
        <v>206</v>
      </c>
      <c r="Y114" s="167"/>
      <c r="Z114" s="169" t="s">
        <v>63</v>
      </c>
      <c r="AA114" s="166">
        <v>18</v>
      </c>
      <c r="AB114" s="166">
        <v>10</v>
      </c>
      <c r="AC114" s="165">
        <v>38.700000000000003</v>
      </c>
      <c r="AD114" s="165" t="s">
        <v>80</v>
      </c>
      <c r="AE114" s="165" t="s">
        <v>116</v>
      </c>
      <c r="AF114" s="165">
        <v>8.8000000000000007</v>
      </c>
      <c r="AG114" s="165" t="s">
        <v>80</v>
      </c>
      <c r="AH114" s="165" t="s">
        <v>117</v>
      </c>
      <c r="AI114" s="165"/>
      <c r="AJ114" s="165"/>
      <c r="AK114" s="166">
        <v>73.400000000000006</v>
      </c>
      <c r="AL114" s="166" t="s">
        <v>81</v>
      </c>
      <c r="AM114" s="166" t="s">
        <v>116</v>
      </c>
      <c r="AN114" s="166">
        <v>11.3</v>
      </c>
      <c r="AO114" s="166" t="s">
        <v>81</v>
      </c>
      <c r="AP114" s="166" t="s">
        <v>117</v>
      </c>
      <c r="AQ114" s="166"/>
      <c r="AR114" s="166"/>
      <c r="AS114" s="165"/>
      <c r="AT114" s="165"/>
      <c r="AU114" s="165"/>
      <c r="AV114" s="165"/>
      <c r="AW114" s="165"/>
      <c r="AX114" s="165"/>
      <c r="AY114" s="165"/>
      <c r="AZ114" s="165"/>
      <c r="BA114" s="166">
        <v>25.5</v>
      </c>
      <c r="BB114" s="166" t="s">
        <v>204</v>
      </c>
      <c r="BC114" s="166" t="s">
        <v>116</v>
      </c>
      <c r="BD114" s="166">
        <v>2.8</v>
      </c>
      <c r="BE114" s="166" t="s">
        <v>204</v>
      </c>
      <c r="BF114" s="166" t="s">
        <v>117</v>
      </c>
      <c r="BG114" s="166"/>
      <c r="BH114" s="166"/>
      <c r="BI114" s="165"/>
      <c r="BJ114" s="165"/>
      <c r="BK114" s="165"/>
      <c r="BL114" s="165"/>
      <c r="BM114" s="165"/>
      <c r="BN114" s="165"/>
      <c r="BO114" s="165"/>
      <c r="BP114" s="165"/>
      <c r="BQ114" s="166"/>
      <c r="BR114" s="165"/>
      <c r="BS114" s="124">
        <v>116</v>
      </c>
      <c r="BT114" s="174"/>
    </row>
    <row r="115" spans="1:72" ht="14.25" hidden="1" customHeight="1" x14ac:dyDescent="0.2">
      <c r="A115" s="92">
        <v>117</v>
      </c>
      <c r="B115" s="233" t="s">
        <v>198</v>
      </c>
      <c r="C115" s="263" t="s">
        <v>199</v>
      </c>
      <c r="D115" s="233" t="s">
        <v>207</v>
      </c>
      <c r="E115" s="125" t="s">
        <v>208</v>
      </c>
      <c r="F115" s="181" t="s">
        <v>103</v>
      </c>
      <c r="G115" s="181" t="s">
        <v>56</v>
      </c>
      <c r="H115" s="181" t="s">
        <v>157</v>
      </c>
      <c r="I115" s="181"/>
      <c r="J115" s="178">
        <v>40</v>
      </c>
      <c r="K115" s="182"/>
      <c r="L115" s="182" t="s">
        <v>58</v>
      </c>
      <c r="M115" s="178" t="s">
        <v>59</v>
      </c>
      <c r="N115" s="178">
        <f>8*24-2</f>
        <v>190</v>
      </c>
      <c r="O115" s="178" t="s">
        <v>60</v>
      </c>
      <c r="P115" s="178"/>
      <c r="Q115" s="179"/>
      <c r="R115" s="179"/>
      <c r="S115" s="180"/>
      <c r="T115" s="179"/>
      <c r="U115" s="179"/>
      <c r="V115" s="167" t="s">
        <v>62</v>
      </c>
      <c r="W115" s="168">
        <v>8</v>
      </c>
      <c r="X115" s="106" t="s">
        <v>206</v>
      </c>
      <c r="Y115" s="167"/>
      <c r="Z115" s="169" t="s">
        <v>63</v>
      </c>
      <c r="AA115" s="166">
        <v>18</v>
      </c>
      <c r="AB115" s="166">
        <v>10</v>
      </c>
      <c r="AC115" s="165">
        <v>38.700000000000003</v>
      </c>
      <c r="AD115" s="165" t="s">
        <v>80</v>
      </c>
      <c r="AE115" s="165" t="s">
        <v>116</v>
      </c>
      <c r="AF115" s="165">
        <v>8.8000000000000007</v>
      </c>
      <c r="AG115" s="165" t="s">
        <v>80</v>
      </c>
      <c r="AH115" s="165" t="s">
        <v>117</v>
      </c>
      <c r="AI115" s="165"/>
      <c r="AJ115" s="165"/>
      <c r="AK115" s="166">
        <v>73.400000000000006</v>
      </c>
      <c r="AL115" s="166" t="s">
        <v>81</v>
      </c>
      <c r="AM115" s="166" t="s">
        <v>116</v>
      </c>
      <c r="AN115" s="166">
        <v>11.3</v>
      </c>
      <c r="AO115" s="166" t="s">
        <v>81</v>
      </c>
      <c r="AP115" s="166" t="s">
        <v>117</v>
      </c>
      <c r="AQ115" s="166"/>
      <c r="AR115" s="166"/>
      <c r="AS115" s="165"/>
      <c r="AT115" s="165"/>
      <c r="AU115" s="165"/>
      <c r="AV115" s="165"/>
      <c r="AW115" s="165"/>
      <c r="AX115" s="165"/>
      <c r="AY115" s="165"/>
      <c r="AZ115" s="165"/>
      <c r="BA115" s="166">
        <v>25.5</v>
      </c>
      <c r="BB115" s="166" t="s">
        <v>204</v>
      </c>
      <c r="BC115" s="166" t="s">
        <v>116</v>
      </c>
      <c r="BD115" s="166">
        <v>2.8</v>
      </c>
      <c r="BE115" s="166" t="s">
        <v>204</v>
      </c>
      <c r="BF115" s="166" t="s">
        <v>117</v>
      </c>
      <c r="BG115" s="166"/>
      <c r="BH115" s="166"/>
      <c r="BI115" s="165"/>
      <c r="BJ115" s="165"/>
      <c r="BK115" s="165"/>
      <c r="BL115" s="165"/>
      <c r="BM115" s="165"/>
      <c r="BN115" s="165"/>
      <c r="BO115" s="165"/>
      <c r="BP115" s="165"/>
      <c r="BQ115" s="166"/>
      <c r="BR115" s="165"/>
      <c r="BS115" s="124">
        <v>117</v>
      </c>
      <c r="BT115" s="174"/>
    </row>
    <row r="116" spans="1:72" ht="14.25" hidden="1" customHeight="1" x14ac:dyDescent="0.2">
      <c r="A116" s="205">
        <v>118</v>
      </c>
      <c r="B116" s="231" t="s">
        <v>658</v>
      </c>
      <c r="C116" s="264" t="s">
        <v>659</v>
      </c>
      <c r="D116" s="231" t="s">
        <v>101</v>
      </c>
      <c r="E116" s="125" t="s">
        <v>102</v>
      </c>
      <c r="F116" s="181" t="s">
        <v>103</v>
      </c>
      <c r="G116" s="181" t="s">
        <v>56</v>
      </c>
      <c r="H116" s="181" t="s">
        <v>168</v>
      </c>
      <c r="I116" s="181"/>
      <c r="J116" s="178">
        <v>5</v>
      </c>
      <c r="K116" s="182"/>
      <c r="L116" s="182" t="s">
        <v>58</v>
      </c>
      <c r="M116" s="208" t="s">
        <v>59</v>
      </c>
      <c r="N116" s="208">
        <v>0</v>
      </c>
      <c r="O116" s="208" t="s">
        <v>60</v>
      </c>
      <c r="P116" s="208" t="s">
        <v>79</v>
      </c>
      <c r="Q116" s="179"/>
      <c r="R116" s="179"/>
      <c r="S116" s="180"/>
      <c r="T116" s="179"/>
      <c r="U116" s="179"/>
      <c r="V116" s="167" t="s">
        <v>62</v>
      </c>
      <c r="W116" s="168"/>
      <c r="X116" s="168"/>
      <c r="Y116" s="170" t="s">
        <v>655</v>
      </c>
      <c r="Z116" s="135" t="s">
        <v>63</v>
      </c>
      <c r="AA116" s="166">
        <v>24</v>
      </c>
      <c r="AB116" s="166">
        <v>7</v>
      </c>
      <c r="AC116" s="165">
        <v>38.799999999999997</v>
      </c>
      <c r="AD116" s="172" t="s">
        <v>80</v>
      </c>
      <c r="AE116" s="172" t="s">
        <v>116</v>
      </c>
      <c r="AF116" s="165">
        <v>6.7</v>
      </c>
      <c r="AG116" s="172" t="s">
        <v>80</v>
      </c>
      <c r="AH116" s="172" t="s">
        <v>117</v>
      </c>
      <c r="AI116" s="165"/>
      <c r="AJ116" s="165"/>
      <c r="AK116" s="166"/>
      <c r="AL116" s="166"/>
      <c r="AM116" s="166"/>
      <c r="AN116" s="166"/>
      <c r="AO116" s="166"/>
      <c r="AP116" s="166"/>
      <c r="AQ116" s="166"/>
      <c r="AR116" s="166"/>
      <c r="AS116" s="165"/>
      <c r="AT116" s="165"/>
      <c r="AU116" s="165"/>
      <c r="AV116" s="165"/>
      <c r="AW116" s="165"/>
      <c r="AX116" s="165"/>
      <c r="AY116" s="165"/>
      <c r="AZ116" s="165"/>
      <c r="BA116" s="166">
        <v>26.8</v>
      </c>
      <c r="BB116" s="166" t="s">
        <v>367</v>
      </c>
      <c r="BC116" s="166" t="s">
        <v>335</v>
      </c>
      <c r="BD116" s="166">
        <v>2.7</v>
      </c>
      <c r="BE116" s="166" t="s">
        <v>367</v>
      </c>
      <c r="BF116" s="166" t="s">
        <v>117</v>
      </c>
      <c r="BG116" s="166"/>
      <c r="BH116" s="166"/>
      <c r="BI116" s="165"/>
      <c r="BJ116" s="165"/>
      <c r="BK116" s="165"/>
      <c r="BL116" s="165"/>
      <c r="BM116" s="165"/>
      <c r="BN116" s="165"/>
      <c r="BO116" s="165"/>
      <c r="BP116" s="165"/>
      <c r="BQ116" s="166" t="s">
        <v>660</v>
      </c>
      <c r="BR116" s="165"/>
      <c r="BS116" s="124">
        <v>118</v>
      </c>
      <c r="BT116" s="124" t="s">
        <v>584</v>
      </c>
    </row>
    <row r="117" spans="1:72" ht="14.25" hidden="1" customHeight="1" x14ac:dyDescent="0.2">
      <c r="A117" s="205">
        <v>119</v>
      </c>
      <c r="B117" s="231" t="s">
        <v>658</v>
      </c>
      <c r="C117" s="264" t="s">
        <v>661</v>
      </c>
      <c r="D117" s="231" t="s">
        <v>106</v>
      </c>
      <c r="E117" s="125" t="s">
        <v>102</v>
      </c>
      <c r="F117" s="181" t="s">
        <v>103</v>
      </c>
      <c r="G117" s="181" t="s">
        <v>56</v>
      </c>
      <c r="H117" s="181" t="s">
        <v>168</v>
      </c>
      <c r="I117" s="181"/>
      <c r="J117" s="178">
        <v>2</v>
      </c>
      <c r="K117" s="182"/>
      <c r="L117" s="182" t="s">
        <v>58</v>
      </c>
      <c r="M117" s="178" t="s">
        <v>78</v>
      </c>
      <c r="N117" s="208">
        <v>0</v>
      </c>
      <c r="O117" s="208" t="s">
        <v>60</v>
      </c>
      <c r="P117" s="208" t="s">
        <v>79</v>
      </c>
      <c r="Q117" s="179"/>
      <c r="R117" s="179"/>
      <c r="S117" s="180"/>
      <c r="T117" s="179"/>
      <c r="U117" s="179"/>
      <c r="V117" s="167" t="s">
        <v>62</v>
      </c>
      <c r="W117" s="168"/>
      <c r="X117" s="168"/>
      <c r="Y117" s="170" t="s">
        <v>655</v>
      </c>
      <c r="Z117" s="135" t="s">
        <v>63</v>
      </c>
      <c r="AA117" s="166">
        <v>24</v>
      </c>
      <c r="AB117" s="166">
        <v>7</v>
      </c>
      <c r="AC117" s="165">
        <v>38.799999999999997</v>
      </c>
      <c r="AD117" s="172" t="s">
        <v>80</v>
      </c>
      <c r="AE117" s="172" t="s">
        <v>116</v>
      </c>
      <c r="AF117" s="165">
        <v>6.7</v>
      </c>
      <c r="AG117" s="172" t="s">
        <v>80</v>
      </c>
      <c r="AH117" s="172" t="s">
        <v>117</v>
      </c>
      <c r="AI117" s="165"/>
      <c r="AJ117" s="165"/>
      <c r="AK117" s="166"/>
      <c r="AL117" s="166"/>
      <c r="AM117" s="166"/>
      <c r="AN117" s="166"/>
      <c r="AO117" s="166"/>
      <c r="AP117" s="166"/>
      <c r="AQ117" s="166"/>
      <c r="AR117" s="166"/>
      <c r="AS117" s="165"/>
      <c r="AT117" s="165"/>
      <c r="AU117" s="165"/>
      <c r="AV117" s="165"/>
      <c r="AW117" s="165"/>
      <c r="AX117" s="165"/>
      <c r="AY117" s="165"/>
      <c r="AZ117" s="165"/>
      <c r="BA117" s="166">
        <v>26.8</v>
      </c>
      <c r="BB117" s="166" t="s">
        <v>367</v>
      </c>
      <c r="BC117" s="166" t="s">
        <v>335</v>
      </c>
      <c r="BD117" s="166">
        <v>2.7</v>
      </c>
      <c r="BE117" s="166" t="s">
        <v>367</v>
      </c>
      <c r="BF117" s="166" t="s">
        <v>117</v>
      </c>
      <c r="BG117" s="166"/>
      <c r="BH117" s="166"/>
      <c r="BI117" s="165"/>
      <c r="BJ117" s="165"/>
      <c r="BK117" s="165"/>
      <c r="BL117" s="165"/>
      <c r="BM117" s="165"/>
      <c r="BN117" s="165"/>
      <c r="BO117" s="165"/>
      <c r="BP117" s="165"/>
      <c r="BQ117" s="166" t="s">
        <v>660</v>
      </c>
      <c r="BR117" s="165"/>
      <c r="BS117" s="124">
        <v>119</v>
      </c>
      <c r="BT117" s="124" t="s">
        <v>584</v>
      </c>
    </row>
    <row r="118" spans="1:72" ht="14.25" hidden="1" customHeight="1" x14ac:dyDescent="0.2">
      <c r="A118" s="205">
        <v>120</v>
      </c>
      <c r="B118" s="231" t="s">
        <v>658</v>
      </c>
      <c r="C118" s="264" t="s">
        <v>661</v>
      </c>
      <c r="D118" s="231" t="s">
        <v>101</v>
      </c>
      <c r="E118" s="125" t="s">
        <v>662</v>
      </c>
      <c r="F118" s="181" t="s">
        <v>103</v>
      </c>
      <c r="G118" s="181" t="s">
        <v>56</v>
      </c>
      <c r="H118" s="181" t="s">
        <v>157</v>
      </c>
      <c r="I118" s="181"/>
      <c r="J118" s="178">
        <v>200</v>
      </c>
      <c r="K118" s="182"/>
      <c r="L118" s="182" t="s">
        <v>58</v>
      </c>
      <c r="M118" s="208" t="s">
        <v>59</v>
      </c>
      <c r="N118" s="208">
        <v>0</v>
      </c>
      <c r="O118" s="208" t="s">
        <v>60</v>
      </c>
      <c r="P118" s="208" t="s">
        <v>79</v>
      </c>
      <c r="Q118" s="179"/>
      <c r="R118" s="179"/>
      <c r="S118" s="180"/>
      <c r="T118" s="179"/>
      <c r="U118" s="179"/>
      <c r="V118" s="167" t="s">
        <v>62</v>
      </c>
      <c r="W118" s="168"/>
      <c r="X118" s="168"/>
      <c r="Y118" s="170" t="s">
        <v>655</v>
      </c>
      <c r="Z118" s="135" t="s">
        <v>63</v>
      </c>
      <c r="AA118" s="166">
        <v>29</v>
      </c>
      <c r="AB118" s="166">
        <v>11</v>
      </c>
      <c r="AC118" s="165">
        <v>28.4</v>
      </c>
      <c r="AD118" s="172" t="s">
        <v>80</v>
      </c>
      <c r="AE118" s="172" t="s">
        <v>116</v>
      </c>
      <c r="AF118" s="165">
        <v>8.4</v>
      </c>
      <c r="AG118" s="172" t="s">
        <v>80</v>
      </c>
      <c r="AH118" s="172" t="s">
        <v>117</v>
      </c>
      <c r="AI118" s="165"/>
      <c r="AJ118" s="165"/>
      <c r="AK118" s="166"/>
      <c r="AL118" s="166"/>
      <c r="AM118" s="166"/>
      <c r="AN118" s="166"/>
      <c r="AO118" s="166"/>
      <c r="AP118" s="166"/>
      <c r="AQ118" s="166"/>
      <c r="AR118" s="166"/>
      <c r="AS118" s="165"/>
      <c r="AT118" s="165"/>
      <c r="AU118" s="165"/>
      <c r="AV118" s="165"/>
      <c r="AW118" s="165"/>
      <c r="AX118" s="165"/>
      <c r="AY118" s="165"/>
      <c r="AZ118" s="165"/>
      <c r="BA118" s="166">
        <v>24.6</v>
      </c>
      <c r="BB118" s="166" t="s">
        <v>367</v>
      </c>
      <c r="BC118" s="166" t="s">
        <v>335</v>
      </c>
      <c r="BD118" s="166">
        <v>3.7</v>
      </c>
      <c r="BE118" s="166" t="s">
        <v>367</v>
      </c>
      <c r="BF118" s="166" t="s">
        <v>117</v>
      </c>
      <c r="BG118" s="166"/>
      <c r="BH118" s="166"/>
      <c r="BI118" s="165"/>
      <c r="BJ118" s="165"/>
      <c r="BK118" s="165"/>
      <c r="BL118" s="165"/>
      <c r="BM118" s="165"/>
      <c r="BN118" s="165"/>
      <c r="BO118" s="165"/>
      <c r="BP118" s="165"/>
      <c r="BQ118" s="166" t="s">
        <v>663</v>
      </c>
      <c r="BR118" s="165"/>
      <c r="BS118" s="124">
        <v>120</v>
      </c>
      <c r="BT118" s="124" t="s">
        <v>584</v>
      </c>
    </row>
    <row r="119" spans="1:72" ht="14.25" hidden="1" customHeight="1" x14ac:dyDescent="0.2">
      <c r="A119" s="92">
        <v>123</v>
      </c>
      <c r="B119" s="234" t="s">
        <v>215</v>
      </c>
      <c r="C119" s="263" t="s">
        <v>216</v>
      </c>
      <c r="D119" s="233" t="s">
        <v>217</v>
      </c>
      <c r="E119" s="17" t="s">
        <v>111</v>
      </c>
      <c r="F119" s="18" t="s">
        <v>103</v>
      </c>
      <c r="G119" s="181" t="s">
        <v>56</v>
      </c>
      <c r="H119" s="18" t="s">
        <v>57</v>
      </c>
      <c r="I119" s="18"/>
      <c r="J119" s="178">
        <v>5</v>
      </c>
      <c r="K119" s="139">
        <f>J119*0.9135071</f>
        <v>4.5675355</v>
      </c>
      <c r="L119" s="139" t="s">
        <v>58</v>
      </c>
      <c r="M119" s="138" t="s">
        <v>59</v>
      </c>
      <c r="N119" s="138" t="s">
        <v>218</v>
      </c>
      <c r="O119" s="138" t="s">
        <v>60</v>
      </c>
      <c r="P119" s="138" t="s">
        <v>219</v>
      </c>
      <c r="Q119" s="176" t="s">
        <v>113</v>
      </c>
      <c r="R119" s="179" t="s">
        <v>220</v>
      </c>
      <c r="S119" s="180"/>
      <c r="T119" s="180"/>
      <c r="U119" s="180"/>
      <c r="V119" s="167"/>
      <c r="W119" s="168"/>
      <c r="Y119" s="73"/>
      <c r="Z119" s="82" t="s">
        <v>63</v>
      </c>
      <c r="AA119" s="166">
        <v>13</v>
      </c>
      <c r="AB119" s="166">
        <v>1</v>
      </c>
      <c r="AC119" s="165">
        <v>28</v>
      </c>
      <c r="AD119" s="21" t="s">
        <v>80</v>
      </c>
      <c r="AE119" s="165"/>
      <c r="AF119" s="165"/>
      <c r="AG119" s="165"/>
      <c r="AH119" s="165"/>
      <c r="AI119" s="165">
        <v>20</v>
      </c>
      <c r="AJ119" s="165">
        <v>42</v>
      </c>
      <c r="AK119" s="166">
        <v>75.2</v>
      </c>
      <c r="AL119" s="166"/>
      <c r="AM119" s="166"/>
      <c r="AN119" s="166"/>
      <c r="AO119" s="166"/>
      <c r="AP119" s="166"/>
      <c r="AQ119" s="166">
        <v>59.9</v>
      </c>
      <c r="AR119" s="166">
        <v>93.5</v>
      </c>
      <c r="AS119" s="165">
        <v>178.9</v>
      </c>
      <c r="AT119" s="165"/>
      <c r="AU119" s="165"/>
      <c r="AV119" s="165"/>
      <c r="AW119" s="165"/>
      <c r="AX119" s="165"/>
      <c r="AY119" s="165">
        <v>165</v>
      </c>
      <c r="AZ119" s="165">
        <v>191</v>
      </c>
      <c r="BA119" s="166">
        <v>23.5</v>
      </c>
      <c r="BB119" s="166"/>
      <c r="BC119" s="166"/>
      <c r="BD119" s="166"/>
      <c r="BE119" s="166"/>
      <c r="BF119" s="166"/>
      <c r="BG119" s="166">
        <v>19.3</v>
      </c>
      <c r="BH119" s="166">
        <v>28.8</v>
      </c>
      <c r="BI119" s="165">
        <v>23.5</v>
      </c>
      <c r="BJ119" s="165"/>
      <c r="BK119" s="165"/>
      <c r="BL119" s="165"/>
      <c r="BM119" s="165"/>
      <c r="BN119" s="165"/>
      <c r="BO119" s="165">
        <v>19.3</v>
      </c>
      <c r="BP119" s="165">
        <v>28.8</v>
      </c>
      <c r="BQ119" s="166" t="s">
        <v>121</v>
      </c>
      <c r="BR119" s="165"/>
      <c r="BS119" s="124">
        <v>123</v>
      </c>
      <c r="BT119" s="174"/>
    </row>
    <row r="120" spans="1:72" ht="14.25" hidden="1" customHeight="1" x14ac:dyDescent="0.2">
      <c r="A120" s="92">
        <v>124</v>
      </c>
      <c r="B120" s="234" t="s">
        <v>215</v>
      </c>
      <c r="C120" s="263" t="s">
        <v>216</v>
      </c>
      <c r="D120" s="233" t="s">
        <v>221</v>
      </c>
      <c r="E120" s="17" t="s">
        <v>111</v>
      </c>
      <c r="F120" s="18" t="s">
        <v>103</v>
      </c>
      <c r="G120" s="181" t="s">
        <v>56</v>
      </c>
      <c r="H120" s="18" t="s">
        <v>57</v>
      </c>
      <c r="I120" s="18"/>
      <c r="J120" s="178">
        <v>7.5</v>
      </c>
      <c r="K120" s="139">
        <f>J120*0.9135071</f>
        <v>6.85130325</v>
      </c>
      <c r="L120" s="139" t="s">
        <v>58</v>
      </c>
      <c r="M120" s="138" t="s">
        <v>59</v>
      </c>
      <c r="N120" s="138" t="s">
        <v>222</v>
      </c>
      <c r="O120" s="138" t="s">
        <v>60</v>
      </c>
      <c r="P120" s="138" t="s">
        <v>219</v>
      </c>
      <c r="Q120" s="176" t="s">
        <v>113</v>
      </c>
      <c r="R120" s="179" t="s">
        <v>220</v>
      </c>
      <c r="S120" s="180"/>
      <c r="T120" s="180"/>
      <c r="U120" s="180"/>
      <c r="V120" s="167"/>
      <c r="W120" s="168"/>
      <c r="Y120" s="73"/>
      <c r="Z120" s="82" t="s">
        <v>63</v>
      </c>
      <c r="AA120" s="166">
        <v>13</v>
      </c>
      <c r="AB120" s="166">
        <v>1</v>
      </c>
      <c r="AC120" s="165">
        <v>28</v>
      </c>
      <c r="AD120" s="21" t="s">
        <v>80</v>
      </c>
      <c r="AE120" s="165"/>
      <c r="AF120" s="165"/>
      <c r="AG120" s="165"/>
      <c r="AH120" s="165"/>
      <c r="AI120" s="165">
        <v>20</v>
      </c>
      <c r="AJ120" s="165">
        <v>42</v>
      </c>
      <c r="AK120" s="166">
        <v>75.2</v>
      </c>
      <c r="AL120" s="166"/>
      <c r="AM120" s="166"/>
      <c r="AN120" s="166"/>
      <c r="AO120" s="166"/>
      <c r="AP120" s="166"/>
      <c r="AQ120" s="166">
        <v>59.9</v>
      </c>
      <c r="AR120" s="166">
        <v>93.5</v>
      </c>
      <c r="AS120" s="165">
        <v>178.9</v>
      </c>
      <c r="AT120" s="165"/>
      <c r="AU120" s="165"/>
      <c r="AV120" s="165"/>
      <c r="AW120" s="165"/>
      <c r="AX120" s="165"/>
      <c r="AY120" s="165">
        <v>165</v>
      </c>
      <c r="AZ120" s="165">
        <v>191</v>
      </c>
      <c r="BA120" s="166">
        <v>23.5</v>
      </c>
      <c r="BB120" s="166"/>
      <c r="BC120" s="166"/>
      <c r="BD120" s="166"/>
      <c r="BE120" s="166"/>
      <c r="BF120" s="166"/>
      <c r="BG120" s="166">
        <v>19.3</v>
      </c>
      <c r="BH120" s="166">
        <v>28.8</v>
      </c>
      <c r="BI120" s="165">
        <v>23.5</v>
      </c>
      <c r="BJ120" s="165"/>
      <c r="BK120" s="165"/>
      <c r="BL120" s="165"/>
      <c r="BM120" s="165"/>
      <c r="BN120" s="165"/>
      <c r="BO120" s="165">
        <v>19.3</v>
      </c>
      <c r="BP120" s="165">
        <v>28.8</v>
      </c>
      <c r="BQ120" s="166" t="s">
        <v>121</v>
      </c>
      <c r="BR120" s="165"/>
      <c r="BS120" s="124">
        <v>124</v>
      </c>
      <c r="BT120" s="174"/>
    </row>
    <row r="121" spans="1:72" ht="14.25" hidden="1" customHeight="1" x14ac:dyDescent="0.2">
      <c r="A121" s="92">
        <v>125</v>
      </c>
      <c r="B121" s="234" t="s">
        <v>215</v>
      </c>
      <c r="C121" s="263" t="s">
        <v>216</v>
      </c>
      <c r="D121" s="233" t="s">
        <v>223</v>
      </c>
      <c r="E121" s="17" t="s">
        <v>111</v>
      </c>
      <c r="F121" s="18" t="s">
        <v>103</v>
      </c>
      <c r="G121" s="181" t="s">
        <v>56</v>
      </c>
      <c r="H121" s="18" t="s">
        <v>57</v>
      </c>
      <c r="I121" s="18"/>
      <c r="J121" s="178">
        <v>15</v>
      </c>
      <c r="K121" s="139">
        <f>J121*0.9135071</f>
        <v>13.7026065</v>
      </c>
      <c r="L121" s="139" t="s">
        <v>58</v>
      </c>
      <c r="M121" s="138" t="s">
        <v>59</v>
      </c>
      <c r="N121" s="138" t="s">
        <v>224</v>
      </c>
      <c r="O121" s="138" t="s">
        <v>60</v>
      </c>
      <c r="P121" s="138" t="s">
        <v>219</v>
      </c>
      <c r="Q121" s="176" t="s">
        <v>113</v>
      </c>
      <c r="R121" s="179" t="s">
        <v>220</v>
      </c>
      <c r="S121" s="180"/>
      <c r="T121" s="180"/>
      <c r="U121" s="180"/>
      <c r="V121" s="167"/>
      <c r="W121" s="168"/>
      <c r="Y121" s="73"/>
      <c r="Z121" s="82" t="s">
        <v>63</v>
      </c>
      <c r="AA121" s="166">
        <v>13</v>
      </c>
      <c r="AB121" s="166">
        <v>1</v>
      </c>
      <c r="AC121" s="165">
        <v>28</v>
      </c>
      <c r="AD121" s="21" t="s">
        <v>80</v>
      </c>
      <c r="AE121" s="165"/>
      <c r="AF121" s="165"/>
      <c r="AG121" s="165"/>
      <c r="AH121" s="165"/>
      <c r="AI121" s="165">
        <v>20</v>
      </c>
      <c r="AJ121" s="165">
        <v>42</v>
      </c>
      <c r="AK121" s="166">
        <v>75.2</v>
      </c>
      <c r="AL121" s="166"/>
      <c r="AM121" s="166"/>
      <c r="AN121" s="166"/>
      <c r="AO121" s="166"/>
      <c r="AP121" s="166"/>
      <c r="AQ121" s="166">
        <v>59.9</v>
      </c>
      <c r="AR121" s="166">
        <v>93.5</v>
      </c>
      <c r="AS121" s="165">
        <v>178.9</v>
      </c>
      <c r="AT121" s="165"/>
      <c r="AU121" s="165"/>
      <c r="AV121" s="165"/>
      <c r="AW121" s="165"/>
      <c r="AX121" s="165"/>
      <c r="AY121" s="165">
        <v>165</v>
      </c>
      <c r="AZ121" s="165">
        <v>191</v>
      </c>
      <c r="BA121" s="166">
        <v>23.5</v>
      </c>
      <c r="BB121" s="166"/>
      <c r="BC121" s="166"/>
      <c r="BD121" s="166"/>
      <c r="BE121" s="166"/>
      <c r="BF121" s="166"/>
      <c r="BG121" s="166">
        <v>19.3</v>
      </c>
      <c r="BH121" s="166">
        <v>28.8</v>
      </c>
      <c r="BI121" s="165">
        <v>23.5</v>
      </c>
      <c r="BJ121" s="165"/>
      <c r="BK121" s="165"/>
      <c r="BL121" s="165"/>
      <c r="BM121" s="165"/>
      <c r="BN121" s="165"/>
      <c r="BO121" s="165">
        <v>19.3</v>
      </c>
      <c r="BP121" s="165">
        <v>28.8</v>
      </c>
      <c r="BQ121" s="166" t="s">
        <v>121</v>
      </c>
      <c r="BR121" s="165"/>
      <c r="BS121" s="124">
        <v>125</v>
      </c>
      <c r="BT121" s="174"/>
    </row>
    <row r="122" spans="1:72" ht="14.25" hidden="1" customHeight="1" x14ac:dyDescent="0.2">
      <c r="A122" s="92">
        <v>126</v>
      </c>
      <c r="B122" s="234" t="s">
        <v>215</v>
      </c>
      <c r="C122" s="263" t="s">
        <v>216</v>
      </c>
      <c r="D122" s="233" t="s">
        <v>225</v>
      </c>
      <c r="E122" s="17" t="s">
        <v>111</v>
      </c>
      <c r="F122" s="18" t="s">
        <v>103</v>
      </c>
      <c r="G122" s="181" t="s">
        <v>56</v>
      </c>
      <c r="H122" s="18" t="s">
        <v>57</v>
      </c>
      <c r="I122" s="18"/>
      <c r="J122" s="178">
        <v>20</v>
      </c>
      <c r="K122" s="139">
        <f>J122*0.9135071</f>
        <v>18.270142</v>
      </c>
      <c r="L122" s="139" t="s">
        <v>58</v>
      </c>
      <c r="M122" s="138" t="s">
        <v>59</v>
      </c>
      <c r="N122" s="138" t="s">
        <v>226</v>
      </c>
      <c r="O122" s="138" t="s">
        <v>60</v>
      </c>
      <c r="P122" s="138" t="s">
        <v>219</v>
      </c>
      <c r="Q122" s="176" t="s">
        <v>113</v>
      </c>
      <c r="R122" s="179" t="s">
        <v>220</v>
      </c>
      <c r="S122" s="180"/>
      <c r="T122" s="180"/>
      <c r="U122" s="180"/>
      <c r="V122" s="167"/>
      <c r="W122" s="168"/>
      <c r="Y122" s="167"/>
      <c r="Z122" s="82" t="s">
        <v>63</v>
      </c>
      <c r="AA122" s="166">
        <v>13</v>
      </c>
      <c r="AB122" s="166">
        <v>1</v>
      </c>
      <c r="AC122" s="165">
        <v>28</v>
      </c>
      <c r="AD122" s="21" t="s">
        <v>80</v>
      </c>
      <c r="AE122" s="165"/>
      <c r="AF122" s="165"/>
      <c r="AG122" s="165"/>
      <c r="AH122" s="165"/>
      <c r="AI122" s="165">
        <v>20</v>
      </c>
      <c r="AJ122" s="165">
        <v>42</v>
      </c>
      <c r="AK122" s="166">
        <v>75.2</v>
      </c>
      <c r="AL122" s="166"/>
      <c r="AM122" s="166"/>
      <c r="AN122" s="166"/>
      <c r="AO122" s="166"/>
      <c r="AP122" s="166"/>
      <c r="AQ122" s="166">
        <v>59.9</v>
      </c>
      <c r="AR122" s="166">
        <v>93.5</v>
      </c>
      <c r="AS122" s="165">
        <v>178.9</v>
      </c>
      <c r="AT122" s="165"/>
      <c r="AU122" s="165"/>
      <c r="AV122" s="165"/>
      <c r="AW122" s="165"/>
      <c r="AX122" s="165"/>
      <c r="AY122" s="165">
        <v>165</v>
      </c>
      <c r="AZ122" s="165">
        <v>191</v>
      </c>
      <c r="BA122" s="166">
        <v>23.5</v>
      </c>
      <c r="BB122" s="166"/>
      <c r="BC122" s="166"/>
      <c r="BD122" s="166"/>
      <c r="BE122" s="166"/>
      <c r="BF122" s="166"/>
      <c r="BG122" s="166">
        <v>19.3</v>
      </c>
      <c r="BH122" s="166">
        <v>28.8</v>
      </c>
      <c r="BI122" s="165">
        <v>23.5</v>
      </c>
      <c r="BJ122" s="165"/>
      <c r="BK122" s="165"/>
      <c r="BL122" s="165"/>
      <c r="BM122" s="165"/>
      <c r="BN122" s="165"/>
      <c r="BO122" s="165">
        <v>19.3</v>
      </c>
      <c r="BP122" s="165">
        <v>28.8</v>
      </c>
      <c r="BQ122" s="166" t="s">
        <v>121</v>
      </c>
      <c r="BR122" s="165"/>
      <c r="BS122" s="124">
        <v>126</v>
      </c>
      <c r="BT122" s="174"/>
    </row>
    <row r="123" spans="1:72" ht="14.25" hidden="1" customHeight="1" x14ac:dyDescent="0.2">
      <c r="A123" s="92">
        <v>127</v>
      </c>
      <c r="B123" s="234" t="s">
        <v>215</v>
      </c>
      <c r="C123" s="263" t="s">
        <v>216</v>
      </c>
      <c r="D123" s="233" t="s">
        <v>227</v>
      </c>
      <c r="E123" s="17" t="s">
        <v>111</v>
      </c>
      <c r="F123" s="18" t="s">
        <v>103</v>
      </c>
      <c r="G123" s="181" t="s">
        <v>56</v>
      </c>
      <c r="H123" s="18" t="s">
        <v>57</v>
      </c>
      <c r="I123" s="18"/>
      <c r="J123" s="178">
        <v>30</v>
      </c>
      <c r="K123" s="139">
        <f>J123*0.9135071</f>
        <v>27.405213</v>
      </c>
      <c r="L123" s="139" t="s">
        <v>58</v>
      </c>
      <c r="M123" s="138" t="s">
        <v>59</v>
      </c>
      <c r="N123" s="138" t="s">
        <v>228</v>
      </c>
      <c r="O123" s="138" t="s">
        <v>60</v>
      </c>
      <c r="P123" s="138" t="s">
        <v>219</v>
      </c>
      <c r="Q123" s="176" t="s">
        <v>113</v>
      </c>
      <c r="R123" s="179" t="s">
        <v>220</v>
      </c>
      <c r="S123" s="180"/>
      <c r="T123" s="180"/>
      <c r="U123" s="180"/>
      <c r="V123" s="167"/>
      <c r="W123" s="168"/>
      <c r="Y123" s="167"/>
      <c r="Z123" s="82" t="s">
        <v>63</v>
      </c>
      <c r="AA123" s="166">
        <v>13</v>
      </c>
      <c r="AB123" s="166">
        <v>1</v>
      </c>
      <c r="AC123" s="165">
        <v>28</v>
      </c>
      <c r="AD123" s="21" t="s">
        <v>80</v>
      </c>
      <c r="AE123" s="165"/>
      <c r="AF123" s="165"/>
      <c r="AG123" s="165"/>
      <c r="AH123" s="165"/>
      <c r="AI123" s="165">
        <v>20</v>
      </c>
      <c r="AJ123" s="165">
        <v>42</v>
      </c>
      <c r="AK123" s="166">
        <v>75.2</v>
      </c>
      <c r="AL123" s="166"/>
      <c r="AM123" s="166"/>
      <c r="AN123" s="166"/>
      <c r="AO123" s="166"/>
      <c r="AP123" s="166"/>
      <c r="AQ123" s="166">
        <v>59.9</v>
      </c>
      <c r="AR123" s="166">
        <v>93.5</v>
      </c>
      <c r="AS123" s="165">
        <v>178.9</v>
      </c>
      <c r="AT123" s="165"/>
      <c r="AU123" s="165"/>
      <c r="AV123" s="165"/>
      <c r="AW123" s="165"/>
      <c r="AX123" s="165"/>
      <c r="AY123" s="165">
        <v>165</v>
      </c>
      <c r="AZ123" s="165">
        <v>191</v>
      </c>
      <c r="BA123" s="166">
        <v>23.5</v>
      </c>
      <c r="BB123" s="166"/>
      <c r="BC123" s="166"/>
      <c r="BD123" s="166"/>
      <c r="BE123" s="166"/>
      <c r="BF123" s="166"/>
      <c r="BG123" s="166">
        <v>19.3</v>
      </c>
      <c r="BH123" s="166">
        <v>28.8</v>
      </c>
      <c r="BI123" s="165">
        <v>23.5</v>
      </c>
      <c r="BJ123" s="165"/>
      <c r="BK123" s="165"/>
      <c r="BL123" s="165"/>
      <c r="BM123" s="165"/>
      <c r="BN123" s="165"/>
      <c r="BO123" s="165">
        <v>19.3</v>
      </c>
      <c r="BP123" s="165">
        <v>28.8</v>
      </c>
      <c r="BQ123" s="166" t="s">
        <v>121</v>
      </c>
      <c r="BR123" s="165"/>
      <c r="BS123" s="124">
        <v>127</v>
      </c>
      <c r="BT123" s="174"/>
    </row>
    <row r="124" spans="1:72" ht="14.25" hidden="1" customHeight="1" x14ac:dyDescent="0.2">
      <c r="A124" s="205">
        <v>128</v>
      </c>
      <c r="B124" s="233" t="s">
        <v>664</v>
      </c>
      <c r="C124" s="263" t="s">
        <v>665</v>
      </c>
      <c r="D124" s="233" t="s">
        <v>1398</v>
      </c>
      <c r="E124" s="125" t="s">
        <v>102</v>
      </c>
      <c r="F124" s="181" t="s">
        <v>103</v>
      </c>
      <c r="G124" s="181" t="s">
        <v>56</v>
      </c>
      <c r="H124" s="181" t="s">
        <v>57</v>
      </c>
      <c r="I124" s="181"/>
      <c r="J124" s="178">
        <v>7.4999999999999997E-2</v>
      </c>
      <c r="K124" s="244"/>
      <c r="L124" s="182" t="s">
        <v>58</v>
      </c>
      <c r="M124" s="178" t="s">
        <v>59</v>
      </c>
      <c r="N124" s="178">
        <v>0</v>
      </c>
      <c r="O124" s="178" t="s">
        <v>60</v>
      </c>
      <c r="P124" s="178" t="s">
        <v>79</v>
      </c>
      <c r="Q124" s="179"/>
      <c r="R124" s="179"/>
      <c r="S124" s="180"/>
      <c r="T124" s="179">
        <v>200</v>
      </c>
      <c r="U124" s="179"/>
      <c r="V124" s="167" t="s">
        <v>62</v>
      </c>
      <c r="W124" s="168"/>
      <c r="X124" s="168"/>
      <c r="Y124" s="167" t="s">
        <v>655</v>
      </c>
      <c r="Z124" s="169" t="s">
        <v>63</v>
      </c>
      <c r="AA124" s="166">
        <v>21</v>
      </c>
      <c r="AB124" s="166">
        <v>13</v>
      </c>
      <c r="AC124" s="165">
        <v>33</v>
      </c>
      <c r="AD124" s="165" t="s">
        <v>80</v>
      </c>
      <c r="AE124" s="165" t="s">
        <v>116</v>
      </c>
      <c r="AF124" s="165">
        <v>9</v>
      </c>
      <c r="AG124" s="165" t="s">
        <v>80</v>
      </c>
      <c r="AH124" s="165" t="s">
        <v>117</v>
      </c>
      <c r="AI124" s="165">
        <v>23</v>
      </c>
      <c r="AJ124" s="165">
        <v>55</v>
      </c>
      <c r="AK124" s="166">
        <v>62</v>
      </c>
      <c r="AL124" s="166" t="s">
        <v>81</v>
      </c>
      <c r="AM124" s="166" t="s">
        <v>116</v>
      </c>
      <c r="AN124" s="166">
        <v>10</v>
      </c>
      <c r="AO124" s="166" t="s">
        <v>81</v>
      </c>
      <c r="AP124" s="166" t="s">
        <v>117</v>
      </c>
      <c r="AQ124" s="166">
        <v>50</v>
      </c>
      <c r="AR124" s="166">
        <v>78</v>
      </c>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t="s">
        <v>795</v>
      </c>
      <c r="BR124" s="165" t="s">
        <v>1347</v>
      </c>
      <c r="BS124" s="124">
        <v>128</v>
      </c>
      <c r="BT124" s="124"/>
    </row>
    <row r="125" spans="1:72" ht="14.25" hidden="1" customHeight="1" x14ac:dyDescent="0.2">
      <c r="A125" s="205">
        <v>129</v>
      </c>
      <c r="B125" s="233" t="s">
        <v>664</v>
      </c>
      <c r="C125" s="263" t="s">
        <v>665</v>
      </c>
      <c r="D125" s="233" t="s">
        <v>1399</v>
      </c>
      <c r="E125" s="125" t="s">
        <v>102</v>
      </c>
      <c r="F125" s="181" t="s">
        <v>103</v>
      </c>
      <c r="G125" s="181" t="s">
        <v>56</v>
      </c>
      <c r="H125" s="181" t="s">
        <v>57</v>
      </c>
      <c r="I125" s="181"/>
      <c r="J125" s="178">
        <v>7.4999999999999997E-2</v>
      </c>
      <c r="K125" s="244"/>
      <c r="L125" s="182" t="s">
        <v>58</v>
      </c>
      <c r="M125" s="178" t="s">
        <v>59</v>
      </c>
      <c r="N125" s="178">
        <v>90</v>
      </c>
      <c r="O125" s="178" t="s">
        <v>60</v>
      </c>
      <c r="P125" s="178" t="s">
        <v>79</v>
      </c>
      <c r="Q125" s="179"/>
      <c r="R125" s="179"/>
      <c r="S125" s="180"/>
      <c r="T125" s="179">
        <v>200</v>
      </c>
      <c r="U125" s="179" t="s">
        <v>1348</v>
      </c>
      <c r="V125" s="167" t="s">
        <v>62</v>
      </c>
      <c r="W125" s="168"/>
      <c r="X125" s="168"/>
      <c r="Y125" s="167" t="s">
        <v>655</v>
      </c>
      <c r="Z125" s="169" t="s">
        <v>63</v>
      </c>
      <c r="AA125" s="166">
        <v>4</v>
      </c>
      <c r="AB125" s="166"/>
      <c r="AC125" s="165"/>
      <c r="AD125" s="165"/>
      <c r="AE125" s="165"/>
      <c r="AF125" s="165"/>
      <c r="AG125" s="165"/>
      <c r="AH125" s="165"/>
      <c r="AI125" s="165"/>
      <c r="AJ125" s="165"/>
      <c r="AK125" s="166"/>
      <c r="AL125" s="166"/>
      <c r="AM125" s="166"/>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t="s">
        <v>795</v>
      </c>
      <c r="BR125" s="165" t="s">
        <v>1347</v>
      </c>
      <c r="BS125" s="124">
        <v>129</v>
      </c>
      <c r="BT125" s="124"/>
    </row>
    <row r="126" spans="1:72" ht="14.25" hidden="1" customHeight="1" x14ac:dyDescent="0.2">
      <c r="A126" s="205">
        <v>130</v>
      </c>
      <c r="B126" s="233" t="s">
        <v>664</v>
      </c>
      <c r="C126" s="263" t="s">
        <v>665</v>
      </c>
      <c r="D126" s="233" t="s">
        <v>1400</v>
      </c>
      <c r="E126" s="125" t="s">
        <v>102</v>
      </c>
      <c r="F126" s="181" t="s">
        <v>103</v>
      </c>
      <c r="G126" s="181" t="s">
        <v>56</v>
      </c>
      <c r="H126" s="181" t="s">
        <v>57</v>
      </c>
      <c r="I126" s="181"/>
      <c r="J126" s="178">
        <v>7.4999999999999997E-2</v>
      </c>
      <c r="K126" s="244"/>
      <c r="L126" s="182" t="s">
        <v>58</v>
      </c>
      <c r="M126" s="178" t="s">
        <v>59</v>
      </c>
      <c r="N126" s="178">
        <v>48</v>
      </c>
      <c r="O126" s="178" t="s">
        <v>60</v>
      </c>
      <c r="P126" s="178" t="s">
        <v>79</v>
      </c>
      <c r="Q126" s="179"/>
      <c r="R126" s="179"/>
      <c r="S126" s="180"/>
      <c r="T126" s="179">
        <v>200</v>
      </c>
      <c r="U126" s="179" t="s">
        <v>1348</v>
      </c>
      <c r="V126" s="167" t="s">
        <v>62</v>
      </c>
      <c r="W126" s="168"/>
      <c r="X126" s="168"/>
      <c r="Y126" s="167" t="s">
        <v>655</v>
      </c>
      <c r="Z126" s="169" t="s">
        <v>63</v>
      </c>
      <c r="AA126" s="166">
        <v>4</v>
      </c>
      <c r="AB126" s="166"/>
      <c r="AC126" s="165"/>
      <c r="AD126" s="165"/>
      <c r="AE126" s="165"/>
      <c r="AF126" s="165"/>
      <c r="AG126" s="165"/>
      <c r="AH126" s="165"/>
      <c r="AI126" s="165"/>
      <c r="AJ126" s="165"/>
      <c r="AK126" s="166"/>
      <c r="AL126" s="166"/>
      <c r="AM126" s="166"/>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t="s">
        <v>795</v>
      </c>
      <c r="BR126" s="165" t="s">
        <v>1347</v>
      </c>
      <c r="BS126" s="124">
        <v>130</v>
      </c>
      <c r="BT126" s="124"/>
    </row>
    <row r="127" spans="1:72" ht="14.25" hidden="1" customHeight="1" x14ac:dyDescent="0.2">
      <c r="A127" s="205">
        <v>131</v>
      </c>
      <c r="B127" s="233" t="s">
        <v>664</v>
      </c>
      <c r="C127" s="263" t="s">
        <v>665</v>
      </c>
      <c r="D127" s="233" t="s">
        <v>666</v>
      </c>
      <c r="E127" s="125" t="s">
        <v>102</v>
      </c>
      <c r="F127" s="181" t="s">
        <v>103</v>
      </c>
      <c r="G127" s="181" t="s">
        <v>56</v>
      </c>
      <c r="H127" s="181" t="s">
        <v>57</v>
      </c>
      <c r="I127" s="181"/>
      <c r="J127" s="178">
        <v>7.5</v>
      </c>
      <c r="K127" s="182"/>
      <c r="L127" s="182" t="s">
        <v>58</v>
      </c>
      <c r="M127" s="178" t="s">
        <v>59</v>
      </c>
      <c r="N127" s="178">
        <v>0</v>
      </c>
      <c r="O127" s="178" t="s">
        <v>60</v>
      </c>
      <c r="P127" s="178" t="s">
        <v>79</v>
      </c>
      <c r="Q127" s="179"/>
      <c r="R127" s="179"/>
      <c r="S127" s="180"/>
      <c r="T127" s="179">
        <v>200</v>
      </c>
      <c r="U127" s="179"/>
      <c r="V127" s="167" t="s">
        <v>62</v>
      </c>
      <c r="W127" s="168"/>
      <c r="X127" s="168"/>
      <c r="Y127" s="167" t="s">
        <v>655</v>
      </c>
      <c r="Z127" s="169" t="s">
        <v>63</v>
      </c>
      <c r="AA127" s="166">
        <v>13</v>
      </c>
      <c r="AB127" s="166"/>
      <c r="AC127" s="165"/>
      <c r="AD127" s="165"/>
      <c r="AE127" s="165"/>
      <c r="AF127" s="165"/>
      <c r="AG127" s="165"/>
      <c r="AH127" s="165"/>
      <c r="AI127" s="165"/>
      <c r="AJ127" s="165"/>
      <c r="AK127" s="166"/>
      <c r="AL127" s="166"/>
      <c r="AM127" s="166"/>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t="s">
        <v>795</v>
      </c>
      <c r="BR127" s="165" t="s">
        <v>1347</v>
      </c>
      <c r="BS127" s="124">
        <v>131</v>
      </c>
      <c r="BT127" s="124"/>
    </row>
    <row r="128" spans="1:72" ht="14.25" hidden="1" customHeight="1" x14ac:dyDescent="0.2">
      <c r="A128" s="205">
        <v>132</v>
      </c>
      <c r="B128" s="233" t="s">
        <v>664</v>
      </c>
      <c r="C128" s="263" t="s">
        <v>665</v>
      </c>
      <c r="D128" s="233" t="s">
        <v>667</v>
      </c>
      <c r="E128" s="125" t="s">
        <v>102</v>
      </c>
      <c r="F128" s="181" t="s">
        <v>103</v>
      </c>
      <c r="G128" s="181" t="s">
        <v>56</v>
      </c>
      <c r="H128" s="181" t="s">
        <v>57</v>
      </c>
      <c r="I128" s="181"/>
      <c r="J128" s="178">
        <v>7.5</v>
      </c>
      <c r="K128" s="182"/>
      <c r="L128" s="182" t="s">
        <v>58</v>
      </c>
      <c r="M128" s="178" t="s">
        <v>59</v>
      </c>
      <c r="N128" s="178">
        <v>114</v>
      </c>
      <c r="O128" s="178" t="s">
        <v>60</v>
      </c>
      <c r="P128" s="178" t="s">
        <v>79</v>
      </c>
      <c r="Q128" s="179"/>
      <c r="R128" s="179"/>
      <c r="S128" s="180"/>
      <c r="T128" s="179">
        <v>200</v>
      </c>
      <c r="U128" s="179" t="s">
        <v>1348</v>
      </c>
      <c r="V128" s="167" t="s">
        <v>62</v>
      </c>
      <c r="W128" s="168"/>
      <c r="X128" s="168"/>
      <c r="Y128" s="167" t="s">
        <v>655</v>
      </c>
      <c r="Z128" s="169" t="s">
        <v>63</v>
      </c>
      <c r="AA128" s="166">
        <v>4</v>
      </c>
      <c r="AB128" s="166"/>
      <c r="AC128" s="165"/>
      <c r="AD128" s="165"/>
      <c r="AE128" s="165"/>
      <c r="AF128" s="165"/>
      <c r="AG128" s="165"/>
      <c r="AH128" s="165"/>
      <c r="AI128" s="165"/>
      <c r="AJ128" s="165"/>
      <c r="AK128" s="166"/>
      <c r="AL128" s="166"/>
      <c r="AM128" s="166"/>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t="s">
        <v>795</v>
      </c>
      <c r="BR128" s="165" t="s">
        <v>1347</v>
      </c>
      <c r="BS128" s="124">
        <v>132</v>
      </c>
      <c r="BT128" s="124"/>
    </row>
    <row r="129" spans="1:72" ht="14.25" hidden="1" customHeight="1" x14ac:dyDescent="0.2">
      <c r="A129" s="91">
        <v>133</v>
      </c>
      <c r="B129" s="231" t="s">
        <v>1613</v>
      </c>
      <c r="C129" s="265" t="s">
        <v>1440</v>
      </c>
      <c r="D129" s="231" t="s">
        <v>1614</v>
      </c>
      <c r="E129" s="125" t="s">
        <v>1419</v>
      </c>
      <c r="F129" s="181" t="s">
        <v>71</v>
      </c>
      <c r="G129" s="181" t="s">
        <v>56</v>
      </c>
      <c r="H129" s="181" t="s">
        <v>1615</v>
      </c>
      <c r="I129" s="181"/>
      <c r="J129" s="178">
        <v>400</v>
      </c>
      <c r="K129" s="182"/>
      <c r="L129" s="182"/>
      <c r="M129" s="178" t="s">
        <v>59</v>
      </c>
      <c r="N129" s="178">
        <v>0</v>
      </c>
      <c r="O129" s="178" t="s">
        <v>60</v>
      </c>
      <c r="P129" s="178" t="s">
        <v>79</v>
      </c>
      <c r="Q129" s="179" t="s">
        <v>1616</v>
      </c>
      <c r="R129" s="179"/>
      <c r="S129" s="180"/>
      <c r="T129" s="179"/>
      <c r="U129" s="179"/>
      <c r="V129" s="167" t="s">
        <v>436</v>
      </c>
      <c r="W129" s="168"/>
      <c r="Y129" s="167" t="s">
        <v>1617</v>
      </c>
      <c r="Z129" s="169" t="s">
        <v>63</v>
      </c>
      <c r="AA129" s="166">
        <v>12</v>
      </c>
      <c r="AB129" s="166">
        <v>0</v>
      </c>
      <c r="AC129" s="165"/>
      <c r="AD129" s="165"/>
      <c r="AE129" s="165"/>
      <c r="AF129" s="165"/>
      <c r="AG129" s="165"/>
      <c r="AH129" s="165"/>
      <c r="AI129" s="165"/>
      <c r="AJ129" s="165"/>
      <c r="AK129" s="166"/>
      <c r="AL129" s="166"/>
      <c r="AM129" s="166"/>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t="s">
        <v>214</v>
      </c>
      <c r="BR129" s="165" t="s">
        <v>1618</v>
      </c>
      <c r="BS129" s="124"/>
      <c r="BT129" s="124"/>
    </row>
    <row r="130" spans="1:72" ht="14.25" hidden="1" customHeight="1" x14ac:dyDescent="0.2">
      <c r="A130" s="92">
        <v>134</v>
      </c>
      <c r="B130" s="234" t="s">
        <v>229</v>
      </c>
      <c r="C130" s="263" t="s">
        <v>230</v>
      </c>
      <c r="D130" s="233" t="s">
        <v>231</v>
      </c>
      <c r="E130" s="17" t="s">
        <v>111</v>
      </c>
      <c r="F130" s="18" t="s">
        <v>103</v>
      </c>
      <c r="G130" s="181" t="s">
        <v>56</v>
      </c>
      <c r="H130" s="18" t="s">
        <v>57</v>
      </c>
      <c r="I130" s="18"/>
      <c r="J130" s="178">
        <v>3.6</v>
      </c>
      <c r="K130" s="139">
        <f t="shared" ref="K130:K150" si="1">J130*0.9135071</f>
        <v>3.2886255600000003</v>
      </c>
      <c r="L130" s="139" t="s">
        <v>58</v>
      </c>
      <c r="M130" s="178" t="s">
        <v>59</v>
      </c>
      <c r="N130" s="178">
        <v>0</v>
      </c>
      <c r="O130" s="178" t="s">
        <v>60</v>
      </c>
      <c r="P130" s="178" t="s">
        <v>232</v>
      </c>
      <c r="Q130" s="176" t="s">
        <v>113</v>
      </c>
      <c r="R130" s="179" t="s">
        <v>233</v>
      </c>
      <c r="S130" s="179"/>
      <c r="T130" s="180">
        <v>100</v>
      </c>
      <c r="U130" s="180"/>
      <c r="V130" s="167" t="s">
        <v>62</v>
      </c>
      <c r="W130" s="64" t="s">
        <v>234</v>
      </c>
      <c r="Y130" s="167" t="s">
        <v>235</v>
      </c>
      <c r="Z130" s="82" t="s">
        <v>63</v>
      </c>
      <c r="AA130" s="166">
        <v>24</v>
      </c>
      <c r="AB130" s="166">
        <v>11</v>
      </c>
      <c r="AC130" s="165">
        <v>49</v>
      </c>
      <c r="AD130" s="21" t="s">
        <v>213</v>
      </c>
      <c r="AE130" s="165" t="s">
        <v>116</v>
      </c>
      <c r="AF130" s="165">
        <v>12.3</v>
      </c>
      <c r="AG130" s="165" t="s">
        <v>213</v>
      </c>
      <c r="AH130" s="165" t="s">
        <v>117</v>
      </c>
      <c r="AI130" s="165">
        <v>26</v>
      </c>
      <c r="AJ130" s="165">
        <v>74</v>
      </c>
      <c r="AK130" s="166">
        <v>19.2</v>
      </c>
      <c r="AL130" s="166" t="s">
        <v>81</v>
      </c>
      <c r="AM130" s="166" t="s">
        <v>116</v>
      </c>
      <c r="AN130" s="166">
        <v>3.5</v>
      </c>
      <c r="AO130" s="166" t="s">
        <v>81</v>
      </c>
      <c r="AP130" s="166" t="s">
        <v>117</v>
      </c>
      <c r="AQ130" s="166">
        <v>14.2</v>
      </c>
      <c r="AR130" s="166">
        <v>26.9</v>
      </c>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t="s">
        <v>236</v>
      </c>
      <c r="BR130" s="165"/>
      <c r="BS130" s="124">
        <v>134</v>
      </c>
      <c r="BT130" s="174"/>
    </row>
    <row r="131" spans="1:72" ht="14.25" hidden="1" customHeight="1" x14ac:dyDescent="0.2">
      <c r="A131" s="92">
        <v>135</v>
      </c>
      <c r="B131" s="233" t="s">
        <v>229</v>
      </c>
      <c r="C131" s="263" t="s">
        <v>230</v>
      </c>
      <c r="D131" s="233" t="s">
        <v>237</v>
      </c>
      <c r="E131" s="125" t="s">
        <v>111</v>
      </c>
      <c r="F131" s="181" t="s">
        <v>103</v>
      </c>
      <c r="G131" s="181" t="s">
        <v>76</v>
      </c>
      <c r="H131" s="181" t="s">
        <v>238</v>
      </c>
      <c r="I131" s="181"/>
      <c r="J131" s="178">
        <v>5</v>
      </c>
      <c r="K131" s="182">
        <f t="shared" si="1"/>
        <v>4.5675355</v>
      </c>
      <c r="L131" s="182" t="s">
        <v>58</v>
      </c>
      <c r="M131" s="178" t="s">
        <v>59</v>
      </c>
      <c r="N131" s="178">
        <v>0</v>
      </c>
      <c r="O131" s="178" t="s">
        <v>60</v>
      </c>
      <c r="P131" s="178" t="s">
        <v>79</v>
      </c>
      <c r="Q131" s="176" t="s">
        <v>113</v>
      </c>
      <c r="R131" s="179" t="s">
        <v>233</v>
      </c>
      <c r="S131" s="180"/>
      <c r="T131" s="180">
        <v>100</v>
      </c>
      <c r="U131" s="180"/>
      <c r="V131" s="167" t="s">
        <v>62</v>
      </c>
      <c r="W131" s="64" t="s">
        <v>234</v>
      </c>
      <c r="Y131" s="167" t="s">
        <v>235</v>
      </c>
      <c r="Z131" s="82" t="s">
        <v>63</v>
      </c>
      <c r="AA131" s="166">
        <v>1</v>
      </c>
      <c r="AB131" s="166">
        <v>0</v>
      </c>
      <c r="AC131" s="165">
        <v>67</v>
      </c>
      <c r="AD131" s="21" t="s">
        <v>213</v>
      </c>
      <c r="AE131" s="165" t="s">
        <v>239</v>
      </c>
      <c r="AF131" s="165"/>
      <c r="AG131" s="165"/>
      <c r="AH131" s="165"/>
      <c r="AI131" s="165"/>
      <c r="AJ131" s="165"/>
      <c r="AK131" s="166">
        <v>21.1</v>
      </c>
      <c r="AL131" s="166" t="s">
        <v>81</v>
      </c>
      <c r="AM131" s="166"/>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t="s">
        <v>240</v>
      </c>
      <c r="BR131" s="165"/>
      <c r="BS131" s="124">
        <v>135</v>
      </c>
      <c r="BT131" s="174"/>
    </row>
    <row r="132" spans="1:72" ht="14.25" hidden="1" customHeight="1" x14ac:dyDescent="0.2">
      <c r="A132" s="92">
        <v>136</v>
      </c>
      <c r="B132" s="233" t="s">
        <v>229</v>
      </c>
      <c r="C132" s="263" t="s">
        <v>230</v>
      </c>
      <c r="D132" s="233" t="s">
        <v>241</v>
      </c>
      <c r="E132" s="125" t="s">
        <v>111</v>
      </c>
      <c r="F132" s="181" t="s">
        <v>103</v>
      </c>
      <c r="G132" s="181" t="s">
        <v>76</v>
      </c>
      <c r="H132" s="181" t="s">
        <v>238</v>
      </c>
      <c r="I132" s="181"/>
      <c r="J132" s="178">
        <v>2.5</v>
      </c>
      <c r="K132" s="182">
        <f t="shared" si="1"/>
        <v>2.28376775</v>
      </c>
      <c r="L132" s="182" t="s">
        <v>58</v>
      </c>
      <c r="M132" s="178" t="s">
        <v>59</v>
      </c>
      <c r="N132" s="178">
        <v>0</v>
      </c>
      <c r="O132" s="178" t="s">
        <v>60</v>
      </c>
      <c r="P132" s="178" t="s">
        <v>79</v>
      </c>
      <c r="Q132" s="176" t="s">
        <v>113</v>
      </c>
      <c r="R132" s="179" t="s">
        <v>233</v>
      </c>
      <c r="S132" s="180"/>
      <c r="T132" s="180">
        <v>100</v>
      </c>
      <c r="U132" s="180"/>
      <c r="V132" s="167" t="s">
        <v>62</v>
      </c>
      <c r="W132" s="64" t="s">
        <v>234</v>
      </c>
      <c r="Y132" s="167" t="s">
        <v>235</v>
      </c>
      <c r="Z132" s="82" t="s">
        <v>63</v>
      </c>
      <c r="AA132" s="166">
        <v>1</v>
      </c>
      <c r="AB132" s="166">
        <v>0</v>
      </c>
      <c r="AC132" s="165">
        <v>47</v>
      </c>
      <c r="AD132" s="21" t="s">
        <v>213</v>
      </c>
      <c r="AE132" s="165" t="s">
        <v>239</v>
      </c>
      <c r="AF132" s="165"/>
      <c r="AG132" s="165"/>
      <c r="AH132" s="165"/>
      <c r="AI132" s="165"/>
      <c r="AJ132" s="165"/>
      <c r="AK132" s="166">
        <v>22.1</v>
      </c>
      <c r="AL132" s="166" t="s">
        <v>81</v>
      </c>
      <c r="AM132" s="166"/>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t="s">
        <v>240</v>
      </c>
      <c r="BR132" s="165"/>
      <c r="BS132" s="124">
        <v>136</v>
      </c>
      <c r="BT132" s="174"/>
    </row>
    <row r="133" spans="1:72" ht="14.25" hidden="1" customHeight="1" x14ac:dyDescent="0.2">
      <c r="A133" s="92">
        <v>137</v>
      </c>
      <c r="B133" s="233" t="s">
        <v>229</v>
      </c>
      <c r="C133" s="263" t="s">
        <v>230</v>
      </c>
      <c r="D133" s="233" t="s">
        <v>242</v>
      </c>
      <c r="E133" s="125" t="s">
        <v>111</v>
      </c>
      <c r="F133" s="181" t="s">
        <v>103</v>
      </c>
      <c r="G133" s="181" t="s">
        <v>76</v>
      </c>
      <c r="H133" s="181" t="s">
        <v>238</v>
      </c>
      <c r="I133" s="181"/>
      <c r="J133" s="178">
        <v>2.5</v>
      </c>
      <c r="K133" s="182">
        <f t="shared" si="1"/>
        <v>2.28376775</v>
      </c>
      <c r="L133" s="182" t="s">
        <v>58</v>
      </c>
      <c r="M133" s="178" t="s">
        <v>59</v>
      </c>
      <c r="N133" s="178">
        <v>0</v>
      </c>
      <c r="O133" s="178" t="s">
        <v>60</v>
      </c>
      <c r="P133" s="178" t="s">
        <v>79</v>
      </c>
      <c r="Q133" s="176" t="s">
        <v>113</v>
      </c>
      <c r="R133" s="179" t="s">
        <v>233</v>
      </c>
      <c r="S133" s="180"/>
      <c r="T133" s="180">
        <v>100</v>
      </c>
      <c r="U133" s="180"/>
      <c r="V133" s="167" t="s">
        <v>62</v>
      </c>
      <c r="W133" s="64" t="s">
        <v>234</v>
      </c>
      <c r="Y133" s="167" t="s">
        <v>235</v>
      </c>
      <c r="Z133" s="82" t="s">
        <v>63</v>
      </c>
      <c r="AA133" s="166">
        <v>1</v>
      </c>
      <c r="AB133" s="166">
        <v>0</v>
      </c>
      <c r="AC133" s="165">
        <v>47</v>
      </c>
      <c r="AD133" s="21" t="s">
        <v>213</v>
      </c>
      <c r="AE133" s="165" t="s">
        <v>239</v>
      </c>
      <c r="AF133" s="165"/>
      <c r="AG133" s="165"/>
      <c r="AH133" s="165"/>
      <c r="AI133" s="165"/>
      <c r="AJ133" s="165"/>
      <c r="AK133" s="166">
        <v>16.3</v>
      </c>
      <c r="AL133" s="166" t="s">
        <v>81</v>
      </c>
      <c r="AM133" s="166"/>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t="s">
        <v>240</v>
      </c>
      <c r="BR133" s="165"/>
      <c r="BS133" s="124">
        <v>137</v>
      </c>
      <c r="BT133" s="174"/>
    </row>
    <row r="134" spans="1:72" ht="14.25" hidden="1" customHeight="1" x14ac:dyDescent="0.2">
      <c r="A134" s="92">
        <v>138</v>
      </c>
      <c r="B134" s="233" t="s">
        <v>229</v>
      </c>
      <c r="C134" s="263" t="s">
        <v>230</v>
      </c>
      <c r="D134" s="233" t="s">
        <v>243</v>
      </c>
      <c r="E134" s="125" t="s">
        <v>111</v>
      </c>
      <c r="F134" s="181" t="s">
        <v>103</v>
      </c>
      <c r="G134" s="181" t="s">
        <v>76</v>
      </c>
      <c r="H134" s="181" t="s">
        <v>238</v>
      </c>
      <c r="I134" s="181"/>
      <c r="J134" s="178">
        <v>2.5</v>
      </c>
      <c r="K134" s="182">
        <f t="shared" si="1"/>
        <v>2.28376775</v>
      </c>
      <c r="L134" s="182" t="s">
        <v>58</v>
      </c>
      <c r="M134" s="178" t="s">
        <v>59</v>
      </c>
      <c r="N134" s="178">
        <v>0</v>
      </c>
      <c r="O134" s="178" t="s">
        <v>60</v>
      </c>
      <c r="P134" s="178" t="s">
        <v>79</v>
      </c>
      <c r="Q134" s="176" t="s">
        <v>113</v>
      </c>
      <c r="R134" s="179" t="s">
        <v>233</v>
      </c>
      <c r="S134" s="180"/>
      <c r="T134" s="180">
        <v>100</v>
      </c>
      <c r="U134" s="180"/>
      <c r="V134" s="167" t="s">
        <v>62</v>
      </c>
      <c r="W134" s="64" t="s">
        <v>234</v>
      </c>
      <c r="Y134" s="167" t="s">
        <v>235</v>
      </c>
      <c r="Z134" s="82" t="s">
        <v>63</v>
      </c>
      <c r="AA134" s="166">
        <v>1</v>
      </c>
      <c r="AB134" s="166">
        <v>1</v>
      </c>
      <c r="AC134" s="165">
        <v>44</v>
      </c>
      <c r="AD134" s="21" t="s">
        <v>213</v>
      </c>
      <c r="AE134" s="165" t="s">
        <v>239</v>
      </c>
      <c r="AF134" s="165"/>
      <c r="AG134" s="165"/>
      <c r="AH134" s="165"/>
      <c r="AI134" s="165"/>
      <c r="AJ134" s="165"/>
      <c r="AK134" s="166">
        <v>17.600000000000001</v>
      </c>
      <c r="AL134" s="166" t="s">
        <v>81</v>
      </c>
      <c r="AM134" s="166"/>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t="s">
        <v>244</v>
      </c>
      <c r="BR134" s="165"/>
      <c r="BS134" s="124">
        <v>138</v>
      </c>
      <c r="BT134" s="174"/>
    </row>
    <row r="135" spans="1:72" ht="14.25" hidden="1" customHeight="1" x14ac:dyDescent="0.2">
      <c r="A135" s="92">
        <v>139</v>
      </c>
      <c r="B135" s="233" t="s">
        <v>229</v>
      </c>
      <c r="C135" s="263" t="s">
        <v>230</v>
      </c>
      <c r="D135" s="233" t="s">
        <v>245</v>
      </c>
      <c r="E135" s="125" t="s">
        <v>111</v>
      </c>
      <c r="F135" s="181" t="s">
        <v>103</v>
      </c>
      <c r="G135" s="181" t="s">
        <v>76</v>
      </c>
      <c r="H135" s="181" t="s">
        <v>238</v>
      </c>
      <c r="I135" s="181"/>
      <c r="J135" s="178">
        <v>2.5</v>
      </c>
      <c r="K135" s="182">
        <f t="shared" si="1"/>
        <v>2.28376775</v>
      </c>
      <c r="L135" s="182" t="s">
        <v>58</v>
      </c>
      <c r="M135" s="178" t="s">
        <v>59</v>
      </c>
      <c r="N135" s="178">
        <v>0</v>
      </c>
      <c r="O135" s="178" t="s">
        <v>60</v>
      </c>
      <c r="P135" s="178" t="s">
        <v>79</v>
      </c>
      <c r="Q135" s="176" t="s">
        <v>113</v>
      </c>
      <c r="R135" s="179" t="s">
        <v>233</v>
      </c>
      <c r="S135" s="180"/>
      <c r="T135" s="180">
        <v>100</v>
      </c>
      <c r="U135" s="180"/>
      <c r="V135" s="167" t="s">
        <v>62</v>
      </c>
      <c r="W135" s="64" t="s">
        <v>234</v>
      </c>
      <c r="Y135" s="167" t="s">
        <v>235</v>
      </c>
      <c r="Z135" s="82" t="s">
        <v>63</v>
      </c>
      <c r="AA135" s="166">
        <v>1</v>
      </c>
      <c r="AB135" s="166">
        <v>0</v>
      </c>
      <c r="AC135" s="165">
        <v>47</v>
      </c>
      <c r="AD135" s="21" t="s">
        <v>213</v>
      </c>
      <c r="AE135" s="165" t="s">
        <v>239</v>
      </c>
      <c r="AF135" s="165"/>
      <c r="AG135" s="165"/>
      <c r="AH135" s="165"/>
      <c r="AI135" s="165"/>
      <c r="AJ135" s="165"/>
      <c r="AK135" s="166">
        <v>18.3</v>
      </c>
      <c r="AL135" s="166" t="s">
        <v>81</v>
      </c>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t="s">
        <v>240</v>
      </c>
      <c r="BR135" s="165"/>
      <c r="BS135" s="124">
        <v>139</v>
      </c>
      <c r="BT135" s="174"/>
    </row>
    <row r="136" spans="1:72" ht="14.25" hidden="1" customHeight="1" x14ac:dyDescent="0.2">
      <c r="A136" s="92">
        <v>140</v>
      </c>
      <c r="B136" s="233" t="s">
        <v>229</v>
      </c>
      <c r="C136" s="263" t="s">
        <v>230</v>
      </c>
      <c r="D136" s="233" t="s">
        <v>246</v>
      </c>
      <c r="E136" s="125" t="s">
        <v>111</v>
      </c>
      <c r="F136" s="181" t="s">
        <v>103</v>
      </c>
      <c r="G136" s="181" t="s">
        <v>76</v>
      </c>
      <c r="H136" s="181" t="s">
        <v>238</v>
      </c>
      <c r="I136" s="181"/>
      <c r="J136" s="178">
        <v>5</v>
      </c>
      <c r="K136" s="182">
        <f t="shared" si="1"/>
        <v>4.5675355</v>
      </c>
      <c r="L136" s="182" t="s">
        <v>58</v>
      </c>
      <c r="M136" s="178" t="s">
        <v>59</v>
      </c>
      <c r="N136" s="178">
        <v>0</v>
      </c>
      <c r="O136" s="178" t="s">
        <v>60</v>
      </c>
      <c r="P136" s="178" t="s">
        <v>79</v>
      </c>
      <c r="Q136" s="176" t="s">
        <v>113</v>
      </c>
      <c r="R136" s="179" t="s">
        <v>233</v>
      </c>
      <c r="S136" s="180"/>
      <c r="T136" s="180">
        <v>100</v>
      </c>
      <c r="U136" s="180"/>
      <c r="V136" s="167" t="s">
        <v>62</v>
      </c>
      <c r="W136" s="64" t="s">
        <v>234</v>
      </c>
      <c r="Y136" s="167" t="s">
        <v>235</v>
      </c>
      <c r="Z136" s="82" t="s">
        <v>63</v>
      </c>
      <c r="AA136" s="166">
        <v>1</v>
      </c>
      <c r="AB136" s="166">
        <v>1</v>
      </c>
      <c r="AC136" s="165">
        <v>53</v>
      </c>
      <c r="AD136" s="21" t="s">
        <v>213</v>
      </c>
      <c r="AE136" s="165" t="s">
        <v>239</v>
      </c>
      <c r="AF136" s="165"/>
      <c r="AG136" s="165"/>
      <c r="AH136" s="165"/>
      <c r="AI136" s="165"/>
      <c r="AJ136" s="165"/>
      <c r="AK136" s="166">
        <v>22.7</v>
      </c>
      <c r="AL136" s="166" t="s">
        <v>81</v>
      </c>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t="s">
        <v>240</v>
      </c>
      <c r="BR136" s="165"/>
      <c r="BS136" s="124">
        <v>140</v>
      </c>
      <c r="BT136" s="174"/>
    </row>
    <row r="137" spans="1:72" ht="14.25" hidden="1" customHeight="1" x14ac:dyDescent="0.2">
      <c r="A137" s="92">
        <v>141</v>
      </c>
      <c r="B137" s="233" t="s">
        <v>229</v>
      </c>
      <c r="C137" s="263" t="s">
        <v>230</v>
      </c>
      <c r="D137" s="233" t="s">
        <v>247</v>
      </c>
      <c r="E137" s="125" t="s">
        <v>111</v>
      </c>
      <c r="F137" s="181" t="s">
        <v>103</v>
      </c>
      <c r="G137" s="181" t="s">
        <v>76</v>
      </c>
      <c r="H137" s="181" t="s">
        <v>238</v>
      </c>
      <c r="I137" s="181"/>
      <c r="J137" s="178">
        <v>2.5</v>
      </c>
      <c r="K137" s="182">
        <f t="shared" si="1"/>
        <v>2.28376775</v>
      </c>
      <c r="L137" s="182" t="s">
        <v>58</v>
      </c>
      <c r="M137" s="178" t="s">
        <v>59</v>
      </c>
      <c r="N137" s="178">
        <v>0</v>
      </c>
      <c r="O137" s="178" t="s">
        <v>60</v>
      </c>
      <c r="P137" s="178" t="s">
        <v>79</v>
      </c>
      <c r="Q137" s="176" t="s">
        <v>113</v>
      </c>
      <c r="R137" s="179" t="s">
        <v>233</v>
      </c>
      <c r="S137" s="180"/>
      <c r="T137" s="180">
        <v>100</v>
      </c>
      <c r="U137" s="180"/>
      <c r="V137" s="167" t="s">
        <v>62</v>
      </c>
      <c r="W137" s="64" t="s">
        <v>234</v>
      </c>
      <c r="Y137" s="167" t="s">
        <v>235</v>
      </c>
      <c r="Z137" s="82" t="s">
        <v>63</v>
      </c>
      <c r="AA137" s="166">
        <v>1</v>
      </c>
      <c r="AB137" s="166">
        <v>1</v>
      </c>
      <c r="AC137" s="165">
        <v>38</v>
      </c>
      <c r="AD137" s="21" t="s">
        <v>213</v>
      </c>
      <c r="AE137" s="165" t="s">
        <v>239</v>
      </c>
      <c r="AF137" s="165"/>
      <c r="AG137" s="165"/>
      <c r="AH137" s="165"/>
      <c r="AI137" s="165"/>
      <c r="AJ137" s="165"/>
      <c r="AK137" s="166">
        <v>17.3</v>
      </c>
      <c r="AL137" s="166" t="s">
        <v>81</v>
      </c>
      <c r="AM137" s="166"/>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t="s">
        <v>240</v>
      </c>
      <c r="BR137" s="165"/>
      <c r="BS137" s="124">
        <v>141</v>
      </c>
      <c r="BT137" s="174"/>
    </row>
    <row r="138" spans="1:72" ht="14.25" hidden="1" customHeight="1" x14ac:dyDescent="0.2">
      <c r="A138" s="92">
        <v>142</v>
      </c>
      <c r="B138" s="233" t="s">
        <v>229</v>
      </c>
      <c r="C138" s="263" t="s">
        <v>230</v>
      </c>
      <c r="D138" s="233" t="s">
        <v>248</v>
      </c>
      <c r="E138" s="125" t="s">
        <v>111</v>
      </c>
      <c r="F138" s="181" t="s">
        <v>103</v>
      </c>
      <c r="G138" s="181" t="s">
        <v>76</v>
      </c>
      <c r="H138" s="181" t="s">
        <v>238</v>
      </c>
      <c r="I138" s="181"/>
      <c r="J138" s="178">
        <v>5</v>
      </c>
      <c r="K138" s="182">
        <f t="shared" si="1"/>
        <v>4.5675355</v>
      </c>
      <c r="L138" s="182" t="s">
        <v>58</v>
      </c>
      <c r="M138" s="178" t="s">
        <v>59</v>
      </c>
      <c r="N138" s="178">
        <v>0</v>
      </c>
      <c r="O138" s="178" t="s">
        <v>60</v>
      </c>
      <c r="P138" s="178" t="s">
        <v>79</v>
      </c>
      <c r="Q138" s="176" t="s">
        <v>113</v>
      </c>
      <c r="R138" s="179" t="s">
        <v>233</v>
      </c>
      <c r="S138" s="180"/>
      <c r="T138" s="180">
        <v>100</v>
      </c>
      <c r="U138" s="180"/>
      <c r="V138" s="167" t="s">
        <v>62</v>
      </c>
      <c r="W138" s="64" t="s">
        <v>234</v>
      </c>
      <c r="Y138" s="167" t="s">
        <v>235</v>
      </c>
      <c r="Z138" s="82" t="s">
        <v>63</v>
      </c>
      <c r="AA138" s="166">
        <v>1</v>
      </c>
      <c r="AB138" s="166">
        <v>1</v>
      </c>
      <c r="AC138" s="165">
        <v>53</v>
      </c>
      <c r="AD138" s="21" t="s">
        <v>213</v>
      </c>
      <c r="AE138" s="165" t="s">
        <v>239</v>
      </c>
      <c r="AF138" s="165"/>
      <c r="AG138" s="165"/>
      <c r="AH138" s="165"/>
      <c r="AI138" s="165"/>
      <c r="AJ138" s="165"/>
      <c r="AK138" s="166">
        <v>17.2</v>
      </c>
      <c r="AL138" s="166" t="s">
        <v>81</v>
      </c>
      <c r="AM138" s="166"/>
      <c r="AN138" s="166"/>
      <c r="AO138" s="166"/>
      <c r="AP138" s="166"/>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t="s">
        <v>240</v>
      </c>
      <c r="BR138" s="165"/>
      <c r="BS138" s="124">
        <v>142</v>
      </c>
      <c r="BT138" s="174"/>
    </row>
    <row r="139" spans="1:72" ht="14.25" hidden="1" customHeight="1" x14ac:dyDescent="0.2">
      <c r="A139" s="92">
        <v>143</v>
      </c>
      <c r="B139" s="233" t="s">
        <v>229</v>
      </c>
      <c r="C139" s="263" t="s">
        <v>230</v>
      </c>
      <c r="D139" s="233" t="s">
        <v>249</v>
      </c>
      <c r="E139" s="125" t="s">
        <v>111</v>
      </c>
      <c r="F139" s="181" t="s">
        <v>103</v>
      </c>
      <c r="G139" s="181" t="s">
        <v>76</v>
      </c>
      <c r="H139" s="181" t="s">
        <v>238</v>
      </c>
      <c r="I139" s="181"/>
      <c r="J139" s="178">
        <v>5</v>
      </c>
      <c r="K139" s="182">
        <f t="shared" si="1"/>
        <v>4.5675355</v>
      </c>
      <c r="L139" s="182" t="s">
        <v>58</v>
      </c>
      <c r="M139" s="178" t="s">
        <v>59</v>
      </c>
      <c r="N139" s="178">
        <v>0</v>
      </c>
      <c r="O139" s="178" t="s">
        <v>60</v>
      </c>
      <c r="P139" s="178" t="s">
        <v>79</v>
      </c>
      <c r="Q139" s="176" t="s">
        <v>113</v>
      </c>
      <c r="R139" s="179" t="s">
        <v>233</v>
      </c>
      <c r="S139" s="180"/>
      <c r="T139" s="180">
        <v>100</v>
      </c>
      <c r="U139" s="180"/>
      <c r="V139" s="167" t="s">
        <v>62</v>
      </c>
      <c r="W139" s="64" t="s">
        <v>234</v>
      </c>
      <c r="Y139" s="167" t="s">
        <v>235</v>
      </c>
      <c r="Z139" s="82" t="s">
        <v>63</v>
      </c>
      <c r="AA139" s="166">
        <v>1</v>
      </c>
      <c r="AB139" s="166">
        <v>0</v>
      </c>
      <c r="AC139" s="165">
        <v>50</v>
      </c>
      <c r="AD139" s="21" t="s">
        <v>213</v>
      </c>
      <c r="AE139" s="165" t="s">
        <v>239</v>
      </c>
      <c r="AF139" s="165"/>
      <c r="AG139" s="165"/>
      <c r="AH139" s="165"/>
      <c r="AI139" s="165"/>
      <c r="AJ139" s="165"/>
      <c r="AK139" s="166">
        <v>15.9</v>
      </c>
      <c r="AL139" s="166" t="s">
        <v>81</v>
      </c>
      <c r="AM139" s="166"/>
      <c r="AN139" s="166"/>
      <c r="AO139" s="166"/>
      <c r="AP139" s="166"/>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t="s">
        <v>250</v>
      </c>
      <c r="BR139" s="165"/>
      <c r="BS139" s="124">
        <v>143</v>
      </c>
      <c r="BT139" s="174"/>
    </row>
    <row r="140" spans="1:72" ht="14.25" hidden="1" customHeight="1" x14ac:dyDescent="0.2">
      <c r="A140" s="92">
        <v>144</v>
      </c>
      <c r="B140" s="233" t="s">
        <v>229</v>
      </c>
      <c r="C140" s="263" t="s">
        <v>230</v>
      </c>
      <c r="D140" s="233" t="s">
        <v>251</v>
      </c>
      <c r="E140" s="125" t="s">
        <v>111</v>
      </c>
      <c r="F140" s="181" t="s">
        <v>103</v>
      </c>
      <c r="G140" s="181" t="s">
        <v>76</v>
      </c>
      <c r="H140" s="181" t="s">
        <v>238</v>
      </c>
      <c r="I140" s="181"/>
      <c r="J140" s="178">
        <v>5</v>
      </c>
      <c r="K140" s="182">
        <f t="shared" si="1"/>
        <v>4.5675355</v>
      </c>
      <c r="L140" s="182" t="s">
        <v>58</v>
      </c>
      <c r="M140" s="178" t="s">
        <v>59</v>
      </c>
      <c r="N140" s="178">
        <v>0</v>
      </c>
      <c r="O140" s="178" t="s">
        <v>60</v>
      </c>
      <c r="P140" s="178" t="s">
        <v>79</v>
      </c>
      <c r="Q140" s="176" t="s">
        <v>113</v>
      </c>
      <c r="R140" s="179" t="s">
        <v>233</v>
      </c>
      <c r="S140" s="180"/>
      <c r="T140" s="180">
        <v>100</v>
      </c>
      <c r="U140" s="180"/>
      <c r="V140" s="167" t="s">
        <v>62</v>
      </c>
      <c r="W140" s="64" t="s">
        <v>234</v>
      </c>
      <c r="Y140" s="167" t="s">
        <v>235</v>
      </c>
      <c r="Z140" s="82" t="s">
        <v>63</v>
      </c>
      <c r="AA140" s="166">
        <v>1</v>
      </c>
      <c r="AB140" s="166">
        <v>0</v>
      </c>
      <c r="AC140" s="165">
        <v>68</v>
      </c>
      <c r="AD140" s="21" t="s">
        <v>213</v>
      </c>
      <c r="AE140" s="165" t="s">
        <v>239</v>
      </c>
      <c r="AF140" s="165"/>
      <c r="AG140" s="165"/>
      <c r="AH140" s="165"/>
      <c r="AI140" s="165"/>
      <c r="AJ140" s="165"/>
      <c r="AK140" s="166">
        <v>20.2</v>
      </c>
      <c r="AL140" s="166" t="s">
        <v>81</v>
      </c>
      <c r="AM140" s="166"/>
      <c r="AN140" s="166"/>
      <c r="AO140" s="166"/>
      <c r="AP140" s="166"/>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t="s">
        <v>240</v>
      </c>
      <c r="BR140" s="165"/>
      <c r="BS140" s="124">
        <v>144</v>
      </c>
      <c r="BT140" s="174"/>
    </row>
    <row r="141" spans="1:72" ht="14.25" hidden="1" customHeight="1" x14ac:dyDescent="0.2">
      <c r="A141" s="92">
        <v>145</v>
      </c>
      <c r="B141" s="233" t="s">
        <v>229</v>
      </c>
      <c r="C141" s="263" t="s">
        <v>230</v>
      </c>
      <c r="D141" s="233" t="s">
        <v>252</v>
      </c>
      <c r="E141" s="125" t="s">
        <v>111</v>
      </c>
      <c r="F141" s="181" t="s">
        <v>103</v>
      </c>
      <c r="G141" s="181" t="s">
        <v>76</v>
      </c>
      <c r="H141" s="181" t="s">
        <v>238</v>
      </c>
      <c r="I141" s="181"/>
      <c r="J141" s="178">
        <v>2.5</v>
      </c>
      <c r="K141" s="182">
        <f t="shared" si="1"/>
        <v>2.28376775</v>
      </c>
      <c r="L141" s="182" t="s">
        <v>58</v>
      </c>
      <c r="M141" s="178" t="s">
        <v>59</v>
      </c>
      <c r="N141" s="178">
        <v>0</v>
      </c>
      <c r="O141" s="178" t="s">
        <v>60</v>
      </c>
      <c r="P141" s="178" t="s">
        <v>79</v>
      </c>
      <c r="Q141" s="176" t="s">
        <v>113</v>
      </c>
      <c r="R141" s="179" t="s">
        <v>233</v>
      </c>
      <c r="S141" s="180"/>
      <c r="T141" s="180">
        <v>100</v>
      </c>
      <c r="U141" s="180"/>
      <c r="V141" s="167" t="s">
        <v>62</v>
      </c>
      <c r="W141" s="64" t="s">
        <v>234</v>
      </c>
      <c r="Y141" s="167" t="s">
        <v>235</v>
      </c>
      <c r="Z141" s="82" t="s">
        <v>63</v>
      </c>
      <c r="AA141" s="166">
        <v>1</v>
      </c>
      <c r="AB141" s="166">
        <v>0</v>
      </c>
      <c r="AC141" s="165">
        <v>40</v>
      </c>
      <c r="AD141" s="21" t="s">
        <v>213</v>
      </c>
      <c r="AE141" s="165" t="s">
        <v>239</v>
      </c>
      <c r="AF141" s="165"/>
      <c r="AG141" s="165"/>
      <c r="AH141" s="165"/>
      <c r="AI141" s="165"/>
      <c r="AJ141" s="165"/>
      <c r="AK141" s="166">
        <v>14.2</v>
      </c>
      <c r="AL141" s="166" t="s">
        <v>81</v>
      </c>
      <c r="AM141" s="166"/>
      <c r="AN141" s="166"/>
      <c r="AO141" s="166"/>
      <c r="AP141" s="166"/>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t="s">
        <v>244</v>
      </c>
      <c r="BR141" s="165"/>
      <c r="BS141" s="124">
        <v>145</v>
      </c>
      <c r="BT141" s="174"/>
    </row>
    <row r="142" spans="1:72" ht="14.25" hidden="1" customHeight="1" x14ac:dyDescent="0.2">
      <c r="A142" s="92">
        <v>146</v>
      </c>
      <c r="B142" s="233" t="s">
        <v>229</v>
      </c>
      <c r="C142" s="263" t="s">
        <v>230</v>
      </c>
      <c r="D142" s="233" t="s">
        <v>253</v>
      </c>
      <c r="E142" s="125" t="s">
        <v>111</v>
      </c>
      <c r="F142" s="181" t="s">
        <v>103</v>
      </c>
      <c r="G142" s="181" t="s">
        <v>76</v>
      </c>
      <c r="H142" s="181" t="s">
        <v>238</v>
      </c>
      <c r="I142" s="181"/>
      <c r="J142" s="178">
        <v>2.5</v>
      </c>
      <c r="K142" s="182">
        <f t="shared" si="1"/>
        <v>2.28376775</v>
      </c>
      <c r="L142" s="182" t="s">
        <v>58</v>
      </c>
      <c r="M142" s="178" t="s">
        <v>59</v>
      </c>
      <c r="N142" s="178">
        <v>0</v>
      </c>
      <c r="O142" s="178" t="s">
        <v>60</v>
      </c>
      <c r="P142" s="178" t="s">
        <v>79</v>
      </c>
      <c r="Q142" s="176" t="s">
        <v>113</v>
      </c>
      <c r="R142" s="179" t="s">
        <v>233</v>
      </c>
      <c r="S142" s="180"/>
      <c r="T142" s="180">
        <v>100</v>
      </c>
      <c r="U142" s="180"/>
      <c r="V142" s="167" t="s">
        <v>62</v>
      </c>
      <c r="W142" s="64" t="s">
        <v>234</v>
      </c>
      <c r="Y142" s="167" t="s">
        <v>235</v>
      </c>
      <c r="Z142" s="82" t="s">
        <v>63</v>
      </c>
      <c r="AA142" s="166">
        <v>1</v>
      </c>
      <c r="AB142" s="166">
        <v>0</v>
      </c>
      <c r="AC142" s="165">
        <v>35</v>
      </c>
      <c r="AD142" s="21" t="s">
        <v>213</v>
      </c>
      <c r="AE142" s="165" t="s">
        <v>239</v>
      </c>
      <c r="AF142" s="165"/>
      <c r="AG142" s="165"/>
      <c r="AH142" s="165"/>
      <c r="AI142" s="165"/>
      <c r="AJ142" s="165"/>
      <c r="AK142" s="166">
        <v>15.4</v>
      </c>
      <c r="AL142" s="166" t="s">
        <v>81</v>
      </c>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t="s">
        <v>240</v>
      </c>
      <c r="BR142" s="165"/>
      <c r="BS142" s="124">
        <v>146</v>
      </c>
      <c r="BT142" s="174"/>
    </row>
    <row r="143" spans="1:72" ht="14.25" hidden="1" customHeight="1" x14ac:dyDescent="0.2">
      <c r="A143" s="92">
        <v>147</v>
      </c>
      <c r="B143" s="233" t="s">
        <v>229</v>
      </c>
      <c r="C143" s="263" t="s">
        <v>230</v>
      </c>
      <c r="D143" s="233" t="s">
        <v>254</v>
      </c>
      <c r="E143" s="125" t="s">
        <v>111</v>
      </c>
      <c r="F143" s="181" t="s">
        <v>103</v>
      </c>
      <c r="G143" s="181" t="s">
        <v>76</v>
      </c>
      <c r="H143" s="181" t="s">
        <v>238</v>
      </c>
      <c r="I143" s="181"/>
      <c r="J143" s="178">
        <v>5</v>
      </c>
      <c r="K143" s="182">
        <f t="shared" si="1"/>
        <v>4.5675355</v>
      </c>
      <c r="L143" s="182" t="s">
        <v>58</v>
      </c>
      <c r="M143" s="178" t="s">
        <v>59</v>
      </c>
      <c r="N143" s="178">
        <v>0</v>
      </c>
      <c r="O143" s="178" t="s">
        <v>60</v>
      </c>
      <c r="P143" s="178" t="s">
        <v>79</v>
      </c>
      <c r="Q143" s="176" t="s">
        <v>113</v>
      </c>
      <c r="R143" s="179" t="s">
        <v>233</v>
      </c>
      <c r="S143" s="180"/>
      <c r="T143" s="180">
        <v>100</v>
      </c>
      <c r="U143" s="180"/>
      <c r="V143" s="167" t="s">
        <v>62</v>
      </c>
      <c r="W143" s="64" t="s">
        <v>234</v>
      </c>
      <c r="Y143" s="167" t="s">
        <v>235</v>
      </c>
      <c r="Z143" s="82" t="s">
        <v>63</v>
      </c>
      <c r="AA143" s="166">
        <v>1</v>
      </c>
      <c r="AB143" s="166">
        <v>0</v>
      </c>
      <c r="AC143" s="165">
        <v>69</v>
      </c>
      <c r="AD143" s="21" t="s">
        <v>213</v>
      </c>
      <c r="AE143" s="165" t="s">
        <v>239</v>
      </c>
      <c r="AF143" s="165"/>
      <c r="AG143" s="165"/>
      <c r="AH143" s="165"/>
      <c r="AI143" s="165"/>
      <c r="AJ143" s="165"/>
      <c r="AK143" s="166">
        <v>26.5</v>
      </c>
      <c r="AL143" s="166" t="s">
        <v>81</v>
      </c>
      <c r="AM143" s="166"/>
      <c r="AN143" s="166"/>
      <c r="AO143" s="166"/>
      <c r="AP143" s="166"/>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t="s">
        <v>244</v>
      </c>
      <c r="BR143" s="165"/>
      <c r="BS143" s="124">
        <v>147</v>
      </c>
      <c r="BT143" s="174"/>
    </row>
    <row r="144" spans="1:72" ht="14.25" hidden="1" customHeight="1" x14ac:dyDescent="0.2">
      <c r="A144" s="92">
        <v>148</v>
      </c>
      <c r="B144" s="233" t="s">
        <v>229</v>
      </c>
      <c r="C144" s="263" t="s">
        <v>230</v>
      </c>
      <c r="D144" s="233" t="s">
        <v>255</v>
      </c>
      <c r="E144" s="125" t="s">
        <v>111</v>
      </c>
      <c r="F144" s="181" t="s">
        <v>103</v>
      </c>
      <c r="G144" s="181" t="s">
        <v>76</v>
      </c>
      <c r="H144" s="181" t="s">
        <v>238</v>
      </c>
      <c r="I144" s="181"/>
      <c r="J144" s="178">
        <v>2.5</v>
      </c>
      <c r="K144" s="182">
        <f t="shared" si="1"/>
        <v>2.28376775</v>
      </c>
      <c r="L144" s="182" t="s">
        <v>58</v>
      </c>
      <c r="M144" s="178" t="s">
        <v>59</v>
      </c>
      <c r="N144" s="178">
        <v>0</v>
      </c>
      <c r="O144" s="178" t="s">
        <v>60</v>
      </c>
      <c r="P144" s="178" t="s">
        <v>79</v>
      </c>
      <c r="Q144" s="176" t="s">
        <v>113</v>
      </c>
      <c r="R144" s="179" t="s">
        <v>233</v>
      </c>
      <c r="S144" s="180"/>
      <c r="T144" s="180">
        <v>100</v>
      </c>
      <c r="U144" s="180"/>
      <c r="V144" s="167" t="s">
        <v>62</v>
      </c>
      <c r="W144" s="64" t="s">
        <v>234</v>
      </c>
      <c r="Y144" s="167" t="s">
        <v>235</v>
      </c>
      <c r="Z144" s="82" t="s">
        <v>63</v>
      </c>
      <c r="AA144" s="166">
        <v>1</v>
      </c>
      <c r="AB144" s="166">
        <v>0</v>
      </c>
      <c r="AC144" s="165">
        <v>34</v>
      </c>
      <c r="AD144" s="21" t="s">
        <v>213</v>
      </c>
      <c r="AE144" s="165" t="s">
        <v>239</v>
      </c>
      <c r="AF144" s="165"/>
      <c r="AG144" s="165"/>
      <c r="AH144" s="165"/>
      <c r="AI144" s="165"/>
      <c r="AJ144" s="165"/>
      <c r="AK144" s="166">
        <v>19.7</v>
      </c>
      <c r="AL144" s="166" t="s">
        <v>81</v>
      </c>
      <c r="AM144" s="166"/>
      <c r="AN144" s="166"/>
      <c r="AO144" s="166"/>
      <c r="AP144" s="166"/>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t="s">
        <v>240</v>
      </c>
      <c r="BR144" s="165"/>
      <c r="BS144" s="124">
        <v>148</v>
      </c>
      <c r="BT144" s="174"/>
    </row>
    <row r="145" spans="1:72" ht="14.25" hidden="1" customHeight="1" x14ac:dyDescent="0.2">
      <c r="A145" s="92">
        <v>149</v>
      </c>
      <c r="B145" s="233" t="s">
        <v>229</v>
      </c>
      <c r="C145" s="263" t="s">
        <v>230</v>
      </c>
      <c r="D145" s="233" t="s">
        <v>256</v>
      </c>
      <c r="E145" s="125" t="s">
        <v>111</v>
      </c>
      <c r="F145" s="181" t="s">
        <v>103</v>
      </c>
      <c r="G145" s="181" t="s">
        <v>76</v>
      </c>
      <c r="H145" s="181" t="s">
        <v>238</v>
      </c>
      <c r="I145" s="181"/>
      <c r="J145" s="178">
        <v>2.5</v>
      </c>
      <c r="K145" s="182">
        <f t="shared" si="1"/>
        <v>2.28376775</v>
      </c>
      <c r="L145" s="182" t="s">
        <v>58</v>
      </c>
      <c r="M145" s="178" t="s">
        <v>59</v>
      </c>
      <c r="N145" s="178">
        <v>0</v>
      </c>
      <c r="O145" s="178" t="s">
        <v>60</v>
      </c>
      <c r="P145" s="178" t="s">
        <v>79</v>
      </c>
      <c r="Q145" s="176" t="s">
        <v>113</v>
      </c>
      <c r="R145" s="179" t="s">
        <v>233</v>
      </c>
      <c r="S145" s="180"/>
      <c r="T145" s="180">
        <v>100</v>
      </c>
      <c r="U145" s="180"/>
      <c r="V145" s="167" t="s">
        <v>62</v>
      </c>
      <c r="W145" s="64" t="s">
        <v>234</v>
      </c>
      <c r="Y145" s="167" t="s">
        <v>235</v>
      </c>
      <c r="Z145" s="82" t="s">
        <v>63</v>
      </c>
      <c r="AA145" s="166">
        <v>1</v>
      </c>
      <c r="AB145" s="166">
        <v>1</v>
      </c>
      <c r="AC145" s="165">
        <v>47</v>
      </c>
      <c r="AD145" s="21" t="s">
        <v>213</v>
      </c>
      <c r="AE145" s="165" t="s">
        <v>239</v>
      </c>
      <c r="AF145" s="165"/>
      <c r="AG145" s="165"/>
      <c r="AH145" s="165"/>
      <c r="AI145" s="165"/>
      <c r="AJ145" s="165"/>
      <c r="AK145" s="166">
        <v>22.3</v>
      </c>
      <c r="AL145" s="166" t="s">
        <v>81</v>
      </c>
      <c r="AM145" s="166"/>
      <c r="AN145" s="166"/>
      <c r="AO145" s="166"/>
      <c r="AP145" s="166"/>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t="s">
        <v>240</v>
      </c>
      <c r="BR145" s="165"/>
      <c r="BS145" s="124">
        <v>149</v>
      </c>
      <c r="BT145" s="174"/>
    </row>
    <row r="146" spans="1:72" ht="14.25" hidden="1" customHeight="1" x14ac:dyDescent="0.2">
      <c r="A146" s="92">
        <v>150</v>
      </c>
      <c r="B146" s="233" t="s">
        <v>229</v>
      </c>
      <c r="C146" s="263" t="s">
        <v>230</v>
      </c>
      <c r="D146" s="233" t="s">
        <v>257</v>
      </c>
      <c r="E146" s="125" t="s">
        <v>111</v>
      </c>
      <c r="F146" s="181" t="s">
        <v>103</v>
      </c>
      <c r="G146" s="181" t="s">
        <v>76</v>
      </c>
      <c r="H146" s="181" t="s">
        <v>238</v>
      </c>
      <c r="I146" s="181"/>
      <c r="J146" s="178">
        <v>5</v>
      </c>
      <c r="K146" s="182">
        <f t="shared" si="1"/>
        <v>4.5675355</v>
      </c>
      <c r="L146" s="182" t="s">
        <v>58</v>
      </c>
      <c r="M146" s="178" t="s">
        <v>59</v>
      </c>
      <c r="N146" s="178">
        <v>0</v>
      </c>
      <c r="O146" s="178" t="s">
        <v>60</v>
      </c>
      <c r="P146" s="178" t="s">
        <v>79</v>
      </c>
      <c r="Q146" s="176" t="s">
        <v>113</v>
      </c>
      <c r="R146" s="179" t="s">
        <v>233</v>
      </c>
      <c r="S146" s="180"/>
      <c r="T146" s="180">
        <v>100</v>
      </c>
      <c r="U146" s="180"/>
      <c r="V146" s="167" t="s">
        <v>62</v>
      </c>
      <c r="W146" s="64" t="s">
        <v>234</v>
      </c>
      <c r="Y146" s="167" t="s">
        <v>235</v>
      </c>
      <c r="Z146" s="82" t="s">
        <v>63</v>
      </c>
      <c r="AA146" s="166">
        <v>1</v>
      </c>
      <c r="AB146" s="166">
        <v>1</v>
      </c>
      <c r="AC146" s="165">
        <v>51</v>
      </c>
      <c r="AD146" s="21" t="s">
        <v>213</v>
      </c>
      <c r="AE146" s="165" t="s">
        <v>239</v>
      </c>
      <c r="AF146" s="165"/>
      <c r="AG146" s="165"/>
      <c r="AH146" s="165"/>
      <c r="AI146" s="165"/>
      <c r="AJ146" s="165"/>
      <c r="AK146" s="166">
        <v>18</v>
      </c>
      <c r="AL146" s="166" t="s">
        <v>81</v>
      </c>
      <c r="AM146" s="166"/>
      <c r="AN146" s="166"/>
      <c r="AO146" s="166"/>
      <c r="AP146" s="166"/>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244</v>
      </c>
      <c r="BR146" s="165"/>
      <c r="BS146" s="124">
        <v>150</v>
      </c>
      <c r="BT146" s="174"/>
    </row>
    <row r="147" spans="1:72" ht="14.25" hidden="1" customHeight="1" x14ac:dyDescent="0.2">
      <c r="A147" s="92">
        <v>151</v>
      </c>
      <c r="B147" s="233" t="s">
        <v>229</v>
      </c>
      <c r="C147" s="263" t="s">
        <v>230</v>
      </c>
      <c r="D147" s="233" t="s">
        <v>258</v>
      </c>
      <c r="E147" s="125" t="s">
        <v>111</v>
      </c>
      <c r="F147" s="181" t="s">
        <v>103</v>
      </c>
      <c r="G147" s="181" t="s">
        <v>76</v>
      </c>
      <c r="H147" s="181" t="s">
        <v>238</v>
      </c>
      <c r="I147" s="181"/>
      <c r="J147" s="178">
        <v>5</v>
      </c>
      <c r="K147" s="182">
        <f t="shared" si="1"/>
        <v>4.5675355</v>
      </c>
      <c r="L147" s="182" t="s">
        <v>58</v>
      </c>
      <c r="M147" s="178" t="s">
        <v>59</v>
      </c>
      <c r="N147" s="178">
        <v>0</v>
      </c>
      <c r="O147" s="178" t="s">
        <v>60</v>
      </c>
      <c r="P147" s="178" t="s">
        <v>79</v>
      </c>
      <c r="Q147" s="176" t="s">
        <v>113</v>
      </c>
      <c r="R147" s="179" t="s">
        <v>233</v>
      </c>
      <c r="S147" s="180"/>
      <c r="T147" s="180">
        <v>100</v>
      </c>
      <c r="U147" s="180"/>
      <c r="V147" s="167" t="s">
        <v>62</v>
      </c>
      <c r="W147" s="64" t="s">
        <v>234</v>
      </c>
      <c r="Y147" s="167" t="s">
        <v>235</v>
      </c>
      <c r="Z147" s="82" t="s">
        <v>63</v>
      </c>
      <c r="AA147" s="166">
        <v>1</v>
      </c>
      <c r="AB147" s="166">
        <v>1</v>
      </c>
      <c r="AC147" s="165">
        <v>51</v>
      </c>
      <c r="AD147" s="21" t="s">
        <v>213</v>
      </c>
      <c r="AE147" s="165" t="s">
        <v>239</v>
      </c>
      <c r="AF147" s="165"/>
      <c r="AG147" s="165"/>
      <c r="AH147" s="165"/>
      <c r="AI147" s="165"/>
      <c r="AJ147" s="165"/>
      <c r="AK147" s="166">
        <v>19.2</v>
      </c>
      <c r="AL147" s="166" t="s">
        <v>81</v>
      </c>
      <c r="AM147" s="166"/>
      <c r="AN147" s="166"/>
      <c r="AO147" s="166"/>
      <c r="AP147" s="166"/>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244</v>
      </c>
      <c r="BR147" s="165"/>
      <c r="BS147" s="124">
        <v>151</v>
      </c>
      <c r="BT147" s="174"/>
    </row>
    <row r="148" spans="1:72" ht="14.25" hidden="1" customHeight="1" x14ac:dyDescent="0.2">
      <c r="A148" s="92">
        <v>152</v>
      </c>
      <c r="B148" s="233" t="s">
        <v>229</v>
      </c>
      <c r="C148" s="263" t="s">
        <v>230</v>
      </c>
      <c r="D148" s="233" t="s">
        <v>259</v>
      </c>
      <c r="E148" s="125" t="s">
        <v>111</v>
      </c>
      <c r="F148" s="181" t="s">
        <v>103</v>
      </c>
      <c r="G148" s="181" t="s">
        <v>76</v>
      </c>
      <c r="H148" s="181" t="s">
        <v>238</v>
      </c>
      <c r="I148" s="181"/>
      <c r="J148" s="178">
        <v>5</v>
      </c>
      <c r="K148" s="182">
        <f t="shared" si="1"/>
        <v>4.5675355</v>
      </c>
      <c r="L148" s="182" t="s">
        <v>58</v>
      </c>
      <c r="M148" s="178" t="s">
        <v>59</v>
      </c>
      <c r="N148" s="178">
        <v>0</v>
      </c>
      <c r="O148" s="178" t="s">
        <v>60</v>
      </c>
      <c r="P148" s="178" t="s">
        <v>79</v>
      </c>
      <c r="Q148" s="176" t="s">
        <v>113</v>
      </c>
      <c r="R148" s="179" t="s">
        <v>233</v>
      </c>
      <c r="S148" s="180"/>
      <c r="T148" s="180">
        <v>100</v>
      </c>
      <c r="U148" s="180"/>
      <c r="V148" s="167" t="s">
        <v>62</v>
      </c>
      <c r="W148" s="64" t="s">
        <v>234</v>
      </c>
      <c r="Y148" s="167" t="s">
        <v>235</v>
      </c>
      <c r="Z148" s="82" t="s">
        <v>63</v>
      </c>
      <c r="AA148" s="166">
        <v>1</v>
      </c>
      <c r="AB148" s="166">
        <v>0</v>
      </c>
      <c r="AC148" s="165">
        <v>74</v>
      </c>
      <c r="AD148" s="21" t="s">
        <v>213</v>
      </c>
      <c r="AE148" s="165" t="s">
        <v>239</v>
      </c>
      <c r="AF148" s="165"/>
      <c r="AG148" s="165"/>
      <c r="AH148" s="165"/>
      <c r="AI148" s="165"/>
      <c r="AJ148" s="165"/>
      <c r="AK148" s="166">
        <v>26.9</v>
      </c>
      <c r="AL148" s="166" t="s">
        <v>81</v>
      </c>
      <c r="AM148" s="166"/>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t="s">
        <v>244</v>
      </c>
      <c r="BR148" s="165"/>
      <c r="BS148" s="124">
        <v>152</v>
      </c>
      <c r="BT148" s="174"/>
    </row>
    <row r="149" spans="1:72" ht="14.25" hidden="1" customHeight="1" x14ac:dyDescent="0.2">
      <c r="A149" s="92">
        <v>153</v>
      </c>
      <c r="B149" s="233" t="s">
        <v>229</v>
      </c>
      <c r="C149" s="263" t="s">
        <v>230</v>
      </c>
      <c r="D149" s="233" t="s">
        <v>260</v>
      </c>
      <c r="E149" s="125" t="s">
        <v>111</v>
      </c>
      <c r="F149" s="181" t="s">
        <v>103</v>
      </c>
      <c r="G149" s="181" t="s">
        <v>76</v>
      </c>
      <c r="H149" s="181" t="s">
        <v>238</v>
      </c>
      <c r="I149" s="181"/>
      <c r="J149" s="178">
        <v>2.5</v>
      </c>
      <c r="K149" s="182">
        <f t="shared" si="1"/>
        <v>2.28376775</v>
      </c>
      <c r="L149" s="182" t="s">
        <v>58</v>
      </c>
      <c r="M149" s="178" t="s">
        <v>59</v>
      </c>
      <c r="N149" s="178">
        <v>0</v>
      </c>
      <c r="O149" s="178" t="s">
        <v>60</v>
      </c>
      <c r="P149" s="178" t="s">
        <v>79</v>
      </c>
      <c r="Q149" s="176" t="s">
        <v>113</v>
      </c>
      <c r="R149" s="179" t="s">
        <v>233</v>
      </c>
      <c r="S149" s="180"/>
      <c r="T149" s="180">
        <v>100</v>
      </c>
      <c r="U149" s="180"/>
      <c r="V149" s="167" t="s">
        <v>62</v>
      </c>
      <c r="W149" s="64" t="s">
        <v>234</v>
      </c>
      <c r="Y149" s="167" t="s">
        <v>235</v>
      </c>
      <c r="Z149" s="82" t="s">
        <v>63</v>
      </c>
      <c r="AA149" s="166">
        <v>1</v>
      </c>
      <c r="AB149" s="166">
        <v>1</v>
      </c>
      <c r="AC149" s="165">
        <v>41</v>
      </c>
      <c r="AD149" s="21" t="s">
        <v>213</v>
      </c>
      <c r="AE149" s="165" t="s">
        <v>239</v>
      </c>
      <c r="AF149" s="165"/>
      <c r="AG149" s="165"/>
      <c r="AH149" s="165"/>
      <c r="AI149" s="165"/>
      <c r="AJ149" s="165"/>
      <c r="AK149" s="166">
        <v>17.3</v>
      </c>
      <c r="AL149" s="166" t="s">
        <v>81</v>
      </c>
      <c r="AM149" s="166"/>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t="s">
        <v>250</v>
      </c>
      <c r="BR149" s="165"/>
      <c r="BS149" s="124">
        <v>153</v>
      </c>
      <c r="BT149" s="174"/>
    </row>
    <row r="150" spans="1:72" ht="14.25" hidden="1" customHeight="1" x14ac:dyDescent="0.2">
      <c r="A150" s="92">
        <v>154</v>
      </c>
      <c r="B150" s="233" t="s">
        <v>229</v>
      </c>
      <c r="C150" s="263" t="s">
        <v>230</v>
      </c>
      <c r="D150" s="233" t="s">
        <v>261</v>
      </c>
      <c r="E150" s="125" t="s">
        <v>111</v>
      </c>
      <c r="F150" s="181" t="s">
        <v>103</v>
      </c>
      <c r="G150" s="181" t="s">
        <v>76</v>
      </c>
      <c r="H150" s="181" t="s">
        <v>238</v>
      </c>
      <c r="I150" s="181"/>
      <c r="J150" s="178">
        <v>2.5</v>
      </c>
      <c r="K150" s="182">
        <f t="shared" si="1"/>
        <v>2.28376775</v>
      </c>
      <c r="L150" s="182" t="s">
        <v>58</v>
      </c>
      <c r="M150" s="178" t="s">
        <v>59</v>
      </c>
      <c r="N150" s="178">
        <v>0</v>
      </c>
      <c r="O150" s="178" t="s">
        <v>60</v>
      </c>
      <c r="P150" s="178" t="s">
        <v>79</v>
      </c>
      <c r="Q150" s="176" t="s">
        <v>113</v>
      </c>
      <c r="R150" s="179" t="s">
        <v>233</v>
      </c>
      <c r="S150" s="180"/>
      <c r="T150" s="180">
        <v>100</v>
      </c>
      <c r="U150" s="180"/>
      <c r="V150" s="167" t="s">
        <v>62</v>
      </c>
      <c r="W150" s="64" t="s">
        <v>234</v>
      </c>
      <c r="Y150" s="167" t="s">
        <v>235</v>
      </c>
      <c r="Z150" s="82" t="s">
        <v>63</v>
      </c>
      <c r="AA150" s="166">
        <v>1</v>
      </c>
      <c r="AB150" s="166">
        <v>0</v>
      </c>
      <c r="AC150" s="165">
        <v>26</v>
      </c>
      <c r="AD150" s="21" t="s">
        <v>213</v>
      </c>
      <c r="AE150" s="165" t="s">
        <v>239</v>
      </c>
      <c r="AF150" s="165"/>
      <c r="AG150" s="165"/>
      <c r="AH150" s="165"/>
      <c r="AI150" s="165"/>
      <c r="AJ150" s="165"/>
      <c r="AK150" s="166">
        <v>16.3</v>
      </c>
      <c r="AL150" s="166" t="s">
        <v>81</v>
      </c>
      <c r="AM150" s="166"/>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t="s">
        <v>240</v>
      </c>
      <c r="BR150" s="165"/>
      <c r="BS150" s="124">
        <v>154</v>
      </c>
      <c r="BT150" s="174"/>
    </row>
    <row r="151" spans="1:72" ht="14.25" hidden="1" customHeight="1" x14ac:dyDescent="0.2">
      <c r="A151" s="205">
        <v>155</v>
      </c>
      <c r="B151" s="233" t="s">
        <v>668</v>
      </c>
      <c r="C151" s="263" t="s">
        <v>669</v>
      </c>
      <c r="D151" s="233" t="s">
        <v>670</v>
      </c>
      <c r="E151" s="125" t="s">
        <v>54</v>
      </c>
      <c r="F151" s="181" t="s">
        <v>103</v>
      </c>
      <c r="G151" s="181" t="s">
        <v>56</v>
      </c>
      <c r="H151" s="181" t="s">
        <v>671</v>
      </c>
      <c r="I151" s="181"/>
      <c r="J151" s="178">
        <v>600</v>
      </c>
      <c r="K151" s="182"/>
      <c r="L151" s="182" t="s">
        <v>58</v>
      </c>
      <c r="M151" s="178" t="s">
        <v>59</v>
      </c>
      <c r="N151" s="178">
        <v>0</v>
      </c>
      <c r="O151" s="178" t="s">
        <v>60</v>
      </c>
      <c r="P151" s="178"/>
      <c r="Q151" s="179"/>
      <c r="R151" s="179" t="s">
        <v>1396</v>
      </c>
      <c r="S151" s="180"/>
      <c r="T151" s="179">
        <v>240</v>
      </c>
      <c r="U151" s="179" t="s">
        <v>1395</v>
      </c>
      <c r="V151" s="167" t="s">
        <v>62</v>
      </c>
      <c r="W151" s="168">
        <v>10</v>
      </c>
      <c r="X151" s="168">
        <v>4</v>
      </c>
      <c r="Y151" s="167"/>
      <c r="Z151" s="169" t="s">
        <v>63</v>
      </c>
      <c r="AA151" s="166">
        <v>36</v>
      </c>
      <c r="AB151" s="166"/>
      <c r="AC151" s="165"/>
      <c r="AD151" s="165" t="s">
        <v>80</v>
      </c>
      <c r="AE151" s="165"/>
      <c r="AF151" s="165"/>
      <c r="AG151" s="165"/>
      <c r="AH151" s="165"/>
      <c r="AI151" s="165">
        <v>20</v>
      </c>
      <c r="AJ151" s="165">
        <v>45</v>
      </c>
      <c r="AK151" s="166"/>
      <c r="AL151" s="166"/>
      <c r="AM151" s="166"/>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155</v>
      </c>
      <c r="BT151" s="124" t="s">
        <v>584</v>
      </c>
    </row>
    <row r="152" spans="1:72" ht="14.25" hidden="1" customHeight="1" x14ac:dyDescent="0.2">
      <c r="A152" s="205">
        <v>156</v>
      </c>
      <c r="B152" s="233" t="s">
        <v>668</v>
      </c>
      <c r="C152" s="263" t="s">
        <v>669</v>
      </c>
      <c r="D152" s="233" t="s">
        <v>672</v>
      </c>
      <c r="E152" s="125" t="s">
        <v>54</v>
      </c>
      <c r="F152" s="181" t="s">
        <v>103</v>
      </c>
      <c r="G152" s="181" t="s">
        <v>56</v>
      </c>
      <c r="H152" s="181" t="s">
        <v>671</v>
      </c>
      <c r="I152" s="181"/>
      <c r="J152" s="178">
        <v>600</v>
      </c>
      <c r="K152" s="182"/>
      <c r="L152" s="182" t="s">
        <v>58</v>
      </c>
      <c r="M152" s="178" t="s">
        <v>59</v>
      </c>
      <c r="N152" s="178">
        <v>0</v>
      </c>
      <c r="O152" s="178" t="s">
        <v>60</v>
      </c>
      <c r="P152" s="178"/>
      <c r="Q152" s="179"/>
      <c r="R152" s="179" t="s">
        <v>1397</v>
      </c>
      <c r="S152" s="180"/>
      <c r="T152" s="179">
        <v>240</v>
      </c>
      <c r="U152" s="179" t="s">
        <v>1395</v>
      </c>
      <c r="V152" s="167" t="s">
        <v>62</v>
      </c>
      <c r="W152" s="168">
        <v>10</v>
      </c>
      <c r="X152" s="168">
        <v>4</v>
      </c>
      <c r="Y152" s="167"/>
      <c r="Z152" s="169" t="s">
        <v>63</v>
      </c>
      <c r="AA152" s="166">
        <v>36</v>
      </c>
      <c r="AB152" s="166"/>
      <c r="AC152" s="165"/>
      <c r="AD152" s="165" t="s">
        <v>80</v>
      </c>
      <c r="AE152" s="165"/>
      <c r="AF152" s="165"/>
      <c r="AG152" s="165"/>
      <c r="AH152" s="165"/>
      <c r="AI152" s="165">
        <v>20</v>
      </c>
      <c r="AJ152" s="165">
        <v>45</v>
      </c>
      <c r="AK152" s="166"/>
      <c r="AL152" s="166"/>
      <c r="AM152" s="166"/>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156</v>
      </c>
      <c r="BT152" s="124" t="s">
        <v>584</v>
      </c>
    </row>
    <row r="153" spans="1:72" ht="14.25" hidden="1" customHeight="1" x14ac:dyDescent="0.2">
      <c r="A153" s="205">
        <v>157</v>
      </c>
      <c r="B153" s="231" t="s">
        <v>673</v>
      </c>
      <c r="C153" s="264" t="s">
        <v>674</v>
      </c>
      <c r="D153" s="231" t="s">
        <v>675</v>
      </c>
      <c r="E153" s="125" t="s">
        <v>54</v>
      </c>
      <c r="F153" s="181" t="s">
        <v>55</v>
      </c>
      <c r="G153" s="181" t="s">
        <v>56</v>
      </c>
      <c r="H153" s="181" t="s">
        <v>676</v>
      </c>
      <c r="I153" s="181"/>
      <c r="J153" s="178">
        <v>100</v>
      </c>
      <c r="K153" s="182"/>
      <c r="L153" s="182" t="s">
        <v>58</v>
      </c>
      <c r="M153" s="178" t="s">
        <v>59</v>
      </c>
      <c r="N153" s="178">
        <v>0</v>
      </c>
      <c r="O153" s="178" t="s">
        <v>60</v>
      </c>
      <c r="P153" s="178" t="s">
        <v>79</v>
      </c>
      <c r="Q153" s="179"/>
      <c r="R153" s="179"/>
      <c r="S153" s="180"/>
      <c r="T153" s="179"/>
      <c r="U153" s="179"/>
      <c r="V153" s="167"/>
      <c r="W153" s="168"/>
      <c r="X153" s="168"/>
      <c r="Y153" s="167"/>
      <c r="Z153" s="169" t="s">
        <v>63</v>
      </c>
      <c r="AA153" s="166">
        <v>6</v>
      </c>
      <c r="AB153" s="166">
        <v>0</v>
      </c>
      <c r="AC153" s="165"/>
      <c r="AD153" s="165"/>
      <c r="AE153" s="165"/>
      <c r="AF153" s="165"/>
      <c r="AG153" s="165"/>
      <c r="AH153" s="165"/>
      <c r="AI153" s="165"/>
      <c r="AJ153" s="165"/>
      <c r="AK153" s="166"/>
      <c r="AL153" s="166"/>
      <c r="AM153" s="166"/>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157</v>
      </c>
      <c r="BT153" s="124" t="s">
        <v>584</v>
      </c>
    </row>
    <row r="154" spans="1:72" ht="14.25" hidden="1" customHeight="1" x14ac:dyDescent="0.2">
      <c r="A154" s="205">
        <v>158</v>
      </c>
      <c r="B154" s="231" t="s">
        <v>673</v>
      </c>
      <c r="C154" s="264" t="s">
        <v>674</v>
      </c>
      <c r="D154" s="231" t="s">
        <v>677</v>
      </c>
      <c r="E154" s="125" t="s">
        <v>54</v>
      </c>
      <c r="F154" s="181" t="s">
        <v>55</v>
      </c>
      <c r="G154" s="181" t="s">
        <v>56</v>
      </c>
      <c r="H154" s="181" t="s">
        <v>676</v>
      </c>
      <c r="I154" s="181"/>
      <c r="J154" s="178">
        <v>150</v>
      </c>
      <c r="K154" s="182"/>
      <c r="L154" s="182" t="s">
        <v>58</v>
      </c>
      <c r="M154" s="178" t="s">
        <v>59</v>
      </c>
      <c r="N154" s="178">
        <v>0</v>
      </c>
      <c r="O154" s="178" t="s">
        <v>60</v>
      </c>
      <c r="P154" s="178" t="s">
        <v>79</v>
      </c>
      <c r="Q154" s="179"/>
      <c r="R154" s="179"/>
      <c r="S154" s="180"/>
      <c r="T154" s="179"/>
      <c r="U154" s="179"/>
      <c r="V154" s="167"/>
      <c r="W154" s="168"/>
      <c r="X154" s="168"/>
      <c r="Y154" s="167"/>
      <c r="Z154" s="169" t="s">
        <v>63</v>
      </c>
      <c r="AA154" s="166">
        <v>27</v>
      </c>
      <c r="AB154" s="166">
        <v>0</v>
      </c>
      <c r="AC154" s="165"/>
      <c r="AD154" s="165"/>
      <c r="AE154" s="165"/>
      <c r="AF154" s="165"/>
      <c r="AG154" s="165"/>
      <c r="AH154" s="165"/>
      <c r="AI154" s="165"/>
      <c r="AJ154" s="165"/>
      <c r="AK154" s="166"/>
      <c r="AL154" s="166"/>
      <c r="AM154" s="166"/>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158</v>
      </c>
      <c r="BT154" s="124" t="s">
        <v>584</v>
      </c>
    </row>
    <row r="155" spans="1:72" ht="14.25" hidden="1" customHeight="1" x14ac:dyDescent="0.2">
      <c r="A155" s="205">
        <v>159</v>
      </c>
      <c r="B155" s="231" t="s">
        <v>673</v>
      </c>
      <c r="C155" s="264" t="s">
        <v>674</v>
      </c>
      <c r="D155" s="231" t="s">
        <v>678</v>
      </c>
      <c r="E155" s="125" t="s">
        <v>54</v>
      </c>
      <c r="F155" s="181" t="s">
        <v>55</v>
      </c>
      <c r="G155" s="181" t="s">
        <v>56</v>
      </c>
      <c r="H155" s="181" t="s">
        <v>676</v>
      </c>
      <c r="I155" s="181"/>
      <c r="J155" s="178">
        <v>250</v>
      </c>
      <c r="K155" s="182"/>
      <c r="L155" s="182" t="s">
        <v>58</v>
      </c>
      <c r="M155" s="178" t="s">
        <v>59</v>
      </c>
      <c r="N155" s="178">
        <v>0</v>
      </c>
      <c r="O155" s="178" t="s">
        <v>60</v>
      </c>
      <c r="P155" s="178" t="s">
        <v>79</v>
      </c>
      <c r="Q155" s="179"/>
      <c r="R155" s="179"/>
      <c r="S155" s="180"/>
      <c r="T155" s="179"/>
      <c r="U155" s="179"/>
      <c r="V155" s="167"/>
      <c r="W155" s="168"/>
      <c r="X155" s="168"/>
      <c r="Y155" s="167"/>
      <c r="Z155" s="169" t="s">
        <v>63</v>
      </c>
      <c r="AA155" s="166">
        <v>10</v>
      </c>
      <c r="AB155" s="166">
        <v>0</v>
      </c>
      <c r="AC155" s="165"/>
      <c r="AD155" s="165"/>
      <c r="AE155" s="165"/>
      <c r="AF155" s="165"/>
      <c r="AG155" s="165"/>
      <c r="AH155" s="165"/>
      <c r="AI155" s="165"/>
      <c r="AJ155" s="165"/>
      <c r="AK155" s="166"/>
      <c r="AL155" s="166"/>
      <c r="AM155" s="166"/>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159</v>
      </c>
      <c r="BT155" s="124" t="s">
        <v>584</v>
      </c>
    </row>
    <row r="156" spans="1:72" ht="14.25" hidden="1" customHeight="1" x14ac:dyDescent="0.2">
      <c r="A156" s="205">
        <v>160</v>
      </c>
      <c r="B156" s="231" t="s">
        <v>673</v>
      </c>
      <c r="C156" s="264" t="s">
        <v>674</v>
      </c>
      <c r="D156" s="231" t="s">
        <v>398</v>
      </c>
      <c r="E156" s="125" t="s">
        <v>54</v>
      </c>
      <c r="F156" s="181" t="s">
        <v>55</v>
      </c>
      <c r="G156" s="181" t="s">
        <v>56</v>
      </c>
      <c r="H156" s="181" t="s">
        <v>676</v>
      </c>
      <c r="I156" s="181"/>
      <c r="J156" s="178">
        <v>300</v>
      </c>
      <c r="K156" s="182"/>
      <c r="L156" s="182" t="s">
        <v>58</v>
      </c>
      <c r="M156" s="178" t="s">
        <v>59</v>
      </c>
      <c r="N156" s="178">
        <v>0</v>
      </c>
      <c r="O156" s="178" t="s">
        <v>60</v>
      </c>
      <c r="P156" s="178" t="s">
        <v>79</v>
      </c>
      <c r="Q156" s="179"/>
      <c r="R156" s="179"/>
      <c r="S156" s="180"/>
      <c r="T156" s="179"/>
      <c r="U156" s="179"/>
      <c r="V156" s="167"/>
      <c r="W156" s="168"/>
      <c r="X156" s="168"/>
      <c r="Y156" s="167"/>
      <c r="Z156" s="169" t="s">
        <v>63</v>
      </c>
      <c r="AA156" s="166">
        <v>5</v>
      </c>
      <c r="AB156" s="166">
        <v>0</v>
      </c>
      <c r="AC156" s="165"/>
      <c r="AD156" s="165"/>
      <c r="AE156" s="165"/>
      <c r="AF156" s="165"/>
      <c r="AG156" s="165"/>
      <c r="AH156" s="165"/>
      <c r="AI156" s="165"/>
      <c r="AJ156" s="165"/>
      <c r="AK156" s="166"/>
      <c r="AL156" s="166"/>
      <c r="AM156" s="166"/>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160</v>
      </c>
      <c r="BT156" s="124" t="s">
        <v>584</v>
      </c>
    </row>
    <row r="157" spans="1:72" ht="14.25" hidden="1" customHeight="1" x14ac:dyDescent="0.2">
      <c r="A157" s="205">
        <v>161</v>
      </c>
      <c r="B157" s="231" t="s">
        <v>673</v>
      </c>
      <c r="C157" s="264" t="s">
        <v>674</v>
      </c>
      <c r="D157" s="231" t="s">
        <v>401</v>
      </c>
      <c r="E157" s="125" t="s">
        <v>54</v>
      </c>
      <c r="F157" s="181" t="s">
        <v>55</v>
      </c>
      <c r="G157" s="181" t="s">
        <v>56</v>
      </c>
      <c r="H157" s="181" t="s">
        <v>676</v>
      </c>
      <c r="I157" s="181"/>
      <c r="J157" s="178">
        <v>450</v>
      </c>
      <c r="K157" s="182"/>
      <c r="L157" s="182" t="s">
        <v>58</v>
      </c>
      <c r="M157" s="178" t="s">
        <v>59</v>
      </c>
      <c r="N157" s="178">
        <v>0</v>
      </c>
      <c r="O157" s="178" t="s">
        <v>60</v>
      </c>
      <c r="P157" s="178" t="s">
        <v>79</v>
      </c>
      <c r="Q157" s="179"/>
      <c r="R157" s="179"/>
      <c r="S157" s="180"/>
      <c r="T157" s="179"/>
      <c r="U157" s="179"/>
      <c r="V157" s="167"/>
      <c r="W157" s="168"/>
      <c r="X157" s="168"/>
      <c r="Y157" s="167"/>
      <c r="Z157" s="169" t="s">
        <v>63</v>
      </c>
      <c r="AA157" s="166">
        <v>13</v>
      </c>
      <c r="AB157" s="166">
        <v>0</v>
      </c>
      <c r="AC157" s="165"/>
      <c r="AD157" s="165"/>
      <c r="AE157" s="165"/>
      <c r="AF157" s="165"/>
      <c r="AG157" s="165"/>
      <c r="AH157" s="165"/>
      <c r="AI157" s="165"/>
      <c r="AJ157" s="165"/>
      <c r="AK157" s="166"/>
      <c r="AL157" s="166"/>
      <c r="AM157" s="166"/>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161</v>
      </c>
      <c r="BT157" s="124" t="s">
        <v>584</v>
      </c>
    </row>
    <row r="158" spans="1:72" ht="14.25" hidden="1" customHeight="1" x14ac:dyDescent="0.2">
      <c r="A158" s="205">
        <v>162</v>
      </c>
      <c r="B158" s="231" t="s">
        <v>673</v>
      </c>
      <c r="C158" s="264" t="s">
        <v>674</v>
      </c>
      <c r="D158" s="231" t="s">
        <v>402</v>
      </c>
      <c r="E158" s="125" t="s">
        <v>54</v>
      </c>
      <c r="F158" s="181" t="s">
        <v>55</v>
      </c>
      <c r="G158" s="181" t="s">
        <v>56</v>
      </c>
      <c r="H158" s="181" t="s">
        <v>676</v>
      </c>
      <c r="I158" s="181"/>
      <c r="J158" s="178">
        <v>600</v>
      </c>
      <c r="K158" s="182"/>
      <c r="L158" s="182" t="s">
        <v>58</v>
      </c>
      <c r="M158" s="178" t="s">
        <v>59</v>
      </c>
      <c r="N158" s="178">
        <v>0</v>
      </c>
      <c r="O158" s="178" t="s">
        <v>60</v>
      </c>
      <c r="P158" s="178" t="s">
        <v>79</v>
      </c>
      <c r="Q158" s="179"/>
      <c r="R158" s="179"/>
      <c r="S158" s="180"/>
      <c r="T158" s="179"/>
      <c r="U158" s="179"/>
      <c r="V158" s="167"/>
      <c r="W158" s="168"/>
      <c r="X158" s="168"/>
      <c r="Y158" s="167"/>
      <c r="Z158" s="169" t="s">
        <v>63</v>
      </c>
      <c r="AA158" s="166">
        <v>12</v>
      </c>
      <c r="AB158" s="166">
        <v>0</v>
      </c>
      <c r="AC158" s="165"/>
      <c r="AD158" s="165"/>
      <c r="AE158" s="165"/>
      <c r="AF158" s="165"/>
      <c r="AG158" s="165"/>
      <c r="AH158" s="165"/>
      <c r="AI158" s="165"/>
      <c r="AJ158" s="165"/>
      <c r="AK158" s="166"/>
      <c r="AL158" s="166"/>
      <c r="AM158" s="166"/>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162</v>
      </c>
      <c r="BT158" s="124" t="s">
        <v>584</v>
      </c>
    </row>
    <row r="159" spans="1:72" ht="12.75" hidden="1" customHeight="1" x14ac:dyDescent="0.2">
      <c r="A159" s="205">
        <v>163</v>
      </c>
      <c r="B159" s="231" t="s">
        <v>673</v>
      </c>
      <c r="C159" s="264" t="s">
        <v>674</v>
      </c>
      <c r="D159" s="231" t="s">
        <v>679</v>
      </c>
      <c r="E159" s="125" t="s">
        <v>54</v>
      </c>
      <c r="F159" s="181" t="s">
        <v>55</v>
      </c>
      <c r="G159" s="181" t="s">
        <v>56</v>
      </c>
      <c r="H159" s="181" t="s">
        <v>676</v>
      </c>
      <c r="I159" s="181"/>
      <c r="J159" s="178">
        <v>750</v>
      </c>
      <c r="K159" s="182"/>
      <c r="L159" s="182" t="s">
        <v>58</v>
      </c>
      <c r="M159" s="178" t="s">
        <v>59</v>
      </c>
      <c r="N159" s="178">
        <v>0</v>
      </c>
      <c r="O159" s="178" t="s">
        <v>60</v>
      </c>
      <c r="P159" s="178" t="s">
        <v>79</v>
      </c>
      <c r="Q159" s="179"/>
      <c r="R159" s="179"/>
      <c r="S159" s="180"/>
      <c r="T159" s="179"/>
      <c r="U159" s="179"/>
      <c r="V159" s="167"/>
      <c r="W159" s="168"/>
      <c r="X159" s="168"/>
      <c r="Y159" s="167"/>
      <c r="Z159" s="169" t="s">
        <v>63</v>
      </c>
      <c r="AA159" s="166">
        <v>10</v>
      </c>
      <c r="AB159" s="166">
        <v>0</v>
      </c>
      <c r="AC159" s="165"/>
      <c r="AD159" s="165"/>
      <c r="AE159" s="165"/>
      <c r="AF159" s="165"/>
      <c r="AG159" s="165"/>
      <c r="AH159" s="165"/>
      <c r="AI159" s="165"/>
      <c r="AJ159" s="165"/>
      <c r="AK159" s="166"/>
      <c r="AL159" s="166"/>
      <c r="AM159" s="166"/>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163</v>
      </c>
      <c r="BT159" s="124" t="s">
        <v>584</v>
      </c>
    </row>
    <row r="160" spans="1:72" ht="14.25" hidden="1" customHeight="1" x14ac:dyDescent="0.2">
      <c r="A160" s="205">
        <v>164</v>
      </c>
      <c r="B160" s="231" t="s">
        <v>673</v>
      </c>
      <c r="C160" s="264" t="s">
        <v>674</v>
      </c>
      <c r="D160" s="231" t="s">
        <v>680</v>
      </c>
      <c r="E160" s="125" t="s">
        <v>54</v>
      </c>
      <c r="F160" s="181" t="s">
        <v>55</v>
      </c>
      <c r="G160" s="181" t="s">
        <v>56</v>
      </c>
      <c r="H160" s="181" t="s">
        <v>676</v>
      </c>
      <c r="I160" s="181"/>
      <c r="J160" s="178">
        <v>900</v>
      </c>
      <c r="K160" s="182"/>
      <c r="L160" s="182" t="s">
        <v>58</v>
      </c>
      <c r="M160" s="178" t="s">
        <v>59</v>
      </c>
      <c r="N160" s="178">
        <v>0</v>
      </c>
      <c r="O160" s="178" t="s">
        <v>60</v>
      </c>
      <c r="P160" s="178" t="s">
        <v>79</v>
      </c>
      <c r="Q160" s="179"/>
      <c r="R160" s="179"/>
      <c r="S160" s="180"/>
      <c r="T160" s="179"/>
      <c r="U160" s="179"/>
      <c r="V160" s="167"/>
      <c r="W160" s="168"/>
      <c r="X160" s="168"/>
      <c r="Y160" s="167"/>
      <c r="Z160" s="169" t="s">
        <v>63</v>
      </c>
      <c r="AA160" s="166">
        <v>9</v>
      </c>
      <c r="AB160" s="166">
        <v>0</v>
      </c>
      <c r="AC160" s="165"/>
      <c r="AD160" s="165"/>
      <c r="AE160" s="165"/>
      <c r="AF160" s="165"/>
      <c r="AG160" s="165"/>
      <c r="AH160" s="165"/>
      <c r="AI160" s="165"/>
      <c r="AJ160" s="165"/>
      <c r="AK160" s="166"/>
      <c r="AL160" s="166"/>
      <c r="AM160" s="166"/>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164</v>
      </c>
      <c r="BT160" s="124" t="s">
        <v>584</v>
      </c>
    </row>
    <row r="161" spans="1:72" ht="12.75" hidden="1" customHeight="1" x14ac:dyDescent="0.2">
      <c r="A161" s="92">
        <v>165</v>
      </c>
      <c r="B161" s="233" t="s">
        <v>262</v>
      </c>
      <c r="C161" s="263" t="s">
        <v>263</v>
      </c>
      <c r="D161" s="233" t="s">
        <v>264</v>
      </c>
      <c r="E161" s="17" t="s">
        <v>111</v>
      </c>
      <c r="F161" s="18" t="s">
        <v>103</v>
      </c>
      <c r="G161" s="181" t="s">
        <v>56</v>
      </c>
      <c r="H161" s="18" t="s">
        <v>57</v>
      </c>
      <c r="I161" s="181"/>
      <c r="J161" s="178">
        <v>10</v>
      </c>
      <c r="K161" s="139">
        <f t="shared" ref="K161:K167" si="2">J161*0.9135071</f>
        <v>9.1350709999999999</v>
      </c>
      <c r="L161" s="139" t="s">
        <v>58</v>
      </c>
      <c r="M161" s="178" t="s">
        <v>59</v>
      </c>
      <c r="N161" s="178">
        <v>0</v>
      </c>
      <c r="O161" s="138" t="s">
        <v>60</v>
      </c>
      <c r="P161" s="178" t="s">
        <v>79</v>
      </c>
      <c r="Q161" s="176" t="s">
        <v>113</v>
      </c>
      <c r="R161" s="179" t="s">
        <v>265</v>
      </c>
      <c r="S161" s="180"/>
      <c r="T161" s="180"/>
      <c r="U161" s="180"/>
      <c r="V161" s="19" t="s">
        <v>62</v>
      </c>
      <c r="W161" s="168"/>
      <c r="Y161" s="167"/>
      <c r="Z161" s="82" t="s">
        <v>63</v>
      </c>
      <c r="AA161" s="166">
        <v>24</v>
      </c>
      <c r="AB161" s="166">
        <v>0</v>
      </c>
      <c r="AC161" s="165">
        <v>28.9</v>
      </c>
      <c r="AD161" s="21" t="s">
        <v>80</v>
      </c>
      <c r="AE161" s="165"/>
      <c r="AF161" s="165">
        <v>5.2</v>
      </c>
      <c r="AG161" s="165"/>
      <c r="AH161" s="165"/>
      <c r="AI161" s="165">
        <v>22</v>
      </c>
      <c r="AJ161" s="165">
        <v>40</v>
      </c>
      <c r="AK161" s="166">
        <v>72.7</v>
      </c>
      <c r="AL161" s="166"/>
      <c r="AM161" s="166"/>
      <c r="AN161" s="166">
        <v>7.3</v>
      </c>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121</v>
      </c>
      <c r="BR161" s="165"/>
      <c r="BS161" s="124">
        <v>165</v>
      </c>
      <c r="BT161" s="174"/>
    </row>
    <row r="162" spans="1:72" ht="14.25" hidden="1" customHeight="1" x14ac:dyDescent="0.2">
      <c r="A162" s="92">
        <v>166</v>
      </c>
      <c r="B162" s="233" t="s">
        <v>262</v>
      </c>
      <c r="C162" s="263" t="s">
        <v>263</v>
      </c>
      <c r="D162" s="233" t="s">
        <v>266</v>
      </c>
      <c r="E162" s="17" t="s">
        <v>111</v>
      </c>
      <c r="F162" s="18" t="s">
        <v>103</v>
      </c>
      <c r="G162" s="181" t="s">
        <v>56</v>
      </c>
      <c r="H162" s="18" t="s">
        <v>57</v>
      </c>
      <c r="I162" s="181"/>
      <c r="J162" s="178">
        <v>20</v>
      </c>
      <c r="K162" s="139">
        <f t="shared" si="2"/>
        <v>18.270142</v>
      </c>
      <c r="L162" s="139" t="s">
        <v>58</v>
      </c>
      <c r="M162" s="178" t="s">
        <v>59</v>
      </c>
      <c r="N162" s="178">
        <v>0</v>
      </c>
      <c r="O162" s="138" t="s">
        <v>60</v>
      </c>
      <c r="P162" s="178" t="s">
        <v>79</v>
      </c>
      <c r="Q162" s="176" t="s">
        <v>113</v>
      </c>
      <c r="R162" s="179" t="s">
        <v>265</v>
      </c>
      <c r="S162" s="180"/>
      <c r="T162" s="180"/>
      <c r="U162" s="180"/>
      <c r="V162" s="19" t="s">
        <v>62</v>
      </c>
      <c r="W162" s="168"/>
      <c r="Y162" s="167"/>
      <c r="Z162" s="82" t="s">
        <v>63</v>
      </c>
      <c r="AA162" s="166">
        <v>24</v>
      </c>
      <c r="AB162" s="166">
        <v>0</v>
      </c>
      <c r="AC162" s="165">
        <v>28.9</v>
      </c>
      <c r="AD162" s="21" t="s">
        <v>80</v>
      </c>
      <c r="AE162" s="165"/>
      <c r="AF162" s="165">
        <v>5.2</v>
      </c>
      <c r="AG162" s="165"/>
      <c r="AH162" s="165"/>
      <c r="AI162" s="165">
        <v>22</v>
      </c>
      <c r="AJ162" s="165">
        <v>40</v>
      </c>
      <c r="AK162" s="166">
        <v>72.7</v>
      </c>
      <c r="AL162" s="166"/>
      <c r="AM162" s="166"/>
      <c r="AN162" s="166">
        <v>7.3</v>
      </c>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t="s">
        <v>121</v>
      </c>
      <c r="BR162" s="165"/>
      <c r="BS162" s="124">
        <v>166</v>
      </c>
      <c r="BT162" s="174"/>
    </row>
    <row r="163" spans="1:72" ht="14.25" hidden="1" customHeight="1" x14ac:dyDescent="0.2">
      <c r="A163" s="92">
        <v>167</v>
      </c>
      <c r="B163" s="233" t="s">
        <v>262</v>
      </c>
      <c r="C163" s="263" t="s">
        <v>263</v>
      </c>
      <c r="D163" s="233" t="s">
        <v>267</v>
      </c>
      <c r="E163" s="17" t="s">
        <v>111</v>
      </c>
      <c r="F163" s="18" t="s">
        <v>103</v>
      </c>
      <c r="G163" s="181" t="s">
        <v>56</v>
      </c>
      <c r="H163" s="18" t="s">
        <v>57</v>
      </c>
      <c r="I163" s="181"/>
      <c r="J163" s="178">
        <v>40</v>
      </c>
      <c r="K163" s="139">
        <f t="shared" si="2"/>
        <v>36.540284</v>
      </c>
      <c r="L163" s="139" t="s">
        <v>58</v>
      </c>
      <c r="M163" s="178" t="s">
        <v>59</v>
      </c>
      <c r="N163" s="178">
        <v>0</v>
      </c>
      <c r="O163" s="138" t="s">
        <v>60</v>
      </c>
      <c r="P163" s="178" t="s">
        <v>79</v>
      </c>
      <c r="Q163" s="176" t="s">
        <v>113</v>
      </c>
      <c r="R163" s="179" t="s">
        <v>265</v>
      </c>
      <c r="S163" s="180"/>
      <c r="T163" s="180"/>
      <c r="U163" s="180"/>
      <c r="V163" s="19" t="s">
        <v>62</v>
      </c>
      <c r="W163" s="168"/>
      <c r="Y163" s="167"/>
      <c r="Z163" s="82" t="s">
        <v>63</v>
      </c>
      <c r="AA163" s="166">
        <v>24</v>
      </c>
      <c r="AB163" s="166">
        <v>0</v>
      </c>
      <c r="AC163" s="165">
        <v>28.9</v>
      </c>
      <c r="AD163" s="21" t="s">
        <v>80</v>
      </c>
      <c r="AE163" s="165"/>
      <c r="AF163" s="165">
        <v>5.2</v>
      </c>
      <c r="AG163" s="165"/>
      <c r="AH163" s="165"/>
      <c r="AI163" s="165">
        <v>22</v>
      </c>
      <c r="AJ163" s="165">
        <v>40</v>
      </c>
      <c r="AK163" s="166">
        <v>72.7</v>
      </c>
      <c r="AL163" s="166"/>
      <c r="AM163" s="166"/>
      <c r="AN163" s="166">
        <v>7.3</v>
      </c>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t="s">
        <v>121</v>
      </c>
      <c r="BR163" s="165"/>
      <c r="BS163" s="124">
        <v>167</v>
      </c>
      <c r="BT163" s="174"/>
    </row>
    <row r="164" spans="1:72" ht="14.25" hidden="1" customHeight="1" x14ac:dyDescent="0.2">
      <c r="A164" s="92">
        <v>168</v>
      </c>
      <c r="B164" s="234" t="s">
        <v>268</v>
      </c>
      <c r="C164" s="263" t="s">
        <v>230</v>
      </c>
      <c r="D164" s="233" t="s">
        <v>269</v>
      </c>
      <c r="E164" s="17" t="s">
        <v>111</v>
      </c>
      <c r="F164" s="18" t="s">
        <v>103</v>
      </c>
      <c r="G164" s="181" t="s">
        <v>56</v>
      </c>
      <c r="H164" s="18" t="s">
        <v>270</v>
      </c>
      <c r="I164" s="181"/>
      <c r="J164" s="178">
        <v>1</v>
      </c>
      <c r="K164" s="139">
        <f t="shared" si="2"/>
        <v>0.91350710000000002</v>
      </c>
      <c r="L164" s="139" t="s">
        <v>58</v>
      </c>
      <c r="M164" s="178" t="s">
        <v>78</v>
      </c>
      <c r="N164" s="178">
        <v>0</v>
      </c>
      <c r="O164" s="138" t="s">
        <v>60</v>
      </c>
      <c r="P164" s="178" t="s">
        <v>79</v>
      </c>
      <c r="Q164" s="179" t="s">
        <v>271</v>
      </c>
      <c r="R164" s="179"/>
      <c r="S164" s="180"/>
      <c r="T164" s="180"/>
      <c r="U164" s="180"/>
      <c r="V164" s="167"/>
      <c r="W164" s="168"/>
      <c r="Y164" s="167"/>
      <c r="Z164" s="82" t="s">
        <v>63</v>
      </c>
      <c r="AA164" s="166">
        <v>8</v>
      </c>
      <c r="AB164" s="166">
        <v>0</v>
      </c>
      <c r="AC164" s="165"/>
      <c r="AD164" s="21" t="s">
        <v>80</v>
      </c>
      <c r="AE164" s="165"/>
      <c r="AF164" s="165"/>
      <c r="AG164" s="165"/>
      <c r="AH164" s="165"/>
      <c r="AI164" s="165"/>
      <c r="AJ164" s="165"/>
      <c r="AK164" s="166"/>
      <c r="AL164" s="166"/>
      <c r="AM164" s="166"/>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168</v>
      </c>
      <c r="BT164" s="174"/>
    </row>
    <row r="165" spans="1:72" ht="14.25" hidden="1" customHeight="1" x14ac:dyDescent="0.2">
      <c r="A165" s="92">
        <v>169</v>
      </c>
      <c r="B165" s="233" t="s">
        <v>268</v>
      </c>
      <c r="C165" s="263" t="s">
        <v>230</v>
      </c>
      <c r="D165" s="233" t="s">
        <v>272</v>
      </c>
      <c r="E165" s="17" t="s">
        <v>111</v>
      </c>
      <c r="F165" s="18" t="s">
        <v>103</v>
      </c>
      <c r="G165" s="181" t="s">
        <v>56</v>
      </c>
      <c r="H165" s="18" t="s">
        <v>273</v>
      </c>
      <c r="I165" s="181"/>
      <c r="J165" s="178">
        <v>20</v>
      </c>
      <c r="K165" s="139">
        <f t="shared" si="2"/>
        <v>18.270142</v>
      </c>
      <c r="L165" s="139" t="s">
        <v>58</v>
      </c>
      <c r="M165" s="178" t="s">
        <v>59</v>
      </c>
      <c r="N165" s="178">
        <v>0</v>
      </c>
      <c r="O165" s="138" t="s">
        <v>60</v>
      </c>
      <c r="P165" s="178" t="s">
        <v>79</v>
      </c>
      <c r="Q165" s="179" t="s">
        <v>271</v>
      </c>
      <c r="R165" s="179"/>
      <c r="S165" s="180"/>
      <c r="T165" s="180"/>
      <c r="U165" s="180"/>
      <c r="V165" s="167"/>
      <c r="W165" s="168"/>
      <c r="Y165" s="167"/>
      <c r="Z165" s="82" t="s">
        <v>63</v>
      </c>
      <c r="AA165" s="166">
        <v>8</v>
      </c>
      <c r="AB165" s="166">
        <v>0</v>
      </c>
      <c r="AC165" s="165"/>
      <c r="AD165" s="21" t="s">
        <v>80</v>
      </c>
      <c r="AE165" s="165"/>
      <c r="AF165" s="165"/>
      <c r="AG165" s="165"/>
      <c r="AH165" s="165"/>
      <c r="AI165" s="165"/>
      <c r="AJ165" s="165"/>
      <c r="AK165" s="166"/>
      <c r="AL165" s="166"/>
      <c r="AM165" s="166"/>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169</v>
      </c>
      <c r="BT165" s="174"/>
    </row>
    <row r="166" spans="1:72" ht="14.25" hidden="1" customHeight="1" x14ac:dyDescent="0.2">
      <c r="A166" s="92">
        <v>170</v>
      </c>
      <c r="B166" s="233" t="s">
        <v>268</v>
      </c>
      <c r="C166" s="263" t="s">
        <v>230</v>
      </c>
      <c r="D166" s="233" t="s">
        <v>274</v>
      </c>
      <c r="E166" s="17" t="s">
        <v>111</v>
      </c>
      <c r="F166" s="18" t="s">
        <v>103</v>
      </c>
      <c r="G166" s="181" t="s">
        <v>56</v>
      </c>
      <c r="H166" s="18" t="s">
        <v>157</v>
      </c>
      <c r="I166" s="181"/>
      <c r="J166" s="178">
        <v>20</v>
      </c>
      <c r="K166" s="139">
        <f t="shared" si="2"/>
        <v>18.270142</v>
      </c>
      <c r="L166" s="139" t="s">
        <v>58</v>
      </c>
      <c r="M166" s="178" t="s">
        <v>59</v>
      </c>
      <c r="N166" s="178">
        <v>0</v>
      </c>
      <c r="O166" s="138" t="s">
        <v>60</v>
      </c>
      <c r="P166" s="178" t="s">
        <v>79</v>
      </c>
      <c r="Q166" s="176" t="s">
        <v>113</v>
      </c>
      <c r="R166" s="179"/>
      <c r="S166" s="180"/>
      <c r="T166" s="180"/>
      <c r="U166" s="180"/>
      <c r="V166" s="19"/>
      <c r="W166" s="168"/>
      <c r="Y166" s="167"/>
      <c r="Z166" s="82" t="s">
        <v>63</v>
      </c>
      <c r="AA166" s="166">
        <v>3</v>
      </c>
      <c r="AB166" s="166">
        <v>0</v>
      </c>
      <c r="AC166" s="165"/>
      <c r="AD166" s="21" t="s">
        <v>80</v>
      </c>
      <c r="AE166" s="165"/>
      <c r="AF166" s="165"/>
      <c r="AG166" s="165"/>
      <c r="AH166" s="165"/>
      <c r="AI166" s="165"/>
      <c r="AJ166" s="165"/>
      <c r="AK166" s="166"/>
      <c r="AL166" s="166"/>
      <c r="AM166" s="166"/>
      <c r="AN166" s="166"/>
      <c r="AO166" s="166"/>
      <c r="AP166" s="166"/>
      <c r="AQ166" s="166"/>
      <c r="AR166" s="166"/>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170</v>
      </c>
      <c r="BT166" s="174"/>
    </row>
    <row r="167" spans="1:72" ht="14.25" hidden="1" customHeight="1" x14ac:dyDescent="0.2">
      <c r="A167" s="92">
        <v>171</v>
      </c>
      <c r="B167" s="233" t="s">
        <v>268</v>
      </c>
      <c r="C167" s="263" t="s">
        <v>230</v>
      </c>
      <c r="D167" s="233" t="s">
        <v>275</v>
      </c>
      <c r="E167" s="17" t="s">
        <v>111</v>
      </c>
      <c r="F167" s="18" t="s">
        <v>103</v>
      </c>
      <c r="G167" s="181" t="s">
        <v>56</v>
      </c>
      <c r="H167" s="181" t="s">
        <v>168</v>
      </c>
      <c r="I167" s="181"/>
      <c r="J167" s="178">
        <v>20</v>
      </c>
      <c r="K167" s="139">
        <f t="shared" si="2"/>
        <v>18.270142</v>
      </c>
      <c r="L167" s="139" t="s">
        <v>58</v>
      </c>
      <c r="M167" s="178" t="s">
        <v>59</v>
      </c>
      <c r="N167" s="178">
        <v>0</v>
      </c>
      <c r="O167" s="138" t="s">
        <v>60</v>
      </c>
      <c r="P167" s="178" t="s">
        <v>79</v>
      </c>
      <c r="Q167" s="176" t="s">
        <v>113</v>
      </c>
      <c r="R167" s="179"/>
      <c r="S167" s="180"/>
      <c r="T167" s="180"/>
      <c r="U167" s="180"/>
      <c r="V167" s="19"/>
      <c r="W167" s="168"/>
      <c r="Y167" s="167"/>
      <c r="Z167" s="82" t="s">
        <v>63</v>
      </c>
      <c r="AA167" s="166">
        <v>12</v>
      </c>
      <c r="AB167" s="166">
        <v>0</v>
      </c>
      <c r="AC167" s="165"/>
      <c r="AD167" s="21" t="s">
        <v>80</v>
      </c>
      <c r="AE167" s="165"/>
      <c r="AF167" s="165"/>
      <c r="AG167" s="165"/>
      <c r="AH167" s="165"/>
      <c r="AI167" s="165"/>
      <c r="AJ167" s="165"/>
      <c r="AK167" s="166"/>
      <c r="AL167" s="166"/>
      <c r="AM167" s="166"/>
      <c r="AN167" s="166"/>
      <c r="AO167" s="166"/>
      <c r="AP167" s="166"/>
      <c r="AQ167" s="166"/>
      <c r="AR167" s="166"/>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171</v>
      </c>
      <c r="BT167" s="174"/>
    </row>
    <row r="168" spans="1:72" ht="14.25" hidden="1" customHeight="1" x14ac:dyDescent="0.2">
      <c r="A168" s="205">
        <v>172</v>
      </c>
      <c r="B168" s="233" t="s">
        <v>681</v>
      </c>
      <c r="C168" s="263" t="s">
        <v>682</v>
      </c>
      <c r="D168" s="233" t="s">
        <v>683</v>
      </c>
      <c r="E168" s="125" t="s">
        <v>102</v>
      </c>
      <c r="F168" s="181" t="s">
        <v>684</v>
      </c>
      <c r="G168" s="181" t="s">
        <v>56</v>
      </c>
      <c r="H168" s="156" t="s">
        <v>685</v>
      </c>
      <c r="I168" s="156"/>
      <c r="J168" s="208">
        <v>4</v>
      </c>
      <c r="K168" s="209"/>
      <c r="L168" s="209" t="s">
        <v>58</v>
      </c>
      <c r="M168" s="208" t="s">
        <v>59</v>
      </c>
      <c r="N168" s="208">
        <v>0</v>
      </c>
      <c r="O168" s="208" t="s">
        <v>60</v>
      </c>
      <c r="P168" s="208" t="s">
        <v>79</v>
      </c>
      <c r="Q168" s="210" t="s">
        <v>686</v>
      </c>
      <c r="R168" s="210" t="s">
        <v>687</v>
      </c>
      <c r="S168" s="211"/>
      <c r="T168" s="210"/>
      <c r="U168" s="210"/>
      <c r="V168" s="170" t="s">
        <v>62</v>
      </c>
      <c r="W168" s="129"/>
      <c r="X168" s="129"/>
      <c r="Y168" s="170" t="s">
        <v>655</v>
      </c>
      <c r="Z168" s="135" t="s">
        <v>63</v>
      </c>
      <c r="AA168" s="171">
        <v>16</v>
      </c>
      <c r="AB168" s="171">
        <v>8</v>
      </c>
      <c r="AC168" s="172" t="s">
        <v>688</v>
      </c>
      <c r="AD168" s="172" t="s">
        <v>80</v>
      </c>
      <c r="AE168" s="172" t="s">
        <v>335</v>
      </c>
      <c r="AF168" s="172" t="s">
        <v>689</v>
      </c>
      <c r="AG168" s="172" t="s">
        <v>80</v>
      </c>
      <c r="AH168" s="172" t="s">
        <v>117</v>
      </c>
      <c r="AI168" s="172">
        <v>20</v>
      </c>
      <c r="AJ168" s="172">
        <v>40</v>
      </c>
      <c r="AK168" s="171" t="s">
        <v>690</v>
      </c>
      <c r="AL168" s="171" t="s">
        <v>81</v>
      </c>
      <c r="AM168" s="171" t="s">
        <v>335</v>
      </c>
      <c r="AN168" s="171" t="s">
        <v>691</v>
      </c>
      <c r="AO168" s="171" t="s">
        <v>81</v>
      </c>
      <c r="AP168" s="171" t="s">
        <v>117</v>
      </c>
      <c r="AQ168" s="171">
        <v>45</v>
      </c>
      <c r="AR168" s="171">
        <v>100</v>
      </c>
      <c r="AS168" s="172"/>
      <c r="AT168" s="172"/>
      <c r="AU168" s="172"/>
      <c r="AV168" s="172"/>
      <c r="AW168" s="172"/>
      <c r="AX168" s="172"/>
      <c r="AY168" s="172"/>
      <c r="AZ168" s="172"/>
      <c r="BA168" s="171"/>
      <c r="BB168" s="171"/>
      <c r="BC168" s="171"/>
      <c r="BD168" s="171"/>
      <c r="BE168" s="171"/>
      <c r="BF168" s="171"/>
      <c r="BG168" s="171"/>
      <c r="BH168" s="171"/>
      <c r="BI168" s="172"/>
      <c r="BJ168" s="172"/>
      <c r="BK168" s="172"/>
      <c r="BL168" s="172"/>
      <c r="BM168" s="172"/>
      <c r="BN168" s="172"/>
      <c r="BO168" s="172"/>
      <c r="BP168" s="172"/>
      <c r="BQ168" s="171" t="s">
        <v>692</v>
      </c>
      <c r="BR168" s="172" t="s">
        <v>693</v>
      </c>
      <c r="BS168" s="124">
        <v>172</v>
      </c>
      <c r="BT168" s="124" t="s">
        <v>584</v>
      </c>
    </row>
    <row r="169" spans="1:72" ht="14.25" hidden="1" customHeight="1" x14ac:dyDescent="0.2">
      <c r="A169" s="205">
        <v>173</v>
      </c>
      <c r="B169" s="233" t="s">
        <v>681</v>
      </c>
      <c r="C169" s="263" t="s">
        <v>682</v>
      </c>
      <c r="D169" s="233" t="s">
        <v>694</v>
      </c>
      <c r="E169" s="125" t="s">
        <v>102</v>
      </c>
      <c r="F169" s="181" t="s">
        <v>684</v>
      </c>
      <c r="G169" s="181" t="s">
        <v>56</v>
      </c>
      <c r="H169" s="156" t="s">
        <v>685</v>
      </c>
      <c r="I169" s="156"/>
      <c r="J169" s="208">
        <v>4</v>
      </c>
      <c r="K169" s="209"/>
      <c r="L169" s="209" t="s">
        <v>58</v>
      </c>
      <c r="M169" s="208" t="s">
        <v>59</v>
      </c>
      <c r="N169" s="208">
        <v>146</v>
      </c>
      <c r="O169" s="208" t="s">
        <v>60</v>
      </c>
      <c r="P169" s="208" t="s">
        <v>79</v>
      </c>
      <c r="Q169" s="210" t="s">
        <v>686</v>
      </c>
      <c r="R169" s="210" t="s">
        <v>687</v>
      </c>
      <c r="S169" s="211"/>
      <c r="T169" s="210"/>
      <c r="U169" s="210"/>
      <c r="V169" s="170" t="s">
        <v>62</v>
      </c>
      <c r="W169" s="129"/>
      <c r="X169" s="129"/>
      <c r="Y169" s="170" t="s">
        <v>655</v>
      </c>
      <c r="Z169" s="135" t="s">
        <v>63</v>
      </c>
      <c r="AA169" s="171">
        <v>16</v>
      </c>
      <c r="AB169" s="171">
        <v>8</v>
      </c>
      <c r="AC169" s="172" t="s">
        <v>688</v>
      </c>
      <c r="AD169" s="172" t="s">
        <v>80</v>
      </c>
      <c r="AE169" s="172" t="s">
        <v>335</v>
      </c>
      <c r="AF169" s="172" t="s">
        <v>689</v>
      </c>
      <c r="AG169" s="172" t="s">
        <v>80</v>
      </c>
      <c r="AH169" s="172" t="s">
        <v>117</v>
      </c>
      <c r="AI169" s="172">
        <v>20</v>
      </c>
      <c r="AJ169" s="172">
        <v>40</v>
      </c>
      <c r="AK169" s="171" t="s">
        <v>690</v>
      </c>
      <c r="AL169" s="171" t="s">
        <v>81</v>
      </c>
      <c r="AM169" s="171" t="s">
        <v>335</v>
      </c>
      <c r="AN169" s="171" t="s">
        <v>691</v>
      </c>
      <c r="AO169" s="171" t="s">
        <v>81</v>
      </c>
      <c r="AP169" s="171" t="s">
        <v>117</v>
      </c>
      <c r="AQ169" s="171">
        <v>45</v>
      </c>
      <c r="AR169" s="171">
        <v>100</v>
      </c>
      <c r="AS169" s="172"/>
      <c r="AT169" s="172"/>
      <c r="AU169" s="172"/>
      <c r="AV169" s="172"/>
      <c r="AW169" s="172"/>
      <c r="AX169" s="172"/>
      <c r="AY169" s="172"/>
      <c r="AZ169" s="172"/>
      <c r="BA169" s="171"/>
      <c r="BB169" s="171"/>
      <c r="BC169" s="171"/>
      <c r="BD169" s="171"/>
      <c r="BE169" s="171"/>
      <c r="BF169" s="171"/>
      <c r="BG169" s="171"/>
      <c r="BH169" s="171"/>
      <c r="BI169" s="172"/>
      <c r="BJ169" s="172"/>
      <c r="BK169" s="172"/>
      <c r="BL169" s="172"/>
      <c r="BM169" s="172"/>
      <c r="BN169" s="172"/>
      <c r="BO169" s="172"/>
      <c r="BP169" s="172"/>
      <c r="BQ169" s="171" t="s">
        <v>692</v>
      </c>
      <c r="BR169" s="172" t="s">
        <v>693</v>
      </c>
      <c r="BS169" s="124">
        <v>173</v>
      </c>
      <c r="BT169" s="124" t="s">
        <v>584</v>
      </c>
    </row>
    <row r="170" spans="1:72" ht="14.25" hidden="1" customHeight="1" x14ac:dyDescent="0.2">
      <c r="A170" s="205">
        <v>174</v>
      </c>
      <c r="B170" s="233" t="s">
        <v>681</v>
      </c>
      <c r="C170" s="263" t="s">
        <v>682</v>
      </c>
      <c r="D170" s="233" t="s">
        <v>333</v>
      </c>
      <c r="E170" s="125" t="s">
        <v>102</v>
      </c>
      <c r="F170" s="181" t="s">
        <v>684</v>
      </c>
      <c r="G170" s="181" t="s">
        <v>56</v>
      </c>
      <c r="H170" s="156" t="s">
        <v>685</v>
      </c>
      <c r="I170" s="156"/>
      <c r="J170" s="208">
        <v>0.05</v>
      </c>
      <c r="K170" s="209"/>
      <c r="L170" s="209" t="s">
        <v>107</v>
      </c>
      <c r="M170" s="208" t="s">
        <v>78</v>
      </c>
      <c r="N170" s="208">
        <v>0</v>
      </c>
      <c r="O170" s="208" t="s">
        <v>60</v>
      </c>
      <c r="P170" s="208" t="s">
        <v>79</v>
      </c>
      <c r="Q170" s="210"/>
      <c r="R170" s="210"/>
      <c r="S170" s="211">
        <v>30</v>
      </c>
      <c r="T170" s="210"/>
      <c r="U170" s="210"/>
      <c r="V170" s="170" t="s">
        <v>62</v>
      </c>
      <c r="W170" s="129"/>
      <c r="X170" s="129"/>
      <c r="Y170" s="170" t="s">
        <v>655</v>
      </c>
      <c r="Z170" s="135" t="s">
        <v>63</v>
      </c>
      <c r="AA170" s="171">
        <v>16</v>
      </c>
      <c r="AB170" s="171">
        <v>8</v>
      </c>
      <c r="AC170" s="172" t="s">
        <v>688</v>
      </c>
      <c r="AD170" s="172" t="s">
        <v>80</v>
      </c>
      <c r="AE170" s="172" t="s">
        <v>335</v>
      </c>
      <c r="AF170" s="172" t="s">
        <v>689</v>
      </c>
      <c r="AG170" s="172" t="s">
        <v>80</v>
      </c>
      <c r="AH170" s="172" t="s">
        <v>117</v>
      </c>
      <c r="AI170" s="172">
        <v>20</v>
      </c>
      <c r="AJ170" s="172">
        <v>40</v>
      </c>
      <c r="AK170" s="171" t="s">
        <v>690</v>
      </c>
      <c r="AL170" s="171" t="s">
        <v>81</v>
      </c>
      <c r="AM170" s="171" t="s">
        <v>335</v>
      </c>
      <c r="AN170" s="171" t="s">
        <v>691</v>
      </c>
      <c r="AO170" s="171" t="s">
        <v>81</v>
      </c>
      <c r="AP170" s="171" t="s">
        <v>117</v>
      </c>
      <c r="AQ170" s="171">
        <v>45</v>
      </c>
      <c r="AR170" s="171">
        <v>100</v>
      </c>
      <c r="AS170" s="172"/>
      <c r="AT170" s="172"/>
      <c r="AU170" s="172"/>
      <c r="AV170" s="172"/>
      <c r="AW170" s="172"/>
      <c r="AX170" s="172"/>
      <c r="AY170" s="172"/>
      <c r="AZ170" s="172"/>
      <c r="BA170" s="171"/>
      <c r="BB170" s="171"/>
      <c r="BC170" s="171"/>
      <c r="BD170" s="171"/>
      <c r="BE170" s="171"/>
      <c r="BF170" s="171"/>
      <c r="BG170" s="171"/>
      <c r="BH170" s="171"/>
      <c r="BI170" s="172"/>
      <c r="BJ170" s="172"/>
      <c r="BK170" s="172"/>
      <c r="BL170" s="172"/>
      <c r="BM170" s="172"/>
      <c r="BN170" s="172"/>
      <c r="BO170" s="172"/>
      <c r="BP170" s="172"/>
      <c r="BQ170" s="171" t="s">
        <v>692</v>
      </c>
      <c r="BR170" s="172" t="s">
        <v>693</v>
      </c>
      <c r="BS170" s="124">
        <v>174</v>
      </c>
      <c r="BT170" s="124" t="s">
        <v>584</v>
      </c>
    </row>
    <row r="171" spans="1:72" ht="14.25" hidden="1" customHeight="1" x14ac:dyDescent="0.2">
      <c r="A171" s="205">
        <v>175</v>
      </c>
      <c r="B171" s="233" t="s">
        <v>681</v>
      </c>
      <c r="C171" s="263" t="s">
        <v>682</v>
      </c>
      <c r="D171" s="233" t="s">
        <v>695</v>
      </c>
      <c r="E171" s="125" t="s">
        <v>102</v>
      </c>
      <c r="F171" s="181" t="s">
        <v>684</v>
      </c>
      <c r="G171" s="181" t="s">
        <v>56</v>
      </c>
      <c r="H171" s="156" t="s">
        <v>685</v>
      </c>
      <c r="I171" s="156"/>
      <c r="J171" s="208">
        <v>0.05</v>
      </c>
      <c r="K171" s="209"/>
      <c r="L171" s="209" t="s">
        <v>107</v>
      </c>
      <c r="M171" s="208" t="s">
        <v>78</v>
      </c>
      <c r="N171" s="208">
        <v>146</v>
      </c>
      <c r="O171" s="208" t="s">
        <v>60</v>
      </c>
      <c r="P171" s="208" t="s">
        <v>79</v>
      </c>
      <c r="Q171" s="210"/>
      <c r="R171" s="210"/>
      <c r="S171" s="211">
        <v>30</v>
      </c>
      <c r="T171" s="210"/>
      <c r="U171" s="210"/>
      <c r="V171" s="170" t="s">
        <v>62</v>
      </c>
      <c r="W171" s="129"/>
      <c r="X171" s="129"/>
      <c r="Y171" s="170" t="s">
        <v>655</v>
      </c>
      <c r="Z171" s="135" t="s">
        <v>63</v>
      </c>
      <c r="AA171" s="171">
        <v>16</v>
      </c>
      <c r="AB171" s="171">
        <v>8</v>
      </c>
      <c r="AC171" s="172" t="s">
        <v>688</v>
      </c>
      <c r="AD171" s="172" t="s">
        <v>80</v>
      </c>
      <c r="AE171" s="172" t="s">
        <v>335</v>
      </c>
      <c r="AF171" s="172" t="s">
        <v>689</v>
      </c>
      <c r="AG171" s="172" t="s">
        <v>80</v>
      </c>
      <c r="AH171" s="172" t="s">
        <v>117</v>
      </c>
      <c r="AI171" s="172">
        <v>20</v>
      </c>
      <c r="AJ171" s="172">
        <v>40</v>
      </c>
      <c r="AK171" s="171" t="s">
        <v>690</v>
      </c>
      <c r="AL171" s="171" t="s">
        <v>81</v>
      </c>
      <c r="AM171" s="171" t="s">
        <v>335</v>
      </c>
      <c r="AN171" s="171" t="s">
        <v>691</v>
      </c>
      <c r="AO171" s="171" t="s">
        <v>81</v>
      </c>
      <c r="AP171" s="171" t="s">
        <v>117</v>
      </c>
      <c r="AQ171" s="171">
        <v>45</v>
      </c>
      <c r="AR171" s="171">
        <v>100</v>
      </c>
      <c r="AS171" s="172"/>
      <c r="AT171" s="172"/>
      <c r="AU171" s="172"/>
      <c r="AV171" s="172"/>
      <c r="AW171" s="172"/>
      <c r="AX171" s="172"/>
      <c r="AY171" s="172"/>
      <c r="AZ171" s="172"/>
      <c r="BA171" s="171"/>
      <c r="BB171" s="171"/>
      <c r="BC171" s="171"/>
      <c r="BD171" s="171"/>
      <c r="BE171" s="171"/>
      <c r="BF171" s="171"/>
      <c r="BG171" s="171"/>
      <c r="BH171" s="171"/>
      <c r="BI171" s="172"/>
      <c r="BJ171" s="172"/>
      <c r="BK171" s="172"/>
      <c r="BL171" s="172"/>
      <c r="BM171" s="172"/>
      <c r="BN171" s="172"/>
      <c r="BO171" s="172"/>
      <c r="BP171" s="172"/>
      <c r="BQ171" s="171" t="s">
        <v>692</v>
      </c>
      <c r="BR171" s="172" t="s">
        <v>693</v>
      </c>
      <c r="BS171" s="124">
        <v>175</v>
      </c>
      <c r="BT171" s="124" t="s">
        <v>584</v>
      </c>
    </row>
    <row r="172" spans="1:72" ht="12.75" hidden="1" customHeight="1" x14ac:dyDescent="0.2">
      <c r="A172" s="205">
        <v>176</v>
      </c>
      <c r="B172" s="233" t="s">
        <v>696</v>
      </c>
      <c r="C172" s="263" t="s">
        <v>697</v>
      </c>
      <c r="D172" s="233" t="s">
        <v>683</v>
      </c>
      <c r="E172" s="125" t="s">
        <v>102</v>
      </c>
      <c r="F172" s="181" t="s">
        <v>684</v>
      </c>
      <c r="G172" s="156" t="s">
        <v>56</v>
      </c>
      <c r="H172" s="156" t="s">
        <v>698</v>
      </c>
      <c r="I172" s="156"/>
      <c r="J172" s="208">
        <v>4</v>
      </c>
      <c r="K172" s="209"/>
      <c r="L172" s="209" t="s">
        <v>58</v>
      </c>
      <c r="M172" s="208" t="s">
        <v>59</v>
      </c>
      <c r="N172" s="208">
        <v>0</v>
      </c>
      <c r="O172" s="208" t="s">
        <v>60</v>
      </c>
      <c r="P172" s="208" t="s">
        <v>79</v>
      </c>
      <c r="Q172" s="210" t="s">
        <v>686</v>
      </c>
      <c r="R172" s="210"/>
      <c r="S172" s="211"/>
      <c r="T172" s="210"/>
      <c r="U172" s="210"/>
      <c r="V172" s="170" t="s">
        <v>62</v>
      </c>
      <c r="W172" s="129"/>
      <c r="X172" s="129"/>
      <c r="Y172" s="170" t="s">
        <v>655</v>
      </c>
      <c r="Z172" s="135" t="s">
        <v>63</v>
      </c>
      <c r="AA172" s="171">
        <v>52</v>
      </c>
      <c r="AB172" s="171">
        <v>28</v>
      </c>
      <c r="AC172" s="172" t="s">
        <v>699</v>
      </c>
      <c r="AD172" s="172" t="s">
        <v>80</v>
      </c>
      <c r="AE172" s="172" t="s">
        <v>335</v>
      </c>
      <c r="AF172" s="136" t="s">
        <v>700</v>
      </c>
      <c r="AG172" s="172" t="s">
        <v>80</v>
      </c>
      <c r="AH172" s="172" t="s">
        <v>117</v>
      </c>
      <c r="AI172" s="172"/>
      <c r="AJ172" s="172"/>
      <c r="AK172" s="171">
        <v>75.5</v>
      </c>
      <c r="AL172" s="171" t="s">
        <v>81</v>
      </c>
      <c r="AM172" s="171" t="s">
        <v>335</v>
      </c>
      <c r="AN172" s="171">
        <v>14.4</v>
      </c>
      <c r="AO172" s="171" t="s">
        <v>81</v>
      </c>
      <c r="AP172" s="171" t="s">
        <v>117</v>
      </c>
      <c r="AQ172" s="171"/>
      <c r="AR172" s="171"/>
      <c r="AS172" s="172"/>
      <c r="AT172" s="172"/>
      <c r="AU172" s="172"/>
      <c r="AV172" s="172"/>
      <c r="AW172" s="172"/>
      <c r="AX172" s="172"/>
      <c r="AY172" s="172"/>
      <c r="AZ172" s="172"/>
      <c r="BA172" s="171"/>
      <c r="BB172" s="171"/>
      <c r="BC172" s="171"/>
      <c r="BD172" s="171"/>
      <c r="BE172" s="171"/>
      <c r="BF172" s="171"/>
      <c r="BG172" s="171"/>
      <c r="BH172" s="171"/>
      <c r="BI172" s="172"/>
      <c r="BJ172" s="172"/>
      <c r="BK172" s="172"/>
      <c r="BL172" s="172"/>
      <c r="BM172" s="172"/>
      <c r="BN172" s="172"/>
      <c r="BO172" s="172"/>
      <c r="BP172" s="172"/>
      <c r="BQ172" s="171" t="s">
        <v>214</v>
      </c>
      <c r="BR172" s="165"/>
      <c r="BS172" s="124">
        <v>176</v>
      </c>
      <c r="BT172" s="124" t="s">
        <v>584</v>
      </c>
    </row>
    <row r="173" spans="1:72" ht="14.25" hidden="1" customHeight="1" x14ac:dyDescent="0.2">
      <c r="A173" s="205">
        <v>177</v>
      </c>
      <c r="B173" s="233" t="s">
        <v>696</v>
      </c>
      <c r="C173" s="263" t="s">
        <v>697</v>
      </c>
      <c r="D173" s="233" t="s">
        <v>701</v>
      </c>
      <c r="E173" s="125" t="s">
        <v>102</v>
      </c>
      <c r="F173" s="181" t="s">
        <v>684</v>
      </c>
      <c r="G173" s="156" t="s">
        <v>56</v>
      </c>
      <c r="H173" s="156" t="s">
        <v>698</v>
      </c>
      <c r="I173" s="156"/>
      <c r="J173" s="208">
        <v>6</v>
      </c>
      <c r="K173" s="209"/>
      <c r="L173" s="209" t="s">
        <v>58</v>
      </c>
      <c r="M173" s="208" t="s">
        <v>59</v>
      </c>
      <c r="N173" s="208">
        <v>132</v>
      </c>
      <c r="O173" s="208" t="s">
        <v>60</v>
      </c>
      <c r="P173" s="208" t="s">
        <v>79</v>
      </c>
      <c r="Q173" s="210" t="s">
        <v>686</v>
      </c>
      <c r="R173" s="210"/>
      <c r="S173" s="211"/>
      <c r="T173" s="210"/>
      <c r="U173" s="210"/>
      <c r="V173" s="170" t="s">
        <v>62</v>
      </c>
      <c r="W173" s="129"/>
      <c r="X173" s="129"/>
      <c r="Y173" s="170" t="s">
        <v>655</v>
      </c>
      <c r="Z173" s="135" t="s">
        <v>63</v>
      </c>
      <c r="AA173" s="171">
        <v>52</v>
      </c>
      <c r="AB173" s="171">
        <v>28</v>
      </c>
      <c r="AC173" s="172" t="s">
        <v>699</v>
      </c>
      <c r="AD173" s="172" t="s">
        <v>80</v>
      </c>
      <c r="AE173" s="172" t="s">
        <v>335</v>
      </c>
      <c r="AF173" s="136" t="s">
        <v>700</v>
      </c>
      <c r="AG173" s="172" t="s">
        <v>80</v>
      </c>
      <c r="AH173" s="172" t="s">
        <v>117</v>
      </c>
      <c r="AI173" s="172"/>
      <c r="AJ173" s="172"/>
      <c r="AK173" s="171">
        <v>75.400000000000006</v>
      </c>
      <c r="AL173" s="171" t="s">
        <v>81</v>
      </c>
      <c r="AM173" s="171" t="s">
        <v>335</v>
      </c>
      <c r="AN173" s="171">
        <v>14.4</v>
      </c>
      <c r="AO173" s="171" t="s">
        <v>81</v>
      </c>
      <c r="AP173" s="171" t="s">
        <v>117</v>
      </c>
      <c r="AQ173" s="171"/>
      <c r="AR173" s="171"/>
      <c r="AS173" s="172"/>
      <c r="AT173" s="172"/>
      <c r="AU173" s="172"/>
      <c r="AV173" s="172"/>
      <c r="AW173" s="172"/>
      <c r="AX173" s="172"/>
      <c r="AY173" s="172"/>
      <c r="AZ173" s="172"/>
      <c r="BA173" s="171"/>
      <c r="BB173" s="171"/>
      <c r="BC173" s="171"/>
      <c r="BD173" s="171"/>
      <c r="BE173" s="171"/>
      <c r="BF173" s="171"/>
      <c r="BG173" s="171"/>
      <c r="BH173" s="171"/>
      <c r="BI173" s="172"/>
      <c r="BJ173" s="172"/>
      <c r="BK173" s="172"/>
      <c r="BL173" s="172"/>
      <c r="BM173" s="172"/>
      <c r="BN173" s="172"/>
      <c r="BO173" s="172"/>
      <c r="BP173" s="172"/>
      <c r="BQ173" s="171" t="s">
        <v>214</v>
      </c>
      <c r="BR173" s="165"/>
      <c r="BS173" s="124">
        <v>177</v>
      </c>
      <c r="BT173" s="124" t="s">
        <v>584</v>
      </c>
    </row>
    <row r="174" spans="1:72" ht="14.25" hidden="1" customHeight="1" x14ac:dyDescent="0.2">
      <c r="A174" s="205">
        <v>178</v>
      </c>
      <c r="B174" s="233" t="s">
        <v>696</v>
      </c>
      <c r="C174" s="263" t="s">
        <v>697</v>
      </c>
      <c r="D174" s="233" t="s">
        <v>333</v>
      </c>
      <c r="E174" s="125" t="s">
        <v>102</v>
      </c>
      <c r="F174" s="181" t="s">
        <v>684</v>
      </c>
      <c r="G174" s="156" t="s">
        <v>56</v>
      </c>
      <c r="H174" s="156" t="s">
        <v>698</v>
      </c>
      <c r="I174" s="156"/>
      <c r="J174" s="208">
        <v>0.05</v>
      </c>
      <c r="K174" s="209"/>
      <c r="L174" s="209" t="s">
        <v>107</v>
      </c>
      <c r="M174" s="208" t="s">
        <v>78</v>
      </c>
      <c r="N174" s="208">
        <v>0</v>
      </c>
      <c r="O174" s="208" t="s">
        <v>60</v>
      </c>
      <c r="P174" s="208" t="s">
        <v>79</v>
      </c>
      <c r="Q174" s="210"/>
      <c r="R174" s="210"/>
      <c r="S174" s="211">
        <v>30</v>
      </c>
      <c r="T174" s="210"/>
      <c r="U174" s="210"/>
      <c r="V174" s="170" t="s">
        <v>62</v>
      </c>
      <c r="W174" s="129"/>
      <c r="X174" s="129"/>
      <c r="Y174" s="170" t="s">
        <v>655</v>
      </c>
      <c r="Z174" s="135" t="s">
        <v>63</v>
      </c>
      <c r="AA174" s="171">
        <v>52</v>
      </c>
      <c r="AB174" s="171">
        <v>28</v>
      </c>
      <c r="AC174" s="172" t="s">
        <v>699</v>
      </c>
      <c r="AD174" s="172" t="s">
        <v>80</v>
      </c>
      <c r="AE174" s="172" t="s">
        <v>335</v>
      </c>
      <c r="AF174" s="136" t="s">
        <v>700</v>
      </c>
      <c r="AG174" s="172" t="s">
        <v>80</v>
      </c>
      <c r="AH174" s="172" t="s">
        <v>117</v>
      </c>
      <c r="AI174" s="172"/>
      <c r="AJ174" s="172"/>
      <c r="AK174" s="171">
        <v>75.5</v>
      </c>
      <c r="AL174" s="171" t="s">
        <v>81</v>
      </c>
      <c r="AM174" s="171" t="s">
        <v>335</v>
      </c>
      <c r="AN174" s="171">
        <v>14.4</v>
      </c>
      <c r="AO174" s="171" t="s">
        <v>81</v>
      </c>
      <c r="AP174" s="171" t="s">
        <v>117</v>
      </c>
      <c r="AQ174" s="171"/>
      <c r="AR174" s="171"/>
      <c r="AS174" s="172"/>
      <c r="AT174" s="172"/>
      <c r="AU174" s="172"/>
      <c r="AV174" s="172"/>
      <c r="AW174" s="172"/>
      <c r="AX174" s="172"/>
      <c r="AY174" s="172"/>
      <c r="AZ174" s="172"/>
      <c r="BA174" s="171"/>
      <c r="BB174" s="171"/>
      <c r="BC174" s="171"/>
      <c r="BD174" s="171"/>
      <c r="BE174" s="171"/>
      <c r="BF174" s="171"/>
      <c r="BG174" s="171"/>
      <c r="BH174" s="171"/>
      <c r="BI174" s="172"/>
      <c r="BJ174" s="172"/>
      <c r="BK174" s="172"/>
      <c r="BL174" s="172"/>
      <c r="BM174" s="172"/>
      <c r="BN174" s="172"/>
      <c r="BO174" s="172"/>
      <c r="BP174" s="172"/>
      <c r="BQ174" s="171" t="s">
        <v>214</v>
      </c>
      <c r="BR174" s="165"/>
      <c r="BS174" s="124">
        <v>178</v>
      </c>
      <c r="BT174" s="124" t="s">
        <v>584</v>
      </c>
    </row>
    <row r="175" spans="1:72" ht="14.25" hidden="1" customHeight="1" x14ac:dyDescent="0.2">
      <c r="A175" s="205">
        <v>179</v>
      </c>
      <c r="B175" s="233" t="s">
        <v>696</v>
      </c>
      <c r="C175" s="263" t="s">
        <v>697</v>
      </c>
      <c r="D175" s="233" t="s">
        <v>336</v>
      </c>
      <c r="E175" s="125" t="s">
        <v>102</v>
      </c>
      <c r="F175" s="181" t="s">
        <v>684</v>
      </c>
      <c r="G175" s="156" t="s">
        <v>56</v>
      </c>
      <c r="H175" s="156" t="s">
        <v>698</v>
      </c>
      <c r="I175" s="156"/>
      <c r="J175" s="208">
        <v>0.05</v>
      </c>
      <c r="K175" s="209"/>
      <c r="L175" s="209" t="s">
        <v>107</v>
      </c>
      <c r="M175" s="208" t="s">
        <v>78</v>
      </c>
      <c r="N175" s="208">
        <v>132</v>
      </c>
      <c r="O175" s="208" t="s">
        <v>60</v>
      </c>
      <c r="P175" s="208" t="s">
        <v>79</v>
      </c>
      <c r="Q175" s="210"/>
      <c r="R175" s="210"/>
      <c r="S175" s="211">
        <v>30</v>
      </c>
      <c r="T175" s="210"/>
      <c r="U175" s="210"/>
      <c r="V175" s="170"/>
      <c r="W175" s="129"/>
      <c r="X175" s="129"/>
      <c r="Y175" s="170" t="s">
        <v>655</v>
      </c>
      <c r="Z175" s="135" t="s">
        <v>63</v>
      </c>
      <c r="AA175" s="171">
        <v>52</v>
      </c>
      <c r="AB175" s="171">
        <v>28</v>
      </c>
      <c r="AC175" s="172" t="s">
        <v>699</v>
      </c>
      <c r="AD175" s="172" t="s">
        <v>80</v>
      </c>
      <c r="AE175" s="172" t="s">
        <v>335</v>
      </c>
      <c r="AF175" s="136" t="s">
        <v>700</v>
      </c>
      <c r="AG175" s="172" t="s">
        <v>80</v>
      </c>
      <c r="AH175" s="172" t="s">
        <v>117</v>
      </c>
      <c r="AI175" s="172"/>
      <c r="AJ175" s="172"/>
      <c r="AK175" s="171">
        <v>75.400000000000006</v>
      </c>
      <c r="AL175" s="171" t="s">
        <v>81</v>
      </c>
      <c r="AM175" s="171" t="s">
        <v>335</v>
      </c>
      <c r="AN175" s="171">
        <v>14.4</v>
      </c>
      <c r="AO175" s="171" t="s">
        <v>81</v>
      </c>
      <c r="AP175" s="171" t="s">
        <v>117</v>
      </c>
      <c r="AQ175" s="171"/>
      <c r="AR175" s="171"/>
      <c r="AS175" s="172"/>
      <c r="AT175" s="172"/>
      <c r="AU175" s="172"/>
      <c r="AV175" s="172"/>
      <c r="AW175" s="172"/>
      <c r="AX175" s="172"/>
      <c r="AY175" s="172"/>
      <c r="AZ175" s="172"/>
      <c r="BA175" s="171"/>
      <c r="BB175" s="171"/>
      <c r="BC175" s="171"/>
      <c r="BD175" s="171"/>
      <c r="BE175" s="171"/>
      <c r="BF175" s="171"/>
      <c r="BG175" s="171"/>
      <c r="BH175" s="171"/>
      <c r="BI175" s="172"/>
      <c r="BJ175" s="172"/>
      <c r="BK175" s="172"/>
      <c r="BL175" s="172"/>
      <c r="BM175" s="172"/>
      <c r="BN175" s="172"/>
      <c r="BO175" s="172"/>
      <c r="BP175" s="172"/>
      <c r="BQ175" s="171" t="s">
        <v>214</v>
      </c>
      <c r="BR175" s="165"/>
      <c r="BS175" s="124">
        <v>179</v>
      </c>
      <c r="BT175" s="124" t="s">
        <v>584</v>
      </c>
    </row>
    <row r="176" spans="1:72" ht="14.25" hidden="1" customHeight="1" x14ac:dyDescent="0.2">
      <c r="A176" s="205">
        <v>180</v>
      </c>
      <c r="B176" s="231" t="s">
        <v>702</v>
      </c>
      <c r="C176" s="264" t="s">
        <v>703</v>
      </c>
      <c r="D176" s="231" t="s">
        <v>704</v>
      </c>
      <c r="E176" s="125" t="s">
        <v>102</v>
      </c>
      <c r="F176" s="181" t="s">
        <v>103</v>
      </c>
      <c r="G176" s="181" t="s">
        <v>705</v>
      </c>
      <c r="H176" s="181" t="s">
        <v>706</v>
      </c>
      <c r="I176" s="181"/>
      <c r="J176" s="178">
        <v>5</v>
      </c>
      <c r="K176" s="182"/>
      <c r="L176" s="182" t="s">
        <v>58</v>
      </c>
      <c r="M176" s="178" t="s">
        <v>78</v>
      </c>
      <c r="N176" s="208">
        <v>0</v>
      </c>
      <c r="O176" s="208" t="s">
        <v>60</v>
      </c>
      <c r="P176" s="208" t="s">
        <v>79</v>
      </c>
      <c r="Q176" s="179"/>
      <c r="R176" s="179" t="s">
        <v>707</v>
      </c>
      <c r="S176" s="180">
        <v>10</v>
      </c>
      <c r="T176" s="179"/>
      <c r="U176" s="179"/>
      <c r="V176" s="167"/>
      <c r="W176" s="168"/>
      <c r="X176" s="168"/>
      <c r="Y176" s="167"/>
      <c r="Z176" s="135" t="s">
        <v>63</v>
      </c>
      <c r="AA176" s="166">
        <v>10</v>
      </c>
      <c r="AB176" s="166">
        <v>10</v>
      </c>
      <c r="AC176" s="165">
        <v>28.5</v>
      </c>
      <c r="AD176" s="172" t="s">
        <v>80</v>
      </c>
      <c r="AE176" s="172" t="s">
        <v>116</v>
      </c>
      <c r="AF176" s="165">
        <v>1.3</v>
      </c>
      <c r="AG176" s="172" t="s">
        <v>80</v>
      </c>
      <c r="AH176" s="172" t="s">
        <v>117</v>
      </c>
      <c r="AI176" s="165"/>
      <c r="AJ176" s="165"/>
      <c r="AK176" s="166">
        <v>58.5</v>
      </c>
      <c r="AL176" s="171" t="s">
        <v>81</v>
      </c>
      <c r="AM176" s="171" t="s">
        <v>118</v>
      </c>
      <c r="AN176" s="166">
        <v>1.3</v>
      </c>
      <c r="AO176" s="171" t="s">
        <v>81</v>
      </c>
      <c r="AP176" s="171" t="s">
        <v>117</v>
      </c>
      <c r="AQ176" s="166"/>
      <c r="AR176" s="166"/>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214</v>
      </c>
      <c r="BR176" s="165"/>
      <c r="BS176" s="124">
        <v>180</v>
      </c>
      <c r="BT176" s="124" t="s">
        <v>584</v>
      </c>
    </row>
    <row r="177" spans="1:72" ht="14.25" hidden="1" customHeight="1" x14ac:dyDescent="0.2">
      <c r="A177" s="205">
        <v>181</v>
      </c>
      <c r="B177" s="231" t="s">
        <v>702</v>
      </c>
      <c r="C177" s="264" t="s">
        <v>703</v>
      </c>
      <c r="D177" s="231" t="s">
        <v>708</v>
      </c>
      <c r="E177" s="125" t="s">
        <v>102</v>
      </c>
      <c r="F177" s="181" t="s">
        <v>103</v>
      </c>
      <c r="G177" s="181" t="s">
        <v>705</v>
      </c>
      <c r="H177" s="181" t="s">
        <v>706</v>
      </c>
      <c r="I177" s="181"/>
      <c r="J177" s="178">
        <v>5</v>
      </c>
      <c r="K177" s="182"/>
      <c r="L177" s="182" t="s">
        <v>58</v>
      </c>
      <c r="M177" s="178" t="s">
        <v>78</v>
      </c>
      <c r="N177" s="208">
        <v>0</v>
      </c>
      <c r="O177" s="208" t="s">
        <v>60</v>
      </c>
      <c r="P177" s="208" t="s">
        <v>79</v>
      </c>
      <c r="Q177" s="179"/>
      <c r="R177" s="179" t="s">
        <v>707</v>
      </c>
      <c r="S177" s="180">
        <v>10</v>
      </c>
      <c r="T177" s="179"/>
      <c r="U177" s="179"/>
      <c r="V177" s="167"/>
      <c r="W177" s="168"/>
      <c r="X177" s="168"/>
      <c r="Y177" s="167"/>
      <c r="Z177" s="135" t="s">
        <v>63</v>
      </c>
      <c r="AA177" s="166">
        <v>10</v>
      </c>
      <c r="AB177" s="166">
        <v>10</v>
      </c>
      <c r="AC177" s="165">
        <v>28.5</v>
      </c>
      <c r="AD177" s="172" t="s">
        <v>80</v>
      </c>
      <c r="AE177" s="172" t="s">
        <v>116</v>
      </c>
      <c r="AF177" s="165">
        <v>1.3</v>
      </c>
      <c r="AG177" s="172" t="s">
        <v>80</v>
      </c>
      <c r="AH177" s="172" t="s">
        <v>117</v>
      </c>
      <c r="AI177" s="165"/>
      <c r="AJ177" s="165"/>
      <c r="AK177" s="166">
        <v>58.5</v>
      </c>
      <c r="AL177" s="171" t="s">
        <v>81</v>
      </c>
      <c r="AM177" s="171" t="s">
        <v>118</v>
      </c>
      <c r="AN177" s="166">
        <v>1.3</v>
      </c>
      <c r="AO177" s="171" t="s">
        <v>81</v>
      </c>
      <c r="AP177" s="171" t="s">
        <v>117</v>
      </c>
      <c r="AQ177" s="166"/>
      <c r="AR177" s="166"/>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214</v>
      </c>
      <c r="BR177" s="165"/>
      <c r="BS177" s="124">
        <v>181</v>
      </c>
      <c r="BT177" s="124" t="s">
        <v>584</v>
      </c>
    </row>
    <row r="178" spans="1:72" ht="14.25" hidden="1" customHeight="1" x14ac:dyDescent="0.2">
      <c r="A178" s="205">
        <v>182</v>
      </c>
      <c r="B178" s="231" t="s">
        <v>702</v>
      </c>
      <c r="C178" s="264" t="s">
        <v>703</v>
      </c>
      <c r="D178" s="231" t="s">
        <v>709</v>
      </c>
      <c r="E178" s="125" t="s">
        <v>102</v>
      </c>
      <c r="F178" s="181" t="s">
        <v>103</v>
      </c>
      <c r="G178" s="181" t="s">
        <v>705</v>
      </c>
      <c r="H178" s="181" t="s">
        <v>57</v>
      </c>
      <c r="I178" s="181"/>
      <c r="J178" s="178">
        <v>5</v>
      </c>
      <c r="K178" s="182"/>
      <c r="L178" s="182" t="s">
        <v>58</v>
      </c>
      <c r="M178" s="178" t="s">
        <v>78</v>
      </c>
      <c r="N178" s="208">
        <v>0</v>
      </c>
      <c r="O178" s="208" t="s">
        <v>60</v>
      </c>
      <c r="P178" s="208" t="s">
        <v>79</v>
      </c>
      <c r="Q178" s="179"/>
      <c r="R178" s="179" t="s">
        <v>707</v>
      </c>
      <c r="S178" s="180">
        <v>10</v>
      </c>
      <c r="T178" s="179"/>
      <c r="U178" s="179"/>
      <c r="V178" s="167"/>
      <c r="W178" s="168"/>
      <c r="X178" s="168"/>
      <c r="Y178" s="167"/>
      <c r="Z178" s="135" t="s">
        <v>63</v>
      </c>
      <c r="AA178" s="166">
        <v>10</v>
      </c>
      <c r="AB178" s="166">
        <v>0</v>
      </c>
      <c r="AC178" s="165">
        <v>27.9</v>
      </c>
      <c r="AD178" s="172" t="s">
        <v>80</v>
      </c>
      <c r="AE178" s="172" t="s">
        <v>116</v>
      </c>
      <c r="AF178" s="165">
        <v>1</v>
      </c>
      <c r="AG178" s="172" t="s">
        <v>80</v>
      </c>
      <c r="AH178" s="172" t="s">
        <v>117</v>
      </c>
      <c r="AI178" s="165"/>
      <c r="AJ178" s="165"/>
      <c r="AK178" s="166">
        <v>68.8</v>
      </c>
      <c r="AL178" s="171" t="s">
        <v>81</v>
      </c>
      <c r="AM178" s="171" t="s">
        <v>118</v>
      </c>
      <c r="AN178" s="166">
        <v>1.7</v>
      </c>
      <c r="AO178" s="171" t="s">
        <v>81</v>
      </c>
      <c r="AP178" s="171" t="s">
        <v>117</v>
      </c>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t="s">
        <v>214</v>
      </c>
      <c r="BR178" s="165"/>
      <c r="BS178" s="124">
        <v>182</v>
      </c>
      <c r="BT178" s="124" t="s">
        <v>584</v>
      </c>
    </row>
    <row r="179" spans="1:72" ht="14.25" hidden="1" customHeight="1" x14ac:dyDescent="0.2">
      <c r="A179" s="205">
        <v>183</v>
      </c>
      <c r="B179" s="231" t="s">
        <v>702</v>
      </c>
      <c r="C179" s="264" t="s">
        <v>703</v>
      </c>
      <c r="D179" s="231" t="s">
        <v>710</v>
      </c>
      <c r="E179" s="125" t="s">
        <v>102</v>
      </c>
      <c r="F179" s="181" t="s">
        <v>103</v>
      </c>
      <c r="G179" s="181" t="s">
        <v>705</v>
      </c>
      <c r="H179" s="181" t="s">
        <v>57</v>
      </c>
      <c r="I179" s="181"/>
      <c r="J179" s="178">
        <v>5</v>
      </c>
      <c r="K179" s="182"/>
      <c r="L179" s="182" t="s">
        <v>58</v>
      </c>
      <c r="M179" s="178" t="s">
        <v>78</v>
      </c>
      <c r="N179" s="208">
        <v>0</v>
      </c>
      <c r="O179" s="208" t="s">
        <v>60</v>
      </c>
      <c r="P179" s="208" t="s">
        <v>79</v>
      </c>
      <c r="Q179" s="179"/>
      <c r="R179" s="179" t="s">
        <v>707</v>
      </c>
      <c r="S179" s="180">
        <v>10</v>
      </c>
      <c r="T179" s="179"/>
      <c r="U179" s="179"/>
      <c r="V179" s="167"/>
      <c r="W179" s="168"/>
      <c r="X179" s="168"/>
      <c r="Y179" s="167"/>
      <c r="Z179" s="135" t="s">
        <v>63</v>
      </c>
      <c r="AA179" s="166">
        <v>9</v>
      </c>
      <c r="AB179" s="166">
        <v>0</v>
      </c>
      <c r="AC179" s="165">
        <v>67.599999999999994</v>
      </c>
      <c r="AD179" s="172" t="s">
        <v>80</v>
      </c>
      <c r="AE179" s="172" t="s">
        <v>116</v>
      </c>
      <c r="AF179" s="165">
        <v>1.4</v>
      </c>
      <c r="AG179" s="172" t="s">
        <v>80</v>
      </c>
      <c r="AH179" s="172" t="s">
        <v>117</v>
      </c>
      <c r="AI179" s="165"/>
      <c r="AJ179" s="165"/>
      <c r="AK179" s="166">
        <v>79.599999999999994</v>
      </c>
      <c r="AL179" s="171" t="s">
        <v>81</v>
      </c>
      <c r="AM179" s="171" t="s">
        <v>118</v>
      </c>
      <c r="AN179" s="166">
        <v>3.6</v>
      </c>
      <c r="AO179" s="171" t="s">
        <v>81</v>
      </c>
      <c r="AP179" s="171" t="s">
        <v>117</v>
      </c>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t="s">
        <v>214</v>
      </c>
      <c r="BR179" s="165"/>
      <c r="BS179" s="124">
        <v>183</v>
      </c>
      <c r="BT179" s="124" t="s">
        <v>584</v>
      </c>
    </row>
    <row r="180" spans="1:72" ht="14.25" hidden="1" customHeight="1" x14ac:dyDescent="0.2">
      <c r="A180" s="205">
        <v>184</v>
      </c>
      <c r="B180" s="231" t="s">
        <v>702</v>
      </c>
      <c r="C180" s="264" t="s">
        <v>703</v>
      </c>
      <c r="D180" s="231" t="s">
        <v>711</v>
      </c>
      <c r="E180" s="125" t="s">
        <v>102</v>
      </c>
      <c r="F180" s="181" t="s">
        <v>103</v>
      </c>
      <c r="G180" s="181" t="s">
        <v>705</v>
      </c>
      <c r="H180" s="181" t="s">
        <v>706</v>
      </c>
      <c r="I180" s="181"/>
      <c r="J180" s="178">
        <v>10</v>
      </c>
      <c r="K180" s="182"/>
      <c r="L180" s="182" t="s">
        <v>58</v>
      </c>
      <c r="M180" s="208" t="s">
        <v>59</v>
      </c>
      <c r="N180" s="208">
        <v>0</v>
      </c>
      <c r="O180" s="208" t="s">
        <v>60</v>
      </c>
      <c r="P180" s="208" t="s">
        <v>79</v>
      </c>
      <c r="Q180" s="179" t="s">
        <v>712</v>
      </c>
      <c r="R180" s="179"/>
      <c r="S180" s="180"/>
      <c r="T180" s="179" t="s">
        <v>713</v>
      </c>
      <c r="U180" s="179"/>
      <c r="V180" s="167" t="s">
        <v>62</v>
      </c>
      <c r="W180" s="168"/>
      <c r="X180" s="168">
        <v>3</v>
      </c>
      <c r="Y180" s="170" t="s">
        <v>655</v>
      </c>
      <c r="Z180" s="135" t="s">
        <v>63</v>
      </c>
      <c r="AA180" s="166">
        <v>10</v>
      </c>
      <c r="AB180" s="166">
        <v>10</v>
      </c>
      <c r="AC180" s="165">
        <v>28.5</v>
      </c>
      <c r="AD180" s="172" t="s">
        <v>80</v>
      </c>
      <c r="AE180" s="172" t="s">
        <v>116</v>
      </c>
      <c r="AF180" s="165">
        <v>1.3</v>
      </c>
      <c r="AG180" s="172" t="s">
        <v>80</v>
      </c>
      <c r="AH180" s="172" t="s">
        <v>117</v>
      </c>
      <c r="AI180" s="165"/>
      <c r="AJ180" s="165"/>
      <c r="AK180" s="166">
        <v>58.5</v>
      </c>
      <c r="AL180" s="171" t="s">
        <v>81</v>
      </c>
      <c r="AM180" s="171" t="s">
        <v>118</v>
      </c>
      <c r="AN180" s="166">
        <v>1.3</v>
      </c>
      <c r="AO180" s="171" t="s">
        <v>81</v>
      </c>
      <c r="AP180" s="171" t="s">
        <v>117</v>
      </c>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t="s">
        <v>214</v>
      </c>
      <c r="BR180" s="165"/>
      <c r="BS180" s="124">
        <v>184</v>
      </c>
      <c r="BT180" s="124" t="s">
        <v>584</v>
      </c>
    </row>
    <row r="181" spans="1:72" ht="14.25" hidden="1" customHeight="1" x14ac:dyDescent="0.2">
      <c r="A181" s="205">
        <v>185</v>
      </c>
      <c r="B181" s="231" t="s">
        <v>702</v>
      </c>
      <c r="C181" s="264" t="s">
        <v>703</v>
      </c>
      <c r="D181" s="231" t="s">
        <v>714</v>
      </c>
      <c r="E181" s="125" t="s">
        <v>102</v>
      </c>
      <c r="F181" s="181" t="s">
        <v>103</v>
      </c>
      <c r="G181" s="181" t="s">
        <v>705</v>
      </c>
      <c r="H181" s="181" t="s">
        <v>706</v>
      </c>
      <c r="I181" s="181"/>
      <c r="J181" s="178">
        <v>10</v>
      </c>
      <c r="K181" s="182"/>
      <c r="L181" s="182" t="s">
        <v>58</v>
      </c>
      <c r="M181" s="208" t="s">
        <v>59</v>
      </c>
      <c r="N181" s="208">
        <v>0</v>
      </c>
      <c r="O181" s="208" t="s">
        <v>60</v>
      </c>
      <c r="P181" s="208" t="s">
        <v>79</v>
      </c>
      <c r="Q181" s="179" t="s">
        <v>712</v>
      </c>
      <c r="R181" s="179"/>
      <c r="S181" s="180"/>
      <c r="T181" s="179" t="s">
        <v>713</v>
      </c>
      <c r="U181" s="179"/>
      <c r="V181" s="167" t="s">
        <v>62</v>
      </c>
      <c r="W181" s="168"/>
      <c r="X181" s="168">
        <v>3</v>
      </c>
      <c r="Y181" s="170" t="s">
        <v>655</v>
      </c>
      <c r="Z181" s="135" t="s">
        <v>63</v>
      </c>
      <c r="AA181" s="166">
        <v>10</v>
      </c>
      <c r="AB181" s="166">
        <v>10</v>
      </c>
      <c r="AC181" s="165">
        <v>28.5</v>
      </c>
      <c r="AD181" s="172" t="s">
        <v>80</v>
      </c>
      <c r="AE181" s="172" t="s">
        <v>116</v>
      </c>
      <c r="AF181" s="165">
        <v>1.3</v>
      </c>
      <c r="AG181" s="172" t="s">
        <v>80</v>
      </c>
      <c r="AH181" s="172" t="s">
        <v>117</v>
      </c>
      <c r="AI181" s="165"/>
      <c r="AJ181" s="165"/>
      <c r="AK181" s="166">
        <v>58.5</v>
      </c>
      <c r="AL181" s="171" t="s">
        <v>81</v>
      </c>
      <c r="AM181" s="171" t="s">
        <v>118</v>
      </c>
      <c r="AN181" s="166">
        <v>1.3</v>
      </c>
      <c r="AO181" s="171" t="s">
        <v>81</v>
      </c>
      <c r="AP181" s="171" t="s">
        <v>117</v>
      </c>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t="s">
        <v>214</v>
      </c>
      <c r="BR181" s="165"/>
      <c r="BS181" s="124">
        <v>185</v>
      </c>
      <c r="BT181" s="124" t="s">
        <v>584</v>
      </c>
    </row>
    <row r="182" spans="1:72" ht="14.25" hidden="1" customHeight="1" x14ac:dyDescent="0.2">
      <c r="A182" s="205">
        <v>186</v>
      </c>
      <c r="B182" s="231" t="s">
        <v>702</v>
      </c>
      <c r="C182" s="264" t="s">
        <v>703</v>
      </c>
      <c r="D182" s="231" t="s">
        <v>715</v>
      </c>
      <c r="E182" s="125" t="s">
        <v>102</v>
      </c>
      <c r="F182" s="181" t="s">
        <v>103</v>
      </c>
      <c r="G182" s="181" t="s">
        <v>705</v>
      </c>
      <c r="H182" s="181" t="s">
        <v>57</v>
      </c>
      <c r="I182" s="181"/>
      <c r="J182" s="178">
        <v>10</v>
      </c>
      <c r="K182" s="182"/>
      <c r="L182" s="182" t="s">
        <v>58</v>
      </c>
      <c r="M182" s="208" t="s">
        <v>59</v>
      </c>
      <c r="N182" s="208">
        <v>0</v>
      </c>
      <c r="O182" s="208" t="s">
        <v>60</v>
      </c>
      <c r="P182" s="208" t="s">
        <v>79</v>
      </c>
      <c r="Q182" s="179" t="s">
        <v>712</v>
      </c>
      <c r="R182" s="179"/>
      <c r="S182" s="180"/>
      <c r="T182" s="179" t="s">
        <v>713</v>
      </c>
      <c r="U182" s="179"/>
      <c r="V182" s="167" t="s">
        <v>62</v>
      </c>
      <c r="W182" s="168"/>
      <c r="X182" s="168">
        <v>3</v>
      </c>
      <c r="Y182" s="170" t="s">
        <v>655</v>
      </c>
      <c r="Z182" s="135" t="s">
        <v>63</v>
      </c>
      <c r="AA182" s="166">
        <v>10</v>
      </c>
      <c r="AB182" s="166">
        <v>0</v>
      </c>
      <c r="AC182" s="165">
        <v>27.9</v>
      </c>
      <c r="AD182" s="172" t="s">
        <v>80</v>
      </c>
      <c r="AE182" s="172" t="s">
        <v>116</v>
      </c>
      <c r="AF182" s="165">
        <v>1</v>
      </c>
      <c r="AG182" s="172" t="s">
        <v>80</v>
      </c>
      <c r="AH182" s="172" t="s">
        <v>117</v>
      </c>
      <c r="AI182" s="165"/>
      <c r="AJ182" s="165"/>
      <c r="AK182" s="166">
        <v>68.8</v>
      </c>
      <c r="AL182" s="171" t="s">
        <v>81</v>
      </c>
      <c r="AM182" s="171" t="s">
        <v>118</v>
      </c>
      <c r="AN182" s="166">
        <v>1.7</v>
      </c>
      <c r="AO182" s="171" t="s">
        <v>81</v>
      </c>
      <c r="AP182" s="171" t="s">
        <v>117</v>
      </c>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t="s">
        <v>214</v>
      </c>
      <c r="BR182" s="165"/>
      <c r="BS182" s="124">
        <v>186</v>
      </c>
      <c r="BT182" s="124" t="s">
        <v>584</v>
      </c>
    </row>
    <row r="183" spans="1:72" ht="14.25" hidden="1" customHeight="1" x14ac:dyDescent="0.2">
      <c r="A183" s="205">
        <v>187</v>
      </c>
      <c r="B183" s="231" t="s">
        <v>702</v>
      </c>
      <c r="C183" s="264" t="s">
        <v>703</v>
      </c>
      <c r="D183" s="231" t="s">
        <v>716</v>
      </c>
      <c r="E183" s="125" t="s">
        <v>102</v>
      </c>
      <c r="F183" s="181" t="s">
        <v>103</v>
      </c>
      <c r="G183" s="181" t="s">
        <v>705</v>
      </c>
      <c r="H183" s="181" t="s">
        <v>57</v>
      </c>
      <c r="I183" s="181"/>
      <c r="J183" s="178">
        <v>10</v>
      </c>
      <c r="K183" s="182"/>
      <c r="L183" s="182" t="s">
        <v>58</v>
      </c>
      <c r="M183" s="208" t="s">
        <v>59</v>
      </c>
      <c r="N183" s="208">
        <v>0</v>
      </c>
      <c r="O183" s="208" t="s">
        <v>60</v>
      </c>
      <c r="P183" s="208" t="s">
        <v>79</v>
      </c>
      <c r="Q183" s="179" t="s">
        <v>712</v>
      </c>
      <c r="R183" s="179"/>
      <c r="S183" s="180"/>
      <c r="T183" s="179" t="s">
        <v>713</v>
      </c>
      <c r="U183" s="179"/>
      <c r="V183" s="167" t="s">
        <v>62</v>
      </c>
      <c r="W183" s="168"/>
      <c r="X183" s="168">
        <v>3</v>
      </c>
      <c r="Y183" s="170" t="s">
        <v>655</v>
      </c>
      <c r="Z183" s="135" t="s">
        <v>63</v>
      </c>
      <c r="AA183" s="166">
        <v>9</v>
      </c>
      <c r="AB183" s="166">
        <v>0</v>
      </c>
      <c r="AC183" s="165">
        <v>67.599999999999994</v>
      </c>
      <c r="AD183" s="172" t="s">
        <v>80</v>
      </c>
      <c r="AE183" s="172" t="s">
        <v>116</v>
      </c>
      <c r="AF183" s="165">
        <v>1.4</v>
      </c>
      <c r="AG183" s="172" t="s">
        <v>80</v>
      </c>
      <c r="AH183" s="172" t="s">
        <v>117</v>
      </c>
      <c r="AI183" s="165"/>
      <c r="AJ183" s="165"/>
      <c r="AK183" s="166">
        <v>79.599999999999994</v>
      </c>
      <c r="AL183" s="171" t="s">
        <v>81</v>
      </c>
      <c r="AM183" s="171" t="s">
        <v>118</v>
      </c>
      <c r="AN183" s="166">
        <v>3.6</v>
      </c>
      <c r="AO183" s="171" t="s">
        <v>81</v>
      </c>
      <c r="AP183" s="171" t="s">
        <v>117</v>
      </c>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t="s">
        <v>214</v>
      </c>
      <c r="BR183" s="165"/>
      <c r="BS183" s="124">
        <v>187</v>
      </c>
      <c r="BT183" s="124" t="s">
        <v>584</v>
      </c>
    </row>
    <row r="184" spans="1:72" ht="14.25" hidden="1" customHeight="1" x14ac:dyDescent="0.2">
      <c r="A184" s="205">
        <v>188</v>
      </c>
      <c r="B184" s="231" t="s">
        <v>717</v>
      </c>
      <c r="C184" s="264" t="s">
        <v>718</v>
      </c>
      <c r="D184" s="233" t="s">
        <v>200</v>
      </c>
      <c r="E184" s="125" t="s">
        <v>102</v>
      </c>
      <c r="F184" s="181" t="s">
        <v>103</v>
      </c>
      <c r="G184" s="181" t="s">
        <v>56</v>
      </c>
      <c r="H184" s="181" t="s">
        <v>66</v>
      </c>
      <c r="I184" s="181"/>
      <c r="J184" s="178">
        <v>6</v>
      </c>
      <c r="K184" s="182"/>
      <c r="L184" s="182" t="s">
        <v>58</v>
      </c>
      <c r="M184" s="208" t="s">
        <v>59</v>
      </c>
      <c r="N184" s="208">
        <v>0</v>
      </c>
      <c r="O184" s="208" t="s">
        <v>60</v>
      </c>
      <c r="P184" s="208" t="s">
        <v>79</v>
      </c>
      <c r="Q184" s="179"/>
      <c r="R184" s="179" t="s">
        <v>719</v>
      </c>
      <c r="S184" s="180"/>
      <c r="T184" s="179"/>
      <c r="U184" s="179"/>
      <c r="V184" s="167"/>
      <c r="W184" s="168"/>
      <c r="X184" s="168"/>
      <c r="Y184" s="167"/>
      <c r="Z184" s="135" t="s">
        <v>63</v>
      </c>
      <c r="AA184" s="166">
        <v>25</v>
      </c>
      <c r="AB184" s="166">
        <v>4</v>
      </c>
      <c r="AC184" s="165">
        <v>33</v>
      </c>
      <c r="AD184" s="172" t="s">
        <v>80</v>
      </c>
      <c r="AE184" s="172" t="s">
        <v>116</v>
      </c>
      <c r="AF184" s="165"/>
      <c r="AG184" s="165"/>
      <c r="AH184" s="165"/>
      <c r="AI184" s="165">
        <v>20</v>
      </c>
      <c r="AJ184" s="165">
        <v>49</v>
      </c>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t="s">
        <v>214</v>
      </c>
      <c r="BR184" s="165"/>
      <c r="BS184" s="124">
        <v>188</v>
      </c>
      <c r="BT184" s="124" t="s">
        <v>584</v>
      </c>
    </row>
    <row r="185" spans="1:72" ht="14.25" hidden="1" customHeight="1" x14ac:dyDescent="0.2">
      <c r="A185" s="205">
        <v>189</v>
      </c>
      <c r="B185" s="231" t="s">
        <v>717</v>
      </c>
      <c r="C185" s="264" t="s">
        <v>720</v>
      </c>
      <c r="D185" s="233" t="s">
        <v>278</v>
      </c>
      <c r="E185" s="125" t="s">
        <v>102</v>
      </c>
      <c r="F185" s="181" t="s">
        <v>103</v>
      </c>
      <c r="G185" s="181" t="s">
        <v>56</v>
      </c>
      <c r="H185" s="181" t="s">
        <v>66</v>
      </c>
      <c r="I185" s="181"/>
      <c r="J185" s="178">
        <v>6</v>
      </c>
      <c r="K185" s="182"/>
      <c r="L185" s="182" t="s">
        <v>58</v>
      </c>
      <c r="M185" s="208" t="s">
        <v>59</v>
      </c>
      <c r="N185" s="208">
        <v>0</v>
      </c>
      <c r="O185" s="208" t="s">
        <v>60</v>
      </c>
      <c r="P185" s="208" t="s">
        <v>79</v>
      </c>
      <c r="Q185" s="179"/>
      <c r="R185" s="179" t="s">
        <v>719</v>
      </c>
      <c r="S185" s="180"/>
      <c r="T185" s="179"/>
      <c r="U185" s="179" t="s">
        <v>721</v>
      </c>
      <c r="V185" s="167" t="s">
        <v>436</v>
      </c>
      <c r="W185" s="168"/>
      <c r="X185" s="168"/>
      <c r="Y185" s="167" t="s">
        <v>722</v>
      </c>
      <c r="Z185" s="135" t="s">
        <v>63</v>
      </c>
      <c r="AA185" s="166">
        <v>25</v>
      </c>
      <c r="AB185" s="166">
        <v>4</v>
      </c>
      <c r="AC185" s="165">
        <v>33</v>
      </c>
      <c r="AD185" s="172" t="s">
        <v>80</v>
      </c>
      <c r="AE185" s="172" t="s">
        <v>116</v>
      </c>
      <c r="AF185" s="165"/>
      <c r="AG185" s="165"/>
      <c r="AH185" s="165"/>
      <c r="AI185" s="165">
        <v>20</v>
      </c>
      <c r="AJ185" s="165">
        <v>49</v>
      </c>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214</v>
      </c>
      <c r="BR185" s="165"/>
      <c r="BS185" s="124">
        <v>189</v>
      </c>
      <c r="BT185" s="124" t="s">
        <v>584</v>
      </c>
    </row>
    <row r="186" spans="1:72" ht="14.25" hidden="1" customHeight="1" x14ac:dyDescent="0.2">
      <c r="A186" s="205">
        <v>190</v>
      </c>
      <c r="B186" s="233" t="s">
        <v>723</v>
      </c>
      <c r="C186" s="263" t="s">
        <v>724</v>
      </c>
      <c r="D186" s="233" t="s">
        <v>683</v>
      </c>
      <c r="E186" s="125" t="s">
        <v>412</v>
      </c>
      <c r="F186" s="181" t="s">
        <v>103</v>
      </c>
      <c r="G186" s="181" t="s">
        <v>56</v>
      </c>
      <c r="H186" s="181" t="s">
        <v>407</v>
      </c>
      <c r="I186" s="181"/>
      <c r="J186" s="178">
        <v>1</v>
      </c>
      <c r="K186" s="182"/>
      <c r="L186" s="182" t="s">
        <v>58</v>
      </c>
      <c r="M186" s="178" t="s">
        <v>59</v>
      </c>
      <c r="N186" s="128">
        <v>0</v>
      </c>
      <c r="O186" s="178" t="s">
        <v>60</v>
      </c>
      <c r="P186" s="178" t="s">
        <v>79</v>
      </c>
      <c r="Q186" s="179"/>
      <c r="R186" s="179"/>
      <c r="S186" s="180"/>
      <c r="T186" s="179"/>
      <c r="U186" s="179"/>
      <c r="V186" s="167" t="s">
        <v>615</v>
      </c>
      <c r="W186" s="168">
        <v>10</v>
      </c>
      <c r="X186" s="168">
        <v>4</v>
      </c>
      <c r="Y186" s="167"/>
      <c r="Z186" s="169" t="s">
        <v>63</v>
      </c>
      <c r="AA186" s="166">
        <v>8</v>
      </c>
      <c r="AB186" s="166">
        <v>0</v>
      </c>
      <c r="AC186" s="165">
        <v>29</v>
      </c>
      <c r="AD186" s="165" t="s">
        <v>80</v>
      </c>
      <c r="AE186" s="165" t="s">
        <v>335</v>
      </c>
      <c r="AF186" s="165">
        <v>5</v>
      </c>
      <c r="AG186" s="165" t="s">
        <v>80</v>
      </c>
      <c r="AH186" s="165" t="s">
        <v>117</v>
      </c>
      <c r="AI186" s="165"/>
      <c r="AJ186" s="165"/>
      <c r="AK186" s="166">
        <v>84</v>
      </c>
      <c r="AL186" s="166" t="s">
        <v>81</v>
      </c>
      <c r="AM186" s="166" t="s">
        <v>335</v>
      </c>
      <c r="AN186" s="166">
        <v>9</v>
      </c>
      <c r="AO186" s="166" t="s">
        <v>81</v>
      </c>
      <c r="AP186" s="166" t="s">
        <v>117</v>
      </c>
      <c r="AQ186" s="166"/>
      <c r="AR186" s="166"/>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195</v>
      </c>
      <c r="BR186" s="165" t="s">
        <v>725</v>
      </c>
      <c r="BS186" s="124">
        <v>190</v>
      </c>
      <c r="BT186" s="124" t="s">
        <v>584</v>
      </c>
    </row>
    <row r="187" spans="1:72" ht="14.25" hidden="1" customHeight="1" x14ac:dyDescent="0.2">
      <c r="A187" s="205">
        <v>191</v>
      </c>
      <c r="B187" s="233" t="s">
        <v>723</v>
      </c>
      <c r="C187" s="263" t="s">
        <v>724</v>
      </c>
      <c r="D187" s="233" t="s">
        <v>701</v>
      </c>
      <c r="E187" s="125" t="s">
        <v>412</v>
      </c>
      <c r="F187" s="181" t="s">
        <v>103</v>
      </c>
      <c r="G187" s="181" t="s">
        <v>56</v>
      </c>
      <c r="H187" s="181" t="s">
        <v>407</v>
      </c>
      <c r="I187" s="181"/>
      <c r="J187" s="178">
        <v>1</v>
      </c>
      <c r="K187" s="182"/>
      <c r="L187" s="182" t="s">
        <v>58</v>
      </c>
      <c r="M187" s="178" t="s">
        <v>59</v>
      </c>
      <c r="N187" s="128">
        <v>240</v>
      </c>
      <c r="O187" s="178" t="s">
        <v>60</v>
      </c>
      <c r="P187" s="178" t="s">
        <v>79</v>
      </c>
      <c r="Q187" s="179"/>
      <c r="R187" s="179"/>
      <c r="S187" s="180"/>
      <c r="T187" s="179"/>
      <c r="U187" s="179"/>
      <c r="V187" s="167" t="s">
        <v>615</v>
      </c>
      <c r="W187" s="168">
        <v>10</v>
      </c>
      <c r="X187" s="168">
        <v>4</v>
      </c>
      <c r="Y187" s="167"/>
      <c r="Z187" s="169" t="s">
        <v>63</v>
      </c>
      <c r="AA187" s="166">
        <v>8</v>
      </c>
      <c r="AB187" s="166">
        <v>0</v>
      </c>
      <c r="AC187" s="165">
        <v>29</v>
      </c>
      <c r="AD187" s="165" t="s">
        <v>80</v>
      </c>
      <c r="AE187" s="165" t="s">
        <v>335</v>
      </c>
      <c r="AF187" s="165">
        <v>5</v>
      </c>
      <c r="AG187" s="165" t="s">
        <v>80</v>
      </c>
      <c r="AH187" s="165" t="s">
        <v>117</v>
      </c>
      <c r="AI187" s="165"/>
      <c r="AJ187" s="165"/>
      <c r="AK187" s="166">
        <v>84</v>
      </c>
      <c r="AL187" s="166" t="s">
        <v>81</v>
      </c>
      <c r="AM187" s="166" t="s">
        <v>335</v>
      </c>
      <c r="AN187" s="166">
        <v>9</v>
      </c>
      <c r="AO187" s="166" t="s">
        <v>81</v>
      </c>
      <c r="AP187" s="166" t="s">
        <v>117</v>
      </c>
      <c r="AQ187" s="166"/>
      <c r="AR187" s="166"/>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195</v>
      </c>
      <c r="BR187" s="165" t="s">
        <v>725</v>
      </c>
      <c r="BS187" s="124">
        <v>191</v>
      </c>
      <c r="BT187" s="124" t="s">
        <v>584</v>
      </c>
    </row>
    <row r="188" spans="1:72" ht="14.25" hidden="1" customHeight="1" x14ac:dyDescent="0.2">
      <c r="A188" s="205">
        <v>192</v>
      </c>
      <c r="B188" s="233" t="s">
        <v>723</v>
      </c>
      <c r="C188" s="263" t="s">
        <v>724</v>
      </c>
      <c r="D188" s="233" t="s">
        <v>333</v>
      </c>
      <c r="E188" s="125" t="s">
        <v>412</v>
      </c>
      <c r="F188" s="181" t="s">
        <v>103</v>
      </c>
      <c r="G188" s="181" t="s">
        <v>56</v>
      </c>
      <c r="H188" s="181" t="s">
        <v>492</v>
      </c>
      <c r="I188" s="181"/>
      <c r="J188" s="178">
        <v>1</v>
      </c>
      <c r="K188" s="182"/>
      <c r="L188" s="182" t="s">
        <v>58</v>
      </c>
      <c r="M188" s="178" t="s">
        <v>78</v>
      </c>
      <c r="N188" s="128">
        <v>0</v>
      </c>
      <c r="O188" s="178" t="s">
        <v>60</v>
      </c>
      <c r="P188" s="178" t="s">
        <v>79</v>
      </c>
      <c r="Q188" s="179"/>
      <c r="R188" s="179" t="s">
        <v>726</v>
      </c>
      <c r="S188" s="180">
        <v>30</v>
      </c>
      <c r="T188" s="179"/>
      <c r="U188" s="179"/>
      <c r="V188" s="167" t="s">
        <v>615</v>
      </c>
      <c r="W188" s="168">
        <v>10</v>
      </c>
      <c r="X188" s="168">
        <v>4</v>
      </c>
      <c r="Y188" s="167"/>
      <c r="Z188" s="169" t="s">
        <v>63</v>
      </c>
      <c r="AA188" s="166">
        <v>8</v>
      </c>
      <c r="AB188" s="166">
        <v>0</v>
      </c>
      <c r="AC188" s="165">
        <v>29</v>
      </c>
      <c r="AD188" s="165" t="s">
        <v>80</v>
      </c>
      <c r="AE188" s="165" t="s">
        <v>335</v>
      </c>
      <c r="AF188" s="165">
        <v>5</v>
      </c>
      <c r="AG188" s="165" t="s">
        <v>80</v>
      </c>
      <c r="AH188" s="165" t="s">
        <v>117</v>
      </c>
      <c r="AI188" s="165"/>
      <c r="AJ188" s="165"/>
      <c r="AK188" s="166">
        <v>84</v>
      </c>
      <c r="AL188" s="166" t="s">
        <v>81</v>
      </c>
      <c r="AM188" s="166" t="s">
        <v>335</v>
      </c>
      <c r="AN188" s="166">
        <v>9</v>
      </c>
      <c r="AO188" s="166" t="s">
        <v>81</v>
      </c>
      <c r="AP188" s="166" t="s">
        <v>117</v>
      </c>
      <c r="AQ188" s="166"/>
      <c r="AR188" s="166"/>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195</v>
      </c>
      <c r="BR188" s="165" t="s">
        <v>725</v>
      </c>
      <c r="BS188" s="124">
        <v>192</v>
      </c>
      <c r="BT188" s="124" t="s">
        <v>584</v>
      </c>
    </row>
    <row r="189" spans="1:72" ht="14.25" hidden="1" customHeight="1" x14ac:dyDescent="0.2">
      <c r="A189" s="205">
        <v>193</v>
      </c>
      <c r="B189" s="233" t="s">
        <v>723</v>
      </c>
      <c r="C189" s="263" t="s">
        <v>724</v>
      </c>
      <c r="D189" s="233" t="s">
        <v>336</v>
      </c>
      <c r="E189" s="125" t="s">
        <v>412</v>
      </c>
      <c r="F189" s="181" t="s">
        <v>103</v>
      </c>
      <c r="G189" s="181" t="s">
        <v>56</v>
      </c>
      <c r="H189" s="181" t="s">
        <v>492</v>
      </c>
      <c r="I189" s="181"/>
      <c r="J189" s="178">
        <v>1</v>
      </c>
      <c r="K189" s="182"/>
      <c r="L189" s="182" t="s">
        <v>58</v>
      </c>
      <c r="M189" s="178" t="s">
        <v>78</v>
      </c>
      <c r="N189" s="128">
        <v>240</v>
      </c>
      <c r="O189" s="178" t="s">
        <v>60</v>
      </c>
      <c r="P189" s="178" t="s">
        <v>79</v>
      </c>
      <c r="Q189" s="179"/>
      <c r="R189" s="179" t="s">
        <v>726</v>
      </c>
      <c r="S189" s="180">
        <v>30</v>
      </c>
      <c r="T189" s="179"/>
      <c r="U189" s="179"/>
      <c r="V189" s="167" t="s">
        <v>615</v>
      </c>
      <c r="W189" s="168">
        <v>10</v>
      </c>
      <c r="X189" s="168">
        <v>4</v>
      </c>
      <c r="Y189" s="167"/>
      <c r="Z189" s="169" t="s">
        <v>63</v>
      </c>
      <c r="AA189" s="166">
        <v>8</v>
      </c>
      <c r="AB189" s="166">
        <v>0</v>
      </c>
      <c r="AC189" s="165">
        <v>29</v>
      </c>
      <c r="AD189" s="165" t="s">
        <v>80</v>
      </c>
      <c r="AE189" s="165" t="s">
        <v>335</v>
      </c>
      <c r="AF189" s="165">
        <v>5</v>
      </c>
      <c r="AG189" s="165" t="s">
        <v>80</v>
      </c>
      <c r="AH189" s="165" t="s">
        <v>117</v>
      </c>
      <c r="AI189" s="165"/>
      <c r="AJ189" s="165"/>
      <c r="AK189" s="166">
        <v>84</v>
      </c>
      <c r="AL189" s="166" t="s">
        <v>81</v>
      </c>
      <c r="AM189" s="166" t="s">
        <v>335</v>
      </c>
      <c r="AN189" s="166">
        <v>9</v>
      </c>
      <c r="AO189" s="166" t="s">
        <v>81</v>
      </c>
      <c r="AP189" s="166" t="s">
        <v>117</v>
      </c>
      <c r="AQ189" s="166"/>
      <c r="AR189" s="166"/>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195</v>
      </c>
      <c r="BR189" s="165" t="s">
        <v>725</v>
      </c>
      <c r="BS189" s="124">
        <v>193</v>
      </c>
      <c r="BT189" s="124" t="s">
        <v>584</v>
      </c>
    </row>
    <row r="190" spans="1:72" ht="14.25" hidden="1" customHeight="1" x14ac:dyDescent="0.2">
      <c r="A190" s="205">
        <v>214</v>
      </c>
      <c r="B190" s="233" t="s">
        <v>727</v>
      </c>
      <c r="C190" s="263" t="s">
        <v>728</v>
      </c>
      <c r="D190" s="233" t="s">
        <v>729</v>
      </c>
      <c r="E190" s="125" t="s">
        <v>102</v>
      </c>
      <c r="F190" s="181" t="s">
        <v>103</v>
      </c>
      <c r="G190" s="156" t="s">
        <v>56</v>
      </c>
      <c r="H190" s="156" t="s">
        <v>730</v>
      </c>
      <c r="I190" s="181"/>
      <c r="J190" s="208">
        <v>8</v>
      </c>
      <c r="K190" s="209"/>
      <c r="L190" s="209" t="s">
        <v>58</v>
      </c>
      <c r="M190" s="208" t="s">
        <v>59</v>
      </c>
      <c r="N190" s="208">
        <v>0</v>
      </c>
      <c r="O190" s="208" t="s">
        <v>60</v>
      </c>
      <c r="P190" s="208" t="s">
        <v>79</v>
      </c>
      <c r="Q190" s="210" t="s">
        <v>621</v>
      </c>
      <c r="R190" s="210" t="s">
        <v>731</v>
      </c>
      <c r="S190" s="211"/>
      <c r="T190" s="211">
        <v>240</v>
      </c>
      <c r="U190" s="210"/>
      <c r="V190" s="170" t="s">
        <v>62</v>
      </c>
      <c r="W190" s="129"/>
      <c r="X190" s="129">
        <v>4</v>
      </c>
      <c r="Y190" s="130" t="s">
        <v>732</v>
      </c>
      <c r="Z190" s="169" t="s">
        <v>63</v>
      </c>
      <c r="AA190" s="171">
        <v>19</v>
      </c>
      <c r="AB190" s="171">
        <v>9</v>
      </c>
      <c r="AC190" s="172">
        <v>28</v>
      </c>
      <c r="AD190" s="172" t="s">
        <v>80</v>
      </c>
      <c r="AE190" s="172" t="s">
        <v>116</v>
      </c>
      <c r="AF190" s="172">
        <v>6</v>
      </c>
      <c r="AG190" s="172" t="s">
        <v>80</v>
      </c>
      <c r="AH190" s="172" t="s">
        <v>117</v>
      </c>
      <c r="AI190" s="172"/>
      <c r="AJ190" s="172"/>
      <c r="AK190" s="171">
        <v>76.5</v>
      </c>
      <c r="AL190" s="171" t="s">
        <v>81</v>
      </c>
      <c r="AM190" s="171" t="s">
        <v>118</v>
      </c>
      <c r="AN190" s="171">
        <v>16.399999999999999</v>
      </c>
      <c r="AO190" s="171" t="s">
        <v>81</v>
      </c>
      <c r="AP190" s="173" t="s">
        <v>117</v>
      </c>
      <c r="AQ190" s="171"/>
      <c r="AR190" s="171"/>
      <c r="AS190" s="172"/>
      <c r="AT190" s="172"/>
      <c r="AU190" s="172"/>
      <c r="AV190" s="172"/>
      <c r="AW190" s="172"/>
      <c r="AX190" s="172"/>
      <c r="AY190" s="172"/>
      <c r="AZ190" s="172"/>
      <c r="BA190" s="171"/>
      <c r="BB190" s="171"/>
      <c r="BC190" s="171"/>
      <c r="BD190" s="171"/>
      <c r="BE190" s="171"/>
      <c r="BF190" s="171"/>
      <c r="BG190" s="171"/>
      <c r="BH190" s="171"/>
      <c r="BI190" s="172"/>
      <c r="BJ190" s="172"/>
      <c r="BK190" s="172"/>
      <c r="BL190" s="172"/>
      <c r="BM190" s="172"/>
      <c r="BN190" s="172"/>
      <c r="BO190" s="172"/>
      <c r="BP190" s="172"/>
      <c r="BQ190" s="171" t="s">
        <v>214</v>
      </c>
      <c r="BR190" s="172" t="s">
        <v>733</v>
      </c>
      <c r="BS190" s="124">
        <v>214</v>
      </c>
      <c r="BT190" s="124" t="s">
        <v>584</v>
      </c>
    </row>
    <row r="191" spans="1:72" ht="14.25" hidden="1" customHeight="1" x14ac:dyDescent="0.2">
      <c r="A191" s="205">
        <v>215</v>
      </c>
      <c r="B191" s="233" t="s">
        <v>727</v>
      </c>
      <c r="C191" s="263" t="s">
        <v>728</v>
      </c>
      <c r="D191" s="233" t="s">
        <v>205</v>
      </c>
      <c r="E191" s="125" t="s">
        <v>102</v>
      </c>
      <c r="F191" s="181" t="s">
        <v>103</v>
      </c>
      <c r="G191" s="156" t="s">
        <v>56</v>
      </c>
      <c r="H191" s="156" t="s">
        <v>730</v>
      </c>
      <c r="I191" s="181"/>
      <c r="J191" s="208">
        <v>8</v>
      </c>
      <c r="K191" s="209"/>
      <c r="L191" s="209" t="s">
        <v>58</v>
      </c>
      <c r="M191" s="208" t="s">
        <v>59</v>
      </c>
      <c r="N191" s="208">
        <v>146</v>
      </c>
      <c r="O191" s="208" t="s">
        <v>60</v>
      </c>
      <c r="P191" s="208" t="s">
        <v>734</v>
      </c>
      <c r="Q191" s="210" t="s">
        <v>621</v>
      </c>
      <c r="R191" s="210" t="s">
        <v>731</v>
      </c>
      <c r="S191" s="211"/>
      <c r="T191" s="211"/>
      <c r="U191" s="210"/>
      <c r="V191" s="170"/>
      <c r="W191" s="129"/>
      <c r="X191" s="129"/>
      <c r="Y191" s="130"/>
      <c r="Z191" s="169" t="s">
        <v>63</v>
      </c>
      <c r="AA191" s="171">
        <v>19</v>
      </c>
      <c r="AB191" s="171">
        <v>9</v>
      </c>
      <c r="AC191" s="172">
        <v>28</v>
      </c>
      <c r="AD191" s="172" t="s">
        <v>80</v>
      </c>
      <c r="AE191" s="172" t="s">
        <v>116</v>
      </c>
      <c r="AF191" s="172">
        <v>6</v>
      </c>
      <c r="AG191" s="172" t="s">
        <v>80</v>
      </c>
      <c r="AH191" s="172" t="s">
        <v>117</v>
      </c>
      <c r="AI191" s="172"/>
      <c r="AJ191" s="172"/>
      <c r="AK191" s="171">
        <v>76.5</v>
      </c>
      <c r="AL191" s="171" t="s">
        <v>81</v>
      </c>
      <c r="AM191" s="171" t="s">
        <v>118</v>
      </c>
      <c r="AN191" s="171">
        <v>16.399999999999999</v>
      </c>
      <c r="AO191" s="171" t="s">
        <v>81</v>
      </c>
      <c r="AP191" s="173" t="s">
        <v>117</v>
      </c>
      <c r="AQ191" s="171"/>
      <c r="AR191" s="171"/>
      <c r="AS191" s="172"/>
      <c r="AT191" s="172"/>
      <c r="AU191" s="172"/>
      <c r="AV191" s="172"/>
      <c r="AW191" s="172"/>
      <c r="AX191" s="172"/>
      <c r="AY191" s="172"/>
      <c r="AZ191" s="172"/>
      <c r="BA191" s="171"/>
      <c r="BB191" s="171"/>
      <c r="BC191" s="171"/>
      <c r="BD191" s="171"/>
      <c r="BE191" s="171"/>
      <c r="BF191" s="171"/>
      <c r="BG191" s="171"/>
      <c r="BH191" s="171"/>
      <c r="BI191" s="172"/>
      <c r="BJ191" s="172"/>
      <c r="BK191" s="172"/>
      <c r="BL191" s="172"/>
      <c r="BM191" s="172"/>
      <c r="BN191" s="172"/>
      <c r="BO191" s="172"/>
      <c r="BP191" s="172"/>
      <c r="BQ191" s="171" t="s">
        <v>214</v>
      </c>
      <c r="BR191" s="172" t="s">
        <v>733</v>
      </c>
      <c r="BS191" s="124">
        <v>215</v>
      </c>
      <c r="BT191" s="124" t="s">
        <v>584</v>
      </c>
    </row>
    <row r="192" spans="1:72" ht="14.25" hidden="1" customHeight="1" x14ac:dyDescent="0.2">
      <c r="A192" s="205">
        <v>216</v>
      </c>
      <c r="B192" s="233" t="s">
        <v>727</v>
      </c>
      <c r="C192" s="263" t="s">
        <v>728</v>
      </c>
      <c r="D192" s="233" t="s">
        <v>735</v>
      </c>
      <c r="E192" s="125" t="s">
        <v>102</v>
      </c>
      <c r="F192" s="181" t="s">
        <v>103</v>
      </c>
      <c r="G192" s="156" t="s">
        <v>56</v>
      </c>
      <c r="H192" s="156" t="s">
        <v>730</v>
      </c>
      <c r="I192" s="181"/>
      <c r="J192" s="208">
        <v>8</v>
      </c>
      <c r="K192" s="209"/>
      <c r="L192" s="209" t="s">
        <v>58</v>
      </c>
      <c r="M192" s="208" t="s">
        <v>59</v>
      </c>
      <c r="N192" s="208">
        <v>0</v>
      </c>
      <c r="O192" s="208" t="s">
        <v>60</v>
      </c>
      <c r="P192" s="208" t="s">
        <v>79</v>
      </c>
      <c r="Q192" s="210" t="s">
        <v>621</v>
      </c>
      <c r="R192" s="210" t="s">
        <v>731</v>
      </c>
      <c r="S192" s="211"/>
      <c r="T192" s="211"/>
      <c r="U192" s="210"/>
      <c r="V192" s="170" t="s">
        <v>62</v>
      </c>
      <c r="W192" s="129"/>
      <c r="X192" s="129">
        <v>4</v>
      </c>
      <c r="Y192" s="130" t="s">
        <v>732</v>
      </c>
      <c r="Z192" s="169" t="s">
        <v>63</v>
      </c>
      <c r="AA192" s="171">
        <v>19</v>
      </c>
      <c r="AB192" s="171">
        <v>9</v>
      </c>
      <c r="AC192" s="172">
        <v>28</v>
      </c>
      <c r="AD192" s="172" t="s">
        <v>80</v>
      </c>
      <c r="AE192" s="172" t="s">
        <v>116</v>
      </c>
      <c r="AF192" s="172">
        <v>6</v>
      </c>
      <c r="AG192" s="172" t="s">
        <v>80</v>
      </c>
      <c r="AH192" s="172" t="s">
        <v>117</v>
      </c>
      <c r="AI192" s="172"/>
      <c r="AJ192" s="172"/>
      <c r="AK192" s="171">
        <v>76.5</v>
      </c>
      <c r="AL192" s="171" t="s">
        <v>81</v>
      </c>
      <c r="AM192" s="171" t="s">
        <v>118</v>
      </c>
      <c r="AN192" s="171">
        <v>16.399999999999999</v>
      </c>
      <c r="AO192" s="171" t="s">
        <v>81</v>
      </c>
      <c r="AP192" s="173" t="s">
        <v>117</v>
      </c>
      <c r="AQ192" s="171"/>
      <c r="AR192" s="171"/>
      <c r="AS192" s="172"/>
      <c r="AT192" s="172"/>
      <c r="AU192" s="172"/>
      <c r="AV192" s="172"/>
      <c r="AW192" s="172"/>
      <c r="AX192" s="172"/>
      <c r="AY192" s="172"/>
      <c r="AZ192" s="172"/>
      <c r="BA192" s="171"/>
      <c r="BB192" s="171"/>
      <c r="BC192" s="171"/>
      <c r="BD192" s="171"/>
      <c r="BE192" s="171"/>
      <c r="BF192" s="171"/>
      <c r="BG192" s="171"/>
      <c r="BH192" s="171"/>
      <c r="BI192" s="172"/>
      <c r="BJ192" s="172"/>
      <c r="BK192" s="172"/>
      <c r="BL192" s="172"/>
      <c r="BM192" s="172"/>
      <c r="BN192" s="172"/>
      <c r="BO192" s="172"/>
      <c r="BP192" s="172"/>
      <c r="BQ192" s="171" t="s">
        <v>214</v>
      </c>
      <c r="BR192" s="172" t="s">
        <v>733</v>
      </c>
      <c r="BS192" s="124">
        <v>216</v>
      </c>
      <c r="BT192" s="124" t="s">
        <v>584</v>
      </c>
    </row>
    <row r="193" spans="1:72" ht="14.25" hidden="1" customHeight="1" x14ac:dyDescent="0.2">
      <c r="A193" s="205">
        <v>217</v>
      </c>
      <c r="B193" s="233" t="s">
        <v>727</v>
      </c>
      <c r="C193" s="263" t="s">
        <v>728</v>
      </c>
      <c r="D193" s="233" t="s">
        <v>736</v>
      </c>
      <c r="E193" s="125" t="s">
        <v>102</v>
      </c>
      <c r="F193" s="181" t="s">
        <v>103</v>
      </c>
      <c r="G193" s="156" t="s">
        <v>56</v>
      </c>
      <c r="H193" s="156" t="s">
        <v>730</v>
      </c>
      <c r="I193" s="181"/>
      <c r="J193" s="208">
        <v>8</v>
      </c>
      <c r="K193" s="209"/>
      <c r="L193" s="209" t="s">
        <v>58</v>
      </c>
      <c r="M193" s="208" t="s">
        <v>59</v>
      </c>
      <c r="N193" s="208">
        <v>146</v>
      </c>
      <c r="O193" s="208" t="s">
        <v>60</v>
      </c>
      <c r="P193" s="208" t="s">
        <v>734</v>
      </c>
      <c r="Q193" s="210" t="s">
        <v>621</v>
      </c>
      <c r="R193" s="210" t="s">
        <v>731</v>
      </c>
      <c r="S193" s="211"/>
      <c r="T193" s="211"/>
      <c r="U193" s="210"/>
      <c r="V193" s="170"/>
      <c r="W193" s="129"/>
      <c r="X193" s="129"/>
      <c r="Y193" s="130"/>
      <c r="Z193" s="169" t="s">
        <v>63</v>
      </c>
      <c r="AA193" s="171">
        <v>19</v>
      </c>
      <c r="AB193" s="171">
        <v>9</v>
      </c>
      <c r="AC193" s="172">
        <v>28</v>
      </c>
      <c r="AD193" s="172" t="s">
        <v>80</v>
      </c>
      <c r="AE193" s="172" t="s">
        <v>116</v>
      </c>
      <c r="AF193" s="172">
        <v>6</v>
      </c>
      <c r="AG193" s="172" t="s">
        <v>80</v>
      </c>
      <c r="AH193" s="172" t="s">
        <v>117</v>
      </c>
      <c r="AI193" s="172"/>
      <c r="AJ193" s="172"/>
      <c r="AK193" s="171">
        <v>76.5</v>
      </c>
      <c r="AL193" s="171" t="s">
        <v>81</v>
      </c>
      <c r="AM193" s="171" t="s">
        <v>118</v>
      </c>
      <c r="AN193" s="171">
        <v>16.399999999999999</v>
      </c>
      <c r="AO193" s="171" t="s">
        <v>81</v>
      </c>
      <c r="AP193" s="173" t="s">
        <v>117</v>
      </c>
      <c r="AQ193" s="171"/>
      <c r="AR193" s="171"/>
      <c r="AS193" s="172"/>
      <c r="AT193" s="172"/>
      <c r="AU193" s="172"/>
      <c r="AV193" s="172"/>
      <c r="AW193" s="172"/>
      <c r="AX193" s="172"/>
      <c r="AY193" s="172"/>
      <c r="AZ193" s="172"/>
      <c r="BA193" s="171"/>
      <c r="BB193" s="171"/>
      <c r="BC193" s="171"/>
      <c r="BD193" s="171"/>
      <c r="BE193" s="171"/>
      <c r="BF193" s="171"/>
      <c r="BG193" s="171"/>
      <c r="BH193" s="171"/>
      <c r="BI193" s="172"/>
      <c r="BJ193" s="172"/>
      <c r="BK193" s="172"/>
      <c r="BL193" s="172"/>
      <c r="BM193" s="172"/>
      <c r="BN193" s="172"/>
      <c r="BO193" s="172"/>
      <c r="BP193" s="172"/>
      <c r="BQ193" s="171" t="s">
        <v>214</v>
      </c>
      <c r="BR193" s="172" t="s">
        <v>733</v>
      </c>
      <c r="BS193" s="124">
        <v>217</v>
      </c>
      <c r="BT193" s="124" t="s">
        <v>584</v>
      </c>
    </row>
    <row r="194" spans="1:72" ht="14.25" hidden="1" customHeight="1" x14ac:dyDescent="0.2">
      <c r="A194" s="205">
        <v>218</v>
      </c>
      <c r="B194" s="233" t="s">
        <v>727</v>
      </c>
      <c r="C194" s="263" t="s">
        <v>728</v>
      </c>
      <c r="D194" s="233" t="s">
        <v>737</v>
      </c>
      <c r="E194" s="125" t="s">
        <v>102</v>
      </c>
      <c r="F194" s="181" t="s">
        <v>103</v>
      </c>
      <c r="G194" s="156" t="s">
        <v>56</v>
      </c>
      <c r="H194" s="156" t="s">
        <v>730</v>
      </c>
      <c r="I194" s="181"/>
      <c r="J194" s="208">
        <v>8</v>
      </c>
      <c r="K194" s="209"/>
      <c r="L194" s="209" t="s">
        <v>58</v>
      </c>
      <c r="M194" s="208" t="s">
        <v>59</v>
      </c>
      <c r="N194" s="208">
        <v>0</v>
      </c>
      <c r="O194" s="208" t="s">
        <v>60</v>
      </c>
      <c r="P194" s="208" t="s">
        <v>79</v>
      </c>
      <c r="Q194" s="210" t="s">
        <v>621</v>
      </c>
      <c r="R194" s="210" t="s">
        <v>731</v>
      </c>
      <c r="S194" s="211"/>
      <c r="T194" s="211"/>
      <c r="U194" s="210"/>
      <c r="V194" s="170" t="s">
        <v>62</v>
      </c>
      <c r="W194" s="129"/>
      <c r="X194" s="129">
        <v>4</v>
      </c>
      <c r="Y194" s="130" t="s">
        <v>732</v>
      </c>
      <c r="Z194" s="169" t="s">
        <v>63</v>
      </c>
      <c r="AA194" s="171">
        <v>19</v>
      </c>
      <c r="AB194" s="171">
        <v>9</v>
      </c>
      <c r="AC194" s="172">
        <v>28</v>
      </c>
      <c r="AD194" s="172" t="s">
        <v>80</v>
      </c>
      <c r="AE194" s="172" t="s">
        <v>116</v>
      </c>
      <c r="AF194" s="172">
        <v>6</v>
      </c>
      <c r="AG194" s="172" t="s">
        <v>80</v>
      </c>
      <c r="AH194" s="172" t="s">
        <v>117</v>
      </c>
      <c r="AI194" s="172"/>
      <c r="AJ194" s="172"/>
      <c r="AK194" s="171">
        <v>76.5</v>
      </c>
      <c r="AL194" s="171" t="s">
        <v>81</v>
      </c>
      <c r="AM194" s="171" t="s">
        <v>118</v>
      </c>
      <c r="AN194" s="171">
        <v>16.399999999999999</v>
      </c>
      <c r="AO194" s="171" t="s">
        <v>81</v>
      </c>
      <c r="AP194" s="173" t="s">
        <v>117</v>
      </c>
      <c r="AQ194" s="171"/>
      <c r="AR194" s="171"/>
      <c r="AS194" s="172"/>
      <c r="AT194" s="172"/>
      <c r="AU194" s="172"/>
      <c r="AV194" s="172"/>
      <c r="AW194" s="172"/>
      <c r="AX194" s="172"/>
      <c r="AY194" s="172"/>
      <c r="AZ194" s="172"/>
      <c r="BA194" s="171"/>
      <c r="BB194" s="171"/>
      <c r="BC194" s="171"/>
      <c r="BD194" s="171"/>
      <c r="BE194" s="171"/>
      <c r="BF194" s="171"/>
      <c r="BG194" s="171"/>
      <c r="BH194" s="171"/>
      <c r="BI194" s="172"/>
      <c r="BJ194" s="172"/>
      <c r="BK194" s="172"/>
      <c r="BL194" s="172"/>
      <c r="BM194" s="172"/>
      <c r="BN194" s="172"/>
      <c r="BO194" s="172"/>
      <c r="BP194" s="172"/>
      <c r="BQ194" s="171" t="s">
        <v>214</v>
      </c>
      <c r="BR194" s="172" t="s">
        <v>733</v>
      </c>
      <c r="BS194" s="124">
        <v>218</v>
      </c>
      <c r="BT194" s="124" t="s">
        <v>584</v>
      </c>
    </row>
    <row r="195" spans="1:72" ht="14.25" hidden="1" customHeight="1" x14ac:dyDescent="0.2">
      <c r="A195" s="205">
        <v>219</v>
      </c>
      <c r="B195" s="233" t="s">
        <v>727</v>
      </c>
      <c r="C195" s="263" t="s">
        <v>728</v>
      </c>
      <c r="D195" s="233" t="s">
        <v>738</v>
      </c>
      <c r="E195" s="125" t="s">
        <v>102</v>
      </c>
      <c r="F195" s="181" t="s">
        <v>103</v>
      </c>
      <c r="G195" s="156" t="s">
        <v>56</v>
      </c>
      <c r="H195" s="156" t="s">
        <v>730</v>
      </c>
      <c r="I195" s="181"/>
      <c r="J195" s="208">
        <v>8</v>
      </c>
      <c r="K195" s="209"/>
      <c r="L195" s="209" t="s">
        <v>58</v>
      </c>
      <c r="M195" s="208" t="s">
        <v>59</v>
      </c>
      <c r="N195" s="208">
        <v>0</v>
      </c>
      <c r="O195" s="208" t="s">
        <v>60</v>
      </c>
      <c r="P195" s="208" t="s">
        <v>79</v>
      </c>
      <c r="Q195" s="210" t="s">
        <v>621</v>
      </c>
      <c r="R195" s="210" t="s">
        <v>731</v>
      </c>
      <c r="S195" s="211"/>
      <c r="T195" s="211"/>
      <c r="U195" s="210"/>
      <c r="V195" s="170" t="s">
        <v>62</v>
      </c>
      <c r="W195" s="129"/>
      <c r="X195" s="129">
        <v>4</v>
      </c>
      <c r="Y195" s="130" t="s">
        <v>732</v>
      </c>
      <c r="Z195" s="169" t="s">
        <v>63</v>
      </c>
      <c r="AA195" s="171">
        <v>19</v>
      </c>
      <c r="AB195" s="171">
        <v>9</v>
      </c>
      <c r="AC195" s="172">
        <v>28</v>
      </c>
      <c r="AD195" s="172" t="s">
        <v>80</v>
      </c>
      <c r="AE195" s="172" t="s">
        <v>116</v>
      </c>
      <c r="AF195" s="172">
        <v>6</v>
      </c>
      <c r="AG195" s="172" t="s">
        <v>80</v>
      </c>
      <c r="AH195" s="172" t="s">
        <v>117</v>
      </c>
      <c r="AI195" s="172"/>
      <c r="AJ195" s="172"/>
      <c r="AK195" s="171">
        <v>76.5</v>
      </c>
      <c r="AL195" s="171" t="s">
        <v>81</v>
      </c>
      <c r="AM195" s="171" t="s">
        <v>118</v>
      </c>
      <c r="AN195" s="171">
        <v>16.399999999999999</v>
      </c>
      <c r="AO195" s="171" t="s">
        <v>81</v>
      </c>
      <c r="AP195" s="173" t="s">
        <v>117</v>
      </c>
      <c r="AQ195" s="171"/>
      <c r="AR195" s="171"/>
      <c r="AS195" s="172"/>
      <c r="AT195" s="172"/>
      <c r="AU195" s="172"/>
      <c r="AV195" s="172"/>
      <c r="AW195" s="172"/>
      <c r="AX195" s="172"/>
      <c r="AY195" s="172"/>
      <c r="AZ195" s="172"/>
      <c r="BA195" s="171"/>
      <c r="BB195" s="171"/>
      <c r="BC195" s="171"/>
      <c r="BD195" s="171"/>
      <c r="BE195" s="171"/>
      <c r="BF195" s="171"/>
      <c r="BG195" s="171"/>
      <c r="BH195" s="171"/>
      <c r="BI195" s="172"/>
      <c r="BJ195" s="172"/>
      <c r="BK195" s="172"/>
      <c r="BL195" s="172"/>
      <c r="BM195" s="172"/>
      <c r="BN195" s="172"/>
      <c r="BO195" s="172"/>
      <c r="BP195" s="172"/>
      <c r="BQ195" s="171" t="s">
        <v>214</v>
      </c>
      <c r="BR195" s="172" t="s">
        <v>733</v>
      </c>
      <c r="BS195" s="124">
        <v>219</v>
      </c>
      <c r="BT195" s="124" t="s">
        <v>584</v>
      </c>
    </row>
    <row r="196" spans="1:72" ht="14.25" hidden="1" customHeight="1" x14ac:dyDescent="0.2">
      <c r="A196" s="205">
        <v>220</v>
      </c>
      <c r="B196" s="233" t="s">
        <v>739</v>
      </c>
      <c r="C196" s="263" t="s">
        <v>740</v>
      </c>
      <c r="D196" s="233" t="s">
        <v>729</v>
      </c>
      <c r="E196" s="125" t="s">
        <v>102</v>
      </c>
      <c r="F196" s="181" t="s">
        <v>103</v>
      </c>
      <c r="G196" s="156" t="s">
        <v>56</v>
      </c>
      <c r="H196" s="156" t="s">
        <v>730</v>
      </c>
      <c r="I196" s="181"/>
      <c r="J196" s="208">
        <v>8</v>
      </c>
      <c r="K196" s="209"/>
      <c r="L196" s="209" t="s">
        <v>58</v>
      </c>
      <c r="M196" s="208" t="s">
        <v>59</v>
      </c>
      <c r="N196" s="208">
        <v>0</v>
      </c>
      <c r="O196" s="208" t="s">
        <v>60</v>
      </c>
      <c r="P196" s="208" t="s">
        <v>79</v>
      </c>
      <c r="Q196" s="210" t="s">
        <v>741</v>
      </c>
      <c r="R196" s="210" t="s">
        <v>731</v>
      </c>
      <c r="S196" s="211"/>
      <c r="T196" s="211">
        <v>240</v>
      </c>
      <c r="U196" s="210"/>
      <c r="V196" s="170" t="s">
        <v>62</v>
      </c>
      <c r="W196" s="129"/>
      <c r="X196" s="129">
        <v>4</v>
      </c>
      <c r="Y196" s="130" t="s">
        <v>732</v>
      </c>
      <c r="Z196" s="169" t="s">
        <v>63</v>
      </c>
      <c r="AA196" s="171">
        <v>16</v>
      </c>
      <c r="AB196" s="171">
        <v>8</v>
      </c>
      <c r="AC196" s="172">
        <v>27</v>
      </c>
      <c r="AD196" s="172" t="s">
        <v>80</v>
      </c>
      <c r="AE196" s="172" t="s">
        <v>116</v>
      </c>
      <c r="AF196" s="172">
        <v>6</v>
      </c>
      <c r="AG196" s="172" t="s">
        <v>80</v>
      </c>
      <c r="AH196" s="172" t="s">
        <v>117</v>
      </c>
      <c r="AI196" s="172"/>
      <c r="AJ196" s="172"/>
      <c r="AK196" s="171">
        <v>75.8</v>
      </c>
      <c r="AL196" s="171" t="s">
        <v>81</v>
      </c>
      <c r="AM196" s="171" t="s">
        <v>118</v>
      </c>
      <c r="AN196" s="171">
        <v>15.6</v>
      </c>
      <c r="AO196" s="171" t="s">
        <v>81</v>
      </c>
      <c r="AP196" s="173" t="s">
        <v>117</v>
      </c>
      <c r="AQ196" s="171"/>
      <c r="AR196" s="171"/>
      <c r="AS196" s="172"/>
      <c r="AT196" s="172"/>
      <c r="AU196" s="172"/>
      <c r="AV196" s="172"/>
      <c r="AW196" s="172"/>
      <c r="AX196" s="172"/>
      <c r="AY196" s="172"/>
      <c r="AZ196" s="172"/>
      <c r="BA196" s="171"/>
      <c r="BB196" s="171"/>
      <c r="BC196" s="171"/>
      <c r="BD196" s="171"/>
      <c r="BE196" s="171"/>
      <c r="BF196" s="171"/>
      <c r="BG196" s="171"/>
      <c r="BH196" s="171"/>
      <c r="BI196" s="172"/>
      <c r="BJ196" s="172"/>
      <c r="BK196" s="172"/>
      <c r="BL196" s="172"/>
      <c r="BM196" s="172"/>
      <c r="BN196" s="172"/>
      <c r="BO196" s="172"/>
      <c r="BP196" s="172"/>
      <c r="BQ196" s="171" t="s">
        <v>214</v>
      </c>
      <c r="BR196" s="131" t="s">
        <v>742</v>
      </c>
      <c r="BS196" s="124">
        <v>220</v>
      </c>
      <c r="BT196" s="124" t="s">
        <v>584</v>
      </c>
    </row>
    <row r="197" spans="1:72" ht="14.25" hidden="1" customHeight="1" x14ac:dyDescent="0.2">
      <c r="A197" s="205">
        <v>221</v>
      </c>
      <c r="B197" s="233" t="s">
        <v>739</v>
      </c>
      <c r="C197" s="263" t="s">
        <v>740</v>
      </c>
      <c r="D197" s="233" t="s">
        <v>205</v>
      </c>
      <c r="E197" s="125" t="s">
        <v>102</v>
      </c>
      <c r="F197" s="181" t="s">
        <v>103</v>
      </c>
      <c r="G197" s="156" t="s">
        <v>56</v>
      </c>
      <c r="H197" s="156" t="s">
        <v>730</v>
      </c>
      <c r="I197" s="181"/>
      <c r="J197" s="208">
        <v>8</v>
      </c>
      <c r="K197" s="209"/>
      <c r="L197" s="209" t="s">
        <v>58</v>
      </c>
      <c r="M197" s="208" t="s">
        <v>59</v>
      </c>
      <c r="N197" s="208">
        <v>146</v>
      </c>
      <c r="O197" s="208" t="s">
        <v>60</v>
      </c>
      <c r="P197" s="208" t="s">
        <v>79</v>
      </c>
      <c r="Q197" s="210" t="s">
        <v>741</v>
      </c>
      <c r="R197" s="210" t="s">
        <v>731</v>
      </c>
      <c r="S197" s="211"/>
      <c r="T197" s="211">
        <v>240</v>
      </c>
      <c r="U197" s="210"/>
      <c r="V197" s="170"/>
      <c r="W197" s="129"/>
      <c r="X197" s="129"/>
      <c r="Y197" s="170"/>
      <c r="Z197" s="169" t="s">
        <v>63</v>
      </c>
      <c r="AA197" s="171">
        <v>16</v>
      </c>
      <c r="AB197" s="171">
        <v>8</v>
      </c>
      <c r="AC197" s="172">
        <v>27</v>
      </c>
      <c r="AD197" s="172" t="s">
        <v>80</v>
      </c>
      <c r="AE197" s="172" t="s">
        <v>116</v>
      </c>
      <c r="AF197" s="172">
        <v>6</v>
      </c>
      <c r="AG197" s="172" t="s">
        <v>80</v>
      </c>
      <c r="AH197" s="172" t="s">
        <v>117</v>
      </c>
      <c r="AI197" s="172"/>
      <c r="AJ197" s="172"/>
      <c r="AK197" s="171">
        <v>75.8</v>
      </c>
      <c r="AL197" s="171" t="s">
        <v>81</v>
      </c>
      <c r="AM197" s="171" t="s">
        <v>118</v>
      </c>
      <c r="AN197" s="171">
        <v>15.6</v>
      </c>
      <c r="AO197" s="171" t="s">
        <v>81</v>
      </c>
      <c r="AP197" s="173" t="s">
        <v>117</v>
      </c>
      <c r="AQ197" s="171"/>
      <c r="AR197" s="171"/>
      <c r="AS197" s="172"/>
      <c r="AT197" s="172"/>
      <c r="AU197" s="172"/>
      <c r="AV197" s="172"/>
      <c r="AW197" s="172"/>
      <c r="AX197" s="172"/>
      <c r="AY197" s="172"/>
      <c r="AZ197" s="172"/>
      <c r="BA197" s="171"/>
      <c r="BB197" s="171"/>
      <c r="BC197" s="171"/>
      <c r="BD197" s="171"/>
      <c r="BE197" s="171"/>
      <c r="BF197" s="171"/>
      <c r="BG197" s="171"/>
      <c r="BH197" s="171"/>
      <c r="BI197" s="172"/>
      <c r="BJ197" s="172"/>
      <c r="BK197" s="172"/>
      <c r="BL197" s="172"/>
      <c r="BM197" s="172"/>
      <c r="BN197" s="172"/>
      <c r="BO197" s="172"/>
      <c r="BP197" s="172"/>
      <c r="BQ197" s="171" t="s">
        <v>214</v>
      </c>
      <c r="BR197" s="131" t="s">
        <v>742</v>
      </c>
      <c r="BS197" s="124">
        <v>221</v>
      </c>
      <c r="BT197" s="124" t="s">
        <v>584</v>
      </c>
    </row>
    <row r="198" spans="1:72" ht="14.25" hidden="1" customHeight="1" x14ac:dyDescent="0.2">
      <c r="A198" s="205">
        <v>222</v>
      </c>
      <c r="B198" s="233" t="s">
        <v>739</v>
      </c>
      <c r="C198" s="263" t="s">
        <v>740</v>
      </c>
      <c r="D198" s="233" t="s">
        <v>735</v>
      </c>
      <c r="E198" s="125" t="s">
        <v>102</v>
      </c>
      <c r="F198" s="181" t="s">
        <v>103</v>
      </c>
      <c r="G198" s="156" t="s">
        <v>56</v>
      </c>
      <c r="H198" s="156" t="s">
        <v>730</v>
      </c>
      <c r="I198" s="181"/>
      <c r="J198" s="208">
        <v>8</v>
      </c>
      <c r="K198" s="209"/>
      <c r="L198" s="209" t="s">
        <v>58</v>
      </c>
      <c r="M198" s="208" t="s">
        <v>59</v>
      </c>
      <c r="N198" s="208">
        <v>0</v>
      </c>
      <c r="O198" s="208" t="s">
        <v>60</v>
      </c>
      <c r="P198" s="208" t="s">
        <v>79</v>
      </c>
      <c r="Q198" s="210" t="s">
        <v>741</v>
      </c>
      <c r="R198" s="210" t="s">
        <v>731</v>
      </c>
      <c r="S198" s="211"/>
      <c r="T198" s="211">
        <v>240</v>
      </c>
      <c r="U198" s="210"/>
      <c r="V198" s="170" t="s">
        <v>62</v>
      </c>
      <c r="W198" s="129"/>
      <c r="X198" s="129">
        <v>4</v>
      </c>
      <c r="Y198" s="130" t="s">
        <v>732</v>
      </c>
      <c r="Z198" s="169" t="s">
        <v>63</v>
      </c>
      <c r="AA198" s="171">
        <v>16</v>
      </c>
      <c r="AB198" s="171">
        <v>8</v>
      </c>
      <c r="AC198" s="172">
        <v>27</v>
      </c>
      <c r="AD198" s="172" t="s">
        <v>80</v>
      </c>
      <c r="AE198" s="172" t="s">
        <v>116</v>
      </c>
      <c r="AF198" s="172">
        <v>6</v>
      </c>
      <c r="AG198" s="172" t="s">
        <v>80</v>
      </c>
      <c r="AH198" s="172" t="s">
        <v>117</v>
      </c>
      <c r="AI198" s="172"/>
      <c r="AJ198" s="172"/>
      <c r="AK198" s="171">
        <v>75.8</v>
      </c>
      <c r="AL198" s="171" t="s">
        <v>81</v>
      </c>
      <c r="AM198" s="171" t="s">
        <v>118</v>
      </c>
      <c r="AN198" s="171">
        <v>15.6</v>
      </c>
      <c r="AO198" s="171" t="s">
        <v>81</v>
      </c>
      <c r="AP198" s="173" t="s">
        <v>117</v>
      </c>
      <c r="AQ198" s="171"/>
      <c r="AR198" s="171"/>
      <c r="AS198" s="172"/>
      <c r="AT198" s="172"/>
      <c r="AU198" s="172"/>
      <c r="AV198" s="172"/>
      <c r="AW198" s="172"/>
      <c r="AX198" s="172"/>
      <c r="AY198" s="172"/>
      <c r="AZ198" s="172"/>
      <c r="BA198" s="171"/>
      <c r="BB198" s="171"/>
      <c r="BC198" s="171"/>
      <c r="BD198" s="171"/>
      <c r="BE198" s="171"/>
      <c r="BF198" s="171"/>
      <c r="BG198" s="171"/>
      <c r="BH198" s="171"/>
      <c r="BI198" s="172"/>
      <c r="BJ198" s="172"/>
      <c r="BK198" s="172"/>
      <c r="BL198" s="172"/>
      <c r="BM198" s="172"/>
      <c r="BN198" s="172"/>
      <c r="BO198" s="172"/>
      <c r="BP198" s="172"/>
      <c r="BQ198" s="171" t="s">
        <v>214</v>
      </c>
      <c r="BR198" s="131" t="s">
        <v>742</v>
      </c>
      <c r="BS198" s="124">
        <v>222</v>
      </c>
      <c r="BT198" s="124" t="s">
        <v>584</v>
      </c>
    </row>
    <row r="199" spans="1:72" ht="14.25" hidden="1" customHeight="1" x14ac:dyDescent="0.2">
      <c r="A199" s="205">
        <v>223</v>
      </c>
      <c r="B199" s="233" t="s">
        <v>739</v>
      </c>
      <c r="C199" s="263" t="s">
        <v>740</v>
      </c>
      <c r="D199" s="233" t="s">
        <v>736</v>
      </c>
      <c r="E199" s="125" t="s">
        <v>102</v>
      </c>
      <c r="F199" s="181" t="s">
        <v>103</v>
      </c>
      <c r="G199" s="156" t="s">
        <v>56</v>
      </c>
      <c r="H199" s="156" t="s">
        <v>730</v>
      </c>
      <c r="I199" s="181"/>
      <c r="J199" s="208">
        <v>8</v>
      </c>
      <c r="K199" s="209"/>
      <c r="L199" s="209" t="s">
        <v>58</v>
      </c>
      <c r="M199" s="208" t="s">
        <v>59</v>
      </c>
      <c r="N199" s="208">
        <v>146</v>
      </c>
      <c r="O199" s="208" t="s">
        <v>60</v>
      </c>
      <c r="P199" s="208" t="s">
        <v>79</v>
      </c>
      <c r="Q199" s="210" t="s">
        <v>741</v>
      </c>
      <c r="R199" s="210" t="s">
        <v>731</v>
      </c>
      <c r="S199" s="211"/>
      <c r="T199" s="211">
        <v>240</v>
      </c>
      <c r="U199" s="210"/>
      <c r="V199" s="170"/>
      <c r="W199" s="129"/>
      <c r="X199" s="129"/>
      <c r="Y199" s="170"/>
      <c r="Z199" s="169" t="s">
        <v>63</v>
      </c>
      <c r="AA199" s="171">
        <v>16</v>
      </c>
      <c r="AB199" s="171">
        <v>8</v>
      </c>
      <c r="AC199" s="172">
        <v>27</v>
      </c>
      <c r="AD199" s="172" t="s">
        <v>80</v>
      </c>
      <c r="AE199" s="172" t="s">
        <v>116</v>
      </c>
      <c r="AF199" s="172">
        <v>6</v>
      </c>
      <c r="AG199" s="172" t="s">
        <v>80</v>
      </c>
      <c r="AH199" s="172" t="s">
        <v>117</v>
      </c>
      <c r="AI199" s="172"/>
      <c r="AJ199" s="172"/>
      <c r="AK199" s="171">
        <v>75.8</v>
      </c>
      <c r="AL199" s="171" t="s">
        <v>81</v>
      </c>
      <c r="AM199" s="171" t="s">
        <v>118</v>
      </c>
      <c r="AN199" s="171">
        <v>15.6</v>
      </c>
      <c r="AO199" s="171" t="s">
        <v>81</v>
      </c>
      <c r="AP199" s="173" t="s">
        <v>117</v>
      </c>
      <c r="AQ199" s="171"/>
      <c r="AR199" s="171"/>
      <c r="AS199" s="172"/>
      <c r="AT199" s="172"/>
      <c r="AU199" s="172"/>
      <c r="AV199" s="172"/>
      <c r="AW199" s="172"/>
      <c r="AX199" s="172"/>
      <c r="AY199" s="172"/>
      <c r="AZ199" s="172"/>
      <c r="BA199" s="171"/>
      <c r="BB199" s="171"/>
      <c r="BC199" s="171"/>
      <c r="BD199" s="171"/>
      <c r="BE199" s="171"/>
      <c r="BF199" s="171"/>
      <c r="BG199" s="171"/>
      <c r="BH199" s="171"/>
      <c r="BI199" s="172"/>
      <c r="BJ199" s="172"/>
      <c r="BK199" s="172"/>
      <c r="BL199" s="172"/>
      <c r="BM199" s="172"/>
      <c r="BN199" s="172"/>
      <c r="BO199" s="172"/>
      <c r="BP199" s="172"/>
      <c r="BQ199" s="171" t="s">
        <v>214</v>
      </c>
      <c r="BR199" s="131" t="s">
        <v>742</v>
      </c>
      <c r="BS199" s="124">
        <v>223</v>
      </c>
      <c r="BT199" s="124" t="s">
        <v>584</v>
      </c>
    </row>
    <row r="200" spans="1:72" ht="14.25" hidden="1" customHeight="1" x14ac:dyDescent="0.2">
      <c r="A200" s="205">
        <v>224</v>
      </c>
      <c r="B200" s="233" t="s">
        <v>739</v>
      </c>
      <c r="C200" s="263" t="s">
        <v>740</v>
      </c>
      <c r="D200" s="233" t="s">
        <v>743</v>
      </c>
      <c r="E200" s="125" t="s">
        <v>102</v>
      </c>
      <c r="F200" s="181" t="s">
        <v>103</v>
      </c>
      <c r="G200" s="156" t="s">
        <v>56</v>
      </c>
      <c r="H200" s="156" t="s">
        <v>730</v>
      </c>
      <c r="I200" s="181"/>
      <c r="J200" s="208">
        <v>8</v>
      </c>
      <c r="K200" s="209"/>
      <c r="L200" s="209" t="s">
        <v>58</v>
      </c>
      <c r="M200" s="208" t="s">
        <v>59</v>
      </c>
      <c r="N200" s="208">
        <v>0</v>
      </c>
      <c r="O200" s="208" t="s">
        <v>60</v>
      </c>
      <c r="P200" s="208" t="s">
        <v>79</v>
      </c>
      <c r="Q200" s="210" t="s">
        <v>741</v>
      </c>
      <c r="R200" s="210" t="s">
        <v>731</v>
      </c>
      <c r="S200" s="211"/>
      <c r="T200" s="211">
        <v>240</v>
      </c>
      <c r="U200" s="210"/>
      <c r="V200" s="170" t="s">
        <v>62</v>
      </c>
      <c r="W200" s="129"/>
      <c r="X200" s="129">
        <v>4</v>
      </c>
      <c r="Y200" s="130" t="s">
        <v>732</v>
      </c>
      <c r="Z200" s="169" t="s">
        <v>63</v>
      </c>
      <c r="AA200" s="171">
        <v>16</v>
      </c>
      <c r="AB200" s="171">
        <v>8</v>
      </c>
      <c r="AC200" s="172">
        <v>27</v>
      </c>
      <c r="AD200" s="172" t="s">
        <v>80</v>
      </c>
      <c r="AE200" s="172" t="s">
        <v>116</v>
      </c>
      <c r="AF200" s="172">
        <v>6</v>
      </c>
      <c r="AG200" s="172" t="s">
        <v>80</v>
      </c>
      <c r="AH200" s="172" t="s">
        <v>117</v>
      </c>
      <c r="AI200" s="172"/>
      <c r="AJ200" s="172"/>
      <c r="AK200" s="171">
        <v>75.8</v>
      </c>
      <c r="AL200" s="171" t="s">
        <v>81</v>
      </c>
      <c r="AM200" s="171" t="s">
        <v>118</v>
      </c>
      <c r="AN200" s="171">
        <v>15.6</v>
      </c>
      <c r="AO200" s="171" t="s">
        <v>81</v>
      </c>
      <c r="AP200" s="173" t="s">
        <v>117</v>
      </c>
      <c r="AQ200" s="171"/>
      <c r="AR200" s="171"/>
      <c r="AS200" s="172"/>
      <c r="AT200" s="172"/>
      <c r="AU200" s="172"/>
      <c r="AV200" s="172"/>
      <c r="AW200" s="172"/>
      <c r="AX200" s="172"/>
      <c r="AY200" s="172"/>
      <c r="AZ200" s="172"/>
      <c r="BA200" s="171"/>
      <c r="BB200" s="171"/>
      <c r="BC200" s="171"/>
      <c r="BD200" s="171"/>
      <c r="BE200" s="171"/>
      <c r="BF200" s="171"/>
      <c r="BG200" s="171"/>
      <c r="BH200" s="171"/>
      <c r="BI200" s="172"/>
      <c r="BJ200" s="172"/>
      <c r="BK200" s="172"/>
      <c r="BL200" s="172"/>
      <c r="BM200" s="172"/>
      <c r="BN200" s="172"/>
      <c r="BO200" s="172"/>
      <c r="BP200" s="172"/>
      <c r="BQ200" s="171" t="s">
        <v>214</v>
      </c>
      <c r="BR200" s="131" t="s">
        <v>742</v>
      </c>
      <c r="BS200" s="124">
        <v>224</v>
      </c>
      <c r="BT200" s="124" t="s">
        <v>584</v>
      </c>
    </row>
    <row r="201" spans="1:72" ht="14.25" hidden="1" customHeight="1" x14ac:dyDescent="0.2">
      <c r="A201" s="205">
        <v>225</v>
      </c>
      <c r="B201" s="233" t="s">
        <v>739</v>
      </c>
      <c r="C201" s="263" t="s">
        <v>740</v>
      </c>
      <c r="D201" s="233" t="s">
        <v>744</v>
      </c>
      <c r="E201" s="125" t="s">
        <v>102</v>
      </c>
      <c r="F201" s="181" t="s">
        <v>103</v>
      </c>
      <c r="G201" s="156" t="s">
        <v>56</v>
      </c>
      <c r="H201" s="156" t="s">
        <v>730</v>
      </c>
      <c r="I201" s="181"/>
      <c r="J201" s="208">
        <v>8</v>
      </c>
      <c r="K201" s="209"/>
      <c r="L201" s="209" t="s">
        <v>58</v>
      </c>
      <c r="M201" s="208" t="s">
        <v>59</v>
      </c>
      <c r="N201" s="208">
        <v>0</v>
      </c>
      <c r="O201" s="208" t="s">
        <v>60</v>
      </c>
      <c r="P201" s="208" t="s">
        <v>79</v>
      </c>
      <c r="Q201" s="210" t="s">
        <v>741</v>
      </c>
      <c r="R201" s="210" t="s">
        <v>731</v>
      </c>
      <c r="S201" s="211"/>
      <c r="T201" s="211">
        <v>240</v>
      </c>
      <c r="U201" s="210"/>
      <c r="V201" s="170" t="s">
        <v>62</v>
      </c>
      <c r="W201" s="129"/>
      <c r="X201" s="129">
        <v>4</v>
      </c>
      <c r="Y201" s="130" t="s">
        <v>732</v>
      </c>
      <c r="Z201" s="169" t="s">
        <v>63</v>
      </c>
      <c r="AA201" s="171">
        <v>16</v>
      </c>
      <c r="AB201" s="171">
        <v>8</v>
      </c>
      <c r="AC201" s="172">
        <v>27</v>
      </c>
      <c r="AD201" s="172" t="s">
        <v>80</v>
      </c>
      <c r="AE201" s="172" t="s">
        <v>116</v>
      </c>
      <c r="AF201" s="172">
        <v>6</v>
      </c>
      <c r="AG201" s="172" t="s">
        <v>80</v>
      </c>
      <c r="AH201" s="172" t="s">
        <v>117</v>
      </c>
      <c r="AI201" s="172"/>
      <c r="AJ201" s="172"/>
      <c r="AK201" s="171">
        <v>75.8</v>
      </c>
      <c r="AL201" s="171" t="s">
        <v>81</v>
      </c>
      <c r="AM201" s="171" t="s">
        <v>118</v>
      </c>
      <c r="AN201" s="171">
        <v>15.6</v>
      </c>
      <c r="AO201" s="171" t="s">
        <v>81</v>
      </c>
      <c r="AP201" s="173" t="s">
        <v>117</v>
      </c>
      <c r="AQ201" s="171"/>
      <c r="AR201" s="171"/>
      <c r="AS201" s="172"/>
      <c r="AT201" s="172"/>
      <c r="AU201" s="172"/>
      <c r="AV201" s="172"/>
      <c r="AW201" s="172"/>
      <c r="AX201" s="172"/>
      <c r="AY201" s="172"/>
      <c r="AZ201" s="172"/>
      <c r="BA201" s="171"/>
      <c r="BB201" s="171"/>
      <c r="BC201" s="171"/>
      <c r="BD201" s="171"/>
      <c r="BE201" s="171"/>
      <c r="BF201" s="171"/>
      <c r="BG201" s="171"/>
      <c r="BH201" s="171"/>
      <c r="BI201" s="172"/>
      <c r="BJ201" s="172"/>
      <c r="BK201" s="172"/>
      <c r="BL201" s="172"/>
      <c r="BM201" s="172"/>
      <c r="BN201" s="172"/>
      <c r="BO201" s="172"/>
      <c r="BP201" s="172"/>
      <c r="BQ201" s="171" t="s">
        <v>214</v>
      </c>
      <c r="BR201" s="131" t="s">
        <v>742</v>
      </c>
      <c r="BS201" s="124">
        <v>225</v>
      </c>
      <c r="BT201" s="124" t="s">
        <v>584</v>
      </c>
    </row>
    <row r="202" spans="1:72" ht="14.25" hidden="1" customHeight="1" x14ac:dyDescent="0.2">
      <c r="A202" s="205">
        <v>226</v>
      </c>
      <c r="B202" s="233" t="s">
        <v>745</v>
      </c>
      <c r="C202" s="263" t="s">
        <v>746</v>
      </c>
      <c r="D202" s="233" t="s">
        <v>200</v>
      </c>
      <c r="E202" s="125" t="s">
        <v>412</v>
      </c>
      <c r="F202" s="181" t="s">
        <v>55</v>
      </c>
      <c r="G202" s="156" t="s">
        <v>56</v>
      </c>
      <c r="H202" s="156" t="s">
        <v>747</v>
      </c>
      <c r="I202" s="181"/>
      <c r="J202" s="178">
        <v>0.25</v>
      </c>
      <c r="K202" s="182"/>
      <c r="L202" s="182" t="s">
        <v>58</v>
      </c>
      <c r="M202" s="178" t="s">
        <v>59</v>
      </c>
      <c r="N202" s="178">
        <v>0</v>
      </c>
      <c r="O202" s="178" t="s">
        <v>60</v>
      </c>
      <c r="P202" s="178" t="s">
        <v>79</v>
      </c>
      <c r="Q202" s="179" t="s">
        <v>748</v>
      </c>
      <c r="R202" s="179" t="s">
        <v>749</v>
      </c>
      <c r="S202" s="180"/>
      <c r="T202" s="180">
        <v>240</v>
      </c>
      <c r="U202" s="179"/>
      <c r="V202" s="170" t="s">
        <v>62</v>
      </c>
      <c r="W202" s="168"/>
      <c r="X202" s="168">
        <v>4</v>
      </c>
      <c r="Y202" s="167" t="s">
        <v>732</v>
      </c>
      <c r="Z202" s="169" t="s">
        <v>63</v>
      </c>
      <c r="AA202" s="166">
        <v>18</v>
      </c>
      <c r="AB202" s="166">
        <v>9</v>
      </c>
      <c r="AC202" s="165">
        <v>30</v>
      </c>
      <c r="AD202" s="172" t="s">
        <v>80</v>
      </c>
      <c r="AE202" s="172" t="s">
        <v>116</v>
      </c>
      <c r="AF202" s="165">
        <v>5.4</v>
      </c>
      <c r="AG202" s="172" t="s">
        <v>80</v>
      </c>
      <c r="AH202" s="172" t="s">
        <v>117</v>
      </c>
      <c r="AI202" s="165"/>
      <c r="AJ202" s="165"/>
      <c r="AK202" s="166">
        <v>77.5</v>
      </c>
      <c r="AL202" s="166" t="s">
        <v>81</v>
      </c>
      <c r="AM202" s="171" t="s">
        <v>118</v>
      </c>
      <c r="AN202" s="166">
        <v>16.5</v>
      </c>
      <c r="AO202" s="166" t="s">
        <v>81</v>
      </c>
      <c r="AP202" s="173" t="s">
        <v>117</v>
      </c>
      <c r="AQ202" s="166"/>
      <c r="AR202" s="166"/>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71" t="s">
        <v>214</v>
      </c>
      <c r="BR202" s="165" t="s">
        <v>750</v>
      </c>
      <c r="BS202" s="124">
        <v>226</v>
      </c>
      <c r="BT202" s="124" t="s">
        <v>584</v>
      </c>
    </row>
    <row r="203" spans="1:72" ht="14.25" hidden="1" customHeight="1" x14ac:dyDescent="0.2">
      <c r="A203" s="205">
        <v>227</v>
      </c>
      <c r="B203" s="233" t="s">
        <v>745</v>
      </c>
      <c r="C203" s="263" t="s">
        <v>746</v>
      </c>
      <c r="D203" s="233" t="s">
        <v>205</v>
      </c>
      <c r="E203" s="125" t="s">
        <v>412</v>
      </c>
      <c r="F203" s="181" t="s">
        <v>55</v>
      </c>
      <c r="G203" s="156" t="s">
        <v>56</v>
      </c>
      <c r="H203" s="156" t="s">
        <v>747</v>
      </c>
      <c r="I203" s="181"/>
      <c r="J203" s="178">
        <v>0.25</v>
      </c>
      <c r="K203" s="182"/>
      <c r="L203" s="182" t="s">
        <v>58</v>
      </c>
      <c r="M203" s="178" t="s">
        <v>59</v>
      </c>
      <c r="N203" s="178">
        <v>146</v>
      </c>
      <c r="O203" s="178" t="s">
        <v>60</v>
      </c>
      <c r="P203" s="208" t="s">
        <v>734</v>
      </c>
      <c r="Q203" s="179" t="s">
        <v>748</v>
      </c>
      <c r="R203" s="179" t="s">
        <v>749</v>
      </c>
      <c r="S203" s="180"/>
      <c r="T203" s="180">
        <v>240</v>
      </c>
      <c r="U203" s="179"/>
      <c r="V203" s="170" t="s">
        <v>62</v>
      </c>
      <c r="W203" s="168"/>
      <c r="X203" s="168">
        <v>4</v>
      </c>
      <c r="Y203" s="167" t="s">
        <v>732</v>
      </c>
      <c r="Z203" s="169" t="s">
        <v>63</v>
      </c>
      <c r="AA203" s="166">
        <v>18</v>
      </c>
      <c r="AB203" s="166">
        <v>9</v>
      </c>
      <c r="AC203" s="165">
        <v>30</v>
      </c>
      <c r="AD203" s="172" t="s">
        <v>80</v>
      </c>
      <c r="AE203" s="172" t="s">
        <v>116</v>
      </c>
      <c r="AF203" s="165">
        <v>5.4</v>
      </c>
      <c r="AG203" s="172" t="s">
        <v>80</v>
      </c>
      <c r="AH203" s="172" t="s">
        <v>117</v>
      </c>
      <c r="AI203" s="165"/>
      <c r="AJ203" s="165"/>
      <c r="AK203" s="166">
        <v>77.5</v>
      </c>
      <c r="AL203" s="166" t="s">
        <v>81</v>
      </c>
      <c r="AM203" s="171" t="s">
        <v>118</v>
      </c>
      <c r="AN203" s="166">
        <v>16.5</v>
      </c>
      <c r="AO203" s="166" t="s">
        <v>81</v>
      </c>
      <c r="AP203" s="173" t="s">
        <v>117</v>
      </c>
      <c r="AQ203" s="166"/>
      <c r="AR203" s="166"/>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71" t="s">
        <v>214</v>
      </c>
      <c r="BR203" s="165" t="s">
        <v>750</v>
      </c>
      <c r="BS203" s="124">
        <v>227</v>
      </c>
      <c r="BT203" s="124" t="s">
        <v>584</v>
      </c>
    </row>
    <row r="204" spans="1:72" ht="14.25" hidden="1" customHeight="1" x14ac:dyDescent="0.2">
      <c r="A204" s="205">
        <v>228</v>
      </c>
      <c r="B204" s="233" t="s">
        <v>745</v>
      </c>
      <c r="C204" s="263" t="s">
        <v>746</v>
      </c>
      <c r="D204" s="233" t="s">
        <v>200</v>
      </c>
      <c r="E204" s="125" t="s">
        <v>412</v>
      </c>
      <c r="F204" s="181" t="s">
        <v>55</v>
      </c>
      <c r="G204" s="156" t="s">
        <v>56</v>
      </c>
      <c r="H204" s="156" t="s">
        <v>747</v>
      </c>
      <c r="I204" s="181"/>
      <c r="J204" s="178">
        <v>0.25</v>
      </c>
      <c r="K204" s="182"/>
      <c r="L204" s="182" t="s">
        <v>58</v>
      </c>
      <c r="M204" s="178" t="s">
        <v>59</v>
      </c>
      <c r="N204" s="178">
        <v>0</v>
      </c>
      <c r="O204" s="178" t="s">
        <v>60</v>
      </c>
      <c r="P204" s="178" t="s">
        <v>79</v>
      </c>
      <c r="Q204" s="179" t="s">
        <v>748</v>
      </c>
      <c r="R204" s="179" t="s">
        <v>749</v>
      </c>
      <c r="S204" s="180"/>
      <c r="T204" s="180">
        <v>240</v>
      </c>
      <c r="U204" s="179"/>
      <c r="V204" s="170" t="s">
        <v>62</v>
      </c>
      <c r="W204" s="168"/>
      <c r="X204" s="168">
        <v>4</v>
      </c>
      <c r="Y204" s="167" t="s">
        <v>732</v>
      </c>
      <c r="Z204" s="169" t="s">
        <v>63</v>
      </c>
      <c r="AA204" s="166">
        <v>18</v>
      </c>
      <c r="AB204" s="166">
        <v>9</v>
      </c>
      <c r="AC204" s="165">
        <v>30</v>
      </c>
      <c r="AD204" s="172" t="s">
        <v>80</v>
      </c>
      <c r="AE204" s="172" t="s">
        <v>116</v>
      </c>
      <c r="AF204" s="165">
        <v>5.4</v>
      </c>
      <c r="AG204" s="172" t="s">
        <v>80</v>
      </c>
      <c r="AH204" s="172" t="s">
        <v>117</v>
      </c>
      <c r="AI204" s="165"/>
      <c r="AJ204" s="165"/>
      <c r="AK204" s="166">
        <v>77.5</v>
      </c>
      <c r="AL204" s="166" t="s">
        <v>81</v>
      </c>
      <c r="AM204" s="171" t="s">
        <v>118</v>
      </c>
      <c r="AN204" s="166">
        <v>16.5</v>
      </c>
      <c r="AO204" s="166" t="s">
        <v>81</v>
      </c>
      <c r="AP204" s="173" t="s">
        <v>117</v>
      </c>
      <c r="AQ204" s="166"/>
      <c r="AR204" s="166"/>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71" t="s">
        <v>214</v>
      </c>
      <c r="BR204" s="165" t="s">
        <v>750</v>
      </c>
      <c r="BS204" s="124">
        <v>228</v>
      </c>
      <c r="BT204" s="2" t="s">
        <v>584</v>
      </c>
    </row>
    <row r="205" spans="1:72" ht="14.25" hidden="1" customHeight="1" x14ac:dyDescent="0.2">
      <c r="A205" s="205">
        <v>229</v>
      </c>
      <c r="B205" s="233" t="s">
        <v>745</v>
      </c>
      <c r="C205" s="263" t="s">
        <v>746</v>
      </c>
      <c r="D205" s="233" t="s">
        <v>736</v>
      </c>
      <c r="E205" s="125" t="s">
        <v>412</v>
      </c>
      <c r="F205" s="181" t="s">
        <v>55</v>
      </c>
      <c r="G205" s="156" t="s">
        <v>56</v>
      </c>
      <c r="H205" s="156" t="s">
        <v>747</v>
      </c>
      <c r="I205" s="181"/>
      <c r="J205" s="178">
        <v>0.25</v>
      </c>
      <c r="K205" s="182"/>
      <c r="L205" s="182" t="s">
        <v>58</v>
      </c>
      <c r="M205" s="178" t="s">
        <v>59</v>
      </c>
      <c r="N205" s="178">
        <v>146</v>
      </c>
      <c r="O205" s="178" t="s">
        <v>60</v>
      </c>
      <c r="P205" s="208" t="s">
        <v>734</v>
      </c>
      <c r="Q205" s="179" t="s">
        <v>748</v>
      </c>
      <c r="R205" s="179" t="s">
        <v>749</v>
      </c>
      <c r="S205" s="180"/>
      <c r="T205" s="180">
        <v>240</v>
      </c>
      <c r="U205" s="179"/>
      <c r="V205" s="170" t="s">
        <v>62</v>
      </c>
      <c r="W205" s="168"/>
      <c r="X205" s="168">
        <v>4</v>
      </c>
      <c r="Y205" s="167" t="s">
        <v>732</v>
      </c>
      <c r="Z205" s="169" t="s">
        <v>63</v>
      </c>
      <c r="AA205" s="166">
        <v>18</v>
      </c>
      <c r="AB205" s="166">
        <v>9</v>
      </c>
      <c r="AC205" s="165">
        <v>30</v>
      </c>
      <c r="AD205" s="172" t="s">
        <v>80</v>
      </c>
      <c r="AE205" s="172" t="s">
        <v>116</v>
      </c>
      <c r="AF205" s="165">
        <v>5.4</v>
      </c>
      <c r="AG205" s="172" t="s">
        <v>80</v>
      </c>
      <c r="AH205" s="172" t="s">
        <v>117</v>
      </c>
      <c r="AI205" s="165"/>
      <c r="AJ205" s="165"/>
      <c r="AK205" s="166">
        <v>77.5</v>
      </c>
      <c r="AL205" s="166" t="s">
        <v>81</v>
      </c>
      <c r="AM205" s="171" t="s">
        <v>118</v>
      </c>
      <c r="AN205" s="166">
        <v>16.5</v>
      </c>
      <c r="AO205" s="166" t="s">
        <v>81</v>
      </c>
      <c r="AP205" s="173" t="s">
        <v>117</v>
      </c>
      <c r="AQ205" s="166"/>
      <c r="AR205" s="166"/>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71" t="s">
        <v>214</v>
      </c>
      <c r="BR205" s="165" t="s">
        <v>750</v>
      </c>
      <c r="BS205" s="124">
        <v>229</v>
      </c>
      <c r="BT205" s="2" t="s">
        <v>584</v>
      </c>
    </row>
    <row r="206" spans="1:72" ht="14.25" hidden="1" customHeight="1" x14ac:dyDescent="0.2">
      <c r="A206" s="92">
        <v>230</v>
      </c>
      <c r="B206" s="233" t="s">
        <v>276</v>
      </c>
      <c r="C206" s="263" t="s">
        <v>277</v>
      </c>
      <c r="D206" s="233" t="s">
        <v>200</v>
      </c>
      <c r="E206" s="17" t="s">
        <v>111</v>
      </c>
      <c r="F206" s="18" t="s">
        <v>103</v>
      </c>
      <c r="G206" s="181" t="s">
        <v>56</v>
      </c>
      <c r="H206" s="181" t="s">
        <v>168</v>
      </c>
      <c r="I206" s="181"/>
      <c r="J206" s="178">
        <v>10</v>
      </c>
      <c r="K206" s="139">
        <f>J206*0.9135071</f>
        <v>9.1350709999999999</v>
      </c>
      <c r="L206" s="139" t="s">
        <v>58</v>
      </c>
      <c r="M206" s="178" t="s">
        <v>59</v>
      </c>
      <c r="N206" s="178">
        <v>0</v>
      </c>
      <c r="O206" s="138" t="s">
        <v>60</v>
      </c>
      <c r="P206" s="178" t="s">
        <v>79</v>
      </c>
      <c r="Q206" s="176" t="s">
        <v>113</v>
      </c>
      <c r="R206" s="179"/>
      <c r="S206" s="180"/>
      <c r="T206" s="180">
        <v>300</v>
      </c>
      <c r="U206" s="180"/>
      <c r="V206" s="167"/>
      <c r="W206" s="168"/>
      <c r="Y206" s="167"/>
      <c r="Z206" s="82" t="s">
        <v>63</v>
      </c>
      <c r="AA206" s="166">
        <v>12</v>
      </c>
      <c r="AB206" s="166">
        <v>0</v>
      </c>
      <c r="AC206" s="165"/>
      <c r="AD206" s="21" t="s">
        <v>80</v>
      </c>
      <c r="AE206" s="165"/>
      <c r="AF206" s="165"/>
      <c r="AG206" s="165"/>
      <c r="AH206" s="165"/>
      <c r="AI206" s="165">
        <v>19</v>
      </c>
      <c r="AJ206" s="165">
        <v>54</v>
      </c>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230</v>
      </c>
      <c r="BT206" s="174"/>
    </row>
    <row r="207" spans="1:72" ht="14.25" hidden="1" customHeight="1" x14ac:dyDescent="0.2">
      <c r="A207" s="92">
        <v>231</v>
      </c>
      <c r="B207" s="233" t="s">
        <v>276</v>
      </c>
      <c r="C207" s="263" t="s">
        <v>277</v>
      </c>
      <c r="D207" s="233" t="s">
        <v>278</v>
      </c>
      <c r="E207" s="17" t="s">
        <v>111</v>
      </c>
      <c r="F207" s="18" t="s">
        <v>103</v>
      </c>
      <c r="G207" s="181" t="s">
        <v>56</v>
      </c>
      <c r="H207" s="181" t="s">
        <v>168</v>
      </c>
      <c r="I207" s="181"/>
      <c r="J207" s="178">
        <v>10</v>
      </c>
      <c r="K207" s="139">
        <f>J207*0.9135071</f>
        <v>9.1350709999999999</v>
      </c>
      <c r="L207" s="139" t="s">
        <v>58</v>
      </c>
      <c r="M207" s="178" t="s">
        <v>59</v>
      </c>
      <c r="N207" s="178">
        <v>15</v>
      </c>
      <c r="O207" s="138" t="s">
        <v>60</v>
      </c>
      <c r="P207" s="178" t="s">
        <v>79</v>
      </c>
      <c r="Q207" s="176" t="s">
        <v>113</v>
      </c>
      <c r="R207" s="179"/>
      <c r="S207" s="180"/>
      <c r="T207" s="180">
        <v>300</v>
      </c>
      <c r="U207" s="180"/>
      <c r="V207" s="167"/>
      <c r="W207" s="168"/>
      <c r="Y207" s="167"/>
      <c r="Z207" s="82" t="s">
        <v>63</v>
      </c>
      <c r="AA207" s="166">
        <v>12</v>
      </c>
      <c r="AB207" s="166">
        <v>0</v>
      </c>
      <c r="AC207" s="165"/>
      <c r="AD207" s="21" t="s">
        <v>80</v>
      </c>
      <c r="AE207" s="165"/>
      <c r="AF207" s="165"/>
      <c r="AG207" s="165"/>
      <c r="AH207" s="165"/>
      <c r="AI207" s="165">
        <v>19</v>
      </c>
      <c r="AJ207" s="165">
        <v>54</v>
      </c>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231</v>
      </c>
      <c r="BT207" s="174"/>
    </row>
    <row r="208" spans="1:72" ht="12.75" hidden="1" customHeight="1" x14ac:dyDescent="0.2">
      <c r="A208" s="91">
        <v>232</v>
      </c>
      <c r="B208" s="231" t="s">
        <v>279</v>
      </c>
      <c r="C208" s="264" t="s">
        <v>280</v>
      </c>
      <c r="D208" s="231" t="s">
        <v>281</v>
      </c>
      <c r="E208" s="125" t="s">
        <v>149</v>
      </c>
      <c r="F208" s="181" t="s">
        <v>103</v>
      </c>
      <c r="G208" s="181" t="s">
        <v>56</v>
      </c>
      <c r="H208" s="181" t="s">
        <v>282</v>
      </c>
      <c r="I208" s="181"/>
      <c r="J208" s="178">
        <v>100</v>
      </c>
      <c r="K208" s="182"/>
      <c r="L208" s="182" t="s">
        <v>58</v>
      </c>
      <c r="M208" s="178" t="s">
        <v>59</v>
      </c>
      <c r="N208" s="178">
        <v>0</v>
      </c>
      <c r="O208" s="178" t="s">
        <v>60</v>
      </c>
      <c r="P208" s="178"/>
      <c r="Q208" s="179"/>
      <c r="R208" s="179" t="s">
        <v>150</v>
      </c>
      <c r="S208" s="180"/>
      <c r="T208" s="179"/>
      <c r="U208" s="179" t="s">
        <v>283</v>
      </c>
      <c r="V208" s="167" t="s">
        <v>154</v>
      </c>
      <c r="W208" s="168"/>
      <c r="Y208" s="167" t="s">
        <v>284</v>
      </c>
      <c r="Z208" s="169" t="s">
        <v>63</v>
      </c>
      <c r="AA208" s="166">
        <v>5</v>
      </c>
      <c r="AB208" s="166">
        <v>0</v>
      </c>
      <c r="AC208" s="165"/>
      <c r="AD208" s="165" t="s">
        <v>80</v>
      </c>
      <c r="AE208" s="165"/>
      <c r="AF208" s="165"/>
      <c r="AG208" s="165"/>
      <c r="AH208" s="165"/>
      <c r="AI208" s="165">
        <v>23</v>
      </c>
      <c r="AJ208" s="165">
        <v>42</v>
      </c>
      <c r="AK208" s="166">
        <v>65.099999999999994</v>
      </c>
      <c r="AL208" s="166" t="s">
        <v>81</v>
      </c>
      <c r="AM208" s="166" t="s">
        <v>116</v>
      </c>
      <c r="AN208" s="166">
        <v>8.8000000000000007</v>
      </c>
      <c r="AO208" s="166" t="s">
        <v>81</v>
      </c>
      <c r="AP208" s="166" t="s">
        <v>117</v>
      </c>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v>232</v>
      </c>
      <c r="BT208" s="174"/>
    </row>
    <row r="209" spans="1:72" ht="12.75" hidden="1" customHeight="1" x14ac:dyDescent="0.2">
      <c r="A209" s="91">
        <v>233</v>
      </c>
      <c r="B209" s="231" t="s">
        <v>279</v>
      </c>
      <c r="C209" s="264" t="s">
        <v>280</v>
      </c>
      <c r="D209" s="231" t="s">
        <v>285</v>
      </c>
      <c r="E209" s="125" t="s">
        <v>149</v>
      </c>
      <c r="F209" s="181" t="s">
        <v>103</v>
      </c>
      <c r="G209" s="181" t="s">
        <v>56</v>
      </c>
      <c r="H209" s="181" t="s">
        <v>282</v>
      </c>
      <c r="I209" s="181"/>
      <c r="J209" s="178">
        <v>100</v>
      </c>
      <c r="K209" s="182"/>
      <c r="L209" s="182" t="s">
        <v>58</v>
      </c>
      <c r="M209" s="178" t="s">
        <v>59</v>
      </c>
      <c r="N209" s="178" t="s">
        <v>286</v>
      </c>
      <c r="O209" s="178" t="s">
        <v>60</v>
      </c>
      <c r="P209" s="178"/>
      <c r="Q209" s="179"/>
      <c r="R209" s="179" t="s">
        <v>150</v>
      </c>
      <c r="S209" s="180"/>
      <c r="T209" s="179"/>
      <c r="U209" s="179" t="s">
        <v>283</v>
      </c>
      <c r="V209" s="167" t="s">
        <v>154</v>
      </c>
      <c r="W209" s="168"/>
      <c r="Y209" s="167" t="s">
        <v>284</v>
      </c>
      <c r="Z209" s="169" t="s">
        <v>63</v>
      </c>
      <c r="AA209" s="166">
        <v>5</v>
      </c>
      <c r="AB209" s="166">
        <v>0</v>
      </c>
      <c r="AC209" s="165"/>
      <c r="AD209" s="165" t="s">
        <v>80</v>
      </c>
      <c r="AE209" s="165"/>
      <c r="AF209" s="165"/>
      <c r="AG209" s="165"/>
      <c r="AH209" s="165"/>
      <c r="AI209" s="165">
        <v>23</v>
      </c>
      <c r="AJ209" s="165">
        <v>42</v>
      </c>
      <c r="AK209" s="166">
        <v>65.099999999999994</v>
      </c>
      <c r="AL209" s="166" t="s">
        <v>81</v>
      </c>
      <c r="AM209" s="166" t="s">
        <v>116</v>
      </c>
      <c r="AN209" s="166">
        <v>8.8000000000000007</v>
      </c>
      <c r="AO209" s="166" t="s">
        <v>81</v>
      </c>
      <c r="AP209" s="166" t="s">
        <v>117</v>
      </c>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v>233</v>
      </c>
      <c r="BT209" s="174"/>
    </row>
    <row r="210" spans="1:72" ht="12.75" hidden="1" customHeight="1" x14ac:dyDescent="0.2">
      <c r="A210" s="91">
        <v>234</v>
      </c>
      <c r="B210" s="231" t="s">
        <v>279</v>
      </c>
      <c r="C210" s="264" t="s">
        <v>280</v>
      </c>
      <c r="D210" s="231" t="s">
        <v>287</v>
      </c>
      <c r="E210" s="125" t="s">
        <v>149</v>
      </c>
      <c r="F210" s="181" t="s">
        <v>103</v>
      </c>
      <c r="G210" s="181" t="s">
        <v>56</v>
      </c>
      <c r="H210" s="181" t="s">
        <v>282</v>
      </c>
      <c r="I210" s="181"/>
      <c r="J210" s="178">
        <v>100</v>
      </c>
      <c r="K210" s="182"/>
      <c r="L210" s="182" t="s">
        <v>58</v>
      </c>
      <c r="M210" s="178" t="s">
        <v>59</v>
      </c>
      <c r="N210" s="178" t="s">
        <v>286</v>
      </c>
      <c r="O210" s="178" t="s">
        <v>60</v>
      </c>
      <c r="P210" s="178"/>
      <c r="Q210" s="179"/>
      <c r="R210" s="179" t="s">
        <v>150</v>
      </c>
      <c r="S210" s="180"/>
      <c r="T210" s="179"/>
      <c r="U210" s="179" t="s">
        <v>283</v>
      </c>
      <c r="V210" s="167" t="s">
        <v>154</v>
      </c>
      <c r="W210" s="168"/>
      <c r="Y210" s="167" t="s">
        <v>284</v>
      </c>
      <c r="Z210" s="169" t="s">
        <v>63</v>
      </c>
      <c r="AA210" s="166">
        <v>5</v>
      </c>
      <c r="AB210" s="166">
        <v>0</v>
      </c>
      <c r="AC210" s="165"/>
      <c r="AD210" s="165" t="s">
        <v>80</v>
      </c>
      <c r="AE210" s="165"/>
      <c r="AF210" s="165"/>
      <c r="AG210" s="165"/>
      <c r="AH210" s="165"/>
      <c r="AI210" s="165">
        <v>23</v>
      </c>
      <c r="AJ210" s="165">
        <v>42</v>
      </c>
      <c r="AK210" s="166">
        <v>65.099999999999994</v>
      </c>
      <c r="AL210" s="166" t="s">
        <v>81</v>
      </c>
      <c r="AM210" s="166" t="s">
        <v>116</v>
      </c>
      <c r="AN210" s="166">
        <v>8.8000000000000007</v>
      </c>
      <c r="AO210" s="166" t="s">
        <v>81</v>
      </c>
      <c r="AP210" s="166" t="s">
        <v>117</v>
      </c>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v>234</v>
      </c>
      <c r="BT210" s="174"/>
    </row>
    <row r="211" spans="1:72" ht="12.75" hidden="1" customHeight="1" x14ac:dyDescent="0.2">
      <c r="A211" s="91">
        <v>235</v>
      </c>
      <c r="B211" s="231" t="s">
        <v>279</v>
      </c>
      <c r="C211" s="264" t="s">
        <v>280</v>
      </c>
      <c r="D211" s="231" t="s">
        <v>288</v>
      </c>
      <c r="E211" s="125" t="s">
        <v>149</v>
      </c>
      <c r="F211" s="181" t="s">
        <v>103</v>
      </c>
      <c r="G211" s="181" t="s">
        <v>56</v>
      </c>
      <c r="H211" s="181" t="s">
        <v>282</v>
      </c>
      <c r="I211" s="181"/>
      <c r="J211" s="178">
        <v>200</v>
      </c>
      <c r="K211" s="182"/>
      <c r="L211" s="182" t="s">
        <v>58</v>
      </c>
      <c r="M211" s="178" t="s">
        <v>59</v>
      </c>
      <c r="N211" s="178">
        <v>0</v>
      </c>
      <c r="O211" s="178" t="s">
        <v>60</v>
      </c>
      <c r="P211" s="178"/>
      <c r="Q211" s="179"/>
      <c r="R211" s="179" t="s">
        <v>150</v>
      </c>
      <c r="S211" s="180"/>
      <c r="T211" s="179"/>
      <c r="U211" s="179" t="s">
        <v>283</v>
      </c>
      <c r="V211" s="167" t="s">
        <v>154</v>
      </c>
      <c r="W211" s="168"/>
      <c r="Y211" s="167" t="s">
        <v>284</v>
      </c>
      <c r="Z211" s="169" t="s">
        <v>63</v>
      </c>
      <c r="AA211" s="166">
        <v>5</v>
      </c>
      <c r="AB211" s="166">
        <v>0</v>
      </c>
      <c r="AC211" s="165"/>
      <c r="AD211" s="165" t="s">
        <v>80</v>
      </c>
      <c r="AE211" s="165"/>
      <c r="AF211" s="165"/>
      <c r="AG211" s="165"/>
      <c r="AH211" s="165"/>
      <c r="AI211" s="165">
        <v>23</v>
      </c>
      <c r="AJ211" s="165">
        <v>42</v>
      </c>
      <c r="AK211" s="166">
        <v>65.099999999999994</v>
      </c>
      <c r="AL211" s="166" t="s">
        <v>81</v>
      </c>
      <c r="AM211" s="166" t="s">
        <v>116</v>
      </c>
      <c r="AN211" s="166">
        <v>8.8000000000000007</v>
      </c>
      <c r="AO211" s="166" t="s">
        <v>81</v>
      </c>
      <c r="AP211" s="166" t="s">
        <v>117</v>
      </c>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v>235</v>
      </c>
      <c r="BT211" s="174"/>
    </row>
    <row r="212" spans="1:72" ht="12.75" hidden="1" customHeight="1" x14ac:dyDescent="0.2">
      <c r="A212" s="91">
        <v>236</v>
      </c>
      <c r="B212" s="231" t="s">
        <v>279</v>
      </c>
      <c r="C212" s="264" t="s">
        <v>280</v>
      </c>
      <c r="D212" s="231" t="s">
        <v>289</v>
      </c>
      <c r="E212" s="125" t="s">
        <v>149</v>
      </c>
      <c r="F212" s="181" t="s">
        <v>103</v>
      </c>
      <c r="G212" s="181" t="s">
        <v>56</v>
      </c>
      <c r="H212" s="181" t="s">
        <v>282</v>
      </c>
      <c r="I212" s="181"/>
      <c r="J212" s="178">
        <v>200</v>
      </c>
      <c r="K212" s="182"/>
      <c r="L212" s="182" t="s">
        <v>58</v>
      </c>
      <c r="M212" s="178" t="s">
        <v>59</v>
      </c>
      <c r="N212" s="178" t="s">
        <v>286</v>
      </c>
      <c r="O212" s="178" t="s">
        <v>60</v>
      </c>
      <c r="P212" s="178"/>
      <c r="Q212" s="179"/>
      <c r="R212" s="179" t="s">
        <v>150</v>
      </c>
      <c r="S212" s="180"/>
      <c r="T212" s="179"/>
      <c r="U212" s="179" t="s">
        <v>283</v>
      </c>
      <c r="V212" s="167" t="s">
        <v>154</v>
      </c>
      <c r="W212" s="168"/>
      <c r="Y212" s="167" t="s">
        <v>284</v>
      </c>
      <c r="Z212" s="169" t="s">
        <v>63</v>
      </c>
      <c r="AA212" s="166">
        <v>5</v>
      </c>
      <c r="AB212" s="166">
        <v>0</v>
      </c>
      <c r="AC212" s="165"/>
      <c r="AD212" s="165" t="s">
        <v>80</v>
      </c>
      <c r="AE212" s="165"/>
      <c r="AF212" s="165"/>
      <c r="AG212" s="165"/>
      <c r="AH212" s="165"/>
      <c r="AI212" s="165">
        <v>23</v>
      </c>
      <c r="AJ212" s="165">
        <v>42</v>
      </c>
      <c r="AK212" s="166">
        <v>65.099999999999994</v>
      </c>
      <c r="AL212" s="166" t="s">
        <v>81</v>
      </c>
      <c r="AM212" s="166" t="s">
        <v>116</v>
      </c>
      <c r="AN212" s="166">
        <v>8.8000000000000007</v>
      </c>
      <c r="AO212" s="166" t="s">
        <v>81</v>
      </c>
      <c r="AP212" s="166" t="s">
        <v>117</v>
      </c>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v>236</v>
      </c>
      <c r="BT212" s="174"/>
    </row>
    <row r="213" spans="1:72" ht="12.75" hidden="1" customHeight="1" x14ac:dyDescent="0.2">
      <c r="A213" s="91">
        <v>237</v>
      </c>
      <c r="B213" s="231" t="s">
        <v>279</v>
      </c>
      <c r="C213" s="264" t="s">
        <v>280</v>
      </c>
      <c r="D213" s="231" t="s">
        <v>290</v>
      </c>
      <c r="E213" s="125" t="s">
        <v>149</v>
      </c>
      <c r="F213" s="181" t="s">
        <v>103</v>
      </c>
      <c r="G213" s="181" t="s">
        <v>56</v>
      </c>
      <c r="H213" s="181" t="s">
        <v>282</v>
      </c>
      <c r="I213" s="181"/>
      <c r="J213" s="178">
        <v>200</v>
      </c>
      <c r="K213" s="182"/>
      <c r="L213" s="182" t="s">
        <v>58</v>
      </c>
      <c r="M213" s="178" t="s">
        <v>59</v>
      </c>
      <c r="N213" s="178" t="s">
        <v>286</v>
      </c>
      <c r="O213" s="178" t="s">
        <v>60</v>
      </c>
      <c r="P213" s="178"/>
      <c r="Q213" s="179"/>
      <c r="R213" s="179" t="s">
        <v>150</v>
      </c>
      <c r="S213" s="180"/>
      <c r="T213" s="179"/>
      <c r="U213" s="179" t="s">
        <v>283</v>
      </c>
      <c r="V213" s="167" t="s">
        <v>154</v>
      </c>
      <c r="W213" s="168"/>
      <c r="Y213" s="167" t="s">
        <v>284</v>
      </c>
      <c r="Z213" s="169" t="s">
        <v>63</v>
      </c>
      <c r="AA213" s="166">
        <v>5</v>
      </c>
      <c r="AB213" s="166">
        <v>0</v>
      </c>
      <c r="AC213" s="165"/>
      <c r="AD213" s="165" t="s">
        <v>80</v>
      </c>
      <c r="AE213" s="165"/>
      <c r="AF213" s="165"/>
      <c r="AG213" s="165"/>
      <c r="AH213" s="165"/>
      <c r="AI213" s="165">
        <v>23</v>
      </c>
      <c r="AJ213" s="165">
        <v>42</v>
      </c>
      <c r="AK213" s="166">
        <v>65.099999999999994</v>
      </c>
      <c r="AL213" s="166" t="s">
        <v>81</v>
      </c>
      <c r="AM213" s="166" t="s">
        <v>116</v>
      </c>
      <c r="AN213" s="166">
        <v>8.8000000000000007</v>
      </c>
      <c r="AO213" s="166" t="s">
        <v>81</v>
      </c>
      <c r="AP213" s="166" t="s">
        <v>117</v>
      </c>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v>237</v>
      </c>
      <c r="BT213" s="174"/>
    </row>
    <row r="214" spans="1:72" ht="12.75" hidden="1" customHeight="1" x14ac:dyDescent="0.2">
      <c r="A214" s="91">
        <v>238</v>
      </c>
      <c r="B214" s="231" t="s">
        <v>279</v>
      </c>
      <c r="C214" s="264" t="s">
        <v>280</v>
      </c>
      <c r="D214" s="231" t="s">
        <v>291</v>
      </c>
      <c r="E214" s="125" t="s">
        <v>149</v>
      </c>
      <c r="F214" s="181" t="s">
        <v>103</v>
      </c>
      <c r="G214" s="181" t="s">
        <v>56</v>
      </c>
      <c r="H214" s="181" t="s">
        <v>282</v>
      </c>
      <c r="I214" s="181"/>
      <c r="J214" s="178">
        <v>200</v>
      </c>
      <c r="K214" s="182"/>
      <c r="L214" s="182" t="s">
        <v>58</v>
      </c>
      <c r="M214" s="178" t="s">
        <v>59</v>
      </c>
      <c r="N214" s="178" t="s">
        <v>292</v>
      </c>
      <c r="O214" s="178" t="s">
        <v>60</v>
      </c>
      <c r="P214" s="178"/>
      <c r="Q214" s="179"/>
      <c r="R214" s="179" t="s">
        <v>150</v>
      </c>
      <c r="S214" s="180"/>
      <c r="T214" s="179"/>
      <c r="U214" s="179" t="s">
        <v>283</v>
      </c>
      <c r="V214" s="167" t="s">
        <v>154</v>
      </c>
      <c r="W214" s="168"/>
      <c r="Y214" s="167" t="s">
        <v>284</v>
      </c>
      <c r="Z214" s="169" t="s">
        <v>63</v>
      </c>
      <c r="AA214" s="166">
        <v>5</v>
      </c>
      <c r="AB214" s="166">
        <v>0</v>
      </c>
      <c r="AC214" s="165"/>
      <c r="AD214" s="165" t="s">
        <v>80</v>
      </c>
      <c r="AE214" s="165"/>
      <c r="AF214" s="165"/>
      <c r="AG214" s="165"/>
      <c r="AH214" s="165"/>
      <c r="AI214" s="165">
        <v>23</v>
      </c>
      <c r="AJ214" s="165">
        <v>42</v>
      </c>
      <c r="AK214" s="166">
        <v>65.099999999999994</v>
      </c>
      <c r="AL214" s="166" t="s">
        <v>81</v>
      </c>
      <c r="AM214" s="166" t="s">
        <v>116</v>
      </c>
      <c r="AN214" s="166">
        <v>8.8000000000000007</v>
      </c>
      <c r="AO214" s="166" t="s">
        <v>81</v>
      </c>
      <c r="AP214" s="166" t="s">
        <v>117</v>
      </c>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v>238</v>
      </c>
      <c r="BT214" s="174"/>
    </row>
    <row r="215" spans="1:72" ht="12.75" hidden="1" customHeight="1" x14ac:dyDescent="0.2">
      <c r="A215" s="91">
        <v>239</v>
      </c>
      <c r="B215" s="231" t="s">
        <v>279</v>
      </c>
      <c r="C215" s="264" t="s">
        <v>280</v>
      </c>
      <c r="D215" s="231" t="s">
        <v>293</v>
      </c>
      <c r="E215" s="125" t="s">
        <v>149</v>
      </c>
      <c r="F215" s="181" t="s">
        <v>103</v>
      </c>
      <c r="G215" s="181" t="s">
        <v>56</v>
      </c>
      <c r="H215" s="181" t="s">
        <v>282</v>
      </c>
      <c r="I215" s="181"/>
      <c r="J215" s="178">
        <v>200</v>
      </c>
      <c r="K215" s="182"/>
      <c r="L215" s="182" t="s">
        <v>58</v>
      </c>
      <c r="M215" s="178" t="s">
        <v>59</v>
      </c>
      <c r="N215" s="178" t="s">
        <v>294</v>
      </c>
      <c r="O215" s="178" t="s">
        <v>60</v>
      </c>
      <c r="P215" s="178"/>
      <c r="Q215" s="179"/>
      <c r="R215" s="179" t="s">
        <v>150</v>
      </c>
      <c r="S215" s="180"/>
      <c r="T215" s="179"/>
      <c r="U215" s="179" t="s">
        <v>283</v>
      </c>
      <c r="V215" s="167" t="s">
        <v>154</v>
      </c>
      <c r="W215" s="168"/>
      <c r="Y215" s="167" t="s">
        <v>284</v>
      </c>
      <c r="Z215" s="169" t="s">
        <v>63</v>
      </c>
      <c r="AA215" s="166">
        <v>5</v>
      </c>
      <c r="AB215" s="166">
        <v>0</v>
      </c>
      <c r="AC215" s="165"/>
      <c r="AD215" s="165" t="s">
        <v>80</v>
      </c>
      <c r="AE215" s="165"/>
      <c r="AF215" s="165"/>
      <c r="AG215" s="165"/>
      <c r="AH215" s="165"/>
      <c r="AI215" s="165">
        <v>23</v>
      </c>
      <c r="AJ215" s="165">
        <v>42</v>
      </c>
      <c r="AK215" s="166">
        <v>65.099999999999994</v>
      </c>
      <c r="AL215" s="166" t="s">
        <v>81</v>
      </c>
      <c r="AM215" s="166" t="s">
        <v>116</v>
      </c>
      <c r="AN215" s="166">
        <v>8.8000000000000007</v>
      </c>
      <c r="AO215" s="166" t="s">
        <v>81</v>
      </c>
      <c r="AP215" s="166" t="s">
        <v>117</v>
      </c>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v>239</v>
      </c>
      <c r="BT215" s="124"/>
    </row>
    <row r="216" spans="1:72" ht="12.75" hidden="1" customHeight="1" x14ac:dyDescent="0.2">
      <c r="A216" s="91">
        <v>240</v>
      </c>
      <c r="B216" s="231" t="s">
        <v>279</v>
      </c>
      <c r="C216" s="264" t="s">
        <v>280</v>
      </c>
      <c r="D216" s="231" t="s">
        <v>295</v>
      </c>
      <c r="E216" s="125" t="s">
        <v>149</v>
      </c>
      <c r="F216" s="181" t="s">
        <v>103</v>
      </c>
      <c r="G216" s="181" t="s">
        <v>56</v>
      </c>
      <c r="H216" s="181" t="s">
        <v>282</v>
      </c>
      <c r="I216" s="181"/>
      <c r="J216" s="178">
        <v>200</v>
      </c>
      <c r="K216" s="182"/>
      <c r="L216" s="182" t="s">
        <v>58</v>
      </c>
      <c r="M216" s="178" t="s">
        <v>59</v>
      </c>
      <c r="N216" s="178" t="s">
        <v>294</v>
      </c>
      <c r="O216" s="178" t="s">
        <v>60</v>
      </c>
      <c r="P216" s="178"/>
      <c r="Q216" s="179"/>
      <c r="R216" s="179" t="s">
        <v>150</v>
      </c>
      <c r="S216" s="180"/>
      <c r="T216" s="179"/>
      <c r="U216" s="179" t="s">
        <v>283</v>
      </c>
      <c r="V216" s="167" t="s">
        <v>154</v>
      </c>
      <c r="W216" s="168"/>
      <c r="Y216" s="167" t="s">
        <v>284</v>
      </c>
      <c r="Z216" s="169" t="s">
        <v>63</v>
      </c>
      <c r="AA216" s="166">
        <v>5</v>
      </c>
      <c r="AB216" s="166">
        <v>0</v>
      </c>
      <c r="AC216" s="165"/>
      <c r="AD216" s="165" t="s">
        <v>80</v>
      </c>
      <c r="AE216" s="165"/>
      <c r="AF216" s="165"/>
      <c r="AG216" s="165"/>
      <c r="AH216" s="165"/>
      <c r="AI216" s="165">
        <v>23</v>
      </c>
      <c r="AJ216" s="165">
        <v>42</v>
      </c>
      <c r="AK216" s="166">
        <v>65.099999999999994</v>
      </c>
      <c r="AL216" s="166" t="s">
        <v>81</v>
      </c>
      <c r="AM216" s="166" t="s">
        <v>116</v>
      </c>
      <c r="AN216" s="166">
        <v>8.8000000000000007</v>
      </c>
      <c r="AO216" s="166" t="s">
        <v>81</v>
      </c>
      <c r="AP216" s="166" t="s">
        <v>117</v>
      </c>
      <c r="AQ216" s="166"/>
      <c r="AR216" s="166"/>
      <c r="AS216" s="165"/>
      <c r="AT216" s="165"/>
      <c r="AU216" s="165"/>
      <c r="AV216" s="165"/>
      <c r="AW216" s="165"/>
      <c r="AX216" s="165"/>
      <c r="AY216" s="165"/>
      <c r="AZ216" s="165"/>
      <c r="BA216" s="166"/>
      <c r="BB216" s="166"/>
      <c r="BC216" s="166"/>
      <c r="BD216" s="166"/>
      <c r="BE216" s="166"/>
      <c r="BF216" s="166"/>
      <c r="BG216" s="166"/>
      <c r="BH216" s="166"/>
      <c r="BI216" s="165"/>
      <c r="BJ216" s="165"/>
      <c r="BK216" s="165"/>
      <c r="BL216" s="165"/>
      <c r="BM216" s="165"/>
      <c r="BN216" s="165"/>
      <c r="BO216" s="165"/>
      <c r="BP216" s="165"/>
      <c r="BQ216" s="166"/>
      <c r="BR216" s="165"/>
      <c r="BS216" s="124">
        <v>240</v>
      </c>
      <c r="BT216" s="124"/>
    </row>
    <row r="217" spans="1:72" ht="12.75" hidden="1" customHeight="1" x14ac:dyDescent="0.2">
      <c r="A217" s="92">
        <v>243</v>
      </c>
      <c r="B217" s="231" t="s">
        <v>297</v>
      </c>
      <c r="C217" s="264" t="s">
        <v>298</v>
      </c>
      <c r="D217" s="231" t="s">
        <v>299</v>
      </c>
      <c r="E217" s="125" t="s">
        <v>102</v>
      </c>
      <c r="F217" s="181" t="s">
        <v>103</v>
      </c>
      <c r="G217" s="181" t="s">
        <v>76</v>
      </c>
      <c r="H217" s="181" t="s">
        <v>300</v>
      </c>
      <c r="I217" s="181"/>
      <c r="J217" s="178">
        <v>0.15</v>
      </c>
      <c r="K217" s="182"/>
      <c r="L217" s="182" t="s">
        <v>107</v>
      </c>
      <c r="M217" s="178" t="s">
        <v>78</v>
      </c>
      <c r="N217" s="178">
        <v>0</v>
      </c>
      <c r="O217" s="178" t="s">
        <v>60</v>
      </c>
      <c r="P217" s="178" t="s">
        <v>79</v>
      </c>
      <c r="Q217" s="179"/>
      <c r="R217" s="179"/>
      <c r="S217" s="180">
        <v>0</v>
      </c>
      <c r="T217" s="179"/>
      <c r="U217" s="179"/>
      <c r="V217" s="167"/>
      <c r="W217" s="168"/>
      <c r="Y217" s="167"/>
      <c r="Z217" s="169" t="s">
        <v>63</v>
      </c>
      <c r="AA217" s="166">
        <v>1</v>
      </c>
      <c r="AB217" s="166"/>
      <c r="AC217" s="165"/>
      <c r="AD217" s="165" t="s">
        <v>80</v>
      </c>
      <c r="AE217" s="165"/>
      <c r="AF217" s="165"/>
      <c r="AG217" s="165"/>
      <c r="AH217" s="165"/>
      <c r="AI217" s="165">
        <v>22</v>
      </c>
      <c r="AJ217" s="165">
        <v>27</v>
      </c>
      <c r="AK217" s="166">
        <v>72</v>
      </c>
      <c r="AL217" s="166" t="s">
        <v>81</v>
      </c>
      <c r="AM217" s="166" t="s">
        <v>239</v>
      </c>
      <c r="AN217" s="166"/>
      <c r="AO217" s="166"/>
      <c r="AP217" s="166"/>
      <c r="AQ217" s="166"/>
      <c r="AR217" s="166"/>
      <c r="AS217" s="165"/>
      <c r="AT217" s="165"/>
      <c r="AU217" s="165"/>
      <c r="AV217" s="165"/>
      <c r="AW217" s="165"/>
      <c r="AX217" s="165"/>
      <c r="AY217" s="165"/>
      <c r="AZ217" s="165"/>
      <c r="BA217" s="166"/>
      <c r="BB217" s="166"/>
      <c r="BC217" s="166"/>
      <c r="BD217" s="166"/>
      <c r="BE217" s="166"/>
      <c r="BF217" s="166"/>
      <c r="BG217" s="166"/>
      <c r="BH217" s="166"/>
      <c r="BI217" s="165"/>
      <c r="BJ217" s="165"/>
      <c r="BK217" s="165"/>
      <c r="BL217" s="165"/>
      <c r="BM217" s="165"/>
      <c r="BN217" s="165"/>
      <c r="BO217" s="165"/>
      <c r="BP217" s="165"/>
      <c r="BQ217" s="166"/>
      <c r="BR217" s="165"/>
      <c r="BS217" s="124">
        <v>243</v>
      </c>
      <c r="BT217" s="124"/>
    </row>
    <row r="218" spans="1:72" ht="12.75" hidden="1" customHeight="1" x14ac:dyDescent="0.2">
      <c r="A218" s="92">
        <v>244</v>
      </c>
      <c r="B218" s="231" t="s">
        <v>297</v>
      </c>
      <c r="C218" s="264" t="s">
        <v>298</v>
      </c>
      <c r="D218" s="231" t="s">
        <v>301</v>
      </c>
      <c r="E218" s="125" t="s">
        <v>102</v>
      </c>
      <c r="F218" s="181" t="s">
        <v>103</v>
      </c>
      <c r="G218" s="181" t="s">
        <v>76</v>
      </c>
      <c r="H218" s="181" t="s">
        <v>300</v>
      </c>
      <c r="I218" s="181"/>
      <c r="J218" s="178">
        <v>0.15</v>
      </c>
      <c r="K218" s="182"/>
      <c r="L218" s="182" t="s">
        <v>107</v>
      </c>
      <c r="M218" s="178" t="s">
        <v>78</v>
      </c>
      <c r="N218" s="178">
        <v>0</v>
      </c>
      <c r="O218" s="178" t="s">
        <v>60</v>
      </c>
      <c r="P218" s="178" t="s">
        <v>79</v>
      </c>
      <c r="Q218" s="179"/>
      <c r="R218" s="179"/>
      <c r="S218" s="180">
        <v>0</v>
      </c>
      <c r="T218" s="179"/>
      <c r="U218" s="179"/>
      <c r="V218" s="167"/>
      <c r="W218" s="168"/>
      <c r="Y218" s="167"/>
      <c r="Z218" s="169" t="s">
        <v>63</v>
      </c>
      <c r="AA218" s="166">
        <v>1</v>
      </c>
      <c r="AB218" s="166"/>
      <c r="AC218" s="165"/>
      <c r="AD218" s="165" t="s">
        <v>80</v>
      </c>
      <c r="AE218" s="165"/>
      <c r="AF218" s="165"/>
      <c r="AG218" s="165"/>
      <c r="AH218" s="165"/>
      <c r="AI218" s="165">
        <v>22</v>
      </c>
      <c r="AJ218" s="165">
        <v>27</v>
      </c>
      <c r="AK218" s="166">
        <v>76</v>
      </c>
      <c r="AL218" s="166" t="s">
        <v>81</v>
      </c>
      <c r="AM218" s="166" t="s">
        <v>239</v>
      </c>
      <c r="AN218" s="166"/>
      <c r="AO218" s="166"/>
      <c r="AP218" s="166"/>
      <c r="AQ218" s="166"/>
      <c r="AR218" s="166"/>
      <c r="AS218" s="165"/>
      <c r="AT218" s="165"/>
      <c r="AU218" s="165"/>
      <c r="AV218" s="165"/>
      <c r="AW218" s="165"/>
      <c r="AX218" s="165"/>
      <c r="AY218" s="165"/>
      <c r="AZ218" s="165"/>
      <c r="BA218" s="166"/>
      <c r="BB218" s="166"/>
      <c r="BC218" s="166"/>
      <c r="BD218" s="166"/>
      <c r="BE218" s="166"/>
      <c r="BF218" s="166"/>
      <c r="BG218" s="166"/>
      <c r="BH218" s="166"/>
      <c r="BI218" s="165"/>
      <c r="BJ218" s="165"/>
      <c r="BK218" s="165"/>
      <c r="BL218" s="165"/>
      <c r="BM218" s="165"/>
      <c r="BN218" s="165"/>
      <c r="BO218" s="165"/>
      <c r="BP218" s="165"/>
      <c r="BQ218" s="166"/>
      <c r="BR218" s="165"/>
      <c r="BS218" s="124">
        <v>244</v>
      </c>
      <c r="BT218" s="124"/>
    </row>
    <row r="219" spans="1:72" ht="12.75" hidden="1" customHeight="1" x14ac:dyDescent="0.2">
      <c r="A219" s="92">
        <v>245</v>
      </c>
      <c r="B219" s="231" t="s">
        <v>297</v>
      </c>
      <c r="C219" s="264" t="s">
        <v>298</v>
      </c>
      <c r="D219" s="231" t="s">
        <v>302</v>
      </c>
      <c r="E219" s="125" t="s">
        <v>102</v>
      </c>
      <c r="F219" s="181" t="s">
        <v>103</v>
      </c>
      <c r="G219" s="181" t="s">
        <v>76</v>
      </c>
      <c r="H219" s="181" t="s">
        <v>300</v>
      </c>
      <c r="I219" s="181"/>
      <c r="J219" s="178">
        <v>0.15</v>
      </c>
      <c r="K219" s="182"/>
      <c r="L219" s="182" t="s">
        <v>107</v>
      </c>
      <c r="M219" s="178" t="s">
        <v>78</v>
      </c>
      <c r="N219" s="178">
        <v>0</v>
      </c>
      <c r="O219" s="178" t="s">
        <v>60</v>
      </c>
      <c r="P219" s="178" t="s">
        <v>79</v>
      </c>
      <c r="Q219" s="179"/>
      <c r="R219" s="179"/>
      <c r="S219" s="180">
        <v>0</v>
      </c>
      <c r="T219" s="179"/>
      <c r="U219" s="179"/>
      <c r="V219" s="167"/>
      <c r="W219" s="168"/>
      <c r="Y219" s="167"/>
      <c r="Z219" s="169" t="s">
        <v>63</v>
      </c>
      <c r="AA219" s="166">
        <v>1</v>
      </c>
      <c r="AB219" s="166"/>
      <c r="AC219" s="165"/>
      <c r="AD219" s="165" t="s">
        <v>80</v>
      </c>
      <c r="AE219" s="165"/>
      <c r="AF219" s="165"/>
      <c r="AG219" s="165"/>
      <c r="AH219" s="165"/>
      <c r="AI219" s="165">
        <v>22</v>
      </c>
      <c r="AJ219" s="165">
        <v>27</v>
      </c>
      <c r="AK219" s="166">
        <v>77.3</v>
      </c>
      <c r="AL219" s="166" t="s">
        <v>81</v>
      </c>
      <c r="AM219" s="166" t="s">
        <v>239</v>
      </c>
      <c r="AN219" s="166"/>
      <c r="AO219" s="166"/>
      <c r="AP219" s="166"/>
      <c r="AQ219" s="166"/>
      <c r="AR219" s="166"/>
      <c r="AS219" s="165"/>
      <c r="AT219" s="165"/>
      <c r="AU219" s="165"/>
      <c r="AV219" s="165"/>
      <c r="AW219" s="165"/>
      <c r="AX219" s="165"/>
      <c r="AY219" s="165"/>
      <c r="AZ219" s="165"/>
      <c r="BA219" s="166"/>
      <c r="BB219" s="166"/>
      <c r="BC219" s="166"/>
      <c r="BD219" s="166"/>
      <c r="BE219" s="166"/>
      <c r="BF219" s="166"/>
      <c r="BG219" s="166"/>
      <c r="BH219" s="166"/>
      <c r="BI219" s="165"/>
      <c r="BJ219" s="165"/>
      <c r="BK219" s="165"/>
      <c r="BL219" s="165"/>
      <c r="BM219" s="165"/>
      <c r="BN219" s="165"/>
      <c r="BO219" s="165"/>
      <c r="BP219" s="165"/>
      <c r="BQ219" s="166"/>
      <c r="BR219" s="165"/>
      <c r="BS219" s="124">
        <v>245</v>
      </c>
      <c r="BT219" s="124"/>
    </row>
    <row r="220" spans="1:72" ht="12.75" hidden="1" customHeight="1" x14ac:dyDescent="0.2">
      <c r="A220" s="92">
        <v>246</v>
      </c>
      <c r="B220" s="231" t="s">
        <v>297</v>
      </c>
      <c r="C220" s="264" t="s">
        <v>298</v>
      </c>
      <c r="D220" s="231" t="s">
        <v>303</v>
      </c>
      <c r="E220" s="125" t="s">
        <v>102</v>
      </c>
      <c r="F220" s="181" t="s">
        <v>103</v>
      </c>
      <c r="G220" s="181" t="s">
        <v>76</v>
      </c>
      <c r="H220" s="181" t="s">
        <v>300</v>
      </c>
      <c r="I220" s="181"/>
      <c r="J220" s="178">
        <v>0.15</v>
      </c>
      <c r="K220" s="182"/>
      <c r="L220" s="182" t="s">
        <v>107</v>
      </c>
      <c r="M220" s="178" t="s">
        <v>78</v>
      </c>
      <c r="N220" s="178">
        <v>0</v>
      </c>
      <c r="O220" s="178" t="s">
        <v>60</v>
      </c>
      <c r="P220" s="178" t="s">
        <v>79</v>
      </c>
      <c r="Q220" s="179"/>
      <c r="R220" s="179"/>
      <c r="S220" s="180">
        <v>0</v>
      </c>
      <c r="T220" s="179"/>
      <c r="U220" s="179"/>
      <c r="V220" s="167"/>
      <c r="W220" s="168"/>
      <c r="Y220" s="167"/>
      <c r="Z220" s="169" t="s">
        <v>63</v>
      </c>
      <c r="AA220" s="166">
        <v>1</v>
      </c>
      <c r="AB220" s="166"/>
      <c r="AC220" s="165"/>
      <c r="AD220" s="165" t="s">
        <v>80</v>
      </c>
      <c r="AE220" s="165"/>
      <c r="AF220" s="165"/>
      <c r="AG220" s="165"/>
      <c r="AH220" s="165"/>
      <c r="AI220" s="165">
        <v>22</v>
      </c>
      <c r="AJ220" s="165">
        <v>27</v>
      </c>
      <c r="AK220" s="166">
        <v>54.7</v>
      </c>
      <c r="AL220" s="166" t="s">
        <v>81</v>
      </c>
      <c r="AM220" s="166" t="s">
        <v>239</v>
      </c>
      <c r="AN220" s="166"/>
      <c r="AO220" s="166"/>
      <c r="AP220" s="166"/>
      <c r="AQ220" s="166"/>
      <c r="AR220" s="166"/>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v>246</v>
      </c>
      <c r="BT220" s="124"/>
    </row>
    <row r="221" spans="1:72" ht="12.75" hidden="1" customHeight="1" x14ac:dyDescent="0.2">
      <c r="A221" s="92">
        <v>247</v>
      </c>
      <c r="B221" s="231" t="s">
        <v>297</v>
      </c>
      <c r="C221" s="264" t="s">
        <v>298</v>
      </c>
      <c r="D221" s="231" t="s">
        <v>304</v>
      </c>
      <c r="E221" s="125" t="s">
        <v>102</v>
      </c>
      <c r="F221" s="181" t="s">
        <v>103</v>
      </c>
      <c r="G221" s="181" t="s">
        <v>76</v>
      </c>
      <c r="H221" s="181" t="s">
        <v>300</v>
      </c>
      <c r="I221" s="181"/>
      <c r="J221" s="178">
        <v>0.15</v>
      </c>
      <c r="K221" s="182"/>
      <c r="L221" s="182" t="s">
        <v>107</v>
      </c>
      <c r="M221" s="178" t="s">
        <v>78</v>
      </c>
      <c r="N221" s="178">
        <v>0</v>
      </c>
      <c r="O221" s="178" t="s">
        <v>60</v>
      </c>
      <c r="P221" s="178" t="s">
        <v>79</v>
      </c>
      <c r="Q221" s="179"/>
      <c r="R221" s="179"/>
      <c r="S221" s="180">
        <v>0</v>
      </c>
      <c r="T221" s="179"/>
      <c r="U221" s="179"/>
      <c r="V221" s="167"/>
      <c r="W221" s="168"/>
      <c r="Y221" s="167"/>
      <c r="Z221" s="169" t="s">
        <v>63</v>
      </c>
      <c r="AA221" s="166">
        <v>1</v>
      </c>
      <c r="AB221" s="166"/>
      <c r="AC221" s="165"/>
      <c r="AD221" s="165" t="s">
        <v>80</v>
      </c>
      <c r="AE221" s="165"/>
      <c r="AF221" s="165"/>
      <c r="AG221" s="165"/>
      <c r="AH221" s="165"/>
      <c r="AI221" s="165">
        <v>22</v>
      </c>
      <c r="AJ221" s="165">
        <v>27</v>
      </c>
      <c r="AK221" s="166">
        <v>61.3</v>
      </c>
      <c r="AL221" s="166" t="s">
        <v>81</v>
      </c>
      <c r="AM221" s="166" t="s">
        <v>239</v>
      </c>
      <c r="AN221" s="166"/>
      <c r="AO221" s="166"/>
      <c r="AP221" s="166"/>
      <c r="AQ221" s="166"/>
      <c r="AR221" s="166"/>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v>247</v>
      </c>
      <c r="BT221" s="124"/>
    </row>
    <row r="222" spans="1:72" ht="12.75" hidden="1" customHeight="1" x14ac:dyDescent="0.2">
      <c r="A222" s="92">
        <v>248</v>
      </c>
      <c r="B222" s="231" t="s">
        <v>297</v>
      </c>
      <c r="C222" s="264" t="s">
        <v>298</v>
      </c>
      <c r="D222" s="231" t="s">
        <v>305</v>
      </c>
      <c r="E222" s="125" t="s">
        <v>102</v>
      </c>
      <c r="F222" s="181" t="s">
        <v>103</v>
      </c>
      <c r="G222" s="181" t="s">
        <v>76</v>
      </c>
      <c r="H222" s="181" t="s">
        <v>300</v>
      </c>
      <c r="I222" s="181"/>
      <c r="J222" s="178">
        <v>0.15</v>
      </c>
      <c r="K222" s="182"/>
      <c r="L222" s="182" t="s">
        <v>107</v>
      </c>
      <c r="M222" s="178" t="s">
        <v>78</v>
      </c>
      <c r="N222" s="178">
        <v>0</v>
      </c>
      <c r="O222" s="178" t="s">
        <v>60</v>
      </c>
      <c r="P222" s="178" t="s">
        <v>79</v>
      </c>
      <c r="Q222" s="179"/>
      <c r="R222" s="179"/>
      <c r="S222" s="180">
        <v>0</v>
      </c>
      <c r="T222" s="179"/>
      <c r="U222" s="179"/>
      <c r="V222" s="167"/>
      <c r="W222" s="168"/>
      <c r="Y222" s="167"/>
      <c r="Z222" s="169" t="s">
        <v>63</v>
      </c>
      <c r="AA222" s="166">
        <v>1</v>
      </c>
      <c r="AB222" s="166"/>
      <c r="AC222" s="165"/>
      <c r="AD222" s="165" t="s">
        <v>80</v>
      </c>
      <c r="AE222" s="165"/>
      <c r="AF222" s="165"/>
      <c r="AG222" s="165"/>
      <c r="AH222" s="165"/>
      <c r="AI222" s="165">
        <v>22</v>
      </c>
      <c r="AJ222" s="165">
        <v>27</v>
      </c>
      <c r="AK222" s="166">
        <v>64</v>
      </c>
      <c r="AL222" s="166" t="s">
        <v>81</v>
      </c>
      <c r="AM222" s="166" t="s">
        <v>239</v>
      </c>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248</v>
      </c>
      <c r="BT222" s="124"/>
    </row>
    <row r="223" spans="1:72" ht="12.75" hidden="1" customHeight="1" x14ac:dyDescent="0.2">
      <c r="A223" s="92">
        <v>249</v>
      </c>
      <c r="B223" s="231" t="s">
        <v>297</v>
      </c>
      <c r="C223" s="264" t="s">
        <v>298</v>
      </c>
      <c r="D223" s="231" t="s">
        <v>306</v>
      </c>
      <c r="E223" s="125" t="s">
        <v>102</v>
      </c>
      <c r="F223" s="181" t="s">
        <v>103</v>
      </c>
      <c r="G223" s="181" t="s">
        <v>76</v>
      </c>
      <c r="H223" s="181" t="s">
        <v>300</v>
      </c>
      <c r="I223" s="181"/>
      <c r="J223" s="178">
        <v>10</v>
      </c>
      <c r="K223" s="182"/>
      <c r="L223" s="182" t="s">
        <v>58</v>
      </c>
      <c r="M223" s="178" t="s">
        <v>59</v>
      </c>
      <c r="N223" s="178">
        <v>0</v>
      </c>
      <c r="O223" s="178" t="s">
        <v>60</v>
      </c>
      <c r="P223" s="178" t="s">
        <v>79</v>
      </c>
      <c r="Q223" s="179"/>
      <c r="R223" s="179" t="s">
        <v>307</v>
      </c>
      <c r="S223" s="180"/>
      <c r="T223" s="179"/>
      <c r="U223" s="179"/>
      <c r="V223" s="167"/>
      <c r="W223" s="168"/>
      <c r="Y223" s="167"/>
      <c r="Z223" s="169" t="s">
        <v>63</v>
      </c>
      <c r="AA223" s="166">
        <v>1</v>
      </c>
      <c r="AB223" s="166"/>
      <c r="AC223" s="165"/>
      <c r="AD223" s="165" t="s">
        <v>80</v>
      </c>
      <c r="AE223" s="165"/>
      <c r="AF223" s="165"/>
      <c r="AG223" s="165"/>
      <c r="AH223" s="165"/>
      <c r="AI223" s="165">
        <v>22</v>
      </c>
      <c r="AJ223" s="165">
        <v>27</v>
      </c>
      <c r="AK223" s="166">
        <v>76</v>
      </c>
      <c r="AL223" s="166" t="s">
        <v>81</v>
      </c>
      <c r="AM223" s="166" t="s">
        <v>239</v>
      </c>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249</v>
      </c>
      <c r="BT223" s="124"/>
    </row>
    <row r="224" spans="1:72" ht="12.75" hidden="1" customHeight="1" x14ac:dyDescent="0.2">
      <c r="A224" s="92">
        <v>250</v>
      </c>
      <c r="B224" s="231" t="s">
        <v>297</v>
      </c>
      <c r="C224" s="264" t="s">
        <v>298</v>
      </c>
      <c r="D224" s="231" t="s">
        <v>308</v>
      </c>
      <c r="E224" s="125" t="s">
        <v>102</v>
      </c>
      <c r="F224" s="181" t="s">
        <v>103</v>
      </c>
      <c r="G224" s="181" t="s">
        <v>76</v>
      </c>
      <c r="H224" s="181" t="s">
        <v>300</v>
      </c>
      <c r="I224" s="181"/>
      <c r="J224" s="178">
        <v>10</v>
      </c>
      <c r="K224" s="182"/>
      <c r="L224" s="182" t="s">
        <v>58</v>
      </c>
      <c r="M224" s="178" t="s">
        <v>59</v>
      </c>
      <c r="N224" s="178">
        <v>0</v>
      </c>
      <c r="O224" s="178" t="s">
        <v>60</v>
      </c>
      <c r="P224" s="178" t="s">
        <v>79</v>
      </c>
      <c r="Q224" s="179"/>
      <c r="R224" s="179" t="s">
        <v>307</v>
      </c>
      <c r="S224" s="180"/>
      <c r="T224" s="179"/>
      <c r="U224" s="179"/>
      <c r="V224" s="167"/>
      <c r="W224" s="168"/>
      <c r="Y224" s="167"/>
      <c r="Z224" s="169" t="s">
        <v>63</v>
      </c>
      <c r="AA224" s="166">
        <v>1</v>
      </c>
      <c r="AB224" s="166"/>
      <c r="AC224" s="165"/>
      <c r="AD224" s="165" t="s">
        <v>80</v>
      </c>
      <c r="AE224" s="165"/>
      <c r="AF224" s="165"/>
      <c r="AG224" s="165"/>
      <c r="AH224" s="165"/>
      <c r="AI224" s="165">
        <v>22</v>
      </c>
      <c r="AJ224" s="165">
        <v>27</v>
      </c>
      <c r="AK224" s="166">
        <v>64</v>
      </c>
      <c r="AL224" s="166" t="s">
        <v>81</v>
      </c>
      <c r="AM224" s="166" t="s">
        <v>239</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v>250</v>
      </c>
      <c r="BT224" s="124"/>
    </row>
    <row r="225" spans="1:72" ht="12.75" hidden="1" customHeight="1" x14ac:dyDescent="0.2">
      <c r="A225" s="92">
        <v>251</v>
      </c>
      <c r="B225" s="231" t="s">
        <v>297</v>
      </c>
      <c r="C225" s="264" t="s">
        <v>298</v>
      </c>
      <c r="D225" s="231" t="s">
        <v>309</v>
      </c>
      <c r="E225" s="125" t="s">
        <v>102</v>
      </c>
      <c r="F225" s="181" t="s">
        <v>103</v>
      </c>
      <c r="G225" s="181" t="s">
        <v>76</v>
      </c>
      <c r="H225" s="181" t="s">
        <v>300</v>
      </c>
      <c r="I225" s="181"/>
      <c r="J225" s="178">
        <v>10</v>
      </c>
      <c r="K225" s="182"/>
      <c r="L225" s="182" t="s">
        <v>58</v>
      </c>
      <c r="M225" s="178" t="s">
        <v>59</v>
      </c>
      <c r="N225" s="178">
        <v>0</v>
      </c>
      <c r="O225" s="178" t="s">
        <v>60</v>
      </c>
      <c r="P225" s="178" t="s">
        <v>79</v>
      </c>
      <c r="Q225" s="179"/>
      <c r="R225" s="179" t="s">
        <v>307</v>
      </c>
      <c r="S225" s="180"/>
      <c r="T225" s="179"/>
      <c r="U225" s="179"/>
      <c r="V225" s="167"/>
      <c r="W225" s="168"/>
      <c r="Y225" s="167"/>
      <c r="Z225" s="169" t="s">
        <v>63</v>
      </c>
      <c r="AA225" s="166">
        <v>1</v>
      </c>
      <c r="AB225" s="166"/>
      <c r="AC225" s="165"/>
      <c r="AD225" s="165" t="s">
        <v>80</v>
      </c>
      <c r="AE225" s="165"/>
      <c r="AF225" s="165"/>
      <c r="AG225" s="165"/>
      <c r="AH225" s="165"/>
      <c r="AI225" s="165">
        <v>22</v>
      </c>
      <c r="AJ225" s="165">
        <v>27</v>
      </c>
      <c r="AK225" s="166">
        <v>54.7</v>
      </c>
      <c r="AL225" s="166" t="s">
        <v>81</v>
      </c>
      <c r="AM225" s="166" t="s">
        <v>239</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v>251</v>
      </c>
      <c r="BT225" s="124"/>
    </row>
    <row r="226" spans="1:72" ht="12.75" hidden="1" customHeight="1" x14ac:dyDescent="0.2">
      <c r="A226" s="92">
        <v>252</v>
      </c>
      <c r="B226" s="231" t="s">
        <v>297</v>
      </c>
      <c r="C226" s="264" t="s">
        <v>298</v>
      </c>
      <c r="D226" s="231" t="s">
        <v>310</v>
      </c>
      <c r="E226" s="125" t="s">
        <v>102</v>
      </c>
      <c r="F226" s="181" t="s">
        <v>103</v>
      </c>
      <c r="G226" s="181" t="s">
        <v>76</v>
      </c>
      <c r="H226" s="181" t="s">
        <v>300</v>
      </c>
      <c r="I226" s="181"/>
      <c r="J226" s="178">
        <v>20</v>
      </c>
      <c r="K226" s="182"/>
      <c r="L226" s="182" t="s">
        <v>58</v>
      </c>
      <c r="M226" s="178" t="s">
        <v>59</v>
      </c>
      <c r="N226" s="178">
        <v>0</v>
      </c>
      <c r="O226" s="178" t="s">
        <v>60</v>
      </c>
      <c r="P226" s="178" t="s">
        <v>79</v>
      </c>
      <c r="Q226" s="179"/>
      <c r="R226" s="179" t="s">
        <v>307</v>
      </c>
      <c r="S226" s="180"/>
      <c r="T226" s="179"/>
      <c r="U226" s="179" t="s">
        <v>311</v>
      </c>
      <c r="V226" s="167"/>
      <c r="W226" s="168"/>
      <c r="Y226" s="167"/>
      <c r="Z226" s="169" t="s">
        <v>63</v>
      </c>
      <c r="AA226" s="166">
        <v>1</v>
      </c>
      <c r="AB226" s="166"/>
      <c r="AC226" s="165"/>
      <c r="AD226" s="165" t="s">
        <v>80</v>
      </c>
      <c r="AE226" s="165"/>
      <c r="AF226" s="165"/>
      <c r="AG226" s="165"/>
      <c r="AH226" s="165"/>
      <c r="AI226" s="165">
        <v>22</v>
      </c>
      <c r="AJ226" s="165">
        <v>27</v>
      </c>
      <c r="AK226" s="166">
        <v>61.3</v>
      </c>
      <c r="AL226" s="166" t="s">
        <v>81</v>
      </c>
      <c r="AM226" s="166" t="s">
        <v>239</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v>252</v>
      </c>
      <c r="BT226" s="124"/>
    </row>
    <row r="227" spans="1:72" ht="12.75" hidden="1" customHeight="1" x14ac:dyDescent="0.2">
      <c r="A227" s="92">
        <v>253</v>
      </c>
      <c r="B227" s="231" t="s">
        <v>297</v>
      </c>
      <c r="C227" s="264" t="s">
        <v>298</v>
      </c>
      <c r="D227" s="231" t="s">
        <v>312</v>
      </c>
      <c r="E227" s="125" t="s">
        <v>102</v>
      </c>
      <c r="F227" s="181" t="s">
        <v>103</v>
      </c>
      <c r="G227" s="181" t="s">
        <v>76</v>
      </c>
      <c r="H227" s="181" t="s">
        <v>300</v>
      </c>
      <c r="I227" s="181"/>
      <c r="J227" s="178">
        <v>20</v>
      </c>
      <c r="K227" s="182"/>
      <c r="L227" s="182" t="s">
        <v>58</v>
      </c>
      <c r="M227" s="178" t="s">
        <v>59</v>
      </c>
      <c r="N227" s="178">
        <v>0</v>
      </c>
      <c r="O227" s="178" t="s">
        <v>60</v>
      </c>
      <c r="P227" s="178" t="s">
        <v>79</v>
      </c>
      <c r="Q227" s="179"/>
      <c r="R227" s="179" t="s">
        <v>307</v>
      </c>
      <c r="S227" s="180"/>
      <c r="T227" s="179"/>
      <c r="U227" s="179" t="s">
        <v>311</v>
      </c>
      <c r="V227" s="167"/>
      <c r="W227" s="168"/>
      <c r="Y227" s="167"/>
      <c r="Z227" s="169" t="s">
        <v>63</v>
      </c>
      <c r="AA227" s="166">
        <v>1</v>
      </c>
      <c r="AB227" s="166"/>
      <c r="AC227" s="165"/>
      <c r="AD227" s="165" t="s">
        <v>80</v>
      </c>
      <c r="AE227" s="165"/>
      <c r="AF227" s="165"/>
      <c r="AG227" s="165"/>
      <c r="AH227" s="165"/>
      <c r="AI227" s="165">
        <v>22</v>
      </c>
      <c r="AJ227" s="165">
        <v>27</v>
      </c>
      <c r="AK227" s="166">
        <v>72</v>
      </c>
      <c r="AL227" s="166" t="s">
        <v>81</v>
      </c>
      <c r="AM227" s="166" t="s">
        <v>239</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v>253</v>
      </c>
      <c r="BT227" s="124"/>
    </row>
    <row r="228" spans="1:72" ht="12.75" hidden="1" customHeight="1" x14ac:dyDescent="0.2">
      <c r="A228" s="92">
        <v>254</v>
      </c>
      <c r="B228" s="231" t="s">
        <v>297</v>
      </c>
      <c r="C228" s="264" t="s">
        <v>298</v>
      </c>
      <c r="D228" s="231" t="s">
        <v>313</v>
      </c>
      <c r="E228" s="125" t="s">
        <v>102</v>
      </c>
      <c r="F228" s="181" t="s">
        <v>103</v>
      </c>
      <c r="G228" s="181" t="s">
        <v>76</v>
      </c>
      <c r="H228" s="181" t="s">
        <v>300</v>
      </c>
      <c r="I228" s="181"/>
      <c r="J228" s="178">
        <v>20</v>
      </c>
      <c r="K228" s="182"/>
      <c r="L228" s="182" t="s">
        <v>58</v>
      </c>
      <c r="M228" s="178" t="s">
        <v>59</v>
      </c>
      <c r="N228" s="178">
        <v>0</v>
      </c>
      <c r="O228" s="178" t="s">
        <v>60</v>
      </c>
      <c r="P228" s="178" t="s">
        <v>79</v>
      </c>
      <c r="Q228" s="179"/>
      <c r="R228" s="179" t="s">
        <v>307</v>
      </c>
      <c r="S228" s="180"/>
      <c r="T228" s="179"/>
      <c r="U228" s="179" t="s">
        <v>311</v>
      </c>
      <c r="V228" s="167"/>
      <c r="W228" s="168"/>
      <c r="Y228" s="167"/>
      <c r="Z228" s="169" t="s">
        <v>63</v>
      </c>
      <c r="AA228" s="166">
        <v>1</v>
      </c>
      <c r="AB228" s="166"/>
      <c r="AC228" s="165"/>
      <c r="AD228" s="165" t="s">
        <v>80</v>
      </c>
      <c r="AE228" s="165"/>
      <c r="AF228" s="165"/>
      <c r="AG228" s="165"/>
      <c r="AH228" s="165"/>
      <c r="AI228" s="165">
        <v>22</v>
      </c>
      <c r="AJ228" s="165">
        <v>27</v>
      </c>
      <c r="AK228" s="166">
        <v>77.3</v>
      </c>
      <c r="AL228" s="166" t="s">
        <v>81</v>
      </c>
      <c r="AM228" s="166" t="s">
        <v>239</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v>254</v>
      </c>
      <c r="BT228" s="124"/>
    </row>
    <row r="229" spans="1:72" ht="12.75" hidden="1" customHeight="1" x14ac:dyDescent="0.2">
      <c r="A229" s="92">
        <v>255</v>
      </c>
      <c r="B229" s="231" t="s">
        <v>297</v>
      </c>
      <c r="C229" s="264" t="s">
        <v>298</v>
      </c>
      <c r="D229" s="231" t="s">
        <v>314</v>
      </c>
      <c r="E229" s="125" t="s">
        <v>102</v>
      </c>
      <c r="F229" s="181" t="s">
        <v>103</v>
      </c>
      <c r="G229" s="181" t="s">
        <v>76</v>
      </c>
      <c r="H229" s="181" t="s">
        <v>300</v>
      </c>
      <c r="I229" s="181"/>
      <c r="J229" s="178">
        <v>20</v>
      </c>
      <c r="K229" s="182"/>
      <c r="L229" s="182" t="s">
        <v>58</v>
      </c>
      <c r="M229" s="178" t="s">
        <v>59</v>
      </c>
      <c r="N229" s="178">
        <v>0</v>
      </c>
      <c r="O229" s="178" t="s">
        <v>60</v>
      </c>
      <c r="P229" s="178" t="s">
        <v>79</v>
      </c>
      <c r="Q229" s="179"/>
      <c r="R229" s="179" t="s">
        <v>307</v>
      </c>
      <c r="S229" s="180"/>
      <c r="T229" s="179"/>
      <c r="U229" s="179" t="s">
        <v>311</v>
      </c>
      <c r="V229" s="167"/>
      <c r="W229" s="168"/>
      <c r="Y229" s="167"/>
      <c r="Z229" s="169" t="s">
        <v>63</v>
      </c>
      <c r="AA229" s="166">
        <v>1</v>
      </c>
      <c r="AB229" s="166"/>
      <c r="AC229" s="165"/>
      <c r="AD229" s="165" t="s">
        <v>80</v>
      </c>
      <c r="AE229" s="165"/>
      <c r="AF229" s="165"/>
      <c r="AG229" s="165"/>
      <c r="AH229" s="165"/>
      <c r="AI229" s="165">
        <v>22</v>
      </c>
      <c r="AJ229" s="165">
        <v>27</v>
      </c>
      <c r="AK229" s="166">
        <v>76</v>
      </c>
      <c r="AL229" s="166" t="s">
        <v>81</v>
      </c>
      <c r="AM229" s="166" t="s">
        <v>239</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v>255</v>
      </c>
      <c r="BT229" s="174"/>
    </row>
    <row r="230" spans="1:72" ht="12.75" hidden="1" customHeight="1" x14ac:dyDescent="0.2">
      <c r="A230" s="92">
        <v>256</v>
      </c>
      <c r="B230" s="231" t="s">
        <v>297</v>
      </c>
      <c r="C230" s="264" t="s">
        <v>298</v>
      </c>
      <c r="D230" s="231" t="s">
        <v>315</v>
      </c>
      <c r="E230" s="125" t="s">
        <v>102</v>
      </c>
      <c r="F230" s="181" t="s">
        <v>103</v>
      </c>
      <c r="G230" s="181" t="s">
        <v>76</v>
      </c>
      <c r="H230" s="181" t="s">
        <v>300</v>
      </c>
      <c r="I230" s="181"/>
      <c r="J230" s="178">
        <v>20</v>
      </c>
      <c r="K230" s="182"/>
      <c r="L230" s="182" t="s">
        <v>58</v>
      </c>
      <c r="M230" s="178" t="s">
        <v>59</v>
      </c>
      <c r="N230" s="178">
        <v>0</v>
      </c>
      <c r="O230" s="178" t="s">
        <v>60</v>
      </c>
      <c r="P230" s="178" t="s">
        <v>79</v>
      </c>
      <c r="Q230" s="179"/>
      <c r="R230" s="179" t="s">
        <v>307</v>
      </c>
      <c r="S230" s="180"/>
      <c r="T230" s="179"/>
      <c r="U230" s="179" t="s">
        <v>311</v>
      </c>
      <c r="V230" s="167"/>
      <c r="W230" s="168"/>
      <c r="Y230" s="167"/>
      <c r="Z230" s="169" t="s">
        <v>63</v>
      </c>
      <c r="AA230" s="166">
        <v>1</v>
      </c>
      <c r="AB230" s="166"/>
      <c r="AC230" s="165"/>
      <c r="AD230" s="165" t="s">
        <v>80</v>
      </c>
      <c r="AE230" s="165"/>
      <c r="AF230" s="165"/>
      <c r="AG230" s="165"/>
      <c r="AH230" s="165"/>
      <c r="AI230" s="165">
        <v>22</v>
      </c>
      <c r="AJ230" s="165">
        <v>27</v>
      </c>
      <c r="AK230" s="166">
        <v>64</v>
      </c>
      <c r="AL230" s="166" t="s">
        <v>81</v>
      </c>
      <c r="AM230" s="166" t="s">
        <v>239</v>
      </c>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256</v>
      </c>
      <c r="BT230" s="174"/>
    </row>
    <row r="231" spans="1:72" ht="14.25" hidden="1" customHeight="1" x14ac:dyDescent="0.2">
      <c r="A231" s="92">
        <v>257</v>
      </c>
      <c r="B231" s="231" t="s">
        <v>297</v>
      </c>
      <c r="C231" s="264" t="s">
        <v>298</v>
      </c>
      <c r="D231" s="231" t="s">
        <v>316</v>
      </c>
      <c r="E231" s="125" t="s">
        <v>102</v>
      </c>
      <c r="F231" s="181" t="s">
        <v>103</v>
      </c>
      <c r="G231" s="181" t="s">
        <v>76</v>
      </c>
      <c r="H231" s="181" t="s">
        <v>300</v>
      </c>
      <c r="I231" s="181"/>
      <c r="J231" s="178">
        <v>20</v>
      </c>
      <c r="K231" s="182"/>
      <c r="L231" s="182" t="s">
        <v>58</v>
      </c>
      <c r="M231" s="178" t="s">
        <v>59</v>
      </c>
      <c r="N231" s="178">
        <v>0</v>
      </c>
      <c r="O231" s="178" t="s">
        <v>60</v>
      </c>
      <c r="P231" s="178" t="s">
        <v>79</v>
      </c>
      <c r="Q231" s="179"/>
      <c r="R231" s="179" t="s">
        <v>307</v>
      </c>
      <c r="S231" s="180"/>
      <c r="T231" s="179"/>
      <c r="U231" s="179" t="s">
        <v>311</v>
      </c>
      <c r="V231" s="167"/>
      <c r="W231" s="168"/>
      <c r="Y231" s="167"/>
      <c r="Z231" s="169" t="s">
        <v>63</v>
      </c>
      <c r="AA231" s="166">
        <v>1</v>
      </c>
      <c r="AB231" s="166"/>
      <c r="AC231" s="165"/>
      <c r="AD231" s="165" t="s">
        <v>80</v>
      </c>
      <c r="AE231" s="165"/>
      <c r="AF231" s="165"/>
      <c r="AG231" s="165"/>
      <c r="AH231" s="165"/>
      <c r="AI231" s="165">
        <v>22</v>
      </c>
      <c r="AJ231" s="165">
        <v>27</v>
      </c>
      <c r="AK231" s="166">
        <v>54.7</v>
      </c>
      <c r="AL231" s="166" t="s">
        <v>81</v>
      </c>
      <c r="AM231" s="166" t="s">
        <v>239</v>
      </c>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257</v>
      </c>
      <c r="BT231" s="174"/>
    </row>
    <row r="232" spans="1:72" ht="14.25" hidden="1" customHeight="1" x14ac:dyDescent="0.2">
      <c r="A232" s="92">
        <v>258</v>
      </c>
      <c r="B232" s="231" t="s">
        <v>297</v>
      </c>
      <c r="C232" s="264" t="s">
        <v>298</v>
      </c>
      <c r="D232" s="231" t="s">
        <v>317</v>
      </c>
      <c r="E232" s="125" t="s">
        <v>102</v>
      </c>
      <c r="F232" s="181" t="s">
        <v>103</v>
      </c>
      <c r="G232" s="181" t="s">
        <v>76</v>
      </c>
      <c r="H232" s="181" t="s">
        <v>300</v>
      </c>
      <c r="I232" s="181"/>
      <c r="J232" s="178">
        <v>40</v>
      </c>
      <c r="K232" s="182"/>
      <c r="L232" s="182" t="s">
        <v>58</v>
      </c>
      <c r="M232" s="178" t="s">
        <v>59</v>
      </c>
      <c r="N232" s="178">
        <v>0</v>
      </c>
      <c r="O232" s="178" t="s">
        <v>60</v>
      </c>
      <c r="P232" s="178" t="s">
        <v>79</v>
      </c>
      <c r="Q232" s="179"/>
      <c r="R232" s="179" t="s">
        <v>307</v>
      </c>
      <c r="S232" s="180"/>
      <c r="T232" s="179"/>
      <c r="U232" s="179"/>
      <c r="V232" s="167"/>
      <c r="W232" s="168"/>
      <c r="Y232" s="167"/>
      <c r="Z232" s="169" t="s">
        <v>63</v>
      </c>
      <c r="AA232" s="166">
        <v>1</v>
      </c>
      <c r="AB232" s="166"/>
      <c r="AC232" s="165"/>
      <c r="AD232" s="165" t="s">
        <v>80</v>
      </c>
      <c r="AE232" s="165"/>
      <c r="AF232" s="165"/>
      <c r="AG232" s="165"/>
      <c r="AH232" s="165"/>
      <c r="AI232" s="165">
        <v>22</v>
      </c>
      <c r="AJ232" s="165">
        <v>27</v>
      </c>
      <c r="AK232" s="166">
        <v>61.3</v>
      </c>
      <c r="AL232" s="166" t="s">
        <v>81</v>
      </c>
      <c r="AM232" s="166" t="s">
        <v>239</v>
      </c>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258</v>
      </c>
      <c r="BT232" s="174"/>
    </row>
    <row r="233" spans="1:72" ht="14.25" hidden="1" customHeight="1" x14ac:dyDescent="0.2">
      <c r="A233" s="92">
        <v>259</v>
      </c>
      <c r="B233" s="231" t="s">
        <v>297</v>
      </c>
      <c r="C233" s="264" t="s">
        <v>298</v>
      </c>
      <c r="D233" s="231" t="s">
        <v>318</v>
      </c>
      <c r="E233" s="125" t="s">
        <v>102</v>
      </c>
      <c r="F233" s="181" t="s">
        <v>103</v>
      </c>
      <c r="G233" s="181" t="s">
        <v>76</v>
      </c>
      <c r="H233" s="181" t="s">
        <v>300</v>
      </c>
      <c r="I233" s="181"/>
      <c r="J233" s="178">
        <v>40</v>
      </c>
      <c r="K233" s="182"/>
      <c r="L233" s="182" t="s">
        <v>58</v>
      </c>
      <c r="M233" s="178" t="s">
        <v>59</v>
      </c>
      <c r="N233" s="178">
        <v>0</v>
      </c>
      <c r="O233" s="178" t="s">
        <v>60</v>
      </c>
      <c r="P233" s="178" t="s">
        <v>79</v>
      </c>
      <c r="Q233" s="179"/>
      <c r="R233" s="179" t="s">
        <v>307</v>
      </c>
      <c r="S233" s="180"/>
      <c r="T233" s="179"/>
      <c r="U233" s="179"/>
      <c r="V233" s="167"/>
      <c r="W233" s="168"/>
      <c r="Y233" s="167"/>
      <c r="Z233" s="169" t="s">
        <v>63</v>
      </c>
      <c r="AA233" s="166">
        <v>1</v>
      </c>
      <c r="AB233" s="166"/>
      <c r="AC233" s="165"/>
      <c r="AD233" s="165" t="s">
        <v>80</v>
      </c>
      <c r="AE233" s="165"/>
      <c r="AF233" s="165"/>
      <c r="AG233" s="165"/>
      <c r="AH233" s="165"/>
      <c r="AI233" s="165">
        <v>22</v>
      </c>
      <c r="AJ233" s="165">
        <v>27</v>
      </c>
      <c r="AK233" s="166">
        <v>72</v>
      </c>
      <c r="AL233" s="166" t="s">
        <v>81</v>
      </c>
      <c r="AM233" s="166" t="s">
        <v>239</v>
      </c>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c r="BR233" s="165"/>
      <c r="BS233" s="124">
        <v>259</v>
      </c>
      <c r="BT233" s="174"/>
    </row>
    <row r="234" spans="1:72" ht="14.25" hidden="1" customHeight="1" x14ac:dyDescent="0.2">
      <c r="A234" s="92">
        <v>260</v>
      </c>
      <c r="B234" s="231" t="s">
        <v>297</v>
      </c>
      <c r="C234" s="264" t="s">
        <v>298</v>
      </c>
      <c r="D234" s="231" t="s">
        <v>319</v>
      </c>
      <c r="E234" s="125" t="s">
        <v>102</v>
      </c>
      <c r="F234" s="181" t="s">
        <v>103</v>
      </c>
      <c r="G234" s="181" t="s">
        <v>76</v>
      </c>
      <c r="H234" s="181" t="s">
        <v>300</v>
      </c>
      <c r="I234" s="181"/>
      <c r="J234" s="178">
        <v>40</v>
      </c>
      <c r="K234" s="182"/>
      <c r="L234" s="182" t="s">
        <v>58</v>
      </c>
      <c r="M234" s="178" t="s">
        <v>59</v>
      </c>
      <c r="N234" s="178">
        <v>0</v>
      </c>
      <c r="O234" s="178" t="s">
        <v>60</v>
      </c>
      <c r="P234" s="178" t="s">
        <v>79</v>
      </c>
      <c r="Q234" s="179"/>
      <c r="R234" s="179" t="s">
        <v>307</v>
      </c>
      <c r="S234" s="180"/>
      <c r="T234" s="179"/>
      <c r="U234" s="179"/>
      <c r="V234" s="167"/>
      <c r="W234" s="168"/>
      <c r="Y234" s="167"/>
      <c r="Z234" s="169" t="s">
        <v>63</v>
      </c>
      <c r="AA234" s="166">
        <v>1</v>
      </c>
      <c r="AB234" s="166"/>
      <c r="AC234" s="165"/>
      <c r="AD234" s="165" t="s">
        <v>80</v>
      </c>
      <c r="AE234" s="165"/>
      <c r="AF234" s="165"/>
      <c r="AG234" s="165"/>
      <c r="AH234" s="165"/>
      <c r="AI234" s="165">
        <v>22</v>
      </c>
      <c r="AJ234" s="165">
        <v>27</v>
      </c>
      <c r="AK234" s="166">
        <v>77.3</v>
      </c>
      <c r="AL234" s="166" t="s">
        <v>81</v>
      </c>
      <c r="AM234" s="166" t="s">
        <v>239</v>
      </c>
      <c r="AN234" s="166"/>
      <c r="AO234" s="166"/>
      <c r="AP234" s="166"/>
      <c r="AQ234" s="166"/>
      <c r="AR234" s="166"/>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260</v>
      </c>
      <c r="BT234" s="174"/>
    </row>
    <row r="235" spans="1:72" ht="14.25" hidden="1" customHeight="1" x14ac:dyDescent="0.2">
      <c r="A235" s="205">
        <v>261</v>
      </c>
      <c r="B235" s="231" t="s">
        <v>751</v>
      </c>
      <c r="C235" s="263" t="s">
        <v>752</v>
      </c>
      <c r="D235" s="231" t="s">
        <v>1401</v>
      </c>
      <c r="E235" s="125" t="s">
        <v>102</v>
      </c>
      <c r="F235" s="181" t="s">
        <v>103</v>
      </c>
      <c r="G235" s="181" t="s">
        <v>56</v>
      </c>
      <c r="H235" s="156" t="s">
        <v>753</v>
      </c>
      <c r="I235" s="181"/>
      <c r="J235" s="208">
        <v>1E-3</v>
      </c>
      <c r="K235" s="244"/>
      <c r="L235" s="209" t="s">
        <v>58</v>
      </c>
      <c r="M235" s="208" t="s">
        <v>78</v>
      </c>
      <c r="N235" s="208">
        <v>0</v>
      </c>
      <c r="O235" s="208" t="s">
        <v>60</v>
      </c>
      <c r="P235" s="208" t="s">
        <v>79</v>
      </c>
      <c r="Q235" s="210"/>
      <c r="R235" s="210"/>
      <c r="S235" s="211">
        <v>5</v>
      </c>
      <c r="T235" s="210"/>
      <c r="U235" s="210" t="s">
        <v>754</v>
      </c>
      <c r="V235" s="170" t="s">
        <v>62</v>
      </c>
      <c r="W235" s="129"/>
      <c r="X235" s="129"/>
      <c r="Y235" s="170" t="s">
        <v>732</v>
      </c>
      <c r="Z235" s="169" t="s">
        <v>63</v>
      </c>
      <c r="AA235" s="171">
        <v>16</v>
      </c>
      <c r="AB235" s="171">
        <v>4</v>
      </c>
      <c r="AC235" s="172"/>
      <c r="AD235" s="172" t="s">
        <v>80</v>
      </c>
      <c r="AE235" s="172"/>
      <c r="AF235" s="172"/>
      <c r="AG235" s="172"/>
      <c r="AH235" s="172"/>
      <c r="AI235" s="172">
        <v>18</v>
      </c>
      <c r="AJ235" s="172">
        <v>60</v>
      </c>
      <c r="AK235" s="171"/>
      <c r="AL235" s="171"/>
      <c r="AM235" s="171"/>
      <c r="AN235" s="171"/>
      <c r="AO235" s="171"/>
      <c r="AP235" s="171"/>
      <c r="AQ235" s="171"/>
      <c r="AR235" s="171"/>
      <c r="AS235" s="172"/>
      <c r="AT235" s="172"/>
      <c r="AU235" s="172"/>
      <c r="AV235" s="172"/>
      <c r="AW235" s="172"/>
      <c r="AX235" s="172"/>
      <c r="AY235" s="172"/>
      <c r="AZ235" s="172"/>
      <c r="BA235" s="171"/>
      <c r="BB235" s="171"/>
      <c r="BC235" s="171"/>
      <c r="BD235" s="171"/>
      <c r="BE235" s="171"/>
      <c r="BF235" s="171"/>
      <c r="BG235" s="171"/>
      <c r="BH235" s="171"/>
      <c r="BI235" s="172"/>
      <c r="BJ235" s="172"/>
      <c r="BK235" s="172"/>
      <c r="BL235" s="172"/>
      <c r="BM235" s="172"/>
      <c r="BN235" s="172"/>
      <c r="BO235" s="172"/>
      <c r="BP235" s="172"/>
      <c r="BQ235" s="171" t="s">
        <v>755</v>
      </c>
      <c r="BR235" s="172" t="s">
        <v>756</v>
      </c>
      <c r="BS235" s="124">
        <v>261</v>
      </c>
      <c r="BT235" s="124" t="s">
        <v>584</v>
      </c>
    </row>
    <row r="236" spans="1:72" ht="12.75" hidden="1" customHeight="1" x14ac:dyDescent="0.2">
      <c r="A236" s="205">
        <v>262</v>
      </c>
      <c r="B236" s="231" t="s">
        <v>751</v>
      </c>
      <c r="C236" s="263" t="s">
        <v>752</v>
      </c>
      <c r="D236" s="231" t="s">
        <v>757</v>
      </c>
      <c r="E236" s="125" t="s">
        <v>102</v>
      </c>
      <c r="F236" s="181" t="s">
        <v>103</v>
      </c>
      <c r="G236" s="181" t="s">
        <v>56</v>
      </c>
      <c r="H236" s="156" t="s">
        <v>753</v>
      </c>
      <c r="I236" s="181"/>
      <c r="J236" s="208">
        <v>1</v>
      </c>
      <c r="K236" s="209"/>
      <c r="L236" s="209" t="s">
        <v>58</v>
      </c>
      <c r="M236" s="208" t="s">
        <v>78</v>
      </c>
      <c r="N236" s="208">
        <v>0</v>
      </c>
      <c r="O236" s="208" t="s">
        <v>60</v>
      </c>
      <c r="P236" s="208" t="s">
        <v>79</v>
      </c>
      <c r="Q236" s="210"/>
      <c r="R236" s="210"/>
      <c r="S236" s="211">
        <v>5</v>
      </c>
      <c r="T236" s="210"/>
      <c r="U236" s="210" t="s">
        <v>758</v>
      </c>
      <c r="V236" s="170" t="s">
        <v>62</v>
      </c>
      <c r="W236" s="129"/>
      <c r="X236" s="129"/>
      <c r="Y236" s="170" t="s">
        <v>732</v>
      </c>
      <c r="Z236" s="169" t="s">
        <v>63</v>
      </c>
      <c r="AA236" s="171">
        <v>16</v>
      </c>
      <c r="AB236" s="171">
        <v>4</v>
      </c>
      <c r="AC236" s="172"/>
      <c r="AD236" s="172" t="s">
        <v>80</v>
      </c>
      <c r="AE236" s="172"/>
      <c r="AF236" s="172"/>
      <c r="AG236" s="172"/>
      <c r="AH236" s="172"/>
      <c r="AI236" s="172">
        <v>18</v>
      </c>
      <c r="AJ236" s="172">
        <v>60</v>
      </c>
      <c r="AK236" s="171"/>
      <c r="AL236" s="171"/>
      <c r="AM236" s="171"/>
      <c r="AN236" s="171"/>
      <c r="AO236" s="171"/>
      <c r="AP236" s="171"/>
      <c r="AQ236" s="171"/>
      <c r="AR236" s="171"/>
      <c r="AS236" s="172"/>
      <c r="AT236" s="172"/>
      <c r="AU236" s="172"/>
      <c r="AV236" s="172"/>
      <c r="AW236" s="172"/>
      <c r="AX236" s="172"/>
      <c r="AY236" s="172"/>
      <c r="AZ236" s="172"/>
      <c r="BA236" s="171"/>
      <c r="BB236" s="171"/>
      <c r="BC236" s="171"/>
      <c r="BD236" s="171"/>
      <c r="BE236" s="171"/>
      <c r="BF236" s="171"/>
      <c r="BG236" s="171"/>
      <c r="BH236" s="171"/>
      <c r="BI236" s="172"/>
      <c r="BJ236" s="172"/>
      <c r="BK236" s="172"/>
      <c r="BL236" s="172"/>
      <c r="BM236" s="172"/>
      <c r="BN236" s="172"/>
      <c r="BO236" s="172"/>
      <c r="BP236" s="172"/>
      <c r="BQ236" s="171" t="s">
        <v>755</v>
      </c>
      <c r="BR236" s="172" t="s">
        <v>756</v>
      </c>
      <c r="BS236" s="124">
        <v>262</v>
      </c>
      <c r="BT236" s="124" t="s">
        <v>584</v>
      </c>
    </row>
    <row r="237" spans="1:72" ht="12.75" hidden="1" customHeight="1" x14ac:dyDescent="0.2">
      <c r="A237" s="205">
        <v>263</v>
      </c>
      <c r="B237" s="231" t="s">
        <v>751</v>
      </c>
      <c r="C237" s="263" t="s">
        <v>752</v>
      </c>
      <c r="D237" s="231" t="s">
        <v>1402</v>
      </c>
      <c r="E237" s="125" t="s">
        <v>102</v>
      </c>
      <c r="F237" s="181" t="s">
        <v>103</v>
      </c>
      <c r="G237" s="181" t="s">
        <v>56</v>
      </c>
      <c r="H237" s="156" t="s">
        <v>753</v>
      </c>
      <c r="I237" s="181"/>
      <c r="J237" s="208">
        <v>3.0000000000000001E-3</v>
      </c>
      <c r="K237" s="244"/>
      <c r="L237" s="209" t="s">
        <v>58</v>
      </c>
      <c r="M237" s="208" t="s">
        <v>59</v>
      </c>
      <c r="N237" s="208">
        <v>0</v>
      </c>
      <c r="O237" s="208" t="s">
        <v>60</v>
      </c>
      <c r="P237" s="208" t="s">
        <v>79</v>
      </c>
      <c r="Q237" s="210"/>
      <c r="R237" s="210" t="s">
        <v>759</v>
      </c>
      <c r="S237" s="211"/>
      <c r="T237" s="210"/>
      <c r="U237" s="210" t="s">
        <v>760</v>
      </c>
      <c r="V237" s="170" t="s">
        <v>62</v>
      </c>
      <c r="W237" s="129"/>
      <c r="X237" s="129"/>
      <c r="Y237" s="170" t="s">
        <v>732</v>
      </c>
      <c r="Z237" s="169" t="s">
        <v>63</v>
      </c>
      <c r="AA237" s="171">
        <v>16</v>
      </c>
      <c r="AB237" s="171">
        <v>4</v>
      </c>
      <c r="AC237" s="172"/>
      <c r="AD237" s="172" t="s">
        <v>80</v>
      </c>
      <c r="AE237" s="172"/>
      <c r="AF237" s="172"/>
      <c r="AG237" s="172"/>
      <c r="AH237" s="172"/>
      <c r="AI237" s="172">
        <v>18</v>
      </c>
      <c r="AJ237" s="172">
        <v>60</v>
      </c>
      <c r="AK237" s="171"/>
      <c r="AL237" s="171"/>
      <c r="AM237" s="171"/>
      <c r="AN237" s="171"/>
      <c r="AO237" s="171"/>
      <c r="AP237" s="171"/>
      <c r="AQ237" s="171"/>
      <c r="AR237" s="171"/>
      <c r="AS237" s="172"/>
      <c r="AT237" s="172"/>
      <c r="AU237" s="172"/>
      <c r="AV237" s="172"/>
      <c r="AW237" s="172"/>
      <c r="AX237" s="172"/>
      <c r="AY237" s="172"/>
      <c r="AZ237" s="172"/>
      <c r="BA237" s="171"/>
      <c r="BB237" s="171"/>
      <c r="BC237" s="171"/>
      <c r="BD237" s="171"/>
      <c r="BE237" s="171"/>
      <c r="BF237" s="171"/>
      <c r="BG237" s="171"/>
      <c r="BH237" s="171"/>
      <c r="BI237" s="172"/>
      <c r="BJ237" s="172"/>
      <c r="BK237" s="172"/>
      <c r="BL237" s="172"/>
      <c r="BM237" s="172"/>
      <c r="BN237" s="172"/>
      <c r="BO237" s="172"/>
      <c r="BP237" s="172"/>
      <c r="BQ237" s="171" t="s">
        <v>755</v>
      </c>
      <c r="BR237" s="172" t="s">
        <v>756</v>
      </c>
      <c r="BS237" s="124">
        <v>263</v>
      </c>
      <c r="BT237" s="124" t="s">
        <v>584</v>
      </c>
    </row>
    <row r="238" spans="1:72" ht="14.25" hidden="1" customHeight="1" x14ac:dyDescent="0.2">
      <c r="A238" s="205">
        <v>264</v>
      </c>
      <c r="B238" s="231" t="s">
        <v>751</v>
      </c>
      <c r="C238" s="263" t="s">
        <v>752</v>
      </c>
      <c r="D238" s="231" t="s">
        <v>761</v>
      </c>
      <c r="E238" s="125" t="s">
        <v>102</v>
      </c>
      <c r="F238" s="181" t="s">
        <v>103</v>
      </c>
      <c r="G238" s="181" t="s">
        <v>56</v>
      </c>
      <c r="H238" s="156" t="s">
        <v>753</v>
      </c>
      <c r="I238" s="181"/>
      <c r="J238" s="208">
        <v>3</v>
      </c>
      <c r="K238" s="209"/>
      <c r="L238" s="209" t="s">
        <v>58</v>
      </c>
      <c r="M238" s="208" t="s">
        <v>59</v>
      </c>
      <c r="N238" s="208">
        <v>0</v>
      </c>
      <c r="O238" s="208" t="s">
        <v>60</v>
      </c>
      <c r="P238" s="208" t="s">
        <v>79</v>
      </c>
      <c r="Q238" s="210"/>
      <c r="R238" s="210" t="s">
        <v>759</v>
      </c>
      <c r="S238" s="211"/>
      <c r="T238" s="210"/>
      <c r="U238" s="210" t="s">
        <v>762</v>
      </c>
      <c r="V238" s="170" t="s">
        <v>62</v>
      </c>
      <c r="W238" s="129"/>
      <c r="X238" s="129"/>
      <c r="Y238" s="170" t="s">
        <v>732</v>
      </c>
      <c r="Z238" s="169" t="s">
        <v>63</v>
      </c>
      <c r="AA238" s="171">
        <v>16</v>
      </c>
      <c r="AB238" s="171">
        <v>4</v>
      </c>
      <c r="AC238" s="172"/>
      <c r="AD238" s="172" t="s">
        <v>80</v>
      </c>
      <c r="AE238" s="172"/>
      <c r="AF238" s="172"/>
      <c r="AG238" s="172"/>
      <c r="AH238" s="172"/>
      <c r="AI238" s="172">
        <v>18</v>
      </c>
      <c r="AJ238" s="172">
        <v>60</v>
      </c>
      <c r="AK238" s="171"/>
      <c r="AL238" s="171"/>
      <c r="AM238" s="171"/>
      <c r="AN238" s="171"/>
      <c r="AO238" s="171"/>
      <c r="AP238" s="171"/>
      <c r="AQ238" s="171"/>
      <c r="AR238" s="171"/>
      <c r="AS238" s="172"/>
      <c r="AT238" s="172"/>
      <c r="AU238" s="172"/>
      <c r="AV238" s="172"/>
      <c r="AW238" s="172"/>
      <c r="AX238" s="172"/>
      <c r="AY238" s="172"/>
      <c r="AZ238" s="172"/>
      <c r="BA238" s="171"/>
      <c r="BB238" s="171"/>
      <c r="BC238" s="171"/>
      <c r="BD238" s="171"/>
      <c r="BE238" s="171"/>
      <c r="BF238" s="171"/>
      <c r="BG238" s="171"/>
      <c r="BH238" s="171"/>
      <c r="BI238" s="172"/>
      <c r="BJ238" s="172"/>
      <c r="BK238" s="172"/>
      <c r="BL238" s="172"/>
      <c r="BM238" s="172"/>
      <c r="BN238" s="172"/>
      <c r="BO238" s="172"/>
      <c r="BP238" s="172"/>
      <c r="BQ238" s="171" t="s">
        <v>755</v>
      </c>
      <c r="BR238" s="172" t="s">
        <v>756</v>
      </c>
      <c r="BS238" s="124">
        <v>264</v>
      </c>
      <c r="BT238" s="124" t="s">
        <v>584</v>
      </c>
    </row>
    <row r="239" spans="1:72" ht="14.25" hidden="1" customHeight="1" x14ac:dyDescent="0.2">
      <c r="A239" s="91">
        <v>265</v>
      </c>
      <c r="B239" s="231" t="s">
        <v>320</v>
      </c>
      <c r="C239" s="264" t="s">
        <v>321</v>
      </c>
      <c r="D239" s="231" t="s">
        <v>322</v>
      </c>
      <c r="E239" s="125" t="s">
        <v>323</v>
      </c>
      <c r="F239" s="181" t="s">
        <v>71</v>
      </c>
      <c r="G239" s="181" t="s">
        <v>56</v>
      </c>
      <c r="H239" s="181" t="s">
        <v>324</v>
      </c>
      <c r="I239" s="181"/>
      <c r="J239" s="178">
        <v>3</v>
      </c>
      <c r="K239" s="182"/>
      <c r="L239" s="182" t="s">
        <v>58</v>
      </c>
      <c r="M239" s="178" t="s">
        <v>59</v>
      </c>
      <c r="N239" s="178">
        <v>0</v>
      </c>
      <c r="O239" s="178" t="s">
        <v>60</v>
      </c>
      <c r="P239" s="178" t="s">
        <v>79</v>
      </c>
      <c r="Q239" s="179"/>
      <c r="R239" s="179"/>
      <c r="S239" s="180"/>
      <c r="T239" s="179"/>
      <c r="U239" s="179"/>
      <c r="V239" s="167"/>
      <c r="W239" s="168"/>
      <c r="Y239" s="167"/>
      <c r="Z239" s="169" t="s">
        <v>63</v>
      </c>
      <c r="AA239" s="166">
        <v>6</v>
      </c>
      <c r="AB239" s="166">
        <v>0</v>
      </c>
      <c r="AC239" s="165"/>
      <c r="AD239" s="165" t="s">
        <v>80</v>
      </c>
      <c r="AE239" s="165"/>
      <c r="AF239" s="165"/>
      <c r="AG239" s="165"/>
      <c r="AH239" s="165"/>
      <c r="AI239" s="165">
        <v>22</v>
      </c>
      <c r="AJ239" s="165">
        <v>54</v>
      </c>
      <c r="AK239" s="166"/>
      <c r="AL239" s="166" t="s">
        <v>81</v>
      </c>
      <c r="AM239" s="166"/>
      <c r="AN239" s="166"/>
      <c r="AO239" s="166"/>
      <c r="AP239" s="166"/>
      <c r="AQ239" s="166">
        <v>71</v>
      </c>
      <c r="AR239" s="166">
        <v>94</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v>265</v>
      </c>
      <c r="BT239" s="174"/>
    </row>
    <row r="240" spans="1:72" ht="14.25" hidden="1" customHeight="1" x14ac:dyDescent="0.2">
      <c r="A240" s="91">
        <v>266</v>
      </c>
      <c r="B240" s="231" t="s">
        <v>320</v>
      </c>
      <c r="C240" s="264" t="s">
        <v>321</v>
      </c>
      <c r="D240" s="231" t="s">
        <v>325</v>
      </c>
      <c r="E240" s="125" t="s">
        <v>323</v>
      </c>
      <c r="F240" s="181" t="s">
        <v>71</v>
      </c>
      <c r="G240" s="181" t="s">
        <v>56</v>
      </c>
      <c r="H240" s="181" t="s">
        <v>324</v>
      </c>
      <c r="I240" s="181"/>
      <c r="J240" s="178">
        <v>1</v>
      </c>
      <c r="K240" s="182"/>
      <c r="L240" s="182" t="s">
        <v>58</v>
      </c>
      <c r="M240" s="178" t="s">
        <v>78</v>
      </c>
      <c r="N240" s="178">
        <v>0</v>
      </c>
      <c r="O240" s="178" t="s">
        <v>60</v>
      </c>
      <c r="P240" s="178" t="s">
        <v>79</v>
      </c>
      <c r="Q240" s="179"/>
      <c r="R240" s="179"/>
      <c r="S240" s="180"/>
      <c r="T240" s="179"/>
      <c r="U240" s="179"/>
      <c r="V240" s="167"/>
      <c r="W240" s="168"/>
      <c r="Y240" s="167"/>
      <c r="Z240" s="169" t="s">
        <v>63</v>
      </c>
      <c r="AA240" s="166">
        <v>6</v>
      </c>
      <c r="AB240" s="166">
        <v>0</v>
      </c>
      <c r="AC240" s="165"/>
      <c r="AD240" s="165" t="s">
        <v>80</v>
      </c>
      <c r="AE240" s="165"/>
      <c r="AF240" s="165"/>
      <c r="AG240" s="165"/>
      <c r="AH240" s="165"/>
      <c r="AI240" s="165">
        <v>22</v>
      </c>
      <c r="AJ240" s="165">
        <v>54</v>
      </c>
      <c r="AK240" s="166"/>
      <c r="AL240" s="166" t="s">
        <v>81</v>
      </c>
      <c r="AM240" s="166"/>
      <c r="AN240" s="166"/>
      <c r="AO240" s="166"/>
      <c r="AP240" s="166"/>
      <c r="AQ240" s="166">
        <v>71</v>
      </c>
      <c r="AR240" s="166">
        <v>94</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v>266</v>
      </c>
      <c r="BT240" s="174"/>
    </row>
    <row r="241" spans="1:72" ht="14.25" hidden="1" customHeight="1" x14ac:dyDescent="0.2">
      <c r="A241" s="91">
        <v>267</v>
      </c>
      <c r="B241" s="231" t="s">
        <v>320</v>
      </c>
      <c r="C241" s="264" t="s">
        <v>321</v>
      </c>
      <c r="D241" s="231" t="s">
        <v>326</v>
      </c>
      <c r="E241" s="125" t="s">
        <v>323</v>
      </c>
      <c r="F241" s="181" t="s">
        <v>71</v>
      </c>
      <c r="G241" s="181" t="s">
        <v>56</v>
      </c>
      <c r="H241" s="181" t="s">
        <v>324</v>
      </c>
      <c r="I241" s="181"/>
      <c r="J241" s="178">
        <v>3</v>
      </c>
      <c r="K241" s="182"/>
      <c r="L241" s="182" t="s">
        <v>58</v>
      </c>
      <c r="M241" s="178" t="s">
        <v>59</v>
      </c>
      <c r="N241" s="178">
        <v>0</v>
      </c>
      <c r="O241" s="178" t="s">
        <v>60</v>
      </c>
      <c r="P241" s="178" t="s">
        <v>79</v>
      </c>
      <c r="Q241" s="179"/>
      <c r="R241" s="179"/>
      <c r="S241" s="180"/>
      <c r="T241" s="179"/>
      <c r="U241" s="179"/>
      <c r="V241" s="167"/>
      <c r="W241" s="168"/>
      <c r="Y241" s="167"/>
      <c r="Z241" s="169" t="s">
        <v>63</v>
      </c>
      <c r="AA241" s="166">
        <v>6</v>
      </c>
      <c r="AB241" s="166">
        <v>0</v>
      </c>
      <c r="AC241" s="165"/>
      <c r="AD241" s="165" t="s">
        <v>80</v>
      </c>
      <c r="AE241" s="165"/>
      <c r="AF241" s="165"/>
      <c r="AG241" s="165"/>
      <c r="AH241" s="165"/>
      <c r="AI241" s="165">
        <v>22</v>
      </c>
      <c r="AJ241" s="165">
        <v>54</v>
      </c>
      <c r="AK241" s="166"/>
      <c r="AL241" s="166" t="s">
        <v>81</v>
      </c>
      <c r="AM241" s="166"/>
      <c r="AN241" s="166"/>
      <c r="AO241" s="166"/>
      <c r="AP241" s="166"/>
      <c r="AQ241" s="166">
        <v>71</v>
      </c>
      <c r="AR241" s="166">
        <v>94</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v>267</v>
      </c>
      <c r="BT241" s="174"/>
    </row>
    <row r="242" spans="1:72" ht="12.75" hidden="1" customHeight="1" x14ac:dyDescent="0.2">
      <c r="A242" s="91">
        <v>268</v>
      </c>
      <c r="B242" s="231" t="s">
        <v>320</v>
      </c>
      <c r="C242" s="264" t="s">
        <v>321</v>
      </c>
      <c r="D242" s="231" t="s">
        <v>327</v>
      </c>
      <c r="E242" s="125" t="s">
        <v>323</v>
      </c>
      <c r="F242" s="181" t="s">
        <v>71</v>
      </c>
      <c r="G242" s="181" t="s">
        <v>56</v>
      </c>
      <c r="H242" s="181" t="s">
        <v>324</v>
      </c>
      <c r="I242" s="181"/>
      <c r="J242" s="178">
        <v>1</v>
      </c>
      <c r="K242" s="182"/>
      <c r="L242" s="182" t="s">
        <v>58</v>
      </c>
      <c r="M242" s="178" t="s">
        <v>78</v>
      </c>
      <c r="N242" s="178">
        <v>0</v>
      </c>
      <c r="O242" s="178" t="s">
        <v>60</v>
      </c>
      <c r="P242" s="178" t="s">
        <v>79</v>
      </c>
      <c r="Q242" s="179"/>
      <c r="R242" s="179"/>
      <c r="S242" s="180"/>
      <c r="T242" s="179"/>
      <c r="U242" s="179"/>
      <c r="V242" s="167"/>
      <c r="W242" s="168"/>
      <c r="Y242" s="167"/>
      <c r="Z242" s="169" t="s">
        <v>63</v>
      </c>
      <c r="AA242" s="166">
        <v>6</v>
      </c>
      <c r="AB242" s="166">
        <v>0</v>
      </c>
      <c r="AC242" s="165"/>
      <c r="AD242" s="165" t="s">
        <v>80</v>
      </c>
      <c r="AE242" s="165"/>
      <c r="AF242" s="165"/>
      <c r="AG242" s="165"/>
      <c r="AH242" s="165"/>
      <c r="AI242" s="165">
        <v>22</v>
      </c>
      <c r="AJ242" s="165">
        <v>54</v>
      </c>
      <c r="AK242" s="166"/>
      <c r="AL242" s="166" t="s">
        <v>81</v>
      </c>
      <c r="AM242" s="166"/>
      <c r="AN242" s="166"/>
      <c r="AO242" s="166"/>
      <c r="AP242" s="166"/>
      <c r="AQ242" s="166">
        <v>71</v>
      </c>
      <c r="AR242" s="166">
        <v>94</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v>268</v>
      </c>
      <c r="BT242" s="174"/>
    </row>
    <row r="243" spans="1:72" ht="12.75" hidden="1" customHeight="1" x14ac:dyDescent="0.2">
      <c r="A243" s="92">
        <v>269</v>
      </c>
      <c r="B243" s="233" t="s">
        <v>328</v>
      </c>
      <c r="C243" s="263" t="s">
        <v>329</v>
      </c>
      <c r="D243" s="233" t="s">
        <v>330</v>
      </c>
      <c r="E243" s="125" t="s">
        <v>111</v>
      </c>
      <c r="F243" s="181" t="s">
        <v>71</v>
      </c>
      <c r="G243" s="181" t="s">
        <v>56</v>
      </c>
      <c r="H243" s="181" t="s">
        <v>238</v>
      </c>
      <c r="I243" s="181"/>
      <c r="J243" s="178">
        <v>20</v>
      </c>
      <c r="K243" s="182">
        <f>J243*0.9135071</f>
        <v>18.270142</v>
      </c>
      <c r="L243" s="182" t="s">
        <v>58</v>
      </c>
      <c r="M243" s="178" t="s">
        <v>59</v>
      </c>
      <c r="N243" s="178">
        <v>0</v>
      </c>
      <c r="O243" s="178" t="s">
        <v>60</v>
      </c>
      <c r="P243" s="178" t="s">
        <v>79</v>
      </c>
      <c r="Q243" s="179" t="s">
        <v>271</v>
      </c>
      <c r="R243" s="179" t="s">
        <v>265</v>
      </c>
      <c r="S243" s="180"/>
      <c r="T243" s="179"/>
      <c r="U243" s="179"/>
      <c r="V243" s="167"/>
      <c r="W243" s="168"/>
      <c r="Y243" s="167"/>
      <c r="Z243" s="82" t="s">
        <v>63</v>
      </c>
      <c r="AA243" s="166">
        <v>7</v>
      </c>
      <c r="AB243" s="166"/>
      <c r="AC243" s="165"/>
      <c r="AD243" s="21"/>
      <c r="AE243" s="165"/>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v>269</v>
      </c>
      <c r="BT243" s="174"/>
    </row>
    <row r="244" spans="1:72" ht="12.75" hidden="1" customHeight="1" x14ac:dyDescent="0.2">
      <c r="A244" s="205">
        <v>270</v>
      </c>
      <c r="B244" s="231" t="s">
        <v>763</v>
      </c>
      <c r="C244" s="264" t="s">
        <v>764</v>
      </c>
      <c r="D244" s="233" t="s">
        <v>683</v>
      </c>
      <c r="E244" s="125" t="s">
        <v>412</v>
      </c>
      <c r="F244" s="181" t="s">
        <v>55</v>
      </c>
      <c r="G244" s="181" t="s">
        <v>56</v>
      </c>
      <c r="H244" s="181" t="s">
        <v>535</v>
      </c>
      <c r="I244" s="181"/>
      <c r="J244" s="178">
        <v>0.5</v>
      </c>
      <c r="K244" s="182"/>
      <c r="L244" s="182" t="s">
        <v>58</v>
      </c>
      <c r="M244" s="178" t="s">
        <v>59</v>
      </c>
      <c r="N244" s="178">
        <v>0</v>
      </c>
      <c r="O244" s="178"/>
      <c r="P244" s="178"/>
      <c r="Q244" s="179"/>
      <c r="R244" s="179" t="s">
        <v>1405</v>
      </c>
      <c r="S244" s="180"/>
      <c r="T244" s="179">
        <v>150</v>
      </c>
      <c r="U244" s="179"/>
      <c r="V244" s="167"/>
      <c r="W244" s="168"/>
      <c r="X244" s="168">
        <v>4</v>
      </c>
      <c r="Y244" s="167"/>
      <c r="Z244" s="169" t="s">
        <v>1406</v>
      </c>
      <c r="AA244" s="166">
        <v>10</v>
      </c>
      <c r="AB244" s="166">
        <v>9</v>
      </c>
      <c r="AC244" s="165">
        <f>AVERAGE(19,25,23,23,23,24,22,20,21,20)</f>
        <v>22</v>
      </c>
      <c r="AD244" s="165" t="s">
        <v>1407</v>
      </c>
      <c r="AE244" s="165" t="s">
        <v>335</v>
      </c>
      <c r="AF244" s="165">
        <f>_xlfn.STDEV.S(19,25,23,23,23,24,22,20,21,20)</f>
        <v>1.9436506316151001</v>
      </c>
      <c r="AG244" s="165" t="s">
        <v>80</v>
      </c>
      <c r="AH244" s="165" t="s">
        <v>117</v>
      </c>
      <c r="AI244" s="165">
        <v>19</v>
      </c>
      <c r="AJ244" s="165">
        <v>25</v>
      </c>
      <c r="AK244" s="166">
        <f>AVERAGE(56,62,54,60,60,80,62,57,53,58)</f>
        <v>60.2</v>
      </c>
      <c r="AL244" s="166" t="s">
        <v>81</v>
      </c>
      <c r="AM244" s="166" t="s">
        <v>335</v>
      </c>
      <c r="AN244" s="166">
        <f>_xlfn.STDEV.S(56,62,54,60,60,80,62,57,53,58)</f>
        <v>7.612854625930761</v>
      </c>
      <c r="AO244" s="166" t="s">
        <v>81</v>
      </c>
      <c r="AP244" s="166" t="s">
        <v>117</v>
      </c>
      <c r="AQ244" s="166">
        <v>53</v>
      </c>
      <c r="AR244" s="166">
        <v>80</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354</v>
      </c>
      <c r="BR244" s="165"/>
      <c r="BS244" s="124">
        <v>270</v>
      </c>
      <c r="BT244" s="124"/>
    </row>
    <row r="245" spans="1:72" ht="12.75" hidden="1" customHeight="1" x14ac:dyDescent="0.2">
      <c r="A245" s="205">
        <v>271</v>
      </c>
      <c r="B245" s="231" t="s">
        <v>763</v>
      </c>
      <c r="C245" s="264" t="s">
        <v>764</v>
      </c>
      <c r="D245" s="233" t="s">
        <v>765</v>
      </c>
      <c r="E245" s="125" t="s">
        <v>412</v>
      </c>
      <c r="F245" s="181" t="s">
        <v>55</v>
      </c>
      <c r="G245" s="181" t="s">
        <v>56</v>
      </c>
      <c r="H245" s="181" t="s">
        <v>535</v>
      </c>
      <c r="I245" s="181"/>
      <c r="J245" s="178">
        <v>0.5</v>
      </c>
      <c r="K245" s="182"/>
      <c r="L245" s="182" t="s">
        <v>58</v>
      </c>
      <c r="M245" s="178" t="s">
        <v>59</v>
      </c>
      <c r="N245" s="178">
        <v>49</v>
      </c>
      <c r="O245" s="178"/>
      <c r="P245" s="178"/>
      <c r="Q245" s="179"/>
      <c r="R245" s="179" t="s">
        <v>1405</v>
      </c>
      <c r="S245" s="180"/>
      <c r="T245" s="179">
        <v>150</v>
      </c>
      <c r="U245" s="179"/>
      <c r="V245" s="167"/>
      <c r="W245" s="168"/>
      <c r="X245" s="168">
        <v>4</v>
      </c>
      <c r="Y245" s="167"/>
      <c r="Z245" s="169" t="s">
        <v>1406</v>
      </c>
      <c r="AA245" s="166">
        <v>10</v>
      </c>
      <c r="AB245" s="166">
        <v>9</v>
      </c>
      <c r="AC245" s="165">
        <f>AVERAGE(19,25,23,23,23,24,22,20,21,20)</f>
        <v>22</v>
      </c>
      <c r="AD245" s="165" t="s">
        <v>1407</v>
      </c>
      <c r="AE245" s="165" t="s">
        <v>335</v>
      </c>
      <c r="AF245" s="165">
        <f>_xlfn.STDEV.S(19,25,23,23,23,24,22,20,21,20)</f>
        <v>1.9436506316151001</v>
      </c>
      <c r="AG245" s="165" t="s">
        <v>80</v>
      </c>
      <c r="AH245" s="165" t="s">
        <v>117</v>
      </c>
      <c r="AI245" s="165">
        <v>19</v>
      </c>
      <c r="AJ245" s="165">
        <v>25</v>
      </c>
      <c r="AK245" s="166">
        <f>AVERAGE(56,62,54,60,60,80,62,57,53,58)</f>
        <v>60.2</v>
      </c>
      <c r="AL245" s="166" t="s">
        <v>81</v>
      </c>
      <c r="AM245" s="166" t="s">
        <v>335</v>
      </c>
      <c r="AN245" s="166">
        <f>_xlfn.STDEV.S(56,62,54,60,60,80,62,57,53,58)</f>
        <v>7.612854625930761</v>
      </c>
      <c r="AO245" s="166" t="s">
        <v>81</v>
      </c>
      <c r="AP245" s="166" t="s">
        <v>117</v>
      </c>
      <c r="AQ245" s="166">
        <v>53</v>
      </c>
      <c r="AR245" s="166">
        <v>80</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354</v>
      </c>
      <c r="BR245" s="165"/>
      <c r="BS245" s="124">
        <v>271</v>
      </c>
      <c r="BT245" s="124"/>
    </row>
    <row r="246" spans="1:72" ht="14.25" hidden="1" customHeight="1" x14ac:dyDescent="0.2">
      <c r="A246" s="205">
        <v>272</v>
      </c>
      <c r="B246" s="231" t="s">
        <v>763</v>
      </c>
      <c r="C246" s="264" t="s">
        <v>764</v>
      </c>
      <c r="D246" s="233" t="s">
        <v>765</v>
      </c>
      <c r="E246" s="125" t="s">
        <v>149</v>
      </c>
      <c r="F246" s="181" t="s">
        <v>103</v>
      </c>
      <c r="G246" s="181" t="s">
        <v>56</v>
      </c>
      <c r="H246" s="181" t="s">
        <v>540</v>
      </c>
      <c r="I246" s="181"/>
      <c r="J246" s="178">
        <v>200</v>
      </c>
      <c r="K246" s="182"/>
      <c r="L246" s="182" t="s">
        <v>58</v>
      </c>
      <c r="M246" s="178" t="s">
        <v>59</v>
      </c>
      <c r="N246" s="178" t="s">
        <v>183</v>
      </c>
      <c r="O246" s="178"/>
      <c r="P246" s="178"/>
      <c r="Q246" s="179"/>
      <c r="R246" s="179" t="s">
        <v>1408</v>
      </c>
      <c r="S246" s="180"/>
      <c r="T246" s="179"/>
      <c r="U246" s="179"/>
      <c r="V246" s="167"/>
      <c r="W246" s="168"/>
      <c r="X246" s="168"/>
      <c r="Y246" s="167"/>
      <c r="Z246" s="169" t="s">
        <v>1406</v>
      </c>
      <c r="AA246" s="166">
        <v>10</v>
      </c>
      <c r="AB246" s="166">
        <v>9</v>
      </c>
      <c r="AC246" s="165">
        <f>AVERAGE(19,25,23,23,23,24,22,20,21,20)</f>
        <v>22</v>
      </c>
      <c r="AD246" s="165" t="s">
        <v>1407</v>
      </c>
      <c r="AE246" s="165" t="s">
        <v>335</v>
      </c>
      <c r="AF246" s="165">
        <f>_xlfn.STDEV.S(19,25,23,23,23,24,22,20,21,20)</f>
        <v>1.9436506316151001</v>
      </c>
      <c r="AG246" s="165" t="s">
        <v>80</v>
      </c>
      <c r="AH246" s="165" t="s">
        <v>117</v>
      </c>
      <c r="AI246" s="165">
        <v>19</v>
      </c>
      <c r="AJ246" s="165">
        <v>25</v>
      </c>
      <c r="AK246" s="166">
        <f>AVERAGE(56,62,54,60,60,80,62,57,53,58)</f>
        <v>60.2</v>
      </c>
      <c r="AL246" s="166" t="s">
        <v>81</v>
      </c>
      <c r="AM246" s="166" t="s">
        <v>335</v>
      </c>
      <c r="AN246" s="166">
        <f>_xlfn.STDEV.S(56,62,54,60,60,80,62,57,53,58)</f>
        <v>7.612854625930761</v>
      </c>
      <c r="AO246" s="166" t="s">
        <v>81</v>
      </c>
      <c r="AP246" s="166" t="s">
        <v>117</v>
      </c>
      <c r="AQ246" s="166">
        <v>53</v>
      </c>
      <c r="AR246" s="166">
        <v>80</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354</v>
      </c>
      <c r="BR246" s="165"/>
      <c r="BS246" s="124">
        <v>272</v>
      </c>
      <c r="BT246" s="124"/>
    </row>
    <row r="247" spans="1:72" ht="12.75" hidden="1" customHeight="1" x14ac:dyDescent="0.2">
      <c r="A247" s="205">
        <v>273</v>
      </c>
      <c r="B247" s="231" t="s">
        <v>763</v>
      </c>
      <c r="C247" s="264" t="s">
        <v>764</v>
      </c>
      <c r="D247" s="233" t="s">
        <v>683</v>
      </c>
      <c r="E247" s="125" t="s">
        <v>412</v>
      </c>
      <c r="F247" s="181" t="s">
        <v>71</v>
      </c>
      <c r="G247" s="181" t="s">
        <v>56</v>
      </c>
      <c r="H247" s="181" t="s">
        <v>238</v>
      </c>
      <c r="I247" s="181"/>
      <c r="J247" s="178">
        <v>0.5</v>
      </c>
      <c r="K247" s="182"/>
      <c r="L247" s="182" t="s">
        <v>58</v>
      </c>
      <c r="M247" s="178" t="s">
        <v>59</v>
      </c>
      <c r="N247" s="178">
        <v>0</v>
      </c>
      <c r="O247" s="178"/>
      <c r="P247" s="178"/>
      <c r="Q247" s="179"/>
      <c r="R247" s="179" t="s">
        <v>1405</v>
      </c>
      <c r="S247" s="180"/>
      <c r="T247" s="179">
        <v>150</v>
      </c>
      <c r="U247" s="179"/>
      <c r="V247" s="167"/>
      <c r="W247" s="168"/>
      <c r="X247" s="168">
        <v>4</v>
      </c>
      <c r="Y247" s="167"/>
      <c r="Z247" s="169" t="s">
        <v>1406</v>
      </c>
      <c r="AA247" s="166">
        <v>10</v>
      </c>
      <c r="AB247" s="166">
        <v>9</v>
      </c>
      <c r="AC247" s="165">
        <f>AVERAGE(19,25,23,23,23,24,22,20,21,20)</f>
        <v>22</v>
      </c>
      <c r="AD247" s="165" t="s">
        <v>1407</v>
      </c>
      <c r="AE247" s="165" t="s">
        <v>335</v>
      </c>
      <c r="AF247" s="165">
        <f>_xlfn.STDEV.S(19,25,23,23,23,24,22,20,21,20)</f>
        <v>1.9436506316151001</v>
      </c>
      <c r="AG247" s="165" t="s">
        <v>80</v>
      </c>
      <c r="AH247" s="165" t="s">
        <v>117</v>
      </c>
      <c r="AI247" s="165">
        <v>19</v>
      </c>
      <c r="AJ247" s="165">
        <v>25</v>
      </c>
      <c r="AK247" s="166">
        <f>AVERAGE(56,62,54,60,60,80,62,57,53,58)</f>
        <v>60.2</v>
      </c>
      <c r="AL247" s="166" t="s">
        <v>81</v>
      </c>
      <c r="AM247" s="166" t="s">
        <v>335</v>
      </c>
      <c r="AN247" s="166">
        <f>_xlfn.STDEV.S(56,62,54,60,60,80,62,57,53,58)</f>
        <v>7.612854625930761</v>
      </c>
      <c r="AO247" s="166" t="s">
        <v>81</v>
      </c>
      <c r="AP247" s="166" t="s">
        <v>117</v>
      </c>
      <c r="AQ247" s="166">
        <v>53</v>
      </c>
      <c r="AR247" s="166">
        <v>80</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354</v>
      </c>
      <c r="BR247" s="165"/>
      <c r="BS247" s="124">
        <v>273</v>
      </c>
      <c r="BT247" s="124"/>
    </row>
    <row r="248" spans="1:72" ht="12.75" hidden="1" customHeight="1" x14ac:dyDescent="0.2">
      <c r="A248" s="205">
        <v>274</v>
      </c>
      <c r="B248" s="231" t="s">
        <v>763</v>
      </c>
      <c r="C248" s="264" t="s">
        <v>764</v>
      </c>
      <c r="D248" s="233" t="s">
        <v>765</v>
      </c>
      <c r="E248" s="125" t="s">
        <v>412</v>
      </c>
      <c r="F248" s="181" t="s">
        <v>71</v>
      </c>
      <c r="G248" s="181" t="s">
        <v>56</v>
      </c>
      <c r="H248" s="181" t="s">
        <v>238</v>
      </c>
      <c r="I248" s="181"/>
      <c r="J248" s="178">
        <v>0.5</v>
      </c>
      <c r="K248" s="182"/>
      <c r="L248" s="182" t="s">
        <v>58</v>
      </c>
      <c r="M248" s="178" t="s">
        <v>59</v>
      </c>
      <c r="N248" s="178">
        <v>49</v>
      </c>
      <c r="O248" s="178"/>
      <c r="P248" s="178"/>
      <c r="Q248" s="179"/>
      <c r="R248" s="179" t="s">
        <v>1405</v>
      </c>
      <c r="S248" s="180"/>
      <c r="T248" s="179">
        <v>150</v>
      </c>
      <c r="U248" s="179"/>
      <c r="V248" s="167"/>
      <c r="W248" s="168"/>
      <c r="X248" s="168">
        <v>4</v>
      </c>
      <c r="Y248" s="167"/>
      <c r="Z248" s="169" t="s">
        <v>1406</v>
      </c>
      <c r="AA248" s="166">
        <v>10</v>
      </c>
      <c r="AB248" s="166">
        <v>9</v>
      </c>
      <c r="AC248" s="165">
        <f>AVERAGE(19,25,23,23,23,24,22,20,21,20)</f>
        <v>22</v>
      </c>
      <c r="AD248" s="165" t="s">
        <v>1407</v>
      </c>
      <c r="AE248" s="165" t="s">
        <v>335</v>
      </c>
      <c r="AF248" s="165">
        <f>_xlfn.STDEV.S(19,25,23,23,23,24,22,20,21,20)</f>
        <v>1.9436506316151001</v>
      </c>
      <c r="AG248" s="165" t="s">
        <v>80</v>
      </c>
      <c r="AH248" s="165" t="s">
        <v>117</v>
      </c>
      <c r="AI248" s="165">
        <v>19</v>
      </c>
      <c r="AJ248" s="165">
        <v>25</v>
      </c>
      <c r="AK248" s="166">
        <f>AVERAGE(56,62,54,60,60,80,62,57,53,58)</f>
        <v>60.2</v>
      </c>
      <c r="AL248" s="166" t="s">
        <v>81</v>
      </c>
      <c r="AM248" s="166" t="s">
        <v>335</v>
      </c>
      <c r="AN248" s="166">
        <f>_xlfn.STDEV.S(56,62,54,60,60,80,62,57,53,58)</f>
        <v>7.612854625930761</v>
      </c>
      <c r="AO248" s="166" t="s">
        <v>81</v>
      </c>
      <c r="AP248" s="166" t="s">
        <v>117</v>
      </c>
      <c r="AQ248" s="166">
        <v>53</v>
      </c>
      <c r="AR248" s="166">
        <v>80</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354</v>
      </c>
      <c r="BR248" s="165"/>
      <c r="BS248" s="124">
        <v>274</v>
      </c>
      <c r="BT248" s="124"/>
    </row>
    <row r="249" spans="1:72" ht="12.75" hidden="1" customHeight="1" x14ac:dyDescent="0.2">
      <c r="A249" s="205">
        <v>275</v>
      </c>
      <c r="B249" s="231" t="s">
        <v>766</v>
      </c>
      <c r="C249" s="263" t="s">
        <v>767</v>
      </c>
      <c r="D249" s="233" t="s">
        <v>200</v>
      </c>
      <c r="E249" s="125" t="s">
        <v>102</v>
      </c>
      <c r="F249" s="181" t="s">
        <v>103</v>
      </c>
      <c r="G249" s="181" t="s">
        <v>705</v>
      </c>
      <c r="H249" s="181" t="s">
        <v>57</v>
      </c>
      <c r="I249" s="181"/>
      <c r="J249" s="178">
        <v>1</v>
      </c>
      <c r="K249" s="182"/>
      <c r="L249" s="182" t="s">
        <v>58</v>
      </c>
      <c r="M249" s="178" t="s">
        <v>78</v>
      </c>
      <c r="N249" s="208">
        <v>0</v>
      </c>
      <c r="O249" s="208" t="s">
        <v>60</v>
      </c>
      <c r="P249" s="208" t="s">
        <v>79</v>
      </c>
      <c r="Q249" s="179" t="s">
        <v>768</v>
      </c>
      <c r="R249" s="179"/>
      <c r="S249" s="180"/>
      <c r="T249" s="179"/>
      <c r="U249" s="179"/>
      <c r="V249" s="167"/>
      <c r="W249" s="168"/>
      <c r="X249" s="168"/>
      <c r="Y249" s="167" t="s">
        <v>769</v>
      </c>
      <c r="Z249" s="135" t="s">
        <v>63</v>
      </c>
      <c r="AA249" s="166">
        <v>9</v>
      </c>
      <c r="AB249" s="166">
        <v>0</v>
      </c>
      <c r="AC249" s="165">
        <v>29</v>
      </c>
      <c r="AD249" s="172" t="s">
        <v>80</v>
      </c>
      <c r="AE249" s="172" t="s">
        <v>116</v>
      </c>
      <c r="AF249" s="165">
        <v>7</v>
      </c>
      <c r="AG249" s="172" t="s">
        <v>80</v>
      </c>
      <c r="AH249" s="172" t="s">
        <v>117</v>
      </c>
      <c r="AI249" s="165">
        <v>20</v>
      </c>
      <c r="AJ249" s="165">
        <v>43</v>
      </c>
      <c r="AK249" s="166">
        <v>74</v>
      </c>
      <c r="AL249" s="171" t="s">
        <v>81</v>
      </c>
      <c r="AM249" s="171" t="s">
        <v>118</v>
      </c>
      <c r="AN249" s="166">
        <v>5</v>
      </c>
      <c r="AO249" s="171" t="s">
        <v>81</v>
      </c>
      <c r="AP249" s="171" t="s">
        <v>117</v>
      </c>
      <c r="AQ249" s="166">
        <v>67</v>
      </c>
      <c r="AR249" s="166">
        <v>80</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214</v>
      </c>
      <c r="BR249" s="165"/>
      <c r="BS249" s="124">
        <v>275</v>
      </c>
      <c r="BT249" s="124" t="s">
        <v>584</v>
      </c>
    </row>
    <row r="250" spans="1:72" ht="12.75" hidden="1" customHeight="1" x14ac:dyDescent="0.2">
      <c r="A250" s="205">
        <v>276</v>
      </c>
      <c r="B250" s="231" t="s">
        <v>766</v>
      </c>
      <c r="C250" s="263" t="s">
        <v>767</v>
      </c>
      <c r="D250" s="233" t="s">
        <v>205</v>
      </c>
      <c r="E250" s="125" t="s">
        <v>102</v>
      </c>
      <c r="F250" s="181" t="s">
        <v>103</v>
      </c>
      <c r="G250" s="181" t="s">
        <v>705</v>
      </c>
      <c r="H250" s="181" t="s">
        <v>57</v>
      </c>
      <c r="I250" s="156" t="s">
        <v>770</v>
      </c>
      <c r="J250" s="178">
        <v>1</v>
      </c>
      <c r="K250" s="182"/>
      <c r="L250" s="182" t="s">
        <v>58</v>
      </c>
      <c r="M250" s="178" t="s">
        <v>78</v>
      </c>
      <c r="N250" s="178">
        <v>120</v>
      </c>
      <c r="O250" s="208" t="s">
        <v>60</v>
      </c>
      <c r="P250" s="208" t="s">
        <v>79</v>
      </c>
      <c r="Q250" s="179" t="s">
        <v>768</v>
      </c>
      <c r="R250" s="179"/>
      <c r="S250" s="180"/>
      <c r="T250" s="179"/>
      <c r="U250" s="179"/>
      <c r="V250" s="167"/>
      <c r="W250" s="168"/>
      <c r="X250" s="168"/>
      <c r="Y250" s="167" t="s">
        <v>769</v>
      </c>
      <c r="Z250" s="135" t="s">
        <v>63</v>
      </c>
      <c r="AA250" s="166">
        <v>9</v>
      </c>
      <c r="AB250" s="166">
        <v>0</v>
      </c>
      <c r="AC250" s="165">
        <v>29</v>
      </c>
      <c r="AD250" s="172" t="s">
        <v>80</v>
      </c>
      <c r="AE250" s="172" t="s">
        <v>116</v>
      </c>
      <c r="AF250" s="165">
        <v>7</v>
      </c>
      <c r="AG250" s="172" t="s">
        <v>80</v>
      </c>
      <c r="AH250" s="172" t="s">
        <v>117</v>
      </c>
      <c r="AI250" s="165">
        <v>20</v>
      </c>
      <c r="AJ250" s="165">
        <v>43</v>
      </c>
      <c r="AK250" s="166">
        <v>74</v>
      </c>
      <c r="AL250" s="171" t="s">
        <v>81</v>
      </c>
      <c r="AM250" s="171" t="s">
        <v>118</v>
      </c>
      <c r="AN250" s="166">
        <v>5</v>
      </c>
      <c r="AO250" s="171" t="s">
        <v>81</v>
      </c>
      <c r="AP250" s="171" t="s">
        <v>117</v>
      </c>
      <c r="AQ250" s="166">
        <v>67</v>
      </c>
      <c r="AR250" s="166">
        <v>80</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214</v>
      </c>
      <c r="BR250" s="165"/>
      <c r="BS250" s="124">
        <v>276</v>
      </c>
      <c r="BT250" s="124" t="s">
        <v>584</v>
      </c>
    </row>
    <row r="251" spans="1:72" ht="12.75" hidden="1" customHeight="1" x14ac:dyDescent="0.2">
      <c r="A251" s="205">
        <v>277</v>
      </c>
      <c r="B251" s="231" t="s">
        <v>766</v>
      </c>
      <c r="C251" s="263" t="s">
        <v>767</v>
      </c>
      <c r="D251" s="233" t="s">
        <v>200</v>
      </c>
      <c r="E251" s="125" t="s">
        <v>339</v>
      </c>
      <c r="F251" s="181" t="s">
        <v>103</v>
      </c>
      <c r="G251" s="181" t="s">
        <v>56</v>
      </c>
      <c r="H251" s="181" t="s">
        <v>66</v>
      </c>
      <c r="I251" s="181"/>
      <c r="J251" s="178">
        <v>20</v>
      </c>
      <c r="K251" s="244"/>
      <c r="L251" s="182" t="s">
        <v>212</v>
      </c>
      <c r="M251" s="178" t="s">
        <v>78</v>
      </c>
      <c r="N251" s="208">
        <v>0</v>
      </c>
      <c r="O251" s="208" t="s">
        <v>60</v>
      </c>
      <c r="P251" s="208" t="s">
        <v>79</v>
      </c>
      <c r="Q251" s="179" t="s">
        <v>771</v>
      </c>
      <c r="R251" s="179"/>
      <c r="S251" s="180"/>
      <c r="T251" s="179"/>
      <c r="U251" s="179"/>
      <c r="V251" s="167"/>
      <c r="W251" s="168"/>
      <c r="X251" s="168"/>
      <c r="Y251" s="167" t="s">
        <v>769</v>
      </c>
      <c r="Z251" s="135" t="s">
        <v>63</v>
      </c>
      <c r="AA251" s="166">
        <v>9</v>
      </c>
      <c r="AB251" s="166">
        <v>0</v>
      </c>
      <c r="AC251" s="165">
        <v>29</v>
      </c>
      <c r="AD251" s="172" t="s">
        <v>80</v>
      </c>
      <c r="AE251" s="172" t="s">
        <v>116</v>
      </c>
      <c r="AF251" s="165">
        <v>7</v>
      </c>
      <c r="AG251" s="172" t="s">
        <v>80</v>
      </c>
      <c r="AH251" s="172" t="s">
        <v>117</v>
      </c>
      <c r="AI251" s="165">
        <v>20</v>
      </c>
      <c r="AJ251" s="165">
        <v>43</v>
      </c>
      <c r="AK251" s="166">
        <v>74</v>
      </c>
      <c r="AL251" s="171" t="s">
        <v>81</v>
      </c>
      <c r="AM251" s="171" t="s">
        <v>118</v>
      </c>
      <c r="AN251" s="166">
        <v>5</v>
      </c>
      <c r="AO251" s="171" t="s">
        <v>81</v>
      </c>
      <c r="AP251" s="171" t="s">
        <v>117</v>
      </c>
      <c r="AQ251" s="166">
        <v>67</v>
      </c>
      <c r="AR251" s="166">
        <v>80</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214</v>
      </c>
      <c r="BR251" s="165"/>
      <c r="BS251" s="124">
        <v>277</v>
      </c>
      <c r="BT251" s="124" t="s">
        <v>584</v>
      </c>
    </row>
    <row r="252" spans="1:72" ht="12.75" hidden="1" customHeight="1" x14ac:dyDescent="0.2">
      <c r="A252" s="205">
        <v>278</v>
      </c>
      <c r="B252" s="231" t="s">
        <v>766</v>
      </c>
      <c r="C252" s="263" t="s">
        <v>767</v>
      </c>
      <c r="D252" s="233" t="s">
        <v>205</v>
      </c>
      <c r="E252" s="125" t="s">
        <v>339</v>
      </c>
      <c r="F252" s="181" t="s">
        <v>103</v>
      </c>
      <c r="G252" s="181" t="s">
        <v>56</v>
      </c>
      <c r="H252" s="181" t="s">
        <v>66</v>
      </c>
      <c r="I252" s="156" t="s">
        <v>770</v>
      </c>
      <c r="J252" s="178">
        <v>20</v>
      </c>
      <c r="K252" s="244"/>
      <c r="L252" s="182" t="s">
        <v>212</v>
      </c>
      <c r="M252" s="178" t="s">
        <v>78</v>
      </c>
      <c r="N252" s="178">
        <v>120.5</v>
      </c>
      <c r="O252" s="208" t="s">
        <v>60</v>
      </c>
      <c r="P252" s="208" t="s">
        <v>79</v>
      </c>
      <c r="Q252" s="179" t="s">
        <v>771</v>
      </c>
      <c r="R252" s="179"/>
      <c r="S252" s="180"/>
      <c r="T252" s="179"/>
      <c r="U252" s="179"/>
      <c r="V252" s="167"/>
      <c r="W252" s="168"/>
      <c r="X252" s="168"/>
      <c r="Y252" s="167" t="s">
        <v>769</v>
      </c>
      <c r="Z252" s="135" t="s">
        <v>63</v>
      </c>
      <c r="AA252" s="166">
        <v>9</v>
      </c>
      <c r="AB252" s="166">
        <v>0</v>
      </c>
      <c r="AC252" s="165">
        <v>29</v>
      </c>
      <c r="AD252" s="172" t="s">
        <v>80</v>
      </c>
      <c r="AE252" s="172" t="s">
        <v>116</v>
      </c>
      <c r="AF252" s="165">
        <v>7</v>
      </c>
      <c r="AG252" s="172" t="s">
        <v>80</v>
      </c>
      <c r="AH252" s="172" t="s">
        <v>117</v>
      </c>
      <c r="AI252" s="165">
        <v>20</v>
      </c>
      <c r="AJ252" s="165">
        <v>43</v>
      </c>
      <c r="AK252" s="166">
        <v>74</v>
      </c>
      <c r="AL252" s="171" t="s">
        <v>81</v>
      </c>
      <c r="AM252" s="171" t="s">
        <v>118</v>
      </c>
      <c r="AN252" s="166">
        <v>5</v>
      </c>
      <c r="AO252" s="171" t="s">
        <v>81</v>
      </c>
      <c r="AP252" s="171" t="s">
        <v>117</v>
      </c>
      <c r="AQ252" s="166">
        <v>67</v>
      </c>
      <c r="AR252" s="166">
        <v>80</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214</v>
      </c>
      <c r="BS252" s="2">
        <v>278</v>
      </c>
      <c r="BT252" s="2" t="s">
        <v>584</v>
      </c>
    </row>
    <row r="253" spans="1:72" ht="12.75" hidden="1" customHeight="1" x14ac:dyDescent="0.2">
      <c r="A253" s="92">
        <v>279</v>
      </c>
      <c r="B253" s="233" t="s">
        <v>331</v>
      </c>
      <c r="C253" s="263" t="s">
        <v>332</v>
      </c>
      <c r="D253" s="233" t="s">
        <v>333</v>
      </c>
      <c r="E253" s="125" t="s">
        <v>102</v>
      </c>
      <c r="F253" s="181" t="s">
        <v>103</v>
      </c>
      <c r="G253" s="181" t="s">
        <v>56</v>
      </c>
      <c r="H253" s="181" t="s">
        <v>57</v>
      </c>
      <c r="I253" s="181"/>
      <c r="J253" s="178">
        <v>1</v>
      </c>
      <c r="K253" s="182"/>
      <c r="L253" s="182" t="s">
        <v>58</v>
      </c>
      <c r="M253" s="178" t="s">
        <v>78</v>
      </c>
      <c r="N253" s="178">
        <v>0</v>
      </c>
      <c r="O253" s="178" t="s">
        <v>60</v>
      </c>
      <c r="P253" s="178"/>
      <c r="Q253" s="179" t="s">
        <v>62</v>
      </c>
      <c r="R253" s="179"/>
      <c r="S253" s="180">
        <v>0</v>
      </c>
      <c r="T253" s="179"/>
      <c r="U253" s="179"/>
      <c r="V253" s="167" t="s">
        <v>62</v>
      </c>
      <c r="W253" s="168"/>
      <c r="X253" s="106" t="s">
        <v>334</v>
      </c>
      <c r="Y253" s="167"/>
      <c r="Z253" s="169" t="s">
        <v>63</v>
      </c>
      <c r="AA253" s="166">
        <v>10</v>
      </c>
      <c r="AB253" s="166">
        <v>5</v>
      </c>
      <c r="AC253" s="165">
        <v>27</v>
      </c>
      <c r="AD253" s="165" t="s">
        <v>80</v>
      </c>
      <c r="AE253" s="165" t="s">
        <v>335</v>
      </c>
      <c r="AF253" s="165">
        <v>6</v>
      </c>
      <c r="AG253" s="165" t="s">
        <v>80</v>
      </c>
      <c r="AH253" s="165" t="s">
        <v>117</v>
      </c>
      <c r="AI253" s="165">
        <v>20</v>
      </c>
      <c r="AJ253" s="165">
        <v>39</v>
      </c>
      <c r="AK253" s="166">
        <v>74</v>
      </c>
      <c r="AL253" s="166" t="s">
        <v>81</v>
      </c>
      <c r="AM253" s="166" t="s">
        <v>335</v>
      </c>
      <c r="AN253" s="166">
        <v>16</v>
      </c>
      <c r="AO253" s="166" t="s">
        <v>81</v>
      </c>
      <c r="AP253" s="166" t="s">
        <v>117</v>
      </c>
      <c r="AQ253" s="166">
        <v>53</v>
      </c>
      <c r="AR253" s="166">
        <v>96</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c r="BS253" s="2">
        <v>279</v>
      </c>
      <c r="BT253" s="174"/>
    </row>
    <row r="254" spans="1:72" ht="12.75" hidden="1" customHeight="1" x14ac:dyDescent="0.2">
      <c r="A254" s="92">
        <v>280</v>
      </c>
      <c r="B254" s="233" t="s">
        <v>331</v>
      </c>
      <c r="C254" s="263" t="s">
        <v>332</v>
      </c>
      <c r="D254" s="233" t="s">
        <v>336</v>
      </c>
      <c r="E254" s="125" t="s">
        <v>102</v>
      </c>
      <c r="F254" s="181" t="s">
        <v>103</v>
      </c>
      <c r="G254" s="181" t="s">
        <v>56</v>
      </c>
      <c r="H254" s="181" t="s">
        <v>57</v>
      </c>
      <c r="I254" s="156" t="s">
        <v>337</v>
      </c>
      <c r="J254" s="178">
        <v>1</v>
      </c>
      <c r="K254" s="182"/>
      <c r="L254" s="182" t="s">
        <v>58</v>
      </c>
      <c r="M254" s="178" t="s">
        <v>78</v>
      </c>
      <c r="N254" s="178">
        <v>104</v>
      </c>
      <c r="O254" s="178" t="s">
        <v>60</v>
      </c>
      <c r="P254" s="178"/>
      <c r="Q254" s="179" t="s">
        <v>62</v>
      </c>
      <c r="R254" s="179"/>
      <c r="S254" s="180">
        <v>0</v>
      </c>
      <c r="T254" s="179"/>
      <c r="U254" s="179"/>
      <c r="V254" s="167" t="s">
        <v>62</v>
      </c>
      <c r="W254" s="168"/>
      <c r="X254" s="106" t="s">
        <v>334</v>
      </c>
      <c r="Y254" s="167"/>
      <c r="Z254" s="169" t="s">
        <v>63</v>
      </c>
      <c r="AA254" s="166">
        <v>10</v>
      </c>
      <c r="AB254" s="166">
        <v>5</v>
      </c>
      <c r="AC254" s="165">
        <v>27</v>
      </c>
      <c r="AD254" s="165" t="s">
        <v>80</v>
      </c>
      <c r="AE254" s="165" t="s">
        <v>335</v>
      </c>
      <c r="AF254" s="165">
        <v>6</v>
      </c>
      <c r="AG254" s="165" t="s">
        <v>80</v>
      </c>
      <c r="AH254" s="165" t="s">
        <v>117</v>
      </c>
      <c r="AI254" s="165">
        <v>20</v>
      </c>
      <c r="AJ254" s="165">
        <v>39</v>
      </c>
      <c r="AK254" s="166">
        <v>74</v>
      </c>
      <c r="AL254" s="166" t="s">
        <v>81</v>
      </c>
      <c r="AM254" s="166" t="s">
        <v>335</v>
      </c>
      <c r="AN254" s="166">
        <v>16</v>
      </c>
      <c r="AO254" s="166" t="s">
        <v>81</v>
      </c>
      <c r="AP254" s="166" t="s">
        <v>117</v>
      </c>
      <c r="AQ254" s="166">
        <v>53</v>
      </c>
      <c r="AR254" s="166">
        <v>96</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c r="BS254" s="2">
        <v>280</v>
      </c>
      <c r="BT254" s="174"/>
    </row>
    <row r="255" spans="1:72" ht="12.75" hidden="1" customHeight="1" x14ac:dyDescent="0.2">
      <c r="A255" s="92">
        <v>281</v>
      </c>
      <c r="B255" s="233" t="s">
        <v>331</v>
      </c>
      <c r="C255" s="263" t="s">
        <v>332</v>
      </c>
      <c r="D255" s="233" t="s">
        <v>338</v>
      </c>
      <c r="E255" s="125" t="s">
        <v>102</v>
      </c>
      <c r="F255" s="181" t="s">
        <v>103</v>
      </c>
      <c r="G255" s="181" t="s">
        <v>56</v>
      </c>
      <c r="H255" s="181" t="s">
        <v>57</v>
      </c>
      <c r="I255" s="181"/>
      <c r="J255" s="178">
        <v>1</v>
      </c>
      <c r="K255" s="182"/>
      <c r="L255" s="182" t="s">
        <v>58</v>
      </c>
      <c r="M255" s="178" t="s">
        <v>78</v>
      </c>
      <c r="N255" s="178">
        <v>0</v>
      </c>
      <c r="O255" s="178" t="s">
        <v>60</v>
      </c>
      <c r="P255" s="178"/>
      <c r="Q255" s="179" t="s">
        <v>62</v>
      </c>
      <c r="R255" s="179"/>
      <c r="S255" s="180">
        <v>0</v>
      </c>
      <c r="T255" s="179"/>
      <c r="U255" s="179"/>
      <c r="V255" s="167" t="s">
        <v>62</v>
      </c>
      <c r="W255" s="168"/>
      <c r="X255" s="106" t="s">
        <v>334</v>
      </c>
      <c r="Y255" s="167"/>
      <c r="Z255" s="169" t="s">
        <v>63</v>
      </c>
      <c r="AA255" s="166">
        <v>10</v>
      </c>
      <c r="AB255" s="166">
        <v>5</v>
      </c>
      <c r="AC255" s="165">
        <v>27</v>
      </c>
      <c r="AD255" s="165" t="s">
        <v>80</v>
      </c>
      <c r="AE255" s="165" t="s">
        <v>335</v>
      </c>
      <c r="AF255" s="165">
        <v>6</v>
      </c>
      <c r="AG255" s="165" t="s">
        <v>80</v>
      </c>
      <c r="AH255" s="165" t="s">
        <v>117</v>
      </c>
      <c r="AI255" s="165">
        <v>20</v>
      </c>
      <c r="AJ255" s="165">
        <v>39</v>
      </c>
      <c r="AK255" s="166">
        <v>74</v>
      </c>
      <c r="AL255" s="166" t="s">
        <v>81</v>
      </c>
      <c r="AM255" s="166" t="s">
        <v>335</v>
      </c>
      <c r="AN255" s="166">
        <v>16</v>
      </c>
      <c r="AO255" s="166" t="s">
        <v>81</v>
      </c>
      <c r="AP255" s="166" t="s">
        <v>117</v>
      </c>
      <c r="AQ255" s="166">
        <v>53</v>
      </c>
      <c r="AR255" s="166">
        <v>96</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c r="BS255" s="2">
        <v>281</v>
      </c>
      <c r="BT255" s="174"/>
    </row>
    <row r="256" spans="1:72" ht="12.75" hidden="1" customHeight="1" x14ac:dyDescent="0.2">
      <c r="A256" s="92">
        <v>282</v>
      </c>
      <c r="B256" s="233" t="s">
        <v>331</v>
      </c>
      <c r="C256" s="263" t="s">
        <v>332</v>
      </c>
      <c r="D256" s="233" t="s">
        <v>333</v>
      </c>
      <c r="E256" s="125" t="s">
        <v>339</v>
      </c>
      <c r="F256" s="181" t="s">
        <v>103</v>
      </c>
      <c r="G256" s="181" t="s">
        <v>56</v>
      </c>
      <c r="H256" s="181" t="s">
        <v>57</v>
      </c>
      <c r="I256" s="181"/>
      <c r="J256" s="178">
        <v>15</v>
      </c>
      <c r="K256" s="244"/>
      <c r="L256" s="182" t="s">
        <v>212</v>
      </c>
      <c r="M256" s="178" t="s">
        <v>78</v>
      </c>
      <c r="N256" s="178">
        <v>0</v>
      </c>
      <c r="O256" s="178" t="s">
        <v>60</v>
      </c>
      <c r="P256" s="178"/>
      <c r="Q256" s="179" t="s">
        <v>62</v>
      </c>
      <c r="R256" s="179"/>
      <c r="S256" s="180">
        <v>0</v>
      </c>
      <c r="T256" s="179"/>
      <c r="U256" s="179"/>
      <c r="V256" s="167" t="s">
        <v>62</v>
      </c>
      <c r="W256" s="168"/>
      <c r="X256" s="106" t="s">
        <v>334</v>
      </c>
      <c r="Y256" s="167"/>
      <c r="Z256" s="169" t="s">
        <v>63</v>
      </c>
      <c r="AA256" s="166">
        <v>10</v>
      </c>
      <c r="AB256" s="166">
        <v>5</v>
      </c>
      <c r="AC256" s="165">
        <v>27</v>
      </c>
      <c r="AD256" s="165" t="s">
        <v>80</v>
      </c>
      <c r="AE256" s="165" t="s">
        <v>335</v>
      </c>
      <c r="AF256" s="165">
        <v>6</v>
      </c>
      <c r="AG256" s="165" t="s">
        <v>80</v>
      </c>
      <c r="AH256" s="165" t="s">
        <v>117</v>
      </c>
      <c r="AI256" s="165">
        <v>20</v>
      </c>
      <c r="AJ256" s="165">
        <v>39</v>
      </c>
      <c r="AK256" s="166">
        <v>74</v>
      </c>
      <c r="AL256" s="166" t="s">
        <v>81</v>
      </c>
      <c r="AM256" s="166" t="s">
        <v>335</v>
      </c>
      <c r="AN256" s="166">
        <v>16</v>
      </c>
      <c r="AO256" s="166" t="s">
        <v>81</v>
      </c>
      <c r="AP256" s="166" t="s">
        <v>117</v>
      </c>
      <c r="AQ256" s="166">
        <v>53</v>
      </c>
      <c r="AR256" s="166">
        <v>96</v>
      </c>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c r="BS256" s="2">
        <v>282</v>
      </c>
      <c r="BT256" s="174"/>
    </row>
    <row r="257" spans="1:72" ht="12.75" hidden="1" customHeight="1" x14ac:dyDescent="0.2">
      <c r="A257" s="92">
        <v>283</v>
      </c>
      <c r="B257" s="233" t="s">
        <v>331</v>
      </c>
      <c r="C257" s="263" t="s">
        <v>332</v>
      </c>
      <c r="D257" s="233" t="s">
        <v>336</v>
      </c>
      <c r="E257" s="125" t="s">
        <v>339</v>
      </c>
      <c r="F257" s="181" t="s">
        <v>103</v>
      </c>
      <c r="G257" s="181" t="s">
        <v>56</v>
      </c>
      <c r="H257" s="181" t="s">
        <v>57</v>
      </c>
      <c r="I257" s="156" t="s">
        <v>337</v>
      </c>
      <c r="J257" s="178">
        <v>15</v>
      </c>
      <c r="K257" s="244"/>
      <c r="L257" s="182" t="s">
        <v>212</v>
      </c>
      <c r="M257" s="178" t="s">
        <v>78</v>
      </c>
      <c r="N257" s="178">
        <v>105</v>
      </c>
      <c r="O257" s="178" t="s">
        <v>60</v>
      </c>
      <c r="P257" s="178"/>
      <c r="Q257" s="179" t="s">
        <v>62</v>
      </c>
      <c r="R257" s="179"/>
      <c r="S257" s="180">
        <v>0</v>
      </c>
      <c r="T257" s="179"/>
      <c r="U257" s="179"/>
      <c r="V257" s="167" t="s">
        <v>62</v>
      </c>
      <c r="W257" s="168"/>
      <c r="X257" s="106" t="s">
        <v>334</v>
      </c>
      <c r="Y257" s="167"/>
      <c r="Z257" s="169" t="s">
        <v>63</v>
      </c>
      <c r="AA257" s="166">
        <v>10</v>
      </c>
      <c r="AB257" s="166">
        <v>5</v>
      </c>
      <c r="AC257" s="165">
        <v>27</v>
      </c>
      <c r="AD257" s="165" t="s">
        <v>80</v>
      </c>
      <c r="AE257" s="165" t="s">
        <v>335</v>
      </c>
      <c r="AF257" s="165">
        <v>6</v>
      </c>
      <c r="AG257" s="165" t="s">
        <v>80</v>
      </c>
      <c r="AH257" s="165" t="s">
        <v>117</v>
      </c>
      <c r="AI257" s="165">
        <v>20</v>
      </c>
      <c r="AJ257" s="165">
        <v>39</v>
      </c>
      <c r="AK257" s="166">
        <v>74</v>
      </c>
      <c r="AL257" s="166" t="s">
        <v>81</v>
      </c>
      <c r="AM257" s="166" t="s">
        <v>335</v>
      </c>
      <c r="AN257" s="166">
        <v>16</v>
      </c>
      <c r="AO257" s="166" t="s">
        <v>81</v>
      </c>
      <c r="AP257" s="166" t="s">
        <v>117</v>
      </c>
      <c r="AQ257" s="166">
        <v>53</v>
      </c>
      <c r="AR257" s="166">
        <v>96</v>
      </c>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c r="BS257" s="2">
        <v>283</v>
      </c>
      <c r="BT257" s="174"/>
    </row>
    <row r="258" spans="1:72" ht="12.75" hidden="1" customHeight="1" x14ac:dyDescent="0.2">
      <c r="A258" s="92">
        <v>284</v>
      </c>
      <c r="B258" s="233" t="s">
        <v>331</v>
      </c>
      <c r="C258" s="263" t="s">
        <v>332</v>
      </c>
      <c r="D258" s="233" t="s">
        <v>338</v>
      </c>
      <c r="E258" s="125" t="s">
        <v>339</v>
      </c>
      <c r="F258" s="181" t="s">
        <v>103</v>
      </c>
      <c r="G258" s="181" t="s">
        <v>56</v>
      </c>
      <c r="H258" s="181" t="s">
        <v>57</v>
      </c>
      <c r="I258" s="181"/>
      <c r="J258" s="178">
        <v>15</v>
      </c>
      <c r="K258" s="244"/>
      <c r="L258" s="182" t="s">
        <v>212</v>
      </c>
      <c r="M258" s="178" t="s">
        <v>78</v>
      </c>
      <c r="N258" s="178">
        <v>0</v>
      </c>
      <c r="O258" s="178" t="s">
        <v>60</v>
      </c>
      <c r="P258" s="178"/>
      <c r="Q258" s="179" t="s">
        <v>62</v>
      </c>
      <c r="R258" s="179"/>
      <c r="S258" s="180">
        <v>0</v>
      </c>
      <c r="T258" s="179"/>
      <c r="U258" s="179"/>
      <c r="V258" s="167" t="s">
        <v>62</v>
      </c>
      <c r="W258" s="168"/>
      <c r="X258" s="106" t="s">
        <v>334</v>
      </c>
      <c r="Y258" s="167"/>
      <c r="Z258" s="169" t="s">
        <v>63</v>
      </c>
      <c r="AA258" s="166">
        <v>10</v>
      </c>
      <c r="AB258" s="166">
        <v>5</v>
      </c>
      <c r="AC258" s="165">
        <v>27</v>
      </c>
      <c r="AD258" s="165" t="s">
        <v>80</v>
      </c>
      <c r="AE258" s="165" t="s">
        <v>335</v>
      </c>
      <c r="AF258" s="165">
        <v>6</v>
      </c>
      <c r="AG258" s="165" t="s">
        <v>80</v>
      </c>
      <c r="AH258" s="165" t="s">
        <v>117</v>
      </c>
      <c r="AI258" s="165">
        <v>20</v>
      </c>
      <c r="AJ258" s="165">
        <v>39</v>
      </c>
      <c r="AK258" s="166">
        <v>74</v>
      </c>
      <c r="AL258" s="166" t="s">
        <v>81</v>
      </c>
      <c r="AM258" s="166" t="s">
        <v>335</v>
      </c>
      <c r="AN258" s="166">
        <v>16</v>
      </c>
      <c r="AO258" s="166" t="s">
        <v>81</v>
      </c>
      <c r="AP258" s="166" t="s">
        <v>117</v>
      </c>
      <c r="AQ258" s="166">
        <v>53</v>
      </c>
      <c r="AR258" s="166">
        <v>96</v>
      </c>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c r="BS258" s="2">
        <v>284</v>
      </c>
      <c r="BT258" s="174"/>
    </row>
    <row r="259" spans="1:72" ht="12.75" hidden="1" customHeight="1" x14ac:dyDescent="0.2">
      <c r="A259" s="92">
        <v>285</v>
      </c>
      <c r="B259" s="233" t="s">
        <v>331</v>
      </c>
      <c r="C259" s="263" t="s">
        <v>332</v>
      </c>
      <c r="D259" s="233" t="s">
        <v>340</v>
      </c>
      <c r="E259" s="125" t="s">
        <v>102</v>
      </c>
      <c r="F259" s="181" t="s">
        <v>103</v>
      </c>
      <c r="G259" s="181" t="s">
        <v>56</v>
      </c>
      <c r="H259" s="181" t="s">
        <v>168</v>
      </c>
      <c r="I259" s="181"/>
      <c r="J259" s="178">
        <v>3</v>
      </c>
      <c r="K259" s="182"/>
      <c r="L259" s="182" t="s">
        <v>58</v>
      </c>
      <c r="M259" s="178" t="s">
        <v>59</v>
      </c>
      <c r="N259" s="178">
        <v>0</v>
      </c>
      <c r="O259" s="178" t="s">
        <v>60</v>
      </c>
      <c r="P259" s="178"/>
      <c r="Q259" s="179" t="s">
        <v>62</v>
      </c>
      <c r="R259" s="179" t="s">
        <v>171</v>
      </c>
      <c r="S259" s="180"/>
      <c r="T259" s="179"/>
      <c r="U259" s="179" t="s">
        <v>341</v>
      </c>
      <c r="V259" s="167" t="s">
        <v>62</v>
      </c>
      <c r="W259" s="168"/>
      <c r="X259" s="106" t="s">
        <v>334</v>
      </c>
      <c r="Y259" s="167"/>
      <c r="Z259" s="169" t="s">
        <v>63</v>
      </c>
      <c r="AA259" s="166">
        <v>10</v>
      </c>
      <c r="AB259" s="166">
        <v>5</v>
      </c>
      <c r="AC259" s="165">
        <v>27</v>
      </c>
      <c r="AD259" s="165" t="s">
        <v>80</v>
      </c>
      <c r="AE259" s="165" t="s">
        <v>335</v>
      </c>
      <c r="AF259" s="165">
        <v>6</v>
      </c>
      <c r="AG259" s="165" t="s">
        <v>80</v>
      </c>
      <c r="AH259" s="165" t="s">
        <v>117</v>
      </c>
      <c r="AI259" s="165">
        <v>20</v>
      </c>
      <c r="AJ259" s="165">
        <v>39</v>
      </c>
      <c r="AK259" s="166">
        <v>74</v>
      </c>
      <c r="AL259" s="166" t="s">
        <v>81</v>
      </c>
      <c r="AM259" s="166" t="s">
        <v>335</v>
      </c>
      <c r="AN259" s="166">
        <v>16</v>
      </c>
      <c r="AO259" s="166" t="s">
        <v>81</v>
      </c>
      <c r="AP259" s="166" t="s">
        <v>117</v>
      </c>
      <c r="AQ259" s="166">
        <v>53</v>
      </c>
      <c r="AR259" s="166">
        <v>96</v>
      </c>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c r="BS259" s="2">
        <v>285</v>
      </c>
      <c r="BT259" s="174"/>
    </row>
    <row r="260" spans="1:72" ht="12.75" hidden="1" customHeight="1" x14ac:dyDescent="0.2">
      <c r="A260" s="92">
        <v>286</v>
      </c>
      <c r="B260" s="233" t="s">
        <v>331</v>
      </c>
      <c r="C260" s="263" t="s">
        <v>332</v>
      </c>
      <c r="D260" s="233" t="s">
        <v>342</v>
      </c>
      <c r="E260" s="125" t="s">
        <v>102</v>
      </c>
      <c r="F260" s="181" t="s">
        <v>103</v>
      </c>
      <c r="G260" s="181" t="s">
        <v>56</v>
      </c>
      <c r="H260" s="181" t="s">
        <v>168</v>
      </c>
      <c r="I260" s="156" t="s">
        <v>337</v>
      </c>
      <c r="J260" s="178">
        <v>3</v>
      </c>
      <c r="K260" s="182"/>
      <c r="L260" s="182" t="s">
        <v>58</v>
      </c>
      <c r="M260" s="178" t="s">
        <v>59</v>
      </c>
      <c r="N260" s="178">
        <v>128</v>
      </c>
      <c r="O260" s="178" t="s">
        <v>60</v>
      </c>
      <c r="P260" s="178"/>
      <c r="Q260" s="179" t="s">
        <v>62</v>
      </c>
      <c r="R260" s="179" t="s">
        <v>171</v>
      </c>
      <c r="S260" s="180"/>
      <c r="T260" s="179"/>
      <c r="U260" s="179" t="s">
        <v>341</v>
      </c>
      <c r="V260" s="167" t="s">
        <v>62</v>
      </c>
      <c r="W260" s="168"/>
      <c r="X260" s="106" t="s">
        <v>334</v>
      </c>
      <c r="Y260" s="167"/>
      <c r="Z260" s="169" t="s">
        <v>63</v>
      </c>
      <c r="AA260" s="166">
        <v>10</v>
      </c>
      <c r="AB260" s="166">
        <v>5</v>
      </c>
      <c r="AC260" s="165">
        <v>27</v>
      </c>
      <c r="AD260" s="165" t="s">
        <v>80</v>
      </c>
      <c r="AE260" s="165" t="s">
        <v>335</v>
      </c>
      <c r="AF260" s="165">
        <v>6</v>
      </c>
      <c r="AG260" s="165" t="s">
        <v>80</v>
      </c>
      <c r="AH260" s="165" t="s">
        <v>117</v>
      </c>
      <c r="AI260" s="165">
        <v>20</v>
      </c>
      <c r="AJ260" s="165">
        <v>39</v>
      </c>
      <c r="AK260" s="166">
        <v>74</v>
      </c>
      <c r="AL260" s="166" t="s">
        <v>81</v>
      </c>
      <c r="AM260" s="166" t="s">
        <v>335</v>
      </c>
      <c r="AN260" s="166">
        <v>16</v>
      </c>
      <c r="AO260" s="166" t="s">
        <v>81</v>
      </c>
      <c r="AP260" s="166" t="s">
        <v>117</v>
      </c>
      <c r="AQ260" s="166">
        <v>53</v>
      </c>
      <c r="AR260" s="166">
        <v>96</v>
      </c>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c r="BS260" s="2">
        <v>286</v>
      </c>
      <c r="BT260" s="174"/>
    </row>
    <row r="261" spans="1:72" ht="12.75" hidden="1" customHeight="1" x14ac:dyDescent="0.2">
      <c r="A261" s="92">
        <v>287</v>
      </c>
      <c r="B261" s="233" t="s">
        <v>331</v>
      </c>
      <c r="C261" s="263" t="s">
        <v>332</v>
      </c>
      <c r="D261" s="233" t="s">
        <v>343</v>
      </c>
      <c r="E261" s="125" t="s">
        <v>339</v>
      </c>
      <c r="F261" s="181" t="s">
        <v>103</v>
      </c>
      <c r="G261" s="181" t="s">
        <v>56</v>
      </c>
      <c r="H261" s="181" t="s">
        <v>168</v>
      </c>
      <c r="I261" s="181"/>
      <c r="J261" s="178">
        <v>60</v>
      </c>
      <c r="K261" s="244"/>
      <c r="L261" s="182" t="s">
        <v>212</v>
      </c>
      <c r="M261" s="178" t="s">
        <v>59</v>
      </c>
      <c r="N261" s="178">
        <v>0</v>
      </c>
      <c r="O261" s="178" t="s">
        <v>60</v>
      </c>
      <c r="P261" s="178"/>
      <c r="Q261" s="179" t="s">
        <v>62</v>
      </c>
      <c r="R261" s="179" t="s">
        <v>171</v>
      </c>
      <c r="S261" s="180"/>
      <c r="T261" s="179"/>
      <c r="U261" s="179" t="s">
        <v>344</v>
      </c>
      <c r="V261" s="167" t="s">
        <v>62</v>
      </c>
      <c r="W261" s="168"/>
      <c r="X261" s="106" t="s">
        <v>334</v>
      </c>
      <c r="Y261" s="167"/>
      <c r="Z261" s="169" t="s">
        <v>63</v>
      </c>
      <c r="AA261" s="166">
        <v>10</v>
      </c>
      <c r="AB261" s="166">
        <v>5</v>
      </c>
      <c r="AC261" s="165">
        <v>27</v>
      </c>
      <c r="AD261" s="165" t="s">
        <v>80</v>
      </c>
      <c r="AE261" s="165" t="s">
        <v>335</v>
      </c>
      <c r="AF261" s="165">
        <v>6</v>
      </c>
      <c r="AG261" s="165" t="s">
        <v>80</v>
      </c>
      <c r="AH261" s="165" t="s">
        <v>117</v>
      </c>
      <c r="AI261" s="165">
        <v>20</v>
      </c>
      <c r="AJ261" s="165">
        <v>39</v>
      </c>
      <c r="AK261" s="166">
        <v>74</v>
      </c>
      <c r="AL261" s="166" t="s">
        <v>81</v>
      </c>
      <c r="AM261" s="166" t="s">
        <v>335</v>
      </c>
      <c r="AN261" s="166">
        <v>16</v>
      </c>
      <c r="AO261" s="166" t="s">
        <v>81</v>
      </c>
      <c r="AP261" s="166" t="s">
        <v>117</v>
      </c>
      <c r="AQ261" s="166">
        <v>53</v>
      </c>
      <c r="AR261" s="166">
        <v>96</v>
      </c>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c r="BS261" s="2">
        <v>287</v>
      </c>
      <c r="BT261" s="174"/>
    </row>
    <row r="262" spans="1:72" ht="12.75" hidden="1" customHeight="1" x14ac:dyDescent="0.2">
      <c r="A262" s="92">
        <v>288</v>
      </c>
      <c r="B262" s="233" t="s">
        <v>331</v>
      </c>
      <c r="C262" s="263" t="s">
        <v>332</v>
      </c>
      <c r="D262" s="233" t="s">
        <v>345</v>
      </c>
      <c r="E262" s="125" t="s">
        <v>339</v>
      </c>
      <c r="F262" s="181" t="s">
        <v>103</v>
      </c>
      <c r="G262" s="181" t="s">
        <v>56</v>
      </c>
      <c r="H262" s="181" t="s">
        <v>168</v>
      </c>
      <c r="I262" s="156" t="s">
        <v>337</v>
      </c>
      <c r="J262" s="178">
        <v>60</v>
      </c>
      <c r="K262" s="244"/>
      <c r="L262" s="182" t="s">
        <v>212</v>
      </c>
      <c r="M262" s="178" t="s">
        <v>59</v>
      </c>
      <c r="N262" s="178">
        <v>129</v>
      </c>
      <c r="O262" s="178" t="s">
        <v>60</v>
      </c>
      <c r="P262" s="178"/>
      <c r="Q262" s="179" t="s">
        <v>62</v>
      </c>
      <c r="R262" s="179" t="s">
        <v>171</v>
      </c>
      <c r="S262" s="180"/>
      <c r="T262" s="179"/>
      <c r="U262" s="179" t="s">
        <v>344</v>
      </c>
      <c r="V262" s="167" t="s">
        <v>62</v>
      </c>
      <c r="W262" s="168"/>
      <c r="X262" s="106" t="s">
        <v>334</v>
      </c>
      <c r="Y262" s="167"/>
      <c r="Z262" s="169" t="s">
        <v>63</v>
      </c>
      <c r="AA262" s="166">
        <v>10</v>
      </c>
      <c r="AB262" s="166">
        <v>5</v>
      </c>
      <c r="AC262" s="165">
        <v>27</v>
      </c>
      <c r="AD262" s="165" t="s">
        <v>80</v>
      </c>
      <c r="AE262" s="165" t="s">
        <v>335</v>
      </c>
      <c r="AF262" s="165">
        <v>6</v>
      </c>
      <c r="AG262" s="165" t="s">
        <v>80</v>
      </c>
      <c r="AH262" s="165" t="s">
        <v>117</v>
      </c>
      <c r="AI262" s="165">
        <v>20</v>
      </c>
      <c r="AJ262" s="165">
        <v>39</v>
      </c>
      <c r="AK262" s="166">
        <v>74</v>
      </c>
      <c r="AL262" s="166" t="s">
        <v>81</v>
      </c>
      <c r="AM262" s="166" t="s">
        <v>335</v>
      </c>
      <c r="AN262" s="166">
        <v>16</v>
      </c>
      <c r="AO262" s="166" t="s">
        <v>81</v>
      </c>
      <c r="AP262" s="166" t="s">
        <v>117</v>
      </c>
      <c r="AQ262" s="166">
        <v>53</v>
      </c>
      <c r="AR262" s="166">
        <v>96</v>
      </c>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c r="BS262" s="2">
        <v>288</v>
      </c>
      <c r="BT262" s="174"/>
    </row>
    <row r="263" spans="1:72" ht="12.75" hidden="1" customHeight="1" x14ac:dyDescent="0.2">
      <c r="A263" s="92">
        <v>289</v>
      </c>
      <c r="B263" s="233" t="s">
        <v>331</v>
      </c>
      <c r="C263" s="263" t="s">
        <v>332</v>
      </c>
      <c r="D263" s="233" t="s">
        <v>346</v>
      </c>
      <c r="E263" s="125" t="s">
        <v>102</v>
      </c>
      <c r="F263" s="181" t="s">
        <v>103</v>
      </c>
      <c r="G263" s="181" t="s">
        <v>56</v>
      </c>
      <c r="H263" s="181" t="s">
        <v>168</v>
      </c>
      <c r="I263" s="181"/>
      <c r="J263" s="178">
        <v>3</v>
      </c>
      <c r="K263" s="182"/>
      <c r="L263" s="182" t="s">
        <v>58</v>
      </c>
      <c r="M263" s="178" t="s">
        <v>59</v>
      </c>
      <c r="N263" s="178">
        <v>0</v>
      </c>
      <c r="O263" s="178" t="s">
        <v>60</v>
      </c>
      <c r="P263" s="178"/>
      <c r="Q263" s="179" t="s">
        <v>62</v>
      </c>
      <c r="R263" s="179" t="s">
        <v>171</v>
      </c>
      <c r="S263" s="180"/>
      <c r="T263" s="179"/>
      <c r="U263" s="179" t="s">
        <v>341</v>
      </c>
      <c r="V263" s="167" t="s">
        <v>62</v>
      </c>
      <c r="W263" s="168"/>
      <c r="X263" s="106" t="s">
        <v>334</v>
      </c>
      <c r="Y263" s="167"/>
      <c r="Z263" s="169" t="s">
        <v>63</v>
      </c>
      <c r="AA263" s="166">
        <v>10</v>
      </c>
      <c r="AB263" s="166">
        <v>5</v>
      </c>
      <c r="AC263" s="165">
        <v>27</v>
      </c>
      <c r="AD263" s="165" t="s">
        <v>80</v>
      </c>
      <c r="AE263" s="165" t="s">
        <v>335</v>
      </c>
      <c r="AF263" s="165">
        <v>6</v>
      </c>
      <c r="AG263" s="165" t="s">
        <v>80</v>
      </c>
      <c r="AH263" s="165" t="s">
        <v>117</v>
      </c>
      <c r="AI263" s="165">
        <v>20</v>
      </c>
      <c r="AJ263" s="165">
        <v>39</v>
      </c>
      <c r="AK263" s="166">
        <v>74</v>
      </c>
      <c r="AL263" s="166" t="s">
        <v>81</v>
      </c>
      <c r="AM263" s="166" t="s">
        <v>335</v>
      </c>
      <c r="AN263" s="166">
        <v>16</v>
      </c>
      <c r="AO263" s="166" t="s">
        <v>81</v>
      </c>
      <c r="AP263" s="166" t="s">
        <v>117</v>
      </c>
      <c r="AQ263" s="166">
        <v>53</v>
      </c>
      <c r="AR263" s="166">
        <v>96</v>
      </c>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c r="BS263" s="2">
        <v>289</v>
      </c>
      <c r="BT263" s="174"/>
    </row>
    <row r="264" spans="1:72" ht="12.75" hidden="1" customHeight="1" x14ac:dyDescent="0.2">
      <c r="A264" s="92">
        <v>290</v>
      </c>
      <c r="B264" s="233" t="s">
        <v>331</v>
      </c>
      <c r="C264" s="263" t="s">
        <v>332</v>
      </c>
      <c r="D264" s="233" t="s">
        <v>347</v>
      </c>
      <c r="E264" s="125" t="s">
        <v>102</v>
      </c>
      <c r="F264" s="181" t="s">
        <v>103</v>
      </c>
      <c r="G264" s="181" t="s">
        <v>56</v>
      </c>
      <c r="H264" s="181" t="s">
        <v>168</v>
      </c>
      <c r="I264" s="181"/>
      <c r="J264" s="178">
        <v>3</v>
      </c>
      <c r="K264" s="182"/>
      <c r="L264" s="182" t="s">
        <v>58</v>
      </c>
      <c r="M264" s="178" t="s">
        <v>59</v>
      </c>
      <c r="N264" s="178">
        <v>0</v>
      </c>
      <c r="O264" s="178" t="s">
        <v>60</v>
      </c>
      <c r="P264" s="178"/>
      <c r="Q264" s="179" t="s">
        <v>62</v>
      </c>
      <c r="R264" s="179" t="s">
        <v>171</v>
      </c>
      <c r="S264" s="180"/>
      <c r="T264" s="179"/>
      <c r="U264" s="179" t="s">
        <v>341</v>
      </c>
      <c r="V264" s="167" t="s">
        <v>62</v>
      </c>
      <c r="W264" s="168"/>
      <c r="X264" s="106" t="s">
        <v>334</v>
      </c>
      <c r="Y264" s="167"/>
      <c r="Z264" s="169" t="s">
        <v>63</v>
      </c>
      <c r="AA264" s="166">
        <v>10</v>
      </c>
      <c r="AB264" s="166">
        <v>5</v>
      </c>
      <c r="AC264" s="165">
        <v>27</v>
      </c>
      <c r="AD264" s="165" t="s">
        <v>80</v>
      </c>
      <c r="AE264" s="165" t="s">
        <v>335</v>
      </c>
      <c r="AF264" s="165">
        <v>6</v>
      </c>
      <c r="AG264" s="165" t="s">
        <v>80</v>
      </c>
      <c r="AH264" s="165" t="s">
        <v>117</v>
      </c>
      <c r="AI264" s="165">
        <v>20</v>
      </c>
      <c r="AJ264" s="165">
        <v>39</v>
      </c>
      <c r="AK264" s="166">
        <v>74</v>
      </c>
      <c r="AL264" s="166" t="s">
        <v>81</v>
      </c>
      <c r="AM264" s="166" t="s">
        <v>335</v>
      </c>
      <c r="AN264" s="166">
        <v>16</v>
      </c>
      <c r="AO264" s="166" t="s">
        <v>81</v>
      </c>
      <c r="AP264" s="166" t="s">
        <v>117</v>
      </c>
      <c r="AQ264" s="166">
        <v>53</v>
      </c>
      <c r="AR264" s="166">
        <v>96</v>
      </c>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c r="BS264" s="2">
        <v>290</v>
      </c>
      <c r="BT264" s="174"/>
    </row>
    <row r="265" spans="1:72" ht="12.75" hidden="1" customHeight="1" x14ac:dyDescent="0.2">
      <c r="A265" s="92">
        <v>291</v>
      </c>
      <c r="B265" s="233" t="s">
        <v>331</v>
      </c>
      <c r="C265" s="263" t="s">
        <v>332</v>
      </c>
      <c r="D265" s="233" t="s">
        <v>348</v>
      </c>
      <c r="E265" s="125" t="s">
        <v>339</v>
      </c>
      <c r="F265" s="181" t="s">
        <v>103</v>
      </c>
      <c r="G265" s="181" t="s">
        <v>56</v>
      </c>
      <c r="H265" s="181" t="s">
        <v>168</v>
      </c>
      <c r="I265" s="181"/>
      <c r="J265" s="178">
        <v>23</v>
      </c>
      <c r="K265" s="244"/>
      <c r="L265" s="182" t="s">
        <v>212</v>
      </c>
      <c r="M265" s="178" t="s">
        <v>59</v>
      </c>
      <c r="N265" s="178">
        <v>0</v>
      </c>
      <c r="O265" s="178" t="s">
        <v>60</v>
      </c>
      <c r="P265" s="178"/>
      <c r="Q265" s="179" t="s">
        <v>62</v>
      </c>
      <c r="R265" s="179" t="s">
        <v>171</v>
      </c>
      <c r="S265" s="180"/>
      <c r="T265" s="179"/>
      <c r="U265" s="179" t="s">
        <v>344</v>
      </c>
      <c r="V265" s="167" t="s">
        <v>62</v>
      </c>
      <c r="W265" s="168"/>
      <c r="X265" s="106" t="s">
        <v>334</v>
      </c>
      <c r="Y265" s="167"/>
      <c r="Z265" s="169" t="s">
        <v>63</v>
      </c>
      <c r="AA265" s="166">
        <v>10</v>
      </c>
      <c r="AB265" s="166">
        <v>5</v>
      </c>
      <c r="AC265" s="165">
        <v>27</v>
      </c>
      <c r="AD265" s="165" t="s">
        <v>80</v>
      </c>
      <c r="AE265" s="165" t="s">
        <v>335</v>
      </c>
      <c r="AF265" s="165">
        <v>6</v>
      </c>
      <c r="AG265" s="165" t="s">
        <v>80</v>
      </c>
      <c r="AH265" s="165" t="s">
        <v>117</v>
      </c>
      <c r="AI265" s="165">
        <v>20</v>
      </c>
      <c r="AJ265" s="165">
        <v>39</v>
      </c>
      <c r="AK265" s="166">
        <v>74</v>
      </c>
      <c r="AL265" s="166" t="s">
        <v>81</v>
      </c>
      <c r="AM265" s="166" t="s">
        <v>335</v>
      </c>
      <c r="AN265" s="166">
        <v>16</v>
      </c>
      <c r="AO265" s="166" t="s">
        <v>81</v>
      </c>
      <c r="AP265" s="166" t="s">
        <v>117</v>
      </c>
      <c r="AQ265" s="166">
        <v>53</v>
      </c>
      <c r="AR265" s="166">
        <v>96</v>
      </c>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c r="BS265" s="2">
        <v>291</v>
      </c>
      <c r="BT265" s="174"/>
    </row>
    <row r="266" spans="1:72" ht="12.75" hidden="1" customHeight="1" x14ac:dyDescent="0.2">
      <c r="A266" s="92">
        <v>292</v>
      </c>
      <c r="B266" s="233" t="s">
        <v>331</v>
      </c>
      <c r="C266" s="263" t="s">
        <v>332</v>
      </c>
      <c r="D266" s="233" t="s">
        <v>349</v>
      </c>
      <c r="E266" s="125" t="s">
        <v>339</v>
      </c>
      <c r="F266" s="181" t="s">
        <v>103</v>
      </c>
      <c r="G266" s="181" t="s">
        <v>56</v>
      </c>
      <c r="H266" s="181" t="s">
        <v>168</v>
      </c>
      <c r="I266" s="181"/>
      <c r="J266" s="178">
        <v>23</v>
      </c>
      <c r="K266" s="244"/>
      <c r="L266" s="182" t="s">
        <v>212</v>
      </c>
      <c r="M266" s="178" t="s">
        <v>59</v>
      </c>
      <c r="N266" s="178">
        <v>0</v>
      </c>
      <c r="O266" s="178" t="s">
        <v>60</v>
      </c>
      <c r="P266" s="178"/>
      <c r="Q266" s="179" t="s">
        <v>62</v>
      </c>
      <c r="R266" s="179" t="s">
        <v>171</v>
      </c>
      <c r="S266" s="180"/>
      <c r="T266" s="179"/>
      <c r="U266" s="179" t="s">
        <v>344</v>
      </c>
      <c r="V266" s="167" t="s">
        <v>62</v>
      </c>
      <c r="W266" s="168"/>
      <c r="X266" s="106" t="s">
        <v>334</v>
      </c>
      <c r="Y266" s="167"/>
      <c r="Z266" s="169" t="s">
        <v>63</v>
      </c>
      <c r="AA266" s="166">
        <v>10</v>
      </c>
      <c r="AB266" s="166">
        <v>5</v>
      </c>
      <c r="AC266" s="165">
        <v>27</v>
      </c>
      <c r="AD266" s="165" t="s">
        <v>80</v>
      </c>
      <c r="AE266" s="165" t="s">
        <v>335</v>
      </c>
      <c r="AF266" s="165">
        <v>6</v>
      </c>
      <c r="AG266" s="165" t="s">
        <v>80</v>
      </c>
      <c r="AH266" s="165" t="s">
        <v>117</v>
      </c>
      <c r="AI266" s="165">
        <v>20</v>
      </c>
      <c r="AJ266" s="165">
        <v>39</v>
      </c>
      <c r="AK266" s="166">
        <v>74</v>
      </c>
      <c r="AL266" s="166" t="s">
        <v>81</v>
      </c>
      <c r="AM266" s="166" t="s">
        <v>335</v>
      </c>
      <c r="AN266" s="166">
        <v>16</v>
      </c>
      <c r="AO266" s="166" t="s">
        <v>81</v>
      </c>
      <c r="AP266" s="166" t="s">
        <v>117</v>
      </c>
      <c r="AQ266" s="166">
        <v>53</v>
      </c>
      <c r="AR266" s="166">
        <v>96</v>
      </c>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c r="BS266" s="2">
        <v>292</v>
      </c>
      <c r="BT266" s="174"/>
    </row>
    <row r="267" spans="1:72" ht="12.75" hidden="1" customHeight="1" x14ac:dyDescent="0.2">
      <c r="A267" s="205">
        <v>293</v>
      </c>
      <c r="B267" s="233" t="s">
        <v>772</v>
      </c>
      <c r="C267" s="263" t="s">
        <v>773</v>
      </c>
      <c r="D267" s="233" t="s">
        <v>333</v>
      </c>
      <c r="E267" s="125" t="s">
        <v>102</v>
      </c>
      <c r="F267" s="181" t="s">
        <v>103</v>
      </c>
      <c r="G267" s="156" t="s">
        <v>56</v>
      </c>
      <c r="H267" s="156" t="s">
        <v>535</v>
      </c>
      <c r="I267" s="156" t="s">
        <v>770</v>
      </c>
      <c r="J267" s="208">
        <v>1</v>
      </c>
      <c r="K267" s="209"/>
      <c r="L267" s="209" t="s">
        <v>58</v>
      </c>
      <c r="M267" s="208" t="s">
        <v>78</v>
      </c>
      <c r="N267" s="208">
        <v>0</v>
      </c>
      <c r="O267" s="208" t="s">
        <v>60</v>
      </c>
      <c r="P267" s="208" t="s">
        <v>79</v>
      </c>
      <c r="Q267" s="210"/>
      <c r="R267" s="210"/>
      <c r="S267" s="211"/>
      <c r="T267" s="210"/>
      <c r="U267" s="210"/>
      <c r="V267" s="170"/>
      <c r="W267" s="129"/>
      <c r="X267" s="129">
        <v>3</v>
      </c>
      <c r="Y267" s="170"/>
      <c r="Z267" s="169" t="s">
        <v>63</v>
      </c>
      <c r="AA267" s="171">
        <v>12</v>
      </c>
      <c r="AB267" s="171">
        <v>4</v>
      </c>
      <c r="AC267" s="172">
        <v>25</v>
      </c>
      <c r="AD267" s="172" t="s">
        <v>80</v>
      </c>
      <c r="AE267" s="172" t="s">
        <v>116</v>
      </c>
      <c r="AF267" s="172">
        <v>6</v>
      </c>
      <c r="AG267" s="172" t="s">
        <v>80</v>
      </c>
      <c r="AH267" s="172" t="s">
        <v>117</v>
      </c>
      <c r="AI267" s="172">
        <v>18</v>
      </c>
      <c r="AJ267" s="172">
        <v>38</v>
      </c>
      <c r="AK267" s="171">
        <v>74</v>
      </c>
      <c r="AL267" s="171" t="s">
        <v>81</v>
      </c>
      <c r="AM267" s="171" t="s">
        <v>118</v>
      </c>
      <c r="AN267" s="171">
        <v>16</v>
      </c>
      <c r="AO267" s="171" t="s">
        <v>81</v>
      </c>
      <c r="AP267" s="173" t="s">
        <v>117</v>
      </c>
      <c r="AQ267" s="171">
        <v>55</v>
      </c>
      <c r="AR267" s="171">
        <v>108</v>
      </c>
      <c r="AS267" s="172"/>
      <c r="AT267" s="172"/>
      <c r="AU267" s="172"/>
      <c r="AV267" s="172"/>
      <c r="AW267" s="172"/>
      <c r="AX267" s="172"/>
      <c r="AY267" s="172"/>
      <c r="AZ267" s="172"/>
      <c r="BA267" s="171"/>
      <c r="BB267" s="171"/>
      <c r="BC267" s="171"/>
      <c r="BD267" s="171"/>
      <c r="BE267" s="171"/>
      <c r="BF267" s="171"/>
      <c r="BG267" s="171"/>
      <c r="BH267" s="171"/>
      <c r="BI267" s="172"/>
      <c r="BJ267" s="172"/>
      <c r="BK267" s="172"/>
      <c r="BL267" s="172"/>
      <c r="BM267" s="172"/>
      <c r="BN267" s="172"/>
      <c r="BO267" s="172"/>
      <c r="BP267" s="172"/>
      <c r="BQ267" s="171" t="s">
        <v>214</v>
      </c>
      <c r="BR267" s="172" t="s">
        <v>774</v>
      </c>
      <c r="BS267" s="2">
        <v>293</v>
      </c>
      <c r="BT267" s="2" t="s">
        <v>584</v>
      </c>
    </row>
    <row r="268" spans="1:72" ht="12.75" hidden="1" customHeight="1" x14ac:dyDescent="0.2">
      <c r="A268" s="205">
        <v>294</v>
      </c>
      <c r="B268" s="233" t="s">
        <v>772</v>
      </c>
      <c r="C268" s="263" t="s">
        <v>773</v>
      </c>
      <c r="D268" s="233" t="s">
        <v>775</v>
      </c>
      <c r="E268" s="125" t="s">
        <v>102</v>
      </c>
      <c r="F268" s="181" t="s">
        <v>103</v>
      </c>
      <c r="G268" s="156" t="s">
        <v>56</v>
      </c>
      <c r="H268" s="156" t="s">
        <v>535</v>
      </c>
      <c r="I268" s="156" t="s">
        <v>770</v>
      </c>
      <c r="J268" s="208">
        <v>1</v>
      </c>
      <c r="K268" s="209"/>
      <c r="L268" s="209" t="s">
        <v>58</v>
      </c>
      <c r="M268" s="208" t="s">
        <v>78</v>
      </c>
      <c r="N268" s="208">
        <v>108</v>
      </c>
      <c r="O268" s="208" t="s">
        <v>60</v>
      </c>
      <c r="P268" s="208" t="s">
        <v>79</v>
      </c>
      <c r="Q268" s="210"/>
      <c r="R268" s="210"/>
      <c r="S268" s="211"/>
      <c r="T268" s="210"/>
      <c r="U268" s="210"/>
      <c r="V268" s="170"/>
      <c r="W268" s="129"/>
      <c r="X268" s="129">
        <v>3</v>
      </c>
      <c r="Y268" s="170"/>
      <c r="Z268" s="169" t="s">
        <v>63</v>
      </c>
      <c r="AA268" s="171">
        <v>12</v>
      </c>
      <c r="AB268" s="171">
        <v>4</v>
      </c>
      <c r="AC268" s="172">
        <v>25</v>
      </c>
      <c r="AD268" s="172" t="s">
        <v>80</v>
      </c>
      <c r="AE268" s="172" t="s">
        <v>116</v>
      </c>
      <c r="AF268" s="172">
        <v>6</v>
      </c>
      <c r="AG268" s="172" t="s">
        <v>80</v>
      </c>
      <c r="AH268" s="172" t="s">
        <v>117</v>
      </c>
      <c r="AI268" s="172">
        <v>18</v>
      </c>
      <c r="AJ268" s="172">
        <v>38</v>
      </c>
      <c r="AK268" s="171">
        <v>74</v>
      </c>
      <c r="AL268" s="171" t="s">
        <v>81</v>
      </c>
      <c r="AM268" s="171" t="s">
        <v>118</v>
      </c>
      <c r="AN268" s="171">
        <v>16</v>
      </c>
      <c r="AO268" s="171" t="s">
        <v>81</v>
      </c>
      <c r="AP268" s="173" t="s">
        <v>117</v>
      </c>
      <c r="AQ268" s="171">
        <v>55</v>
      </c>
      <c r="AR268" s="171">
        <v>108</v>
      </c>
      <c r="AS268" s="172"/>
      <c r="AT268" s="172"/>
      <c r="AU268" s="172"/>
      <c r="AV268" s="172"/>
      <c r="AW268" s="172"/>
      <c r="AX268" s="172"/>
      <c r="AY268" s="172"/>
      <c r="AZ268" s="172"/>
      <c r="BA268" s="171"/>
      <c r="BB268" s="171"/>
      <c r="BC268" s="171"/>
      <c r="BD268" s="171"/>
      <c r="BE268" s="171"/>
      <c r="BF268" s="171"/>
      <c r="BG268" s="171"/>
      <c r="BH268" s="171"/>
      <c r="BI268" s="172"/>
      <c r="BJ268" s="172"/>
      <c r="BK268" s="172"/>
      <c r="BL268" s="172"/>
      <c r="BM268" s="172"/>
      <c r="BN268" s="172"/>
      <c r="BO268" s="172"/>
      <c r="BP268" s="172"/>
      <c r="BQ268" s="171" t="s">
        <v>214</v>
      </c>
      <c r="BR268" s="172" t="s">
        <v>774</v>
      </c>
      <c r="BS268" s="2">
        <v>294</v>
      </c>
      <c r="BT268" s="2" t="s">
        <v>584</v>
      </c>
    </row>
    <row r="269" spans="1:72" ht="12.75" hidden="1" customHeight="1" x14ac:dyDescent="0.2">
      <c r="A269" s="205">
        <v>295</v>
      </c>
      <c r="B269" s="233" t="s">
        <v>772</v>
      </c>
      <c r="C269" s="263" t="s">
        <v>773</v>
      </c>
      <c r="D269" s="233" t="s">
        <v>776</v>
      </c>
      <c r="E269" s="125" t="s">
        <v>102</v>
      </c>
      <c r="F269" s="181" t="s">
        <v>103</v>
      </c>
      <c r="G269" s="156" t="s">
        <v>56</v>
      </c>
      <c r="H269" s="156" t="s">
        <v>535</v>
      </c>
      <c r="I269" s="156" t="s">
        <v>770</v>
      </c>
      <c r="J269" s="208">
        <v>1</v>
      </c>
      <c r="K269" s="209"/>
      <c r="L269" s="209" t="s">
        <v>58</v>
      </c>
      <c r="M269" s="208" t="s">
        <v>78</v>
      </c>
      <c r="N269" s="208">
        <v>108</v>
      </c>
      <c r="O269" s="208" t="s">
        <v>60</v>
      </c>
      <c r="P269" s="208" t="s">
        <v>79</v>
      </c>
      <c r="Q269" s="210"/>
      <c r="R269" s="210"/>
      <c r="S269" s="211"/>
      <c r="T269" s="210"/>
      <c r="U269" s="210"/>
      <c r="V269" s="170"/>
      <c r="W269" s="129"/>
      <c r="X269" s="129">
        <v>3</v>
      </c>
      <c r="Y269" s="170"/>
      <c r="Z269" s="169" t="s">
        <v>63</v>
      </c>
      <c r="AA269" s="171">
        <v>12</v>
      </c>
      <c r="AB269" s="171">
        <v>4</v>
      </c>
      <c r="AC269" s="172">
        <v>25</v>
      </c>
      <c r="AD269" s="172" t="s">
        <v>80</v>
      </c>
      <c r="AE269" s="172" t="s">
        <v>116</v>
      </c>
      <c r="AF269" s="172">
        <v>6</v>
      </c>
      <c r="AG269" s="172" t="s">
        <v>80</v>
      </c>
      <c r="AH269" s="172" t="s">
        <v>117</v>
      </c>
      <c r="AI269" s="172">
        <v>18</v>
      </c>
      <c r="AJ269" s="172">
        <v>38</v>
      </c>
      <c r="AK269" s="171">
        <v>74</v>
      </c>
      <c r="AL269" s="171" t="s">
        <v>81</v>
      </c>
      <c r="AM269" s="171" t="s">
        <v>118</v>
      </c>
      <c r="AN269" s="171">
        <v>16</v>
      </c>
      <c r="AO269" s="171" t="s">
        <v>81</v>
      </c>
      <c r="AP269" s="173" t="s">
        <v>117</v>
      </c>
      <c r="AQ269" s="171">
        <v>55</v>
      </c>
      <c r="AR269" s="171">
        <v>108</v>
      </c>
      <c r="AS269" s="172"/>
      <c r="AT269" s="172"/>
      <c r="AU269" s="172"/>
      <c r="AV269" s="172"/>
      <c r="AW269" s="172"/>
      <c r="AX269" s="172"/>
      <c r="AY269" s="172"/>
      <c r="AZ269" s="172"/>
      <c r="BA269" s="171"/>
      <c r="BB269" s="171"/>
      <c r="BC269" s="171"/>
      <c r="BD269" s="171"/>
      <c r="BE269" s="171"/>
      <c r="BF269" s="171"/>
      <c r="BG269" s="171"/>
      <c r="BH269" s="171"/>
      <c r="BI269" s="172"/>
      <c r="BJ269" s="172"/>
      <c r="BK269" s="172"/>
      <c r="BL269" s="172"/>
      <c r="BM269" s="172"/>
      <c r="BN269" s="172"/>
      <c r="BO269" s="172"/>
      <c r="BP269" s="172"/>
      <c r="BQ269" s="171" t="s">
        <v>214</v>
      </c>
      <c r="BR269" s="172" t="s">
        <v>774</v>
      </c>
      <c r="BS269" s="2">
        <v>295</v>
      </c>
      <c r="BT269" s="2" t="s">
        <v>584</v>
      </c>
    </row>
    <row r="270" spans="1:72" ht="12.75" hidden="1" customHeight="1" x14ac:dyDescent="0.2">
      <c r="A270" s="205">
        <v>296</v>
      </c>
      <c r="B270" s="233" t="s">
        <v>772</v>
      </c>
      <c r="C270" s="263" t="s">
        <v>773</v>
      </c>
      <c r="D270" s="233" t="s">
        <v>777</v>
      </c>
      <c r="E270" s="125" t="s">
        <v>102</v>
      </c>
      <c r="F270" s="181" t="s">
        <v>103</v>
      </c>
      <c r="G270" s="156" t="s">
        <v>56</v>
      </c>
      <c r="H270" s="156" t="s">
        <v>535</v>
      </c>
      <c r="I270" s="156" t="s">
        <v>770</v>
      </c>
      <c r="J270" s="208">
        <v>1</v>
      </c>
      <c r="K270" s="209"/>
      <c r="L270" s="209" t="s">
        <v>58</v>
      </c>
      <c r="M270" s="208" t="s">
        <v>78</v>
      </c>
      <c r="N270" s="208">
        <v>108</v>
      </c>
      <c r="O270" s="208" t="s">
        <v>60</v>
      </c>
      <c r="P270" s="208" t="s">
        <v>79</v>
      </c>
      <c r="Q270" s="210"/>
      <c r="R270" s="210"/>
      <c r="S270" s="211"/>
      <c r="T270" s="210"/>
      <c r="U270" s="210"/>
      <c r="V270" s="170"/>
      <c r="W270" s="129"/>
      <c r="X270" s="129">
        <v>3</v>
      </c>
      <c r="Y270" s="170"/>
      <c r="Z270" s="169" t="s">
        <v>63</v>
      </c>
      <c r="AA270" s="171">
        <v>12</v>
      </c>
      <c r="AB270" s="171">
        <v>4</v>
      </c>
      <c r="AC270" s="172">
        <v>25</v>
      </c>
      <c r="AD270" s="172" t="s">
        <v>80</v>
      </c>
      <c r="AE270" s="172" t="s">
        <v>116</v>
      </c>
      <c r="AF270" s="172">
        <v>6</v>
      </c>
      <c r="AG270" s="172" t="s">
        <v>80</v>
      </c>
      <c r="AH270" s="172" t="s">
        <v>117</v>
      </c>
      <c r="AI270" s="172">
        <v>18</v>
      </c>
      <c r="AJ270" s="172">
        <v>38</v>
      </c>
      <c r="AK270" s="171">
        <v>74</v>
      </c>
      <c r="AL270" s="171" t="s">
        <v>81</v>
      </c>
      <c r="AM270" s="171" t="s">
        <v>118</v>
      </c>
      <c r="AN270" s="171">
        <v>16</v>
      </c>
      <c r="AO270" s="171" t="s">
        <v>81</v>
      </c>
      <c r="AP270" s="173" t="s">
        <v>117</v>
      </c>
      <c r="AQ270" s="171">
        <v>55</v>
      </c>
      <c r="AR270" s="171">
        <v>108</v>
      </c>
      <c r="AS270" s="172"/>
      <c r="AT270" s="172"/>
      <c r="AU270" s="172"/>
      <c r="AV270" s="172"/>
      <c r="AW270" s="172"/>
      <c r="AX270" s="172"/>
      <c r="AY270" s="172"/>
      <c r="AZ270" s="172"/>
      <c r="BA270" s="171"/>
      <c r="BB270" s="171"/>
      <c r="BC270" s="171"/>
      <c r="BD270" s="171"/>
      <c r="BE270" s="171"/>
      <c r="BF270" s="171"/>
      <c r="BG270" s="171"/>
      <c r="BH270" s="171"/>
      <c r="BI270" s="172"/>
      <c r="BJ270" s="172"/>
      <c r="BK270" s="172"/>
      <c r="BL270" s="172"/>
      <c r="BM270" s="172"/>
      <c r="BN270" s="172"/>
      <c r="BO270" s="172"/>
      <c r="BP270" s="172"/>
      <c r="BQ270" s="171" t="s">
        <v>214</v>
      </c>
      <c r="BR270" s="172" t="s">
        <v>774</v>
      </c>
      <c r="BS270" s="2">
        <v>296</v>
      </c>
      <c r="BT270" s="2" t="s">
        <v>584</v>
      </c>
    </row>
    <row r="271" spans="1:72" ht="12.75" hidden="1" customHeight="1" x14ac:dyDescent="0.2">
      <c r="A271" s="205">
        <v>297</v>
      </c>
      <c r="B271" s="233" t="s">
        <v>772</v>
      </c>
      <c r="C271" s="263" t="s">
        <v>773</v>
      </c>
      <c r="D271" s="233" t="s">
        <v>778</v>
      </c>
      <c r="E271" s="125" t="s">
        <v>102</v>
      </c>
      <c r="F271" s="181" t="s">
        <v>103</v>
      </c>
      <c r="G271" s="156" t="s">
        <v>56</v>
      </c>
      <c r="H271" s="156" t="s">
        <v>535</v>
      </c>
      <c r="I271" s="156" t="s">
        <v>770</v>
      </c>
      <c r="J271" s="208">
        <v>1</v>
      </c>
      <c r="K271" s="209"/>
      <c r="L271" s="209" t="s">
        <v>58</v>
      </c>
      <c r="M271" s="208" t="s">
        <v>78</v>
      </c>
      <c r="N271" s="208">
        <v>108</v>
      </c>
      <c r="O271" s="208" t="s">
        <v>60</v>
      </c>
      <c r="P271" s="208" t="s">
        <v>79</v>
      </c>
      <c r="Q271" s="210"/>
      <c r="R271" s="210"/>
      <c r="S271" s="211"/>
      <c r="T271" s="210"/>
      <c r="U271" s="210"/>
      <c r="V271" s="170"/>
      <c r="W271" s="129"/>
      <c r="X271" s="129">
        <v>3</v>
      </c>
      <c r="Y271" s="170"/>
      <c r="Z271" s="169" t="s">
        <v>63</v>
      </c>
      <c r="AA271" s="171">
        <v>12</v>
      </c>
      <c r="AB271" s="171">
        <v>4</v>
      </c>
      <c r="AC271" s="172">
        <v>25</v>
      </c>
      <c r="AD271" s="172" t="s">
        <v>80</v>
      </c>
      <c r="AE271" s="172" t="s">
        <v>116</v>
      </c>
      <c r="AF271" s="172">
        <v>6</v>
      </c>
      <c r="AG271" s="172" t="s">
        <v>80</v>
      </c>
      <c r="AH271" s="172" t="s">
        <v>117</v>
      </c>
      <c r="AI271" s="172">
        <v>18</v>
      </c>
      <c r="AJ271" s="172">
        <v>38</v>
      </c>
      <c r="AK271" s="171">
        <v>74</v>
      </c>
      <c r="AL271" s="171" t="s">
        <v>81</v>
      </c>
      <c r="AM271" s="171" t="s">
        <v>118</v>
      </c>
      <c r="AN271" s="171">
        <v>16</v>
      </c>
      <c r="AO271" s="171" t="s">
        <v>81</v>
      </c>
      <c r="AP271" s="173" t="s">
        <v>117</v>
      </c>
      <c r="AQ271" s="171">
        <v>55</v>
      </c>
      <c r="AR271" s="171">
        <v>108</v>
      </c>
      <c r="AS271" s="172"/>
      <c r="AT271" s="172"/>
      <c r="AU271" s="172"/>
      <c r="AV271" s="172"/>
      <c r="AW271" s="172"/>
      <c r="AX271" s="172"/>
      <c r="AY271" s="172"/>
      <c r="AZ271" s="172"/>
      <c r="BA271" s="171"/>
      <c r="BB271" s="171"/>
      <c r="BC271" s="171"/>
      <c r="BD271" s="171"/>
      <c r="BE271" s="171"/>
      <c r="BF271" s="171"/>
      <c r="BG271" s="171"/>
      <c r="BH271" s="171"/>
      <c r="BI271" s="172"/>
      <c r="BJ271" s="172"/>
      <c r="BK271" s="172"/>
      <c r="BL271" s="172"/>
      <c r="BM271" s="172"/>
      <c r="BN271" s="172"/>
      <c r="BO271" s="172"/>
      <c r="BP271" s="172"/>
      <c r="BQ271" s="171" t="s">
        <v>214</v>
      </c>
      <c r="BR271" s="172" t="s">
        <v>774</v>
      </c>
      <c r="BS271" s="2">
        <v>297</v>
      </c>
      <c r="BT271" s="2" t="s">
        <v>584</v>
      </c>
    </row>
    <row r="272" spans="1:72" ht="12.75" hidden="1" customHeight="1" x14ac:dyDescent="0.2">
      <c r="A272" s="205">
        <v>298</v>
      </c>
      <c r="B272" s="233" t="s">
        <v>772</v>
      </c>
      <c r="C272" s="263" t="s">
        <v>773</v>
      </c>
      <c r="D272" s="233" t="s">
        <v>333</v>
      </c>
      <c r="E272" s="125" t="s">
        <v>339</v>
      </c>
      <c r="F272" s="181" t="s">
        <v>103</v>
      </c>
      <c r="G272" s="156" t="s">
        <v>56</v>
      </c>
      <c r="H272" s="156" t="s">
        <v>540</v>
      </c>
      <c r="I272" s="156" t="s">
        <v>770</v>
      </c>
      <c r="J272" s="208">
        <v>15</v>
      </c>
      <c r="K272" s="244"/>
      <c r="L272" s="209" t="s">
        <v>212</v>
      </c>
      <c r="M272" s="208" t="s">
        <v>78</v>
      </c>
      <c r="N272" s="208">
        <v>0</v>
      </c>
      <c r="O272" s="208" t="s">
        <v>60</v>
      </c>
      <c r="P272" s="208" t="s">
        <v>79</v>
      </c>
      <c r="Q272" s="210"/>
      <c r="R272" s="210"/>
      <c r="S272" s="211"/>
      <c r="T272" s="210"/>
      <c r="U272" s="210"/>
      <c r="V272" s="170"/>
      <c r="W272" s="129"/>
      <c r="X272" s="129">
        <v>2</v>
      </c>
      <c r="Y272" s="170"/>
      <c r="Z272" s="169" t="s">
        <v>63</v>
      </c>
      <c r="AA272" s="171">
        <v>12</v>
      </c>
      <c r="AB272" s="171">
        <v>4</v>
      </c>
      <c r="AC272" s="172">
        <v>25</v>
      </c>
      <c r="AD272" s="172" t="s">
        <v>80</v>
      </c>
      <c r="AE272" s="172" t="s">
        <v>116</v>
      </c>
      <c r="AF272" s="172">
        <v>6</v>
      </c>
      <c r="AG272" s="172" t="s">
        <v>80</v>
      </c>
      <c r="AH272" s="172" t="s">
        <v>117</v>
      </c>
      <c r="AI272" s="172">
        <v>18</v>
      </c>
      <c r="AJ272" s="172">
        <v>38</v>
      </c>
      <c r="AK272" s="171">
        <v>74</v>
      </c>
      <c r="AL272" s="171" t="s">
        <v>81</v>
      </c>
      <c r="AM272" s="171" t="s">
        <v>118</v>
      </c>
      <c r="AN272" s="171">
        <v>16</v>
      </c>
      <c r="AO272" s="171" t="s">
        <v>81</v>
      </c>
      <c r="AP272" s="173" t="s">
        <v>117</v>
      </c>
      <c r="AQ272" s="171">
        <v>55</v>
      </c>
      <c r="AR272" s="171">
        <v>108</v>
      </c>
      <c r="AS272" s="172"/>
      <c r="AT272" s="172"/>
      <c r="AU272" s="172"/>
      <c r="AV272" s="172"/>
      <c r="AW272" s="172"/>
      <c r="AX272" s="172"/>
      <c r="AY272" s="172"/>
      <c r="AZ272" s="172"/>
      <c r="BA272" s="171"/>
      <c r="BB272" s="171"/>
      <c r="BC272" s="171"/>
      <c r="BD272" s="171"/>
      <c r="BE272" s="171"/>
      <c r="BF272" s="171"/>
      <c r="BG272" s="171"/>
      <c r="BH272" s="171"/>
      <c r="BI272" s="172"/>
      <c r="BJ272" s="172"/>
      <c r="BK272" s="172"/>
      <c r="BL272" s="172"/>
      <c r="BM272" s="172"/>
      <c r="BN272" s="172"/>
      <c r="BO272" s="172"/>
      <c r="BP272" s="172"/>
      <c r="BQ272" s="171" t="s">
        <v>214</v>
      </c>
      <c r="BR272" s="172" t="s">
        <v>774</v>
      </c>
      <c r="BS272" s="2">
        <v>298</v>
      </c>
      <c r="BT272" s="2" t="s">
        <v>584</v>
      </c>
    </row>
    <row r="273" spans="1:72" ht="12.75" hidden="1" customHeight="1" x14ac:dyDescent="0.2">
      <c r="A273" s="205">
        <v>299</v>
      </c>
      <c r="B273" s="233" t="s">
        <v>772</v>
      </c>
      <c r="C273" s="263" t="s">
        <v>773</v>
      </c>
      <c r="D273" s="233" t="s">
        <v>775</v>
      </c>
      <c r="E273" s="125" t="s">
        <v>339</v>
      </c>
      <c r="F273" s="181" t="s">
        <v>103</v>
      </c>
      <c r="G273" s="156" t="s">
        <v>56</v>
      </c>
      <c r="H273" s="156" t="s">
        <v>540</v>
      </c>
      <c r="I273" s="156" t="s">
        <v>770</v>
      </c>
      <c r="J273" s="208">
        <v>15</v>
      </c>
      <c r="K273" s="244"/>
      <c r="L273" s="209" t="s">
        <v>212</v>
      </c>
      <c r="M273" s="208" t="s">
        <v>78</v>
      </c>
      <c r="N273" s="208">
        <v>109</v>
      </c>
      <c r="O273" s="208" t="s">
        <v>60</v>
      </c>
      <c r="P273" s="208" t="s">
        <v>79</v>
      </c>
      <c r="Q273" s="210"/>
      <c r="R273" s="210"/>
      <c r="S273" s="211"/>
      <c r="T273" s="210"/>
      <c r="U273" s="210"/>
      <c r="V273" s="170"/>
      <c r="W273" s="129"/>
      <c r="X273" s="129">
        <v>2</v>
      </c>
      <c r="Y273" s="170"/>
      <c r="Z273" s="169" t="s">
        <v>63</v>
      </c>
      <c r="AA273" s="171">
        <v>12</v>
      </c>
      <c r="AB273" s="171">
        <v>4</v>
      </c>
      <c r="AC273" s="172">
        <v>25</v>
      </c>
      <c r="AD273" s="172" t="s">
        <v>80</v>
      </c>
      <c r="AE273" s="172" t="s">
        <v>116</v>
      </c>
      <c r="AF273" s="172">
        <v>6</v>
      </c>
      <c r="AG273" s="172" t="s">
        <v>80</v>
      </c>
      <c r="AH273" s="172" t="s">
        <v>117</v>
      </c>
      <c r="AI273" s="172">
        <v>18</v>
      </c>
      <c r="AJ273" s="172">
        <v>38</v>
      </c>
      <c r="AK273" s="171">
        <v>74</v>
      </c>
      <c r="AL273" s="171" t="s">
        <v>81</v>
      </c>
      <c r="AM273" s="171" t="s">
        <v>118</v>
      </c>
      <c r="AN273" s="171">
        <v>16</v>
      </c>
      <c r="AO273" s="171" t="s">
        <v>81</v>
      </c>
      <c r="AP273" s="173" t="s">
        <v>117</v>
      </c>
      <c r="AQ273" s="171">
        <v>55</v>
      </c>
      <c r="AR273" s="171">
        <v>108</v>
      </c>
      <c r="AS273" s="172"/>
      <c r="AT273" s="172"/>
      <c r="AU273" s="172"/>
      <c r="AV273" s="172"/>
      <c r="AW273" s="172"/>
      <c r="AX273" s="172"/>
      <c r="AY273" s="172"/>
      <c r="AZ273" s="172"/>
      <c r="BA273" s="171"/>
      <c r="BB273" s="171"/>
      <c r="BC273" s="171"/>
      <c r="BD273" s="171"/>
      <c r="BE273" s="171"/>
      <c r="BF273" s="171"/>
      <c r="BG273" s="171"/>
      <c r="BH273" s="171"/>
      <c r="BI273" s="172"/>
      <c r="BJ273" s="172"/>
      <c r="BK273" s="172"/>
      <c r="BL273" s="172"/>
      <c r="BM273" s="172"/>
      <c r="BN273" s="172"/>
      <c r="BO273" s="172"/>
      <c r="BP273" s="172"/>
      <c r="BQ273" s="171" t="s">
        <v>214</v>
      </c>
      <c r="BR273" s="172" t="s">
        <v>774</v>
      </c>
      <c r="BS273" s="2">
        <v>299</v>
      </c>
      <c r="BT273" s="2" t="s">
        <v>584</v>
      </c>
    </row>
    <row r="274" spans="1:72" ht="12.75" hidden="1" customHeight="1" x14ac:dyDescent="0.2">
      <c r="A274" s="205">
        <v>300</v>
      </c>
      <c r="B274" s="233" t="s">
        <v>772</v>
      </c>
      <c r="C274" s="263" t="s">
        <v>773</v>
      </c>
      <c r="D274" s="233" t="s">
        <v>776</v>
      </c>
      <c r="E274" s="125" t="s">
        <v>339</v>
      </c>
      <c r="F274" s="181" t="s">
        <v>103</v>
      </c>
      <c r="G274" s="156" t="s">
        <v>56</v>
      </c>
      <c r="H274" s="156" t="s">
        <v>540</v>
      </c>
      <c r="I274" s="156" t="s">
        <v>770</v>
      </c>
      <c r="J274" s="208">
        <v>15</v>
      </c>
      <c r="K274" s="244"/>
      <c r="L274" s="209" t="s">
        <v>212</v>
      </c>
      <c r="M274" s="208" t="s">
        <v>78</v>
      </c>
      <c r="N274" s="208">
        <v>109</v>
      </c>
      <c r="O274" s="208" t="s">
        <v>60</v>
      </c>
      <c r="P274" s="208" t="s">
        <v>79</v>
      </c>
      <c r="Q274" s="210"/>
      <c r="R274" s="210"/>
      <c r="S274" s="211"/>
      <c r="T274" s="210"/>
      <c r="U274" s="210"/>
      <c r="V274" s="170"/>
      <c r="W274" s="129"/>
      <c r="X274" s="129">
        <v>2</v>
      </c>
      <c r="Y274" s="170"/>
      <c r="Z274" s="169" t="s">
        <v>63</v>
      </c>
      <c r="AA274" s="171">
        <v>12</v>
      </c>
      <c r="AB274" s="171">
        <v>4</v>
      </c>
      <c r="AC274" s="172">
        <v>25</v>
      </c>
      <c r="AD274" s="172" t="s">
        <v>80</v>
      </c>
      <c r="AE274" s="172" t="s">
        <v>116</v>
      </c>
      <c r="AF274" s="172">
        <v>6</v>
      </c>
      <c r="AG274" s="172" t="s">
        <v>80</v>
      </c>
      <c r="AH274" s="172" t="s">
        <v>117</v>
      </c>
      <c r="AI274" s="172">
        <v>18</v>
      </c>
      <c r="AJ274" s="172">
        <v>38</v>
      </c>
      <c r="AK274" s="171">
        <v>74</v>
      </c>
      <c r="AL274" s="171" t="s">
        <v>81</v>
      </c>
      <c r="AM274" s="171" t="s">
        <v>118</v>
      </c>
      <c r="AN274" s="171">
        <v>16</v>
      </c>
      <c r="AO274" s="171" t="s">
        <v>81</v>
      </c>
      <c r="AP274" s="173" t="s">
        <v>117</v>
      </c>
      <c r="AQ274" s="171">
        <v>55</v>
      </c>
      <c r="AR274" s="171">
        <v>108</v>
      </c>
      <c r="AS274" s="172"/>
      <c r="AT274" s="172"/>
      <c r="AU274" s="172"/>
      <c r="AV274" s="172"/>
      <c r="AW274" s="172"/>
      <c r="AX274" s="172"/>
      <c r="AY274" s="172"/>
      <c r="AZ274" s="172"/>
      <c r="BA274" s="171"/>
      <c r="BB274" s="171"/>
      <c r="BC274" s="171"/>
      <c r="BD274" s="171"/>
      <c r="BE274" s="171"/>
      <c r="BF274" s="171"/>
      <c r="BG274" s="171"/>
      <c r="BH274" s="171"/>
      <c r="BI274" s="172"/>
      <c r="BJ274" s="172"/>
      <c r="BK274" s="172"/>
      <c r="BL274" s="172"/>
      <c r="BM274" s="172"/>
      <c r="BN274" s="172"/>
      <c r="BO274" s="172"/>
      <c r="BP274" s="172"/>
      <c r="BQ274" s="171" t="s">
        <v>214</v>
      </c>
      <c r="BR274" s="172" t="s">
        <v>774</v>
      </c>
      <c r="BS274" s="2">
        <v>300</v>
      </c>
      <c r="BT274" s="2" t="s">
        <v>584</v>
      </c>
    </row>
    <row r="275" spans="1:72" ht="12.75" hidden="1" customHeight="1" x14ac:dyDescent="0.2">
      <c r="A275" s="205">
        <v>301</v>
      </c>
      <c r="B275" s="233" t="s">
        <v>772</v>
      </c>
      <c r="C275" s="263" t="s">
        <v>773</v>
      </c>
      <c r="D275" s="233" t="s">
        <v>777</v>
      </c>
      <c r="E275" s="125" t="s">
        <v>339</v>
      </c>
      <c r="F275" s="181" t="s">
        <v>103</v>
      </c>
      <c r="G275" s="156" t="s">
        <v>56</v>
      </c>
      <c r="H275" s="156" t="s">
        <v>540</v>
      </c>
      <c r="I275" s="156" t="s">
        <v>770</v>
      </c>
      <c r="J275" s="208">
        <v>15</v>
      </c>
      <c r="K275" s="244"/>
      <c r="L275" s="209" t="s">
        <v>212</v>
      </c>
      <c r="M275" s="208" t="s">
        <v>78</v>
      </c>
      <c r="N275" s="208">
        <v>109</v>
      </c>
      <c r="O275" s="208" t="s">
        <v>60</v>
      </c>
      <c r="P275" s="208" t="s">
        <v>79</v>
      </c>
      <c r="Q275" s="210"/>
      <c r="R275" s="210"/>
      <c r="S275" s="211"/>
      <c r="T275" s="210"/>
      <c r="U275" s="210"/>
      <c r="V275" s="170"/>
      <c r="W275" s="129"/>
      <c r="X275" s="129">
        <v>2</v>
      </c>
      <c r="Y275" s="170"/>
      <c r="Z275" s="169" t="s">
        <v>63</v>
      </c>
      <c r="AA275" s="171">
        <v>12</v>
      </c>
      <c r="AB275" s="171">
        <v>4</v>
      </c>
      <c r="AC275" s="172">
        <v>25</v>
      </c>
      <c r="AD275" s="172" t="s">
        <v>80</v>
      </c>
      <c r="AE275" s="172" t="s">
        <v>116</v>
      </c>
      <c r="AF275" s="172">
        <v>6</v>
      </c>
      <c r="AG275" s="172" t="s">
        <v>80</v>
      </c>
      <c r="AH275" s="172" t="s">
        <v>117</v>
      </c>
      <c r="AI275" s="172">
        <v>18</v>
      </c>
      <c r="AJ275" s="172">
        <v>38</v>
      </c>
      <c r="AK275" s="171">
        <v>74</v>
      </c>
      <c r="AL275" s="171" t="s">
        <v>81</v>
      </c>
      <c r="AM275" s="171" t="s">
        <v>118</v>
      </c>
      <c r="AN275" s="171">
        <v>16</v>
      </c>
      <c r="AO275" s="171" t="s">
        <v>81</v>
      </c>
      <c r="AP275" s="173" t="s">
        <v>117</v>
      </c>
      <c r="AQ275" s="171">
        <v>55</v>
      </c>
      <c r="AR275" s="171">
        <v>108</v>
      </c>
      <c r="AS275" s="172"/>
      <c r="AT275" s="172"/>
      <c r="AU275" s="172"/>
      <c r="AV275" s="172"/>
      <c r="AW275" s="172"/>
      <c r="AX275" s="172"/>
      <c r="AY275" s="172"/>
      <c r="AZ275" s="172"/>
      <c r="BA275" s="171"/>
      <c r="BB275" s="171"/>
      <c r="BC275" s="171"/>
      <c r="BD275" s="171"/>
      <c r="BE275" s="171"/>
      <c r="BF275" s="171"/>
      <c r="BG275" s="171"/>
      <c r="BH275" s="171"/>
      <c r="BI275" s="172"/>
      <c r="BJ275" s="172"/>
      <c r="BK275" s="172"/>
      <c r="BL275" s="172"/>
      <c r="BM275" s="172"/>
      <c r="BN275" s="172"/>
      <c r="BO275" s="172"/>
      <c r="BP275" s="172"/>
      <c r="BQ275" s="171" t="s">
        <v>214</v>
      </c>
      <c r="BR275" s="172" t="s">
        <v>774</v>
      </c>
      <c r="BS275" s="2">
        <v>301</v>
      </c>
      <c r="BT275" s="2" t="s">
        <v>584</v>
      </c>
    </row>
    <row r="276" spans="1:72" ht="12.75" hidden="1" customHeight="1" x14ac:dyDescent="0.2">
      <c r="A276" s="205">
        <v>302</v>
      </c>
      <c r="B276" s="233" t="s">
        <v>772</v>
      </c>
      <c r="C276" s="263" t="s">
        <v>773</v>
      </c>
      <c r="D276" s="233" t="s">
        <v>778</v>
      </c>
      <c r="E276" s="125" t="s">
        <v>339</v>
      </c>
      <c r="F276" s="181" t="s">
        <v>103</v>
      </c>
      <c r="G276" s="156" t="s">
        <v>56</v>
      </c>
      <c r="H276" s="156" t="s">
        <v>540</v>
      </c>
      <c r="I276" s="156" t="s">
        <v>770</v>
      </c>
      <c r="J276" s="208">
        <v>15</v>
      </c>
      <c r="K276" s="244"/>
      <c r="L276" s="209" t="s">
        <v>212</v>
      </c>
      <c r="M276" s="208" t="s">
        <v>78</v>
      </c>
      <c r="N276" s="208">
        <v>109</v>
      </c>
      <c r="O276" s="208" t="s">
        <v>60</v>
      </c>
      <c r="P276" s="208" t="s">
        <v>79</v>
      </c>
      <c r="Q276" s="210"/>
      <c r="R276" s="210"/>
      <c r="S276" s="211"/>
      <c r="T276" s="210"/>
      <c r="U276" s="210"/>
      <c r="V276" s="170"/>
      <c r="W276" s="129"/>
      <c r="X276" s="129">
        <v>2</v>
      </c>
      <c r="Y276" s="170"/>
      <c r="Z276" s="169" t="s">
        <v>63</v>
      </c>
      <c r="AA276" s="171">
        <v>12</v>
      </c>
      <c r="AB276" s="171">
        <v>4</v>
      </c>
      <c r="AC276" s="172">
        <v>25</v>
      </c>
      <c r="AD276" s="172" t="s">
        <v>80</v>
      </c>
      <c r="AE276" s="172" t="s">
        <v>116</v>
      </c>
      <c r="AF276" s="172">
        <v>6</v>
      </c>
      <c r="AG276" s="172" t="s">
        <v>80</v>
      </c>
      <c r="AH276" s="172" t="s">
        <v>117</v>
      </c>
      <c r="AI276" s="172">
        <v>18</v>
      </c>
      <c r="AJ276" s="172">
        <v>38</v>
      </c>
      <c r="AK276" s="171">
        <v>74</v>
      </c>
      <c r="AL276" s="171" t="s">
        <v>81</v>
      </c>
      <c r="AM276" s="171" t="s">
        <v>118</v>
      </c>
      <c r="AN276" s="171">
        <v>16</v>
      </c>
      <c r="AO276" s="171" t="s">
        <v>81</v>
      </c>
      <c r="AP276" s="173" t="s">
        <v>117</v>
      </c>
      <c r="AQ276" s="171">
        <v>55</v>
      </c>
      <c r="AR276" s="171">
        <v>108</v>
      </c>
      <c r="AS276" s="172"/>
      <c r="AT276" s="172"/>
      <c r="AU276" s="172"/>
      <c r="AV276" s="172"/>
      <c r="AW276" s="172"/>
      <c r="AX276" s="172"/>
      <c r="AY276" s="172"/>
      <c r="AZ276" s="172"/>
      <c r="BA276" s="171"/>
      <c r="BB276" s="171"/>
      <c r="BC276" s="171"/>
      <c r="BD276" s="171"/>
      <c r="BE276" s="171"/>
      <c r="BF276" s="171"/>
      <c r="BG276" s="171"/>
      <c r="BH276" s="171"/>
      <c r="BI276" s="172"/>
      <c r="BJ276" s="172"/>
      <c r="BK276" s="172"/>
      <c r="BL276" s="172"/>
      <c r="BM276" s="172"/>
      <c r="BN276" s="172"/>
      <c r="BO276" s="172"/>
      <c r="BP276" s="172"/>
      <c r="BQ276" s="171" t="s">
        <v>214</v>
      </c>
      <c r="BR276" s="172" t="s">
        <v>774</v>
      </c>
      <c r="BS276" s="2">
        <v>302</v>
      </c>
      <c r="BT276" s="2" t="s">
        <v>584</v>
      </c>
    </row>
    <row r="277" spans="1:72" ht="12.75" hidden="1" customHeight="1" x14ac:dyDescent="0.2">
      <c r="A277" s="205">
        <v>303</v>
      </c>
      <c r="B277" s="233" t="s">
        <v>772</v>
      </c>
      <c r="C277" s="263" t="s">
        <v>773</v>
      </c>
      <c r="D277" s="233" t="s">
        <v>683</v>
      </c>
      <c r="E277" s="125" t="s">
        <v>102</v>
      </c>
      <c r="F277" s="181" t="s">
        <v>103</v>
      </c>
      <c r="G277" s="156" t="s">
        <v>56</v>
      </c>
      <c r="H277" s="156" t="s">
        <v>1350</v>
      </c>
      <c r="I277" s="156" t="s">
        <v>770</v>
      </c>
      <c r="J277" s="208">
        <v>3</v>
      </c>
      <c r="K277" s="209"/>
      <c r="L277" s="209" t="s">
        <v>58</v>
      </c>
      <c r="M277" s="208" t="s">
        <v>59</v>
      </c>
      <c r="N277" s="208">
        <v>0</v>
      </c>
      <c r="O277" s="208" t="s">
        <v>60</v>
      </c>
      <c r="P277" s="208" t="s">
        <v>79</v>
      </c>
      <c r="Q277" s="210" t="s">
        <v>779</v>
      </c>
      <c r="R277" s="210"/>
      <c r="S277" s="211"/>
      <c r="T277" s="211">
        <v>100</v>
      </c>
      <c r="U277" s="210"/>
      <c r="V277" s="170"/>
      <c r="W277" s="129"/>
      <c r="X277" s="129">
        <v>3</v>
      </c>
      <c r="Y277" s="170"/>
      <c r="Z277" s="169" t="s">
        <v>63</v>
      </c>
      <c r="AA277" s="171">
        <v>12</v>
      </c>
      <c r="AB277" s="171">
        <v>4</v>
      </c>
      <c r="AC277" s="172">
        <v>25</v>
      </c>
      <c r="AD277" s="172" t="s">
        <v>80</v>
      </c>
      <c r="AE277" s="172" t="s">
        <v>116</v>
      </c>
      <c r="AF277" s="172">
        <v>6</v>
      </c>
      <c r="AG277" s="172" t="s">
        <v>80</v>
      </c>
      <c r="AH277" s="172" t="s">
        <v>117</v>
      </c>
      <c r="AI277" s="172">
        <v>18</v>
      </c>
      <c r="AJ277" s="172">
        <v>38</v>
      </c>
      <c r="AK277" s="171">
        <v>74</v>
      </c>
      <c r="AL277" s="171" t="s">
        <v>81</v>
      </c>
      <c r="AM277" s="171" t="s">
        <v>118</v>
      </c>
      <c r="AN277" s="171">
        <v>16</v>
      </c>
      <c r="AO277" s="171" t="s">
        <v>81</v>
      </c>
      <c r="AP277" s="173" t="s">
        <v>117</v>
      </c>
      <c r="AQ277" s="171">
        <v>55</v>
      </c>
      <c r="AR277" s="171">
        <v>108</v>
      </c>
      <c r="AS277" s="172"/>
      <c r="AT277" s="172"/>
      <c r="AU277" s="172"/>
      <c r="AV277" s="172"/>
      <c r="AW277" s="172"/>
      <c r="AX277" s="172"/>
      <c r="AY277" s="172"/>
      <c r="AZ277" s="172"/>
      <c r="BA277" s="171"/>
      <c r="BB277" s="171"/>
      <c r="BC277" s="171"/>
      <c r="BD277" s="171"/>
      <c r="BE277" s="171"/>
      <c r="BF277" s="171"/>
      <c r="BG277" s="171"/>
      <c r="BH277" s="171"/>
      <c r="BI277" s="172"/>
      <c r="BJ277" s="172"/>
      <c r="BK277" s="172"/>
      <c r="BL277" s="172"/>
      <c r="BM277" s="172"/>
      <c r="BN277" s="172"/>
      <c r="BO277" s="172"/>
      <c r="BP277" s="172"/>
      <c r="BQ277" s="171" t="s">
        <v>214</v>
      </c>
      <c r="BR277" s="172" t="s">
        <v>774</v>
      </c>
      <c r="BS277" s="2">
        <v>303</v>
      </c>
      <c r="BT277" s="2" t="s">
        <v>584</v>
      </c>
    </row>
    <row r="278" spans="1:72" ht="12.75" hidden="1" customHeight="1" x14ac:dyDescent="0.2">
      <c r="A278" s="205">
        <v>304</v>
      </c>
      <c r="B278" s="233" t="s">
        <v>772</v>
      </c>
      <c r="C278" s="263" t="s">
        <v>773</v>
      </c>
      <c r="D278" s="233" t="s">
        <v>780</v>
      </c>
      <c r="E278" s="125" t="s">
        <v>102</v>
      </c>
      <c r="F278" s="181" t="s">
        <v>103</v>
      </c>
      <c r="G278" s="156" t="s">
        <v>56</v>
      </c>
      <c r="H278" s="156" t="s">
        <v>1350</v>
      </c>
      <c r="I278" s="156" t="s">
        <v>770</v>
      </c>
      <c r="J278" s="208">
        <v>3</v>
      </c>
      <c r="K278" s="209"/>
      <c r="L278" s="209" t="s">
        <v>58</v>
      </c>
      <c r="M278" s="208" t="s">
        <v>59</v>
      </c>
      <c r="N278" s="208">
        <v>132</v>
      </c>
      <c r="O278" s="208" t="s">
        <v>60</v>
      </c>
      <c r="P278" s="208" t="s">
        <v>79</v>
      </c>
      <c r="Q278" s="210" t="s">
        <v>779</v>
      </c>
      <c r="R278" s="210"/>
      <c r="S278" s="211"/>
      <c r="T278" s="211">
        <v>100</v>
      </c>
      <c r="U278" s="210"/>
      <c r="V278" s="170"/>
      <c r="W278" s="129"/>
      <c r="X278" s="129">
        <v>3</v>
      </c>
      <c r="Y278" s="170"/>
      <c r="Z278" s="169" t="s">
        <v>63</v>
      </c>
      <c r="AA278" s="171">
        <v>12</v>
      </c>
      <c r="AB278" s="171">
        <v>4</v>
      </c>
      <c r="AC278" s="172">
        <v>25</v>
      </c>
      <c r="AD278" s="172" t="s">
        <v>80</v>
      </c>
      <c r="AE278" s="172" t="s">
        <v>116</v>
      </c>
      <c r="AF278" s="172">
        <v>6</v>
      </c>
      <c r="AG278" s="172" t="s">
        <v>80</v>
      </c>
      <c r="AH278" s="172" t="s">
        <v>117</v>
      </c>
      <c r="AI278" s="172">
        <v>18</v>
      </c>
      <c r="AJ278" s="172">
        <v>38</v>
      </c>
      <c r="AK278" s="171">
        <v>74</v>
      </c>
      <c r="AL278" s="171" t="s">
        <v>81</v>
      </c>
      <c r="AM278" s="171" t="s">
        <v>118</v>
      </c>
      <c r="AN278" s="171">
        <v>16</v>
      </c>
      <c r="AO278" s="171" t="s">
        <v>81</v>
      </c>
      <c r="AP278" s="173" t="s">
        <v>117</v>
      </c>
      <c r="AQ278" s="171">
        <v>55</v>
      </c>
      <c r="AR278" s="171">
        <v>108</v>
      </c>
      <c r="AS278" s="172"/>
      <c r="AT278" s="172"/>
      <c r="AU278" s="172"/>
      <c r="AV278" s="172"/>
      <c r="AW278" s="172"/>
      <c r="AX278" s="172"/>
      <c r="AY278" s="172"/>
      <c r="AZ278" s="172"/>
      <c r="BA278" s="171"/>
      <c r="BB278" s="171"/>
      <c r="BC278" s="171"/>
      <c r="BD278" s="171"/>
      <c r="BE278" s="171"/>
      <c r="BF278" s="171"/>
      <c r="BG278" s="171"/>
      <c r="BH278" s="171"/>
      <c r="BI278" s="172"/>
      <c r="BJ278" s="172"/>
      <c r="BK278" s="172"/>
      <c r="BL278" s="172"/>
      <c r="BM278" s="172"/>
      <c r="BN278" s="172"/>
      <c r="BO278" s="172"/>
      <c r="BP278" s="172"/>
      <c r="BQ278" s="171" t="s">
        <v>214</v>
      </c>
      <c r="BR278" s="172" t="s">
        <v>774</v>
      </c>
      <c r="BS278" s="2">
        <v>304</v>
      </c>
      <c r="BT278" s="2" t="s">
        <v>584</v>
      </c>
    </row>
    <row r="279" spans="1:72" ht="12.75" hidden="1" customHeight="1" x14ac:dyDescent="0.2">
      <c r="A279" s="205">
        <v>305</v>
      </c>
      <c r="B279" s="233" t="s">
        <v>772</v>
      </c>
      <c r="C279" s="263" t="s">
        <v>773</v>
      </c>
      <c r="D279" s="233" t="s">
        <v>781</v>
      </c>
      <c r="E279" s="125" t="s">
        <v>102</v>
      </c>
      <c r="F279" s="181" t="s">
        <v>103</v>
      </c>
      <c r="G279" s="156" t="s">
        <v>56</v>
      </c>
      <c r="H279" s="156" t="s">
        <v>1350</v>
      </c>
      <c r="I279" s="156" t="s">
        <v>770</v>
      </c>
      <c r="J279" s="208">
        <v>3</v>
      </c>
      <c r="K279" s="209"/>
      <c r="L279" s="209" t="s">
        <v>58</v>
      </c>
      <c r="M279" s="208" t="s">
        <v>59</v>
      </c>
      <c r="N279" s="208">
        <v>132</v>
      </c>
      <c r="O279" s="208" t="s">
        <v>60</v>
      </c>
      <c r="P279" s="208" t="s">
        <v>79</v>
      </c>
      <c r="Q279" s="210" t="s">
        <v>779</v>
      </c>
      <c r="R279" s="210"/>
      <c r="S279" s="211"/>
      <c r="T279" s="211">
        <v>100</v>
      </c>
      <c r="U279" s="210"/>
      <c r="V279" s="170"/>
      <c r="W279" s="129"/>
      <c r="X279" s="129">
        <v>3</v>
      </c>
      <c r="Y279" s="170"/>
      <c r="Z279" s="169" t="s">
        <v>63</v>
      </c>
      <c r="AA279" s="171">
        <v>12</v>
      </c>
      <c r="AB279" s="171">
        <v>4</v>
      </c>
      <c r="AC279" s="172">
        <v>25</v>
      </c>
      <c r="AD279" s="172" t="s">
        <v>80</v>
      </c>
      <c r="AE279" s="172" t="s">
        <v>116</v>
      </c>
      <c r="AF279" s="172">
        <v>6</v>
      </c>
      <c r="AG279" s="172" t="s">
        <v>80</v>
      </c>
      <c r="AH279" s="172" t="s">
        <v>117</v>
      </c>
      <c r="AI279" s="172">
        <v>18</v>
      </c>
      <c r="AJ279" s="172">
        <v>38</v>
      </c>
      <c r="AK279" s="171">
        <v>74</v>
      </c>
      <c r="AL279" s="171" t="s">
        <v>81</v>
      </c>
      <c r="AM279" s="171" t="s">
        <v>118</v>
      </c>
      <c r="AN279" s="171">
        <v>16</v>
      </c>
      <c r="AO279" s="171" t="s">
        <v>81</v>
      </c>
      <c r="AP279" s="173" t="s">
        <v>117</v>
      </c>
      <c r="AQ279" s="171">
        <v>55</v>
      </c>
      <c r="AR279" s="171">
        <v>108</v>
      </c>
      <c r="AS279" s="172"/>
      <c r="AT279" s="172"/>
      <c r="AU279" s="172"/>
      <c r="AV279" s="172"/>
      <c r="AW279" s="172"/>
      <c r="AX279" s="172"/>
      <c r="AY279" s="172"/>
      <c r="AZ279" s="172"/>
      <c r="BA279" s="171"/>
      <c r="BB279" s="171"/>
      <c r="BC279" s="171"/>
      <c r="BD279" s="171"/>
      <c r="BE279" s="171"/>
      <c r="BF279" s="171"/>
      <c r="BG279" s="171"/>
      <c r="BH279" s="171"/>
      <c r="BI279" s="172"/>
      <c r="BJ279" s="172"/>
      <c r="BK279" s="172"/>
      <c r="BL279" s="172"/>
      <c r="BM279" s="172"/>
      <c r="BN279" s="172"/>
      <c r="BO279" s="172"/>
      <c r="BP279" s="172"/>
      <c r="BQ279" s="171" t="s">
        <v>214</v>
      </c>
      <c r="BR279" s="172" t="s">
        <v>774</v>
      </c>
      <c r="BS279" s="2">
        <v>305</v>
      </c>
      <c r="BT279" s="2" t="s">
        <v>584</v>
      </c>
    </row>
    <row r="280" spans="1:72" ht="12.75" hidden="1" customHeight="1" x14ac:dyDescent="0.2">
      <c r="A280" s="205">
        <v>306</v>
      </c>
      <c r="B280" s="233" t="s">
        <v>772</v>
      </c>
      <c r="C280" s="263" t="s">
        <v>773</v>
      </c>
      <c r="D280" s="233" t="s">
        <v>782</v>
      </c>
      <c r="E280" s="125" t="s">
        <v>102</v>
      </c>
      <c r="F280" s="181" t="s">
        <v>103</v>
      </c>
      <c r="G280" s="156" t="s">
        <v>56</v>
      </c>
      <c r="H280" s="156" t="s">
        <v>1350</v>
      </c>
      <c r="I280" s="156" t="s">
        <v>770</v>
      </c>
      <c r="J280" s="208">
        <v>3</v>
      </c>
      <c r="K280" s="209"/>
      <c r="L280" s="209" t="s">
        <v>58</v>
      </c>
      <c r="M280" s="208" t="s">
        <v>59</v>
      </c>
      <c r="N280" s="208">
        <v>132</v>
      </c>
      <c r="O280" s="208" t="s">
        <v>60</v>
      </c>
      <c r="P280" s="208" t="s">
        <v>79</v>
      </c>
      <c r="Q280" s="210" t="s">
        <v>779</v>
      </c>
      <c r="R280" s="210"/>
      <c r="S280" s="211"/>
      <c r="T280" s="211">
        <v>100</v>
      </c>
      <c r="U280" s="210"/>
      <c r="V280" s="170"/>
      <c r="W280" s="129"/>
      <c r="X280" s="129">
        <v>3</v>
      </c>
      <c r="Y280" s="170"/>
      <c r="Z280" s="169" t="s">
        <v>63</v>
      </c>
      <c r="AA280" s="171">
        <v>12</v>
      </c>
      <c r="AB280" s="171">
        <v>4</v>
      </c>
      <c r="AC280" s="172">
        <v>25</v>
      </c>
      <c r="AD280" s="172" t="s">
        <v>80</v>
      </c>
      <c r="AE280" s="172" t="s">
        <v>116</v>
      </c>
      <c r="AF280" s="172">
        <v>6</v>
      </c>
      <c r="AG280" s="172" t="s">
        <v>80</v>
      </c>
      <c r="AH280" s="172" t="s">
        <v>117</v>
      </c>
      <c r="AI280" s="172">
        <v>18</v>
      </c>
      <c r="AJ280" s="172">
        <v>38</v>
      </c>
      <c r="AK280" s="171">
        <v>74</v>
      </c>
      <c r="AL280" s="171" t="s">
        <v>81</v>
      </c>
      <c r="AM280" s="171" t="s">
        <v>118</v>
      </c>
      <c r="AN280" s="171">
        <v>16</v>
      </c>
      <c r="AO280" s="171" t="s">
        <v>81</v>
      </c>
      <c r="AP280" s="173" t="s">
        <v>117</v>
      </c>
      <c r="AQ280" s="171">
        <v>55</v>
      </c>
      <c r="AR280" s="171">
        <v>108</v>
      </c>
      <c r="AS280" s="172"/>
      <c r="AT280" s="172"/>
      <c r="AU280" s="172"/>
      <c r="AV280" s="172"/>
      <c r="AW280" s="172"/>
      <c r="AX280" s="172"/>
      <c r="AY280" s="172"/>
      <c r="AZ280" s="172"/>
      <c r="BA280" s="171"/>
      <c r="BB280" s="171"/>
      <c r="BC280" s="171"/>
      <c r="BD280" s="171"/>
      <c r="BE280" s="171"/>
      <c r="BF280" s="171"/>
      <c r="BG280" s="171"/>
      <c r="BH280" s="171"/>
      <c r="BI280" s="172"/>
      <c r="BJ280" s="172"/>
      <c r="BK280" s="172"/>
      <c r="BL280" s="172"/>
      <c r="BM280" s="172"/>
      <c r="BN280" s="172"/>
      <c r="BO280" s="172"/>
      <c r="BP280" s="172"/>
      <c r="BQ280" s="171" t="s">
        <v>214</v>
      </c>
      <c r="BR280" s="172" t="s">
        <v>774</v>
      </c>
      <c r="BS280" s="2">
        <v>306</v>
      </c>
      <c r="BT280" s="2" t="s">
        <v>584</v>
      </c>
    </row>
    <row r="281" spans="1:72" ht="14.25" hidden="1" customHeight="1" x14ac:dyDescent="0.2">
      <c r="A281" s="205">
        <v>307</v>
      </c>
      <c r="B281" s="233" t="s">
        <v>772</v>
      </c>
      <c r="C281" s="263" t="s">
        <v>773</v>
      </c>
      <c r="D281" s="233" t="s">
        <v>783</v>
      </c>
      <c r="E281" s="125" t="s">
        <v>102</v>
      </c>
      <c r="F281" s="181" t="s">
        <v>103</v>
      </c>
      <c r="G281" s="156" t="s">
        <v>56</v>
      </c>
      <c r="H281" s="156" t="s">
        <v>1350</v>
      </c>
      <c r="I281" s="156" t="s">
        <v>770</v>
      </c>
      <c r="J281" s="208">
        <v>3</v>
      </c>
      <c r="K281" s="209"/>
      <c r="L281" s="209" t="s">
        <v>58</v>
      </c>
      <c r="M281" s="208" t="s">
        <v>59</v>
      </c>
      <c r="N281" s="208">
        <v>132</v>
      </c>
      <c r="O281" s="208" t="s">
        <v>60</v>
      </c>
      <c r="P281" s="208" t="s">
        <v>79</v>
      </c>
      <c r="Q281" s="210" t="s">
        <v>779</v>
      </c>
      <c r="R281" s="210"/>
      <c r="S281" s="211"/>
      <c r="T281" s="211">
        <v>100</v>
      </c>
      <c r="U281" s="210"/>
      <c r="V281" s="170"/>
      <c r="W281" s="129"/>
      <c r="X281" s="129">
        <v>3</v>
      </c>
      <c r="Y281" s="170"/>
      <c r="Z281" s="169" t="s">
        <v>63</v>
      </c>
      <c r="AA281" s="171">
        <v>12</v>
      </c>
      <c r="AB281" s="171">
        <v>4</v>
      </c>
      <c r="AC281" s="172">
        <v>25</v>
      </c>
      <c r="AD281" s="172" t="s">
        <v>80</v>
      </c>
      <c r="AE281" s="172" t="s">
        <v>116</v>
      </c>
      <c r="AF281" s="172">
        <v>6</v>
      </c>
      <c r="AG281" s="172" t="s">
        <v>80</v>
      </c>
      <c r="AH281" s="172" t="s">
        <v>117</v>
      </c>
      <c r="AI281" s="172">
        <v>18</v>
      </c>
      <c r="AJ281" s="172">
        <v>38</v>
      </c>
      <c r="AK281" s="171">
        <v>74</v>
      </c>
      <c r="AL281" s="171" t="s">
        <v>81</v>
      </c>
      <c r="AM281" s="171" t="s">
        <v>118</v>
      </c>
      <c r="AN281" s="171">
        <v>16</v>
      </c>
      <c r="AO281" s="171" t="s">
        <v>81</v>
      </c>
      <c r="AP281" s="173" t="s">
        <v>117</v>
      </c>
      <c r="AQ281" s="171">
        <v>55</v>
      </c>
      <c r="AR281" s="171">
        <v>108</v>
      </c>
      <c r="AS281" s="172"/>
      <c r="AT281" s="172"/>
      <c r="AU281" s="172"/>
      <c r="AV281" s="172"/>
      <c r="AW281" s="172"/>
      <c r="AX281" s="172"/>
      <c r="AY281" s="172"/>
      <c r="AZ281" s="172"/>
      <c r="BA281" s="171"/>
      <c r="BB281" s="171"/>
      <c r="BC281" s="171"/>
      <c r="BD281" s="171"/>
      <c r="BE281" s="171"/>
      <c r="BF281" s="171"/>
      <c r="BG281" s="171"/>
      <c r="BH281" s="171"/>
      <c r="BI281" s="172"/>
      <c r="BJ281" s="172"/>
      <c r="BK281" s="172"/>
      <c r="BL281" s="172"/>
      <c r="BM281" s="172"/>
      <c r="BN281" s="172"/>
      <c r="BO281" s="172"/>
      <c r="BP281" s="172"/>
      <c r="BQ281" s="171" t="s">
        <v>214</v>
      </c>
      <c r="BR281" s="172" t="s">
        <v>774</v>
      </c>
      <c r="BS281" s="2">
        <v>307</v>
      </c>
      <c r="BT281" s="2" t="s">
        <v>584</v>
      </c>
    </row>
    <row r="282" spans="1:72" ht="14.25" hidden="1" customHeight="1" x14ac:dyDescent="0.2">
      <c r="A282" s="205">
        <v>308</v>
      </c>
      <c r="B282" s="233" t="s">
        <v>772</v>
      </c>
      <c r="C282" s="263" t="s">
        <v>773</v>
      </c>
      <c r="D282" s="233" t="s">
        <v>683</v>
      </c>
      <c r="E282" s="125" t="s">
        <v>339</v>
      </c>
      <c r="F282" s="181" t="s">
        <v>103</v>
      </c>
      <c r="G282" s="156" t="s">
        <v>56</v>
      </c>
      <c r="H282" s="156" t="s">
        <v>1351</v>
      </c>
      <c r="I282" s="156" t="s">
        <v>770</v>
      </c>
      <c r="J282" s="208">
        <v>75</v>
      </c>
      <c r="K282" s="244"/>
      <c r="L282" s="209" t="s">
        <v>212</v>
      </c>
      <c r="M282" s="208" t="s">
        <v>59</v>
      </c>
      <c r="N282" s="208">
        <v>0</v>
      </c>
      <c r="O282" s="208" t="s">
        <v>60</v>
      </c>
      <c r="P282" s="208" t="s">
        <v>79</v>
      </c>
      <c r="Q282" s="210" t="s">
        <v>779</v>
      </c>
      <c r="R282" s="210"/>
      <c r="S282" s="211"/>
      <c r="T282" s="211">
        <v>100</v>
      </c>
      <c r="U282" s="210"/>
      <c r="V282" s="170"/>
      <c r="W282" s="129"/>
      <c r="X282" s="129">
        <v>2</v>
      </c>
      <c r="Y282" s="170"/>
      <c r="Z282" s="169" t="s">
        <v>63</v>
      </c>
      <c r="AA282" s="171">
        <v>12</v>
      </c>
      <c r="AB282" s="171">
        <v>4</v>
      </c>
      <c r="AC282" s="172">
        <v>25</v>
      </c>
      <c r="AD282" s="172" t="s">
        <v>80</v>
      </c>
      <c r="AE282" s="172" t="s">
        <v>116</v>
      </c>
      <c r="AF282" s="172">
        <v>6</v>
      </c>
      <c r="AG282" s="172" t="s">
        <v>80</v>
      </c>
      <c r="AH282" s="172" t="s">
        <v>117</v>
      </c>
      <c r="AI282" s="172">
        <v>18</v>
      </c>
      <c r="AJ282" s="172">
        <v>38</v>
      </c>
      <c r="AK282" s="171">
        <v>74</v>
      </c>
      <c r="AL282" s="171" t="s">
        <v>81</v>
      </c>
      <c r="AM282" s="171" t="s">
        <v>118</v>
      </c>
      <c r="AN282" s="171">
        <v>16</v>
      </c>
      <c r="AO282" s="171" t="s">
        <v>81</v>
      </c>
      <c r="AP282" s="173" t="s">
        <v>117</v>
      </c>
      <c r="AQ282" s="171">
        <v>55</v>
      </c>
      <c r="AR282" s="171">
        <v>108</v>
      </c>
      <c r="AS282" s="172"/>
      <c r="AT282" s="172"/>
      <c r="AU282" s="172"/>
      <c r="AV282" s="172"/>
      <c r="AW282" s="172"/>
      <c r="AX282" s="172"/>
      <c r="AY282" s="172"/>
      <c r="AZ282" s="172"/>
      <c r="BA282" s="171"/>
      <c r="BB282" s="171"/>
      <c r="BC282" s="171"/>
      <c r="BD282" s="171"/>
      <c r="BE282" s="171"/>
      <c r="BF282" s="171"/>
      <c r="BG282" s="171"/>
      <c r="BH282" s="171"/>
      <c r="BI282" s="172"/>
      <c r="BJ282" s="172"/>
      <c r="BK282" s="172"/>
      <c r="BL282" s="172"/>
      <c r="BM282" s="172"/>
      <c r="BN282" s="172"/>
      <c r="BO282" s="172"/>
      <c r="BP282" s="172"/>
      <c r="BQ282" s="171" t="s">
        <v>214</v>
      </c>
      <c r="BR282" s="172" t="s">
        <v>774</v>
      </c>
      <c r="BS282" s="2">
        <v>308</v>
      </c>
      <c r="BT282" s="2" t="s">
        <v>584</v>
      </c>
    </row>
    <row r="283" spans="1:72" ht="14.25" hidden="1" customHeight="1" x14ac:dyDescent="0.2">
      <c r="A283" s="205">
        <v>309</v>
      </c>
      <c r="B283" s="233" t="s">
        <v>772</v>
      </c>
      <c r="C283" s="263" t="s">
        <v>773</v>
      </c>
      <c r="D283" s="233" t="s">
        <v>780</v>
      </c>
      <c r="E283" s="125" t="s">
        <v>339</v>
      </c>
      <c r="F283" s="181" t="s">
        <v>103</v>
      </c>
      <c r="G283" s="156" t="s">
        <v>56</v>
      </c>
      <c r="H283" s="156" t="s">
        <v>1351</v>
      </c>
      <c r="I283" s="156" t="s">
        <v>770</v>
      </c>
      <c r="J283" s="208">
        <v>75</v>
      </c>
      <c r="K283" s="244"/>
      <c r="L283" s="209" t="s">
        <v>212</v>
      </c>
      <c r="M283" s="208" t="s">
        <v>59</v>
      </c>
      <c r="N283" s="208">
        <v>133</v>
      </c>
      <c r="O283" s="208" t="s">
        <v>60</v>
      </c>
      <c r="P283" s="208" t="s">
        <v>79</v>
      </c>
      <c r="Q283" s="210" t="s">
        <v>779</v>
      </c>
      <c r="R283" s="210"/>
      <c r="S283" s="211"/>
      <c r="T283" s="211">
        <v>100</v>
      </c>
      <c r="U283" s="210"/>
      <c r="V283" s="170"/>
      <c r="W283" s="129"/>
      <c r="X283" s="129">
        <v>2</v>
      </c>
      <c r="Y283" s="170"/>
      <c r="Z283" s="169" t="s">
        <v>63</v>
      </c>
      <c r="AA283" s="171">
        <v>12</v>
      </c>
      <c r="AB283" s="171">
        <v>4</v>
      </c>
      <c r="AC283" s="172">
        <v>25</v>
      </c>
      <c r="AD283" s="172" t="s">
        <v>80</v>
      </c>
      <c r="AE283" s="172" t="s">
        <v>116</v>
      </c>
      <c r="AF283" s="172">
        <v>6</v>
      </c>
      <c r="AG283" s="172" t="s">
        <v>80</v>
      </c>
      <c r="AH283" s="172" t="s">
        <v>117</v>
      </c>
      <c r="AI283" s="172">
        <v>18</v>
      </c>
      <c r="AJ283" s="172">
        <v>38</v>
      </c>
      <c r="AK283" s="171">
        <v>74</v>
      </c>
      <c r="AL283" s="171" t="s">
        <v>81</v>
      </c>
      <c r="AM283" s="171" t="s">
        <v>118</v>
      </c>
      <c r="AN283" s="171">
        <v>16</v>
      </c>
      <c r="AO283" s="171" t="s">
        <v>81</v>
      </c>
      <c r="AP283" s="173" t="s">
        <v>117</v>
      </c>
      <c r="AQ283" s="171">
        <v>55</v>
      </c>
      <c r="AR283" s="171">
        <v>108</v>
      </c>
      <c r="AS283" s="172"/>
      <c r="AT283" s="172"/>
      <c r="AU283" s="172"/>
      <c r="AV283" s="172"/>
      <c r="AW283" s="172"/>
      <c r="AX283" s="172"/>
      <c r="AY283" s="172"/>
      <c r="AZ283" s="172"/>
      <c r="BA283" s="171"/>
      <c r="BB283" s="171"/>
      <c r="BC283" s="171"/>
      <c r="BD283" s="171"/>
      <c r="BE283" s="171"/>
      <c r="BF283" s="171"/>
      <c r="BG283" s="171"/>
      <c r="BH283" s="171"/>
      <c r="BI283" s="172"/>
      <c r="BJ283" s="172"/>
      <c r="BK283" s="172"/>
      <c r="BL283" s="172"/>
      <c r="BM283" s="172"/>
      <c r="BN283" s="172"/>
      <c r="BO283" s="172"/>
      <c r="BP283" s="172"/>
      <c r="BQ283" s="171" t="s">
        <v>214</v>
      </c>
      <c r="BR283" s="172" t="s">
        <v>774</v>
      </c>
      <c r="BS283" s="2">
        <v>309</v>
      </c>
      <c r="BT283" s="2" t="s">
        <v>584</v>
      </c>
    </row>
    <row r="284" spans="1:72" ht="14.25" hidden="1" customHeight="1" x14ac:dyDescent="0.2">
      <c r="A284" s="205">
        <v>310</v>
      </c>
      <c r="B284" s="233" t="s">
        <v>772</v>
      </c>
      <c r="C284" s="263" t="s">
        <v>773</v>
      </c>
      <c r="D284" s="233" t="s">
        <v>781</v>
      </c>
      <c r="E284" s="125" t="s">
        <v>339</v>
      </c>
      <c r="F284" s="181" t="s">
        <v>103</v>
      </c>
      <c r="G284" s="156" t="s">
        <v>56</v>
      </c>
      <c r="H284" s="156" t="s">
        <v>1351</v>
      </c>
      <c r="I284" s="156" t="s">
        <v>770</v>
      </c>
      <c r="J284" s="208">
        <v>75</v>
      </c>
      <c r="K284" s="244"/>
      <c r="L284" s="209" t="s">
        <v>212</v>
      </c>
      <c r="M284" s="208" t="s">
        <v>59</v>
      </c>
      <c r="N284" s="208">
        <v>133</v>
      </c>
      <c r="O284" s="208" t="s">
        <v>60</v>
      </c>
      <c r="P284" s="208" t="s">
        <v>79</v>
      </c>
      <c r="Q284" s="210" t="s">
        <v>779</v>
      </c>
      <c r="R284" s="210"/>
      <c r="S284" s="211"/>
      <c r="T284" s="211">
        <v>100</v>
      </c>
      <c r="U284" s="210"/>
      <c r="V284" s="170"/>
      <c r="W284" s="129"/>
      <c r="X284" s="129">
        <v>2</v>
      </c>
      <c r="Y284" s="170"/>
      <c r="Z284" s="169" t="s">
        <v>63</v>
      </c>
      <c r="AA284" s="171">
        <v>12</v>
      </c>
      <c r="AB284" s="171">
        <v>4</v>
      </c>
      <c r="AC284" s="172">
        <v>25</v>
      </c>
      <c r="AD284" s="172" t="s">
        <v>80</v>
      </c>
      <c r="AE284" s="172" t="s">
        <v>116</v>
      </c>
      <c r="AF284" s="172">
        <v>6</v>
      </c>
      <c r="AG284" s="172" t="s">
        <v>80</v>
      </c>
      <c r="AH284" s="172" t="s">
        <v>117</v>
      </c>
      <c r="AI284" s="172">
        <v>18</v>
      </c>
      <c r="AJ284" s="172">
        <v>38</v>
      </c>
      <c r="AK284" s="171">
        <v>74</v>
      </c>
      <c r="AL284" s="171" t="s">
        <v>81</v>
      </c>
      <c r="AM284" s="171" t="s">
        <v>118</v>
      </c>
      <c r="AN284" s="171">
        <v>16</v>
      </c>
      <c r="AO284" s="171" t="s">
        <v>81</v>
      </c>
      <c r="AP284" s="173" t="s">
        <v>117</v>
      </c>
      <c r="AQ284" s="171">
        <v>55</v>
      </c>
      <c r="AR284" s="171">
        <v>108</v>
      </c>
      <c r="AS284" s="172"/>
      <c r="AT284" s="172"/>
      <c r="AU284" s="172"/>
      <c r="AV284" s="172"/>
      <c r="AW284" s="172"/>
      <c r="AX284" s="172"/>
      <c r="AY284" s="172"/>
      <c r="AZ284" s="172"/>
      <c r="BA284" s="171"/>
      <c r="BB284" s="171"/>
      <c r="BC284" s="171"/>
      <c r="BD284" s="171"/>
      <c r="BE284" s="171"/>
      <c r="BF284" s="171"/>
      <c r="BG284" s="171"/>
      <c r="BH284" s="171"/>
      <c r="BI284" s="172"/>
      <c r="BJ284" s="172"/>
      <c r="BK284" s="172"/>
      <c r="BL284" s="172"/>
      <c r="BM284" s="172"/>
      <c r="BN284" s="172"/>
      <c r="BO284" s="172"/>
      <c r="BP284" s="172"/>
      <c r="BQ284" s="171" t="s">
        <v>214</v>
      </c>
      <c r="BR284" s="172" t="s">
        <v>774</v>
      </c>
      <c r="BS284" s="124">
        <v>310</v>
      </c>
      <c r="BT284" s="124" t="s">
        <v>584</v>
      </c>
    </row>
    <row r="285" spans="1:72" s="124" customFormat="1" ht="14.25" hidden="1" customHeight="1" x14ac:dyDescent="0.2">
      <c r="A285" s="205">
        <v>311</v>
      </c>
      <c r="B285" s="233" t="s">
        <v>772</v>
      </c>
      <c r="C285" s="263" t="s">
        <v>773</v>
      </c>
      <c r="D285" s="233" t="s">
        <v>782</v>
      </c>
      <c r="E285" s="125" t="s">
        <v>339</v>
      </c>
      <c r="F285" s="181" t="s">
        <v>103</v>
      </c>
      <c r="G285" s="156" t="s">
        <v>56</v>
      </c>
      <c r="H285" s="156" t="s">
        <v>1351</v>
      </c>
      <c r="I285" s="156" t="s">
        <v>770</v>
      </c>
      <c r="J285" s="208">
        <v>75</v>
      </c>
      <c r="K285" s="244"/>
      <c r="L285" s="209" t="s">
        <v>212</v>
      </c>
      <c r="M285" s="208" t="s">
        <v>59</v>
      </c>
      <c r="N285" s="208">
        <v>133</v>
      </c>
      <c r="O285" s="208" t="s">
        <v>60</v>
      </c>
      <c r="P285" s="208" t="s">
        <v>79</v>
      </c>
      <c r="Q285" s="210" t="s">
        <v>779</v>
      </c>
      <c r="R285" s="210"/>
      <c r="S285" s="211"/>
      <c r="T285" s="211">
        <v>100</v>
      </c>
      <c r="U285" s="210"/>
      <c r="V285" s="170"/>
      <c r="W285" s="129"/>
      <c r="X285" s="129">
        <v>2</v>
      </c>
      <c r="Y285" s="170"/>
      <c r="Z285" s="169" t="s">
        <v>63</v>
      </c>
      <c r="AA285" s="171">
        <v>12</v>
      </c>
      <c r="AB285" s="171">
        <v>4</v>
      </c>
      <c r="AC285" s="172">
        <v>25</v>
      </c>
      <c r="AD285" s="172" t="s">
        <v>80</v>
      </c>
      <c r="AE285" s="172" t="s">
        <v>116</v>
      </c>
      <c r="AF285" s="172">
        <v>6</v>
      </c>
      <c r="AG285" s="172" t="s">
        <v>80</v>
      </c>
      <c r="AH285" s="172" t="s">
        <v>117</v>
      </c>
      <c r="AI285" s="172">
        <v>18</v>
      </c>
      <c r="AJ285" s="172">
        <v>38</v>
      </c>
      <c r="AK285" s="171">
        <v>74</v>
      </c>
      <c r="AL285" s="171" t="s">
        <v>81</v>
      </c>
      <c r="AM285" s="171" t="s">
        <v>118</v>
      </c>
      <c r="AN285" s="171">
        <v>16</v>
      </c>
      <c r="AO285" s="171" t="s">
        <v>81</v>
      </c>
      <c r="AP285" s="173" t="s">
        <v>117</v>
      </c>
      <c r="AQ285" s="171">
        <v>55</v>
      </c>
      <c r="AR285" s="171">
        <v>108</v>
      </c>
      <c r="AS285" s="172"/>
      <c r="AT285" s="172"/>
      <c r="AU285" s="172"/>
      <c r="AV285" s="172"/>
      <c r="AW285" s="172"/>
      <c r="AX285" s="172"/>
      <c r="AY285" s="172"/>
      <c r="AZ285" s="172"/>
      <c r="BA285" s="171"/>
      <c r="BB285" s="171"/>
      <c r="BC285" s="171"/>
      <c r="BD285" s="171"/>
      <c r="BE285" s="171"/>
      <c r="BF285" s="171"/>
      <c r="BG285" s="171"/>
      <c r="BH285" s="171"/>
      <c r="BI285" s="172"/>
      <c r="BJ285" s="172"/>
      <c r="BK285" s="172"/>
      <c r="BL285" s="172"/>
      <c r="BM285" s="172"/>
      <c r="BN285" s="172"/>
      <c r="BO285" s="172"/>
      <c r="BP285" s="172"/>
      <c r="BQ285" s="171" t="s">
        <v>214</v>
      </c>
      <c r="BR285" s="172" t="s">
        <v>774</v>
      </c>
      <c r="BS285" s="124">
        <v>311</v>
      </c>
      <c r="BT285" s="124" t="s">
        <v>584</v>
      </c>
    </row>
    <row r="286" spans="1:72" s="124" customFormat="1" ht="12.75" hidden="1" customHeight="1" x14ac:dyDescent="0.2">
      <c r="A286" s="205">
        <v>312</v>
      </c>
      <c r="B286" s="233" t="s">
        <v>772</v>
      </c>
      <c r="C286" s="263" t="s">
        <v>773</v>
      </c>
      <c r="D286" s="233" t="s">
        <v>783</v>
      </c>
      <c r="E286" s="125" t="s">
        <v>339</v>
      </c>
      <c r="F286" s="181" t="s">
        <v>103</v>
      </c>
      <c r="G286" s="156" t="s">
        <v>56</v>
      </c>
      <c r="H286" s="156" t="s">
        <v>1351</v>
      </c>
      <c r="I286" s="156" t="s">
        <v>770</v>
      </c>
      <c r="J286" s="208">
        <v>75</v>
      </c>
      <c r="K286" s="244"/>
      <c r="L286" s="209" t="s">
        <v>212</v>
      </c>
      <c r="M286" s="208" t="s">
        <v>59</v>
      </c>
      <c r="N286" s="208">
        <v>133</v>
      </c>
      <c r="O286" s="208" t="s">
        <v>60</v>
      </c>
      <c r="P286" s="208" t="s">
        <v>79</v>
      </c>
      <c r="Q286" s="210" t="s">
        <v>779</v>
      </c>
      <c r="R286" s="210"/>
      <c r="S286" s="211"/>
      <c r="T286" s="211">
        <v>100</v>
      </c>
      <c r="U286" s="210"/>
      <c r="V286" s="170"/>
      <c r="W286" s="129"/>
      <c r="X286" s="129">
        <v>2</v>
      </c>
      <c r="Y286" s="170"/>
      <c r="Z286" s="169" t="s">
        <v>63</v>
      </c>
      <c r="AA286" s="171">
        <v>12</v>
      </c>
      <c r="AB286" s="171">
        <v>4</v>
      </c>
      <c r="AC286" s="172">
        <v>25</v>
      </c>
      <c r="AD286" s="172" t="s">
        <v>80</v>
      </c>
      <c r="AE286" s="172" t="s">
        <v>116</v>
      </c>
      <c r="AF286" s="172">
        <v>6</v>
      </c>
      <c r="AG286" s="172" t="s">
        <v>80</v>
      </c>
      <c r="AH286" s="172" t="s">
        <v>117</v>
      </c>
      <c r="AI286" s="172">
        <v>18</v>
      </c>
      <c r="AJ286" s="172">
        <v>38</v>
      </c>
      <c r="AK286" s="171">
        <v>74</v>
      </c>
      <c r="AL286" s="171" t="s">
        <v>81</v>
      </c>
      <c r="AM286" s="171" t="s">
        <v>118</v>
      </c>
      <c r="AN286" s="171">
        <v>16</v>
      </c>
      <c r="AO286" s="171" t="s">
        <v>81</v>
      </c>
      <c r="AP286" s="171" t="s">
        <v>117</v>
      </c>
      <c r="AQ286" s="171">
        <v>55</v>
      </c>
      <c r="AR286" s="171">
        <v>108</v>
      </c>
      <c r="AS286" s="172"/>
      <c r="AT286" s="172"/>
      <c r="AU286" s="172"/>
      <c r="AV286" s="172"/>
      <c r="AW286" s="172"/>
      <c r="AX286" s="172"/>
      <c r="AY286" s="172"/>
      <c r="AZ286" s="172"/>
      <c r="BA286" s="171"/>
      <c r="BB286" s="171"/>
      <c r="BC286" s="171"/>
      <c r="BD286" s="171"/>
      <c r="BE286" s="171"/>
      <c r="BF286" s="171"/>
      <c r="BG286" s="171"/>
      <c r="BH286" s="171"/>
      <c r="BI286" s="172"/>
      <c r="BJ286" s="172"/>
      <c r="BK286" s="172"/>
      <c r="BL286" s="172"/>
      <c r="BM286" s="172"/>
      <c r="BN286" s="172"/>
      <c r="BO286" s="172"/>
      <c r="BP286" s="172"/>
      <c r="BQ286" s="171" t="s">
        <v>214</v>
      </c>
      <c r="BR286" s="172" t="s">
        <v>774</v>
      </c>
      <c r="BS286" s="124">
        <v>312</v>
      </c>
      <c r="BT286" s="124" t="s">
        <v>584</v>
      </c>
    </row>
    <row r="287" spans="1:72" s="124" customFormat="1" ht="14.25" hidden="1" customHeight="1" x14ac:dyDescent="0.2">
      <c r="A287" s="205">
        <v>313</v>
      </c>
      <c r="B287" s="231" t="s">
        <v>784</v>
      </c>
      <c r="C287" s="264" t="s">
        <v>785</v>
      </c>
      <c r="D287" s="231" t="s">
        <v>786</v>
      </c>
      <c r="E287" s="125" t="s">
        <v>412</v>
      </c>
      <c r="F287" s="181" t="s">
        <v>103</v>
      </c>
      <c r="G287" s="181" t="s">
        <v>56</v>
      </c>
      <c r="H287" s="181" t="s">
        <v>66</v>
      </c>
      <c r="I287" s="181"/>
      <c r="J287" s="178">
        <v>0.5</v>
      </c>
      <c r="K287" s="182"/>
      <c r="L287" s="182" t="s">
        <v>58</v>
      </c>
      <c r="M287" s="178" t="s">
        <v>59</v>
      </c>
      <c r="N287" s="178">
        <v>0</v>
      </c>
      <c r="O287" s="178" t="s">
        <v>60</v>
      </c>
      <c r="P287" s="178" t="s">
        <v>79</v>
      </c>
      <c r="Q287" s="179" t="s">
        <v>1362</v>
      </c>
      <c r="R287" s="179" t="s">
        <v>1363</v>
      </c>
      <c r="S287" s="180"/>
      <c r="T287" s="179"/>
      <c r="U287" s="179"/>
      <c r="V287" s="167"/>
      <c r="W287" s="168"/>
      <c r="X287" s="168"/>
      <c r="Y287" s="167"/>
      <c r="Z287" s="169" t="s">
        <v>63</v>
      </c>
      <c r="AA287" s="166">
        <v>16</v>
      </c>
      <c r="AB287" s="166">
        <v>11</v>
      </c>
      <c r="AC287" s="165">
        <v>33</v>
      </c>
      <c r="AD287" s="165" t="s">
        <v>80</v>
      </c>
      <c r="AE287" s="165" t="s">
        <v>116</v>
      </c>
      <c r="AF287" s="165">
        <v>9</v>
      </c>
      <c r="AG287" s="165" t="s">
        <v>80</v>
      </c>
      <c r="AH287" s="165" t="s">
        <v>117</v>
      </c>
      <c r="AI287" s="165"/>
      <c r="AJ287" s="165"/>
      <c r="AK287" s="166">
        <v>78</v>
      </c>
      <c r="AL287" s="166" t="s">
        <v>81</v>
      </c>
      <c r="AM287" s="166" t="s">
        <v>118</v>
      </c>
      <c r="AN287" s="166">
        <v>14</v>
      </c>
      <c r="AO287" s="166" t="s">
        <v>81</v>
      </c>
      <c r="AP287" s="166" t="s">
        <v>117</v>
      </c>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214</v>
      </c>
      <c r="BR287" s="165"/>
      <c r="BS287" s="124">
        <v>313</v>
      </c>
    </row>
    <row r="288" spans="1:72" s="124" customFormat="1" ht="12.75" hidden="1" customHeight="1" x14ac:dyDescent="0.2">
      <c r="A288" s="205">
        <v>314</v>
      </c>
      <c r="B288" s="231" t="s">
        <v>784</v>
      </c>
      <c r="C288" s="264" t="s">
        <v>785</v>
      </c>
      <c r="D288" s="231" t="s">
        <v>787</v>
      </c>
      <c r="E288" s="125" t="s">
        <v>412</v>
      </c>
      <c r="F288" s="181" t="s">
        <v>103</v>
      </c>
      <c r="G288" s="181" t="s">
        <v>56</v>
      </c>
      <c r="H288" s="181" t="s">
        <v>66</v>
      </c>
      <c r="I288" s="181"/>
      <c r="J288" s="178">
        <v>0.5</v>
      </c>
      <c r="K288" s="182"/>
      <c r="L288" s="182" t="s">
        <v>58</v>
      </c>
      <c r="M288" s="178" t="s">
        <v>59</v>
      </c>
      <c r="N288" s="178">
        <v>324</v>
      </c>
      <c r="O288" s="178" t="s">
        <v>60</v>
      </c>
      <c r="P288" s="178" t="s">
        <v>79</v>
      </c>
      <c r="Q288" s="179" t="s">
        <v>1362</v>
      </c>
      <c r="R288" s="179" t="s">
        <v>1363</v>
      </c>
      <c r="S288" s="180"/>
      <c r="T288" s="179"/>
      <c r="U288" s="179"/>
      <c r="V288" s="167"/>
      <c r="W288" s="168"/>
      <c r="X288" s="168"/>
      <c r="Y288" s="167"/>
      <c r="Z288" s="169" t="s">
        <v>63</v>
      </c>
      <c r="AA288" s="166">
        <v>16</v>
      </c>
      <c r="AB288" s="166">
        <v>11</v>
      </c>
      <c r="AC288" s="165">
        <v>33</v>
      </c>
      <c r="AD288" s="165" t="s">
        <v>80</v>
      </c>
      <c r="AE288" s="165" t="s">
        <v>116</v>
      </c>
      <c r="AF288" s="165">
        <v>9</v>
      </c>
      <c r="AG288" s="165" t="s">
        <v>80</v>
      </c>
      <c r="AH288" s="165" t="s">
        <v>117</v>
      </c>
      <c r="AI288" s="165"/>
      <c r="AJ288" s="165"/>
      <c r="AK288" s="166">
        <v>78</v>
      </c>
      <c r="AL288" s="166" t="s">
        <v>81</v>
      </c>
      <c r="AM288" s="166" t="s">
        <v>118</v>
      </c>
      <c r="AN288" s="166">
        <v>14</v>
      </c>
      <c r="AO288" s="166" t="s">
        <v>81</v>
      </c>
      <c r="AP288" s="166" t="s">
        <v>117</v>
      </c>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214</v>
      </c>
      <c r="BR288" s="165"/>
      <c r="BS288" s="124">
        <v>314</v>
      </c>
    </row>
    <row r="289" spans="1:72" s="124" customFormat="1" ht="14.25" hidden="1" customHeight="1" x14ac:dyDescent="0.2">
      <c r="A289" s="205">
        <v>315</v>
      </c>
      <c r="B289" s="231" t="s">
        <v>784</v>
      </c>
      <c r="C289" s="264" t="s">
        <v>785</v>
      </c>
      <c r="D289" s="231" t="s">
        <v>788</v>
      </c>
      <c r="E289" s="125" t="s">
        <v>412</v>
      </c>
      <c r="F289" s="181" t="s">
        <v>103</v>
      </c>
      <c r="G289" s="181" t="s">
        <v>56</v>
      </c>
      <c r="H289" s="181" t="s">
        <v>66</v>
      </c>
      <c r="I289" s="181" t="s">
        <v>1364</v>
      </c>
      <c r="J289" s="178">
        <v>0.5</v>
      </c>
      <c r="K289" s="182"/>
      <c r="L289" s="182" t="s">
        <v>58</v>
      </c>
      <c r="M289" s="178" t="s">
        <v>59</v>
      </c>
      <c r="N289" s="178">
        <v>0</v>
      </c>
      <c r="O289" s="178" t="s">
        <v>60</v>
      </c>
      <c r="P289" s="178" t="s">
        <v>79</v>
      </c>
      <c r="Q289" s="179" t="s">
        <v>1362</v>
      </c>
      <c r="R289" s="179" t="s">
        <v>1363</v>
      </c>
      <c r="S289" s="180"/>
      <c r="T289" s="179"/>
      <c r="U289" s="179"/>
      <c r="V289" s="167"/>
      <c r="W289" s="168"/>
      <c r="X289" s="168"/>
      <c r="Y289" s="167"/>
      <c r="Z289" s="169" t="s">
        <v>63</v>
      </c>
      <c r="AA289" s="166">
        <v>9</v>
      </c>
      <c r="AB289" s="166">
        <v>6</v>
      </c>
      <c r="AC289" s="165">
        <v>29</v>
      </c>
      <c r="AD289" s="165" t="s">
        <v>80</v>
      </c>
      <c r="AE289" s="165" t="s">
        <v>116</v>
      </c>
      <c r="AF289" s="165">
        <v>9</v>
      </c>
      <c r="AG289" s="165" t="s">
        <v>80</v>
      </c>
      <c r="AH289" s="165" t="s">
        <v>117</v>
      </c>
      <c r="AI289" s="165"/>
      <c r="AJ289" s="165"/>
      <c r="AK289" s="166">
        <v>79</v>
      </c>
      <c r="AL289" s="166" t="s">
        <v>81</v>
      </c>
      <c r="AM289" s="166" t="s">
        <v>118</v>
      </c>
      <c r="AN289" s="166">
        <v>14</v>
      </c>
      <c r="AO289" s="166" t="s">
        <v>81</v>
      </c>
      <c r="AP289" s="166" t="s">
        <v>117</v>
      </c>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214</v>
      </c>
      <c r="BR289" s="165"/>
      <c r="BS289" s="124">
        <v>315</v>
      </c>
    </row>
    <row r="290" spans="1:72" s="124" customFormat="1" ht="14.25" hidden="1" customHeight="1" x14ac:dyDescent="0.2">
      <c r="A290" s="205">
        <v>316</v>
      </c>
      <c r="B290" s="231" t="s">
        <v>784</v>
      </c>
      <c r="C290" s="264" t="s">
        <v>785</v>
      </c>
      <c r="D290" s="231" t="s">
        <v>789</v>
      </c>
      <c r="E290" s="125" t="s">
        <v>412</v>
      </c>
      <c r="F290" s="181" t="s">
        <v>103</v>
      </c>
      <c r="G290" s="181" t="s">
        <v>56</v>
      </c>
      <c r="H290" s="181" t="s">
        <v>66</v>
      </c>
      <c r="I290" s="181" t="s">
        <v>1364</v>
      </c>
      <c r="J290" s="178">
        <v>0.5</v>
      </c>
      <c r="K290" s="182"/>
      <c r="L290" s="182" t="s">
        <v>58</v>
      </c>
      <c r="M290" s="178" t="s">
        <v>59</v>
      </c>
      <c r="N290" s="178">
        <v>360</v>
      </c>
      <c r="O290" s="178" t="s">
        <v>60</v>
      </c>
      <c r="P290" s="178" t="s">
        <v>79</v>
      </c>
      <c r="Q290" s="179" t="s">
        <v>1362</v>
      </c>
      <c r="R290" s="179" t="s">
        <v>1363</v>
      </c>
      <c r="S290" s="180"/>
      <c r="T290" s="179"/>
      <c r="U290" s="179"/>
      <c r="V290" s="167"/>
      <c r="W290" s="168"/>
      <c r="X290" s="168"/>
      <c r="Y290" s="167"/>
      <c r="Z290" s="169" t="s">
        <v>63</v>
      </c>
      <c r="AA290" s="166">
        <v>9</v>
      </c>
      <c r="AB290" s="166">
        <v>6</v>
      </c>
      <c r="AC290" s="165">
        <v>29</v>
      </c>
      <c r="AD290" s="165" t="s">
        <v>80</v>
      </c>
      <c r="AE290" s="165" t="s">
        <v>116</v>
      </c>
      <c r="AF290" s="165">
        <v>9</v>
      </c>
      <c r="AG290" s="165" t="s">
        <v>80</v>
      </c>
      <c r="AH290" s="165" t="s">
        <v>117</v>
      </c>
      <c r="AI290" s="165"/>
      <c r="AJ290" s="165"/>
      <c r="AK290" s="166">
        <v>79</v>
      </c>
      <c r="AL290" s="166" t="s">
        <v>81</v>
      </c>
      <c r="AM290" s="166" t="s">
        <v>118</v>
      </c>
      <c r="AN290" s="166">
        <v>14</v>
      </c>
      <c r="AO290" s="166" t="s">
        <v>81</v>
      </c>
      <c r="AP290" s="166" t="s">
        <v>117</v>
      </c>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214</v>
      </c>
      <c r="BR290" s="165"/>
      <c r="BS290" s="124">
        <v>316</v>
      </c>
    </row>
    <row r="291" spans="1:72" s="124" customFormat="1" ht="14.25" hidden="1" customHeight="1" x14ac:dyDescent="0.2">
      <c r="A291" s="92">
        <v>317</v>
      </c>
      <c r="B291" s="233" t="s">
        <v>350</v>
      </c>
      <c r="C291" s="263" t="s">
        <v>351</v>
      </c>
      <c r="D291" s="233" t="s">
        <v>200</v>
      </c>
      <c r="E291" s="17" t="s">
        <v>111</v>
      </c>
      <c r="F291" s="18" t="s">
        <v>103</v>
      </c>
      <c r="G291" s="181" t="s">
        <v>56</v>
      </c>
      <c r="H291" s="181" t="s">
        <v>57</v>
      </c>
      <c r="I291" s="181"/>
      <c r="J291" s="178">
        <v>10</v>
      </c>
      <c r="K291" s="139">
        <f>J291*0.9135071</f>
        <v>9.1350709999999999</v>
      </c>
      <c r="L291" s="139" t="s">
        <v>58</v>
      </c>
      <c r="M291" s="178" t="s">
        <v>59</v>
      </c>
      <c r="N291" s="178">
        <v>0</v>
      </c>
      <c r="O291" s="138" t="s">
        <v>60</v>
      </c>
      <c r="P291" s="178" t="s">
        <v>79</v>
      </c>
      <c r="Q291" s="176" t="s">
        <v>113</v>
      </c>
      <c r="R291" s="179" t="s">
        <v>352</v>
      </c>
      <c r="S291" s="180"/>
      <c r="T291" s="180">
        <v>150</v>
      </c>
      <c r="U291" s="180"/>
      <c r="V291" s="19" t="s">
        <v>62</v>
      </c>
      <c r="W291" s="168">
        <v>2</v>
      </c>
      <c r="X291" s="106">
        <v>3</v>
      </c>
      <c r="Y291" s="167" t="s">
        <v>353</v>
      </c>
      <c r="Z291" s="82" t="s">
        <v>63</v>
      </c>
      <c r="AA291" s="166">
        <v>8</v>
      </c>
      <c r="AB291" s="166">
        <v>8</v>
      </c>
      <c r="AC291" s="165">
        <v>22.9</v>
      </c>
      <c r="AD291" s="21" t="s">
        <v>80</v>
      </c>
      <c r="AE291" s="165" t="s">
        <v>116</v>
      </c>
      <c r="AF291" s="165">
        <v>5.2</v>
      </c>
      <c r="AG291" s="165" t="s">
        <v>80</v>
      </c>
      <c r="AH291" s="165" t="s">
        <v>117</v>
      </c>
      <c r="AI291" s="165">
        <v>18</v>
      </c>
      <c r="AJ291" s="165">
        <v>34</v>
      </c>
      <c r="AK291" s="166">
        <v>60.5</v>
      </c>
      <c r="AL291" s="166" t="s">
        <v>81</v>
      </c>
      <c r="AM291" s="166" t="s">
        <v>116</v>
      </c>
      <c r="AN291" s="166">
        <v>4.5</v>
      </c>
      <c r="AO291" s="166" t="s">
        <v>81</v>
      </c>
      <c r="AP291" s="166" t="s">
        <v>117</v>
      </c>
      <c r="AQ291" s="166">
        <v>56</v>
      </c>
      <c r="AR291" s="166">
        <v>69</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354</v>
      </c>
      <c r="BR291" s="165"/>
      <c r="BS291" s="124">
        <v>317</v>
      </c>
      <c r="BT291" s="174"/>
    </row>
    <row r="292" spans="1:72" s="124" customFormat="1" ht="14.25" hidden="1" customHeight="1" x14ac:dyDescent="0.2">
      <c r="A292" s="92">
        <v>318</v>
      </c>
      <c r="B292" s="233" t="s">
        <v>350</v>
      </c>
      <c r="C292" s="263" t="s">
        <v>351</v>
      </c>
      <c r="D292" s="233" t="s">
        <v>355</v>
      </c>
      <c r="E292" s="17" t="s">
        <v>111</v>
      </c>
      <c r="F292" s="18" t="s">
        <v>103</v>
      </c>
      <c r="G292" s="181" t="s">
        <v>56</v>
      </c>
      <c r="H292" s="181" t="s">
        <v>57</v>
      </c>
      <c r="I292" s="181"/>
      <c r="J292" s="178">
        <v>10</v>
      </c>
      <c r="K292" s="139">
        <f>J292*0.9135071</f>
        <v>9.1350709999999999</v>
      </c>
      <c r="L292" s="139" t="s">
        <v>58</v>
      </c>
      <c r="M292" s="178" t="s">
        <v>59</v>
      </c>
      <c r="N292" s="178">
        <v>79</v>
      </c>
      <c r="O292" s="138" t="s">
        <v>60</v>
      </c>
      <c r="P292" s="178" t="s">
        <v>79</v>
      </c>
      <c r="Q292" s="176" t="s">
        <v>113</v>
      </c>
      <c r="R292" s="179" t="s">
        <v>352</v>
      </c>
      <c r="S292" s="180"/>
      <c r="T292" s="180">
        <v>150</v>
      </c>
      <c r="U292" s="180"/>
      <c r="V292" s="19" t="s">
        <v>62</v>
      </c>
      <c r="W292" s="168">
        <v>2</v>
      </c>
      <c r="X292" s="106">
        <v>3</v>
      </c>
      <c r="Y292" s="167" t="s">
        <v>353</v>
      </c>
      <c r="Z292" s="82" t="s">
        <v>63</v>
      </c>
      <c r="AA292" s="166">
        <v>8</v>
      </c>
      <c r="AB292" s="166">
        <v>8</v>
      </c>
      <c r="AC292" s="165">
        <v>22.9</v>
      </c>
      <c r="AD292" s="21" t="s">
        <v>80</v>
      </c>
      <c r="AE292" s="165" t="s">
        <v>116</v>
      </c>
      <c r="AF292" s="165">
        <v>5.2</v>
      </c>
      <c r="AG292" s="165" t="s">
        <v>80</v>
      </c>
      <c r="AH292" s="165" t="s">
        <v>117</v>
      </c>
      <c r="AI292" s="165">
        <v>18</v>
      </c>
      <c r="AJ292" s="165">
        <v>34</v>
      </c>
      <c r="AK292" s="166">
        <v>60.5</v>
      </c>
      <c r="AL292" s="166" t="s">
        <v>81</v>
      </c>
      <c r="AM292" s="166" t="s">
        <v>116</v>
      </c>
      <c r="AN292" s="166">
        <v>4.5</v>
      </c>
      <c r="AO292" s="166" t="s">
        <v>81</v>
      </c>
      <c r="AP292" s="166" t="s">
        <v>117</v>
      </c>
      <c r="AQ292" s="166">
        <v>56</v>
      </c>
      <c r="AR292" s="166">
        <v>69</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354</v>
      </c>
      <c r="BR292" s="165"/>
      <c r="BS292" s="124">
        <v>318</v>
      </c>
      <c r="BT292" s="174"/>
    </row>
    <row r="293" spans="1:72" s="124" customFormat="1" ht="14.25" hidden="1" customHeight="1" x14ac:dyDescent="0.2">
      <c r="A293" s="92">
        <v>319</v>
      </c>
      <c r="B293" s="233" t="s">
        <v>350</v>
      </c>
      <c r="C293" s="263" t="s">
        <v>351</v>
      </c>
      <c r="D293" s="233" t="s">
        <v>355</v>
      </c>
      <c r="E293" s="17" t="s">
        <v>356</v>
      </c>
      <c r="F293" s="18" t="s">
        <v>103</v>
      </c>
      <c r="G293" s="181" t="s">
        <v>56</v>
      </c>
      <c r="H293" s="181" t="s">
        <v>157</v>
      </c>
      <c r="I293" s="181"/>
      <c r="J293" s="178">
        <v>500</v>
      </c>
      <c r="K293" s="139"/>
      <c r="L293" s="139" t="s">
        <v>58</v>
      </c>
      <c r="M293" s="178" t="s">
        <v>59</v>
      </c>
      <c r="N293" s="178" t="s">
        <v>357</v>
      </c>
      <c r="O293" s="138" t="s">
        <v>60</v>
      </c>
      <c r="P293" s="178" t="s">
        <v>92</v>
      </c>
      <c r="Q293" s="176" t="s">
        <v>358</v>
      </c>
      <c r="R293" s="179" t="s">
        <v>359</v>
      </c>
      <c r="S293" s="180"/>
      <c r="T293" s="180">
        <v>150</v>
      </c>
      <c r="U293" s="180"/>
      <c r="V293" s="19" t="s">
        <v>62</v>
      </c>
      <c r="W293" s="168">
        <v>2</v>
      </c>
      <c r="X293" s="106">
        <v>3</v>
      </c>
      <c r="Y293" s="167" t="s">
        <v>353</v>
      </c>
      <c r="Z293" s="82" t="s">
        <v>63</v>
      </c>
      <c r="AA293" s="166">
        <v>8</v>
      </c>
      <c r="AB293" s="166">
        <v>8</v>
      </c>
      <c r="AC293" s="165">
        <v>22.9</v>
      </c>
      <c r="AD293" s="21" t="s">
        <v>80</v>
      </c>
      <c r="AE293" s="165" t="s">
        <v>116</v>
      </c>
      <c r="AF293" s="165">
        <v>5.2</v>
      </c>
      <c r="AG293" s="165" t="s">
        <v>80</v>
      </c>
      <c r="AH293" s="165" t="s">
        <v>117</v>
      </c>
      <c r="AI293" s="165">
        <v>18</v>
      </c>
      <c r="AJ293" s="165">
        <v>34</v>
      </c>
      <c r="AK293" s="166">
        <v>60.5</v>
      </c>
      <c r="AL293" s="166" t="s">
        <v>81</v>
      </c>
      <c r="AM293" s="166" t="s">
        <v>116</v>
      </c>
      <c r="AN293" s="166">
        <v>4.5</v>
      </c>
      <c r="AO293" s="166" t="s">
        <v>81</v>
      </c>
      <c r="AP293" s="166" t="s">
        <v>117</v>
      </c>
      <c r="AQ293" s="166">
        <v>56</v>
      </c>
      <c r="AR293" s="166">
        <v>69</v>
      </c>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354</v>
      </c>
      <c r="BR293" s="165"/>
      <c r="BS293" s="124">
        <v>319</v>
      </c>
    </row>
    <row r="294" spans="1:72" s="124" customFormat="1" ht="14.25" hidden="1" customHeight="1" x14ac:dyDescent="0.2">
      <c r="A294" s="92">
        <v>320</v>
      </c>
      <c r="B294" s="233" t="s">
        <v>350</v>
      </c>
      <c r="C294" s="263" t="s">
        <v>351</v>
      </c>
      <c r="D294" s="233" t="s">
        <v>360</v>
      </c>
      <c r="E294" s="17" t="s">
        <v>111</v>
      </c>
      <c r="F294" s="18" t="s">
        <v>103</v>
      </c>
      <c r="G294" s="181" t="s">
        <v>56</v>
      </c>
      <c r="H294" s="181" t="s">
        <v>57</v>
      </c>
      <c r="I294" s="181"/>
      <c r="J294" s="178">
        <v>10</v>
      </c>
      <c r="K294" s="139">
        <f>J294*0.9135071</f>
        <v>9.1350709999999999</v>
      </c>
      <c r="L294" s="139" t="s">
        <v>58</v>
      </c>
      <c r="M294" s="178" t="s">
        <v>59</v>
      </c>
      <c r="N294" s="178">
        <v>79</v>
      </c>
      <c r="O294" s="138" t="s">
        <v>60</v>
      </c>
      <c r="P294" s="178" t="s">
        <v>79</v>
      </c>
      <c r="Q294" s="176" t="s">
        <v>113</v>
      </c>
      <c r="R294" s="179" t="s">
        <v>352</v>
      </c>
      <c r="S294" s="180"/>
      <c r="T294" s="180">
        <v>150</v>
      </c>
      <c r="U294" s="180"/>
      <c r="V294" s="19" t="s">
        <v>62</v>
      </c>
      <c r="W294" s="168">
        <v>2</v>
      </c>
      <c r="X294" s="106">
        <v>3</v>
      </c>
      <c r="Y294" s="167" t="s">
        <v>353</v>
      </c>
      <c r="Z294" s="82" t="s">
        <v>63</v>
      </c>
      <c r="AA294" s="166">
        <v>8</v>
      </c>
      <c r="AB294" s="166">
        <v>8</v>
      </c>
      <c r="AC294" s="165">
        <v>22.9</v>
      </c>
      <c r="AD294" s="21" t="s">
        <v>80</v>
      </c>
      <c r="AE294" s="165" t="s">
        <v>116</v>
      </c>
      <c r="AF294" s="165">
        <v>5.2</v>
      </c>
      <c r="AG294" s="165" t="s">
        <v>80</v>
      </c>
      <c r="AH294" s="165" t="s">
        <v>117</v>
      </c>
      <c r="AI294" s="165">
        <v>18</v>
      </c>
      <c r="AJ294" s="165">
        <v>34</v>
      </c>
      <c r="AK294" s="166">
        <v>60.5</v>
      </c>
      <c r="AL294" s="166" t="s">
        <v>81</v>
      </c>
      <c r="AM294" s="166" t="s">
        <v>116</v>
      </c>
      <c r="AN294" s="166">
        <v>4.5</v>
      </c>
      <c r="AO294" s="166" t="s">
        <v>81</v>
      </c>
      <c r="AP294" s="166" t="s">
        <v>117</v>
      </c>
      <c r="AQ294" s="166">
        <v>56</v>
      </c>
      <c r="AR294" s="166">
        <v>69</v>
      </c>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354</v>
      </c>
      <c r="BR294" s="165"/>
      <c r="BS294" s="124">
        <v>320</v>
      </c>
    </row>
    <row r="295" spans="1:72" s="124" customFormat="1" ht="14.25" hidden="1" customHeight="1" x14ac:dyDescent="0.2">
      <c r="A295" s="92">
        <v>321</v>
      </c>
      <c r="B295" s="233" t="s">
        <v>350</v>
      </c>
      <c r="C295" s="263" t="s">
        <v>351</v>
      </c>
      <c r="D295" s="233" t="s">
        <v>360</v>
      </c>
      <c r="E295" s="17" t="s">
        <v>149</v>
      </c>
      <c r="F295" s="18" t="s">
        <v>103</v>
      </c>
      <c r="G295" s="181" t="s">
        <v>56</v>
      </c>
      <c r="H295" s="181" t="s">
        <v>157</v>
      </c>
      <c r="I295" s="181"/>
      <c r="J295" s="178">
        <v>100</v>
      </c>
      <c r="K295" s="139"/>
      <c r="L295" s="139" t="s">
        <v>58</v>
      </c>
      <c r="M295" s="178" t="s">
        <v>59</v>
      </c>
      <c r="N295" s="27" t="s">
        <v>361</v>
      </c>
      <c r="O295" s="138" t="s">
        <v>60</v>
      </c>
      <c r="P295" s="178" t="s">
        <v>92</v>
      </c>
      <c r="Q295" s="176"/>
      <c r="R295" s="179" t="s">
        <v>362</v>
      </c>
      <c r="S295" s="180"/>
      <c r="T295" s="180">
        <v>150</v>
      </c>
      <c r="U295" s="180"/>
      <c r="V295" s="19" t="s">
        <v>62</v>
      </c>
      <c r="W295" s="168">
        <v>2</v>
      </c>
      <c r="X295" s="106">
        <v>3</v>
      </c>
      <c r="Y295" s="167" t="s">
        <v>353</v>
      </c>
      <c r="Z295" s="82" t="s">
        <v>63</v>
      </c>
      <c r="AA295" s="166">
        <v>8</v>
      </c>
      <c r="AB295" s="166">
        <v>8</v>
      </c>
      <c r="AC295" s="165">
        <v>22.9</v>
      </c>
      <c r="AD295" s="21" t="s">
        <v>80</v>
      </c>
      <c r="AE295" s="165" t="s">
        <v>116</v>
      </c>
      <c r="AF295" s="165">
        <v>5.2</v>
      </c>
      <c r="AG295" s="165" t="s">
        <v>80</v>
      </c>
      <c r="AH295" s="165" t="s">
        <v>117</v>
      </c>
      <c r="AI295" s="165">
        <v>18</v>
      </c>
      <c r="AJ295" s="165">
        <v>34</v>
      </c>
      <c r="AK295" s="166">
        <v>60.5</v>
      </c>
      <c r="AL295" s="166" t="s">
        <v>81</v>
      </c>
      <c r="AM295" s="166" t="s">
        <v>116</v>
      </c>
      <c r="AN295" s="166">
        <v>4.5</v>
      </c>
      <c r="AO295" s="166" t="s">
        <v>81</v>
      </c>
      <c r="AP295" s="166" t="s">
        <v>117</v>
      </c>
      <c r="AQ295" s="166">
        <v>56</v>
      </c>
      <c r="AR295" s="166">
        <v>69</v>
      </c>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354</v>
      </c>
      <c r="BR295" s="165"/>
      <c r="BS295" s="124">
        <v>321</v>
      </c>
    </row>
    <row r="296" spans="1:72" s="124" customFormat="1" ht="14.25" hidden="1" customHeight="1" x14ac:dyDescent="0.2">
      <c r="A296" s="92">
        <v>322</v>
      </c>
      <c r="B296" s="233" t="s">
        <v>363</v>
      </c>
      <c r="C296" s="263" t="s">
        <v>364</v>
      </c>
      <c r="D296" s="233" t="s">
        <v>365</v>
      </c>
      <c r="E296" s="17" t="s">
        <v>111</v>
      </c>
      <c r="F296" s="18" t="s">
        <v>103</v>
      </c>
      <c r="G296" s="181" t="s">
        <v>56</v>
      </c>
      <c r="H296" s="181" t="s">
        <v>66</v>
      </c>
      <c r="I296" s="181"/>
      <c r="J296" s="178">
        <v>0.3</v>
      </c>
      <c r="K296" s="139">
        <f t="shared" ref="K296:K305" si="3">J296*0.9135071</f>
        <v>0.27405213</v>
      </c>
      <c r="L296" s="139" t="s">
        <v>58</v>
      </c>
      <c r="M296" s="178" t="s">
        <v>78</v>
      </c>
      <c r="N296" s="178">
        <v>0</v>
      </c>
      <c r="O296" s="138" t="s">
        <v>366</v>
      </c>
      <c r="P296" s="178" t="s">
        <v>79</v>
      </c>
      <c r="Q296" s="176" t="s">
        <v>113</v>
      </c>
      <c r="R296" s="179"/>
      <c r="S296" s="180">
        <v>5</v>
      </c>
      <c r="T296" s="180"/>
      <c r="U296" s="180"/>
      <c r="V296" s="167"/>
      <c r="W296" s="168"/>
      <c r="X296" s="106"/>
      <c r="Y296" s="167"/>
      <c r="Z296" s="82" t="s">
        <v>63</v>
      </c>
      <c r="AA296" s="166">
        <v>50</v>
      </c>
      <c r="AB296" s="166">
        <v>49</v>
      </c>
      <c r="AC296" s="165">
        <v>49.4</v>
      </c>
      <c r="AD296" s="21" t="s">
        <v>80</v>
      </c>
      <c r="AE296" s="165" t="s">
        <v>116</v>
      </c>
      <c r="AF296" s="165"/>
      <c r="AG296" s="165"/>
      <c r="AH296" s="165"/>
      <c r="AI296" s="165">
        <v>19</v>
      </c>
      <c r="AJ296" s="165">
        <v>86</v>
      </c>
      <c r="AK296" s="166"/>
      <c r="AL296" s="166"/>
      <c r="AM296" s="166"/>
      <c r="AN296" s="166"/>
      <c r="AO296" s="166"/>
      <c r="AP296" s="166"/>
      <c r="AQ296" s="166"/>
      <c r="AR296" s="166"/>
      <c r="AS296" s="165"/>
      <c r="AT296" s="165"/>
      <c r="AU296" s="165"/>
      <c r="AV296" s="165"/>
      <c r="AW296" s="165"/>
      <c r="AX296" s="165"/>
      <c r="AY296" s="165"/>
      <c r="AZ296" s="165"/>
      <c r="BA296" s="166">
        <v>26.9</v>
      </c>
      <c r="BB296" s="166" t="s">
        <v>367</v>
      </c>
      <c r="BC296" s="166" t="s">
        <v>116</v>
      </c>
      <c r="BD296" s="166"/>
      <c r="BE296" s="166"/>
      <c r="BF296" s="166"/>
      <c r="BG296" s="166">
        <v>15.1</v>
      </c>
      <c r="BH296" s="166">
        <v>42.9</v>
      </c>
      <c r="BI296" s="165"/>
      <c r="BJ296" s="165"/>
      <c r="BK296" s="165"/>
      <c r="BL296" s="165"/>
      <c r="BM296" s="165"/>
      <c r="BN296" s="165"/>
      <c r="BO296" s="165"/>
      <c r="BP296" s="165"/>
      <c r="BQ296" s="166" t="s">
        <v>368</v>
      </c>
      <c r="BR296" s="165" t="s">
        <v>369</v>
      </c>
      <c r="BS296" s="124">
        <v>322</v>
      </c>
    </row>
    <row r="297" spans="1:72" s="124" customFormat="1" ht="14.25" hidden="1" customHeight="1" x14ac:dyDescent="0.2">
      <c r="A297" s="92">
        <v>323</v>
      </c>
      <c r="B297" s="233" t="s">
        <v>363</v>
      </c>
      <c r="C297" s="263" t="s">
        <v>364</v>
      </c>
      <c r="D297" s="233" t="s">
        <v>370</v>
      </c>
      <c r="E297" s="17" t="s">
        <v>111</v>
      </c>
      <c r="F297" s="18" t="s">
        <v>103</v>
      </c>
      <c r="G297" s="181" t="s">
        <v>56</v>
      </c>
      <c r="H297" s="181" t="s">
        <v>66</v>
      </c>
      <c r="I297" s="181"/>
      <c r="J297" s="178">
        <v>1</v>
      </c>
      <c r="K297" s="139">
        <f t="shared" si="3"/>
        <v>0.91350710000000002</v>
      </c>
      <c r="L297" s="139" t="s">
        <v>58</v>
      </c>
      <c r="M297" s="178" t="s">
        <v>78</v>
      </c>
      <c r="N297" s="178">
        <v>0</v>
      </c>
      <c r="O297" s="138" t="s">
        <v>60</v>
      </c>
      <c r="P297" s="178" t="s">
        <v>79</v>
      </c>
      <c r="Q297" s="176" t="s">
        <v>113</v>
      </c>
      <c r="R297" s="179"/>
      <c r="S297" s="180">
        <v>5</v>
      </c>
      <c r="T297" s="180"/>
      <c r="U297" s="180"/>
      <c r="V297" s="167"/>
      <c r="W297" s="168"/>
      <c r="X297" s="106"/>
      <c r="Y297" s="167"/>
      <c r="Z297" s="82" t="s">
        <v>63</v>
      </c>
      <c r="AA297" s="166">
        <v>49</v>
      </c>
      <c r="AB297" s="166">
        <v>43</v>
      </c>
      <c r="AC297" s="165">
        <v>49.5</v>
      </c>
      <c r="AD297" s="21" t="s">
        <v>80</v>
      </c>
      <c r="AE297" s="165" t="s">
        <v>116</v>
      </c>
      <c r="AF297" s="165"/>
      <c r="AG297" s="165"/>
      <c r="AH297" s="165"/>
      <c r="AI297" s="165">
        <v>21</v>
      </c>
      <c r="AJ297" s="165">
        <v>85</v>
      </c>
      <c r="AK297" s="166"/>
      <c r="AL297" s="166"/>
      <c r="AM297" s="166"/>
      <c r="AN297" s="166"/>
      <c r="AO297" s="166"/>
      <c r="AP297" s="166"/>
      <c r="AQ297" s="166"/>
      <c r="AR297" s="166"/>
      <c r="AS297" s="165"/>
      <c r="AT297" s="165"/>
      <c r="AU297" s="165"/>
      <c r="AV297" s="165"/>
      <c r="AW297" s="165"/>
      <c r="AX297" s="165"/>
      <c r="AY297" s="165"/>
      <c r="AZ297" s="165"/>
      <c r="BA297" s="166">
        <v>26.8</v>
      </c>
      <c r="BB297" s="166" t="s">
        <v>367</v>
      </c>
      <c r="BC297" s="166" t="s">
        <v>116</v>
      </c>
      <c r="BD297" s="166"/>
      <c r="BE297" s="166"/>
      <c r="BF297" s="166"/>
      <c r="BG297" s="166">
        <v>17.7</v>
      </c>
      <c r="BH297" s="166">
        <v>40.200000000000003</v>
      </c>
      <c r="BI297" s="165"/>
      <c r="BJ297" s="165"/>
      <c r="BK297" s="165"/>
      <c r="BL297" s="165"/>
      <c r="BM297" s="165"/>
      <c r="BN297" s="165"/>
      <c r="BO297" s="165"/>
      <c r="BP297" s="165"/>
      <c r="BQ297" s="166" t="s">
        <v>368</v>
      </c>
      <c r="BR297" s="165" t="s">
        <v>369</v>
      </c>
      <c r="BS297" s="124">
        <v>323</v>
      </c>
    </row>
    <row r="298" spans="1:72" s="124" customFormat="1" ht="14.25" hidden="1" customHeight="1" x14ac:dyDescent="0.2">
      <c r="A298" s="92">
        <v>324</v>
      </c>
      <c r="B298" s="233" t="s">
        <v>363</v>
      </c>
      <c r="C298" s="263" t="s">
        <v>364</v>
      </c>
      <c r="D298" s="233" t="s">
        <v>371</v>
      </c>
      <c r="E298" s="17" t="s">
        <v>111</v>
      </c>
      <c r="F298" s="18" t="s">
        <v>103</v>
      </c>
      <c r="G298" s="181" t="s">
        <v>56</v>
      </c>
      <c r="H298" s="181" t="s">
        <v>66</v>
      </c>
      <c r="I298" s="181"/>
      <c r="J298" s="178">
        <v>2</v>
      </c>
      <c r="K298" s="139">
        <f t="shared" si="3"/>
        <v>1.8270142</v>
      </c>
      <c r="L298" s="139" t="s">
        <v>58</v>
      </c>
      <c r="M298" s="178" t="s">
        <v>78</v>
      </c>
      <c r="N298" s="178">
        <v>0</v>
      </c>
      <c r="O298" s="138" t="s">
        <v>60</v>
      </c>
      <c r="P298" s="178" t="s">
        <v>79</v>
      </c>
      <c r="Q298" s="176" t="s">
        <v>113</v>
      </c>
      <c r="R298" s="179"/>
      <c r="S298" s="180">
        <v>5</v>
      </c>
      <c r="T298" s="180"/>
      <c r="U298" s="180"/>
      <c r="V298" s="167"/>
      <c r="W298" s="168"/>
      <c r="X298" s="106"/>
      <c r="Y298" s="167"/>
      <c r="Z298" s="82" t="s">
        <v>63</v>
      </c>
      <c r="AA298" s="166">
        <v>52</v>
      </c>
      <c r="AB298" s="166">
        <v>45</v>
      </c>
      <c r="AC298" s="165">
        <v>52.3</v>
      </c>
      <c r="AD298" s="21" t="s">
        <v>80</v>
      </c>
      <c r="AE298" s="165" t="s">
        <v>116</v>
      </c>
      <c r="AF298" s="165"/>
      <c r="AG298" s="165"/>
      <c r="AH298" s="165"/>
      <c r="AI298" s="165">
        <v>25</v>
      </c>
      <c r="AJ298" s="165">
        <v>86</v>
      </c>
      <c r="AK298" s="166"/>
      <c r="AL298" s="166"/>
      <c r="AM298" s="166"/>
      <c r="AN298" s="166"/>
      <c r="AO298" s="166"/>
      <c r="AP298" s="166"/>
      <c r="AQ298" s="166"/>
      <c r="AR298" s="166"/>
      <c r="AS298" s="165"/>
      <c r="AT298" s="165"/>
      <c r="AU298" s="165"/>
      <c r="AV298" s="165"/>
      <c r="AW298" s="165"/>
      <c r="AX298" s="165"/>
      <c r="AY298" s="165"/>
      <c r="AZ298" s="165"/>
      <c r="BA298" s="166">
        <v>26.7</v>
      </c>
      <c r="BB298" s="166" t="s">
        <v>367</v>
      </c>
      <c r="BC298" s="166" t="s">
        <v>116</v>
      </c>
      <c r="BD298" s="166"/>
      <c r="BE298" s="166"/>
      <c r="BF298" s="166"/>
      <c r="BG298" s="166">
        <v>19.100000000000001</v>
      </c>
      <c r="BH298" s="166">
        <v>47</v>
      </c>
      <c r="BI298" s="165"/>
      <c r="BJ298" s="165"/>
      <c r="BK298" s="165"/>
      <c r="BL298" s="165"/>
      <c r="BM298" s="165"/>
      <c r="BN298" s="165"/>
      <c r="BO298" s="165"/>
      <c r="BP298" s="165"/>
      <c r="BQ298" s="166" t="s">
        <v>372</v>
      </c>
      <c r="BR298" s="165" t="s">
        <v>369</v>
      </c>
      <c r="BS298" s="124">
        <v>324</v>
      </c>
    </row>
    <row r="299" spans="1:72" s="124" customFormat="1" ht="14.25" hidden="1" customHeight="1" x14ac:dyDescent="0.2">
      <c r="A299" s="92">
        <v>325</v>
      </c>
      <c r="B299" s="233" t="s">
        <v>363</v>
      </c>
      <c r="C299" s="263" t="s">
        <v>364</v>
      </c>
      <c r="D299" s="233" t="s">
        <v>373</v>
      </c>
      <c r="E299" s="17" t="s">
        <v>111</v>
      </c>
      <c r="F299" s="18" t="s">
        <v>103</v>
      </c>
      <c r="G299" s="181" t="s">
        <v>56</v>
      </c>
      <c r="H299" s="181" t="s">
        <v>66</v>
      </c>
      <c r="I299" s="181"/>
      <c r="J299" s="178">
        <v>3</v>
      </c>
      <c r="K299" s="139">
        <f t="shared" si="3"/>
        <v>2.7405213000000002</v>
      </c>
      <c r="L299" s="139" t="s">
        <v>58</v>
      </c>
      <c r="M299" s="178" t="s">
        <v>78</v>
      </c>
      <c r="N299" s="178">
        <v>0</v>
      </c>
      <c r="O299" s="138" t="s">
        <v>60</v>
      </c>
      <c r="P299" s="178" t="s">
        <v>79</v>
      </c>
      <c r="Q299" s="176" t="s">
        <v>113</v>
      </c>
      <c r="R299" s="179"/>
      <c r="S299" s="180">
        <v>5</v>
      </c>
      <c r="T299" s="180"/>
      <c r="U299" s="180"/>
      <c r="V299" s="167"/>
      <c r="W299" s="168"/>
      <c r="X299" s="106"/>
      <c r="Y299" s="167"/>
      <c r="Z299" s="82" t="s">
        <v>63</v>
      </c>
      <c r="AA299" s="166">
        <v>55</v>
      </c>
      <c r="AB299" s="166">
        <v>49</v>
      </c>
      <c r="AC299" s="165">
        <v>50.3</v>
      </c>
      <c r="AD299" s="21" t="s">
        <v>80</v>
      </c>
      <c r="AE299" s="165" t="s">
        <v>116</v>
      </c>
      <c r="AF299" s="165"/>
      <c r="AG299" s="165"/>
      <c r="AH299" s="165"/>
      <c r="AI299" s="165">
        <v>25</v>
      </c>
      <c r="AJ299" s="165">
        <v>78</v>
      </c>
      <c r="AK299" s="166"/>
      <c r="AL299" s="166"/>
      <c r="AM299" s="166"/>
      <c r="AN299" s="166"/>
      <c r="AO299" s="166"/>
      <c r="AP299" s="166"/>
      <c r="AQ299" s="166"/>
      <c r="AR299" s="166"/>
      <c r="AS299" s="165"/>
      <c r="AT299" s="165"/>
      <c r="AU299" s="165"/>
      <c r="AV299" s="165"/>
      <c r="AW299" s="165"/>
      <c r="AX299" s="165"/>
      <c r="AY299" s="165"/>
      <c r="AZ299" s="165"/>
      <c r="BA299" s="166">
        <v>26.9</v>
      </c>
      <c r="BB299" s="166" t="s">
        <v>367</v>
      </c>
      <c r="BC299" s="166" t="s">
        <v>116</v>
      </c>
      <c r="BD299" s="166"/>
      <c r="BE299" s="166"/>
      <c r="BF299" s="166"/>
      <c r="BG299" s="166">
        <v>17.100000000000001</v>
      </c>
      <c r="BH299" s="166">
        <v>42.6</v>
      </c>
      <c r="BI299" s="165"/>
      <c r="BJ299" s="165"/>
      <c r="BK299" s="165"/>
      <c r="BL299" s="165"/>
      <c r="BM299" s="165"/>
      <c r="BN299" s="165"/>
      <c r="BO299" s="165"/>
      <c r="BP299" s="165"/>
      <c r="BQ299" s="166" t="s">
        <v>374</v>
      </c>
      <c r="BR299" s="165" t="s">
        <v>369</v>
      </c>
      <c r="BS299" s="124">
        <v>325</v>
      </c>
    </row>
    <row r="300" spans="1:72" s="124" customFormat="1" ht="14.25" hidden="1" customHeight="1" x14ac:dyDescent="0.2">
      <c r="A300" s="92">
        <v>326</v>
      </c>
      <c r="B300" s="233" t="s">
        <v>375</v>
      </c>
      <c r="C300" s="263" t="s">
        <v>376</v>
      </c>
      <c r="D300" s="233" t="s">
        <v>200</v>
      </c>
      <c r="E300" s="17" t="s">
        <v>111</v>
      </c>
      <c r="F300" s="18" t="s">
        <v>103</v>
      </c>
      <c r="G300" s="181" t="s">
        <v>56</v>
      </c>
      <c r="H300" s="181" t="s">
        <v>57</v>
      </c>
      <c r="I300" s="181"/>
      <c r="J300" s="178">
        <v>10</v>
      </c>
      <c r="K300" s="139">
        <f t="shared" si="3"/>
        <v>9.1350709999999999</v>
      </c>
      <c r="L300" s="139" t="s">
        <v>58</v>
      </c>
      <c r="M300" s="178" t="s">
        <v>59</v>
      </c>
      <c r="N300" s="178">
        <v>0</v>
      </c>
      <c r="O300" s="138" t="s">
        <v>60</v>
      </c>
      <c r="P300" s="178" t="s">
        <v>79</v>
      </c>
      <c r="Q300" s="176" t="s">
        <v>113</v>
      </c>
      <c r="R300" s="179" t="s">
        <v>352</v>
      </c>
      <c r="S300" s="180"/>
      <c r="T300" s="180">
        <v>150</v>
      </c>
      <c r="U300" s="180"/>
      <c r="V300" s="19" t="s">
        <v>62</v>
      </c>
      <c r="W300" s="168">
        <v>2</v>
      </c>
      <c r="X300" s="106">
        <v>3</v>
      </c>
      <c r="Y300" s="167" t="s">
        <v>353</v>
      </c>
      <c r="Z300" s="82" t="s">
        <v>63</v>
      </c>
      <c r="AA300" s="166">
        <v>10</v>
      </c>
      <c r="AB300" s="166">
        <v>5</v>
      </c>
      <c r="AC300" s="165">
        <v>24.1</v>
      </c>
      <c r="AD300" s="21" t="s">
        <v>80</v>
      </c>
      <c r="AE300" s="165"/>
      <c r="AF300" s="165">
        <v>3.9</v>
      </c>
      <c r="AG300" s="165"/>
      <c r="AH300" s="165"/>
      <c r="AI300" s="165">
        <v>20</v>
      </c>
      <c r="AJ300" s="165">
        <v>32</v>
      </c>
      <c r="AK300" s="166">
        <v>66.5</v>
      </c>
      <c r="AL300" s="166"/>
      <c r="AM300" s="166"/>
      <c r="AN300" s="166">
        <v>9.9</v>
      </c>
      <c r="AO300" s="166"/>
      <c r="AP300" s="166"/>
      <c r="AQ300" s="166">
        <v>54</v>
      </c>
      <c r="AR300" s="166">
        <v>83</v>
      </c>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354</v>
      </c>
      <c r="BR300" s="165"/>
      <c r="BS300" s="124">
        <v>326</v>
      </c>
    </row>
    <row r="301" spans="1:72" s="124" customFormat="1" ht="14.25" hidden="1" customHeight="1" x14ac:dyDescent="0.2">
      <c r="A301" s="92">
        <v>327</v>
      </c>
      <c r="B301" s="233" t="s">
        <v>375</v>
      </c>
      <c r="C301" s="263" t="s">
        <v>376</v>
      </c>
      <c r="D301" s="233" t="s">
        <v>377</v>
      </c>
      <c r="E301" s="17" t="s">
        <v>111</v>
      </c>
      <c r="F301" s="18" t="s">
        <v>103</v>
      </c>
      <c r="G301" s="181" t="s">
        <v>56</v>
      </c>
      <c r="H301" s="181" t="s">
        <v>57</v>
      </c>
      <c r="I301" s="181"/>
      <c r="J301" s="178">
        <v>10</v>
      </c>
      <c r="K301" s="139">
        <f t="shared" si="3"/>
        <v>9.1350709999999999</v>
      </c>
      <c r="L301" s="139" t="s">
        <v>58</v>
      </c>
      <c r="M301" s="178" t="s">
        <v>59</v>
      </c>
      <c r="N301" s="178">
        <v>114</v>
      </c>
      <c r="O301" s="138" t="s">
        <v>60</v>
      </c>
      <c r="P301" s="178" t="s">
        <v>79</v>
      </c>
      <c r="Q301" s="176" t="s">
        <v>113</v>
      </c>
      <c r="R301" s="179" t="s">
        <v>352</v>
      </c>
      <c r="S301" s="180"/>
      <c r="T301" s="180">
        <v>150</v>
      </c>
      <c r="U301" s="180"/>
      <c r="V301" s="19" t="s">
        <v>62</v>
      </c>
      <c r="W301" s="168">
        <v>2</v>
      </c>
      <c r="X301" s="106">
        <v>3</v>
      </c>
      <c r="Y301" s="167" t="s">
        <v>353</v>
      </c>
      <c r="Z301" s="82" t="s">
        <v>63</v>
      </c>
      <c r="AA301" s="166">
        <v>10</v>
      </c>
      <c r="AB301" s="166">
        <v>5</v>
      </c>
      <c r="AC301" s="165">
        <v>24.1</v>
      </c>
      <c r="AD301" s="21" t="s">
        <v>80</v>
      </c>
      <c r="AE301" s="165"/>
      <c r="AF301" s="165">
        <v>3.9</v>
      </c>
      <c r="AG301" s="165"/>
      <c r="AH301" s="165"/>
      <c r="AI301" s="165">
        <v>20</v>
      </c>
      <c r="AJ301" s="165">
        <v>32</v>
      </c>
      <c r="AK301" s="166">
        <v>66.5</v>
      </c>
      <c r="AL301" s="166"/>
      <c r="AM301" s="166"/>
      <c r="AN301" s="166">
        <v>9.9</v>
      </c>
      <c r="AO301" s="166"/>
      <c r="AP301" s="166"/>
      <c r="AQ301" s="166">
        <v>54</v>
      </c>
      <c r="AR301" s="166">
        <v>83</v>
      </c>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354</v>
      </c>
      <c r="BR301" s="165"/>
      <c r="BS301" s="124">
        <v>327</v>
      </c>
    </row>
    <row r="302" spans="1:72" s="124" customFormat="1" ht="14.25" hidden="1" customHeight="1" x14ac:dyDescent="0.2">
      <c r="A302" s="92">
        <v>328</v>
      </c>
      <c r="B302" s="233" t="s">
        <v>378</v>
      </c>
      <c r="C302" s="263" t="s">
        <v>379</v>
      </c>
      <c r="D302" s="233" t="s">
        <v>200</v>
      </c>
      <c r="E302" s="17" t="s">
        <v>111</v>
      </c>
      <c r="F302" s="18" t="s">
        <v>103</v>
      </c>
      <c r="G302" s="181" t="s">
        <v>56</v>
      </c>
      <c r="H302" s="181" t="s">
        <v>57</v>
      </c>
      <c r="I302" s="181"/>
      <c r="J302" s="178">
        <v>30</v>
      </c>
      <c r="K302" s="139">
        <f t="shared" si="3"/>
        <v>27.405213</v>
      </c>
      <c r="L302" s="139" t="s">
        <v>58</v>
      </c>
      <c r="M302" s="178" t="s">
        <v>59</v>
      </c>
      <c r="N302" s="178">
        <v>0</v>
      </c>
      <c r="O302" s="138" t="s">
        <v>60</v>
      </c>
      <c r="P302" s="178" t="s">
        <v>79</v>
      </c>
      <c r="Q302" s="176" t="s">
        <v>113</v>
      </c>
      <c r="R302" s="179" t="s">
        <v>352</v>
      </c>
      <c r="S302" s="180"/>
      <c r="T302" s="180">
        <v>150</v>
      </c>
      <c r="U302" s="180"/>
      <c r="V302" s="167" t="s">
        <v>62</v>
      </c>
      <c r="W302" s="168">
        <v>2</v>
      </c>
      <c r="X302" s="106">
        <v>3</v>
      </c>
      <c r="Y302" s="167" t="s">
        <v>353</v>
      </c>
      <c r="Z302" s="82" t="s">
        <v>63</v>
      </c>
      <c r="AA302" s="166">
        <v>10</v>
      </c>
      <c r="AB302" s="166">
        <v>5</v>
      </c>
      <c r="AC302" s="165"/>
      <c r="AD302" s="21" t="s">
        <v>80</v>
      </c>
      <c r="AE302" s="165"/>
      <c r="AF302" s="165"/>
      <c r="AG302" s="165"/>
      <c r="AH302" s="165"/>
      <c r="AI302" s="165">
        <v>18</v>
      </c>
      <c r="AJ302" s="165">
        <v>26</v>
      </c>
      <c r="AK302" s="166"/>
      <c r="AL302" s="166"/>
      <c r="AM302" s="166"/>
      <c r="AN302" s="166"/>
      <c r="AO302" s="166"/>
      <c r="AP302" s="166"/>
      <c r="AQ302" s="166">
        <v>56</v>
      </c>
      <c r="AR302" s="166">
        <v>85</v>
      </c>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354</v>
      </c>
      <c r="BR302" s="165"/>
      <c r="BS302" s="124">
        <v>328</v>
      </c>
    </row>
    <row r="303" spans="1:72" s="124" customFormat="1" ht="14.25" hidden="1" customHeight="1" x14ac:dyDescent="0.2">
      <c r="A303" s="92">
        <v>329</v>
      </c>
      <c r="B303" s="233" t="s">
        <v>378</v>
      </c>
      <c r="C303" s="263" t="s">
        <v>379</v>
      </c>
      <c r="D303" s="233" t="s">
        <v>205</v>
      </c>
      <c r="E303" s="17" t="s">
        <v>111</v>
      </c>
      <c r="F303" s="18" t="s">
        <v>103</v>
      </c>
      <c r="G303" s="181" t="s">
        <v>56</v>
      </c>
      <c r="H303" s="181" t="s">
        <v>57</v>
      </c>
      <c r="I303" s="181"/>
      <c r="J303" s="178">
        <v>30</v>
      </c>
      <c r="K303" s="139">
        <f t="shared" si="3"/>
        <v>27.405213</v>
      </c>
      <c r="L303" s="139" t="s">
        <v>58</v>
      </c>
      <c r="M303" s="178" t="s">
        <v>59</v>
      </c>
      <c r="N303" s="178">
        <v>113</v>
      </c>
      <c r="O303" s="138" t="s">
        <v>60</v>
      </c>
      <c r="P303" s="178" t="s">
        <v>79</v>
      </c>
      <c r="Q303" s="176" t="s">
        <v>113</v>
      </c>
      <c r="R303" s="179" t="s">
        <v>352</v>
      </c>
      <c r="S303" s="180"/>
      <c r="T303" s="180">
        <v>150</v>
      </c>
      <c r="U303" s="180"/>
      <c r="V303" s="167" t="s">
        <v>62</v>
      </c>
      <c r="W303" s="168">
        <v>2</v>
      </c>
      <c r="X303" s="106">
        <v>3</v>
      </c>
      <c r="Y303" s="167" t="s">
        <v>353</v>
      </c>
      <c r="Z303" s="82" t="s">
        <v>63</v>
      </c>
      <c r="AA303" s="166">
        <v>10</v>
      </c>
      <c r="AB303" s="166">
        <v>5</v>
      </c>
      <c r="AC303" s="165"/>
      <c r="AD303" s="21" t="s">
        <v>80</v>
      </c>
      <c r="AE303" s="165"/>
      <c r="AF303" s="165"/>
      <c r="AG303" s="165"/>
      <c r="AH303" s="165"/>
      <c r="AI303" s="165">
        <v>18</v>
      </c>
      <c r="AJ303" s="165">
        <v>26</v>
      </c>
      <c r="AK303" s="166"/>
      <c r="AL303" s="166"/>
      <c r="AM303" s="166"/>
      <c r="AN303" s="166"/>
      <c r="AO303" s="166"/>
      <c r="AP303" s="166"/>
      <c r="AQ303" s="166">
        <v>56</v>
      </c>
      <c r="AR303" s="166">
        <v>85</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354</v>
      </c>
      <c r="BR303" s="165"/>
      <c r="BS303" s="124">
        <v>329</v>
      </c>
    </row>
    <row r="304" spans="1:72" s="124" customFormat="1" ht="14.25" hidden="1" customHeight="1" x14ac:dyDescent="0.2">
      <c r="A304" s="92">
        <v>330</v>
      </c>
      <c r="B304" s="233" t="s">
        <v>380</v>
      </c>
      <c r="C304" s="263" t="s">
        <v>381</v>
      </c>
      <c r="D304" s="233" t="s">
        <v>200</v>
      </c>
      <c r="E304" s="17" t="s">
        <v>111</v>
      </c>
      <c r="F304" s="18" t="s">
        <v>103</v>
      </c>
      <c r="G304" s="181" t="s">
        <v>56</v>
      </c>
      <c r="H304" s="181" t="s">
        <v>57</v>
      </c>
      <c r="I304" s="181"/>
      <c r="J304" s="178">
        <v>10</v>
      </c>
      <c r="K304" s="139">
        <f t="shared" si="3"/>
        <v>9.1350709999999999</v>
      </c>
      <c r="L304" s="139" t="s">
        <v>58</v>
      </c>
      <c r="M304" s="178" t="s">
        <v>59</v>
      </c>
      <c r="N304" s="178">
        <v>0</v>
      </c>
      <c r="O304" s="138" t="s">
        <v>60</v>
      </c>
      <c r="P304" s="178" t="s">
        <v>79</v>
      </c>
      <c r="Q304" s="176" t="s">
        <v>113</v>
      </c>
      <c r="R304" s="179" t="s">
        <v>352</v>
      </c>
      <c r="S304" s="180"/>
      <c r="T304" s="180">
        <v>150</v>
      </c>
      <c r="U304" s="180"/>
      <c r="V304" s="167" t="s">
        <v>62</v>
      </c>
      <c r="W304" s="168">
        <v>2</v>
      </c>
      <c r="X304" s="106">
        <v>3</v>
      </c>
      <c r="Y304" s="167" t="s">
        <v>353</v>
      </c>
      <c r="Z304" s="82" t="s">
        <v>63</v>
      </c>
      <c r="AA304" s="166">
        <v>9</v>
      </c>
      <c r="AB304" s="166">
        <v>8</v>
      </c>
      <c r="AC304" s="165"/>
      <c r="AD304" s="21" t="s">
        <v>80</v>
      </c>
      <c r="AE304" s="165"/>
      <c r="AF304" s="165"/>
      <c r="AG304" s="165"/>
      <c r="AH304" s="165"/>
      <c r="AI304" s="165">
        <v>22</v>
      </c>
      <c r="AJ304" s="165">
        <v>26</v>
      </c>
      <c r="AK304" s="166"/>
      <c r="AL304" s="166"/>
      <c r="AM304" s="166"/>
      <c r="AN304" s="166"/>
      <c r="AO304" s="166"/>
      <c r="AP304" s="166"/>
      <c r="AQ304" s="166">
        <v>55</v>
      </c>
      <c r="AR304" s="166">
        <v>92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354</v>
      </c>
      <c r="BR304" s="165"/>
      <c r="BS304" s="124">
        <v>330</v>
      </c>
    </row>
    <row r="305" spans="1:72" s="124" customFormat="1" ht="14.25" hidden="1" customHeight="1" x14ac:dyDescent="0.2">
      <c r="A305" s="92">
        <v>331</v>
      </c>
      <c r="B305" s="233" t="s">
        <v>380</v>
      </c>
      <c r="C305" s="263" t="s">
        <v>381</v>
      </c>
      <c r="D305" s="233" t="s">
        <v>382</v>
      </c>
      <c r="E305" s="17" t="s">
        <v>111</v>
      </c>
      <c r="F305" s="18" t="s">
        <v>103</v>
      </c>
      <c r="G305" s="181" t="s">
        <v>56</v>
      </c>
      <c r="H305" s="181" t="s">
        <v>57</v>
      </c>
      <c r="I305" s="181"/>
      <c r="J305" s="178">
        <v>10</v>
      </c>
      <c r="K305" s="139">
        <f t="shared" si="3"/>
        <v>9.1350709999999999</v>
      </c>
      <c r="L305" s="139" t="s">
        <v>58</v>
      </c>
      <c r="M305" s="178" t="s">
        <v>59</v>
      </c>
      <c r="N305" s="178">
        <v>30</v>
      </c>
      <c r="O305" s="138" t="s">
        <v>60</v>
      </c>
      <c r="P305" s="178" t="s">
        <v>79</v>
      </c>
      <c r="Q305" s="176" t="s">
        <v>113</v>
      </c>
      <c r="R305" s="179" t="s">
        <v>352</v>
      </c>
      <c r="S305" s="180"/>
      <c r="T305" s="180">
        <v>150</v>
      </c>
      <c r="U305" s="180"/>
      <c r="V305" s="167" t="s">
        <v>62</v>
      </c>
      <c r="W305" s="168">
        <v>2</v>
      </c>
      <c r="X305" s="106">
        <v>3</v>
      </c>
      <c r="Y305" s="167" t="s">
        <v>353</v>
      </c>
      <c r="Z305" s="82" t="s">
        <v>63</v>
      </c>
      <c r="AA305" s="166">
        <v>9</v>
      </c>
      <c r="AB305" s="166">
        <v>8</v>
      </c>
      <c r="AC305" s="165"/>
      <c r="AD305" s="21" t="s">
        <v>80</v>
      </c>
      <c r="AE305" s="165"/>
      <c r="AF305" s="165"/>
      <c r="AG305" s="165"/>
      <c r="AH305" s="165"/>
      <c r="AI305" s="165">
        <v>22</v>
      </c>
      <c r="AJ305" s="165">
        <v>26</v>
      </c>
      <c r="AK305" s="166"/>
      <c r="AL305" s="166"/>
      <c r="AM305" s="166"/>
      <c r="AN305" s="166"/>
      <c r="AO305" s="166"/>
      <c r="AP305" s="166"/>
      <c r="AQ305" s="166">
        <v>55</v>
      </c>
      <c r="AR305" s="166">
        <v>92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354</v>
      </c>
      <c r="BR305" s="165"/>
      <c r="BS305" s="124">
        <v>331</v>
      </c>
    </row>
    <row r="306" spans="1:72" s="124" customFormat="1" ht="14.25" hidden="1" customHeight="1" x14ac:dyDescent="0.2">
      <c r="A306" s="92">
        <v>332</v>
      </c>
      <c r="B306" s="233" t="s">
        <v>380</v>
      </c>
      <c r="C306" s="263" t="s">
        <v>381</v>
      </c>
      <c r="D306" s="233" t="s">
        <v>382</v>
      </c>
      <c r="E306" s="17" t="s">
        <v>383</v>
      </c>
      <c r="F306" s="18" t="s">
        <v>103</v>
      </c>
      <c r="G306" s="181" t="s">
        <v>56</v>
      </c>
      <c r="H306" s="181" t="s">
        <v>57</v>
      </c>
      <c r="I306" s="181"/>
      <c r="J306" s="178">
        <v>80</v>
      </c>
      <c r="K306" s="139"/>
      <c r="L306" s="139" t="s">
        <v>58</v>
      </c>
      <c r="M306" s="178" t="s">
        <v>59</v>
      </c>
      <c r="N306" s="178" t="s">
        <v>384</v>
      </c>
      <c r="O306" s="138" t="s">
        <v>60</v>
      </c>
      <c r="P306" s="178" t="s">
        <v>79</v>
      </c>
      <c r="Q306" s="176"/>
      <c r="R306" s="179" t="s">
        <v>385</v>
      </c>
      <c r="S306" s="180"/>
      <c r="T306" s="180">
        <v>150</v>
      </c>
      <c r="U306" s="180"/>
      <c r="V306" s="167" t="s">
        <v>62</v>
      </c>
      <c r="W306" s="168">
        <v>2</v>
      </c>
      <c r="X306" s="106">
        <v>3</v>
      </c>
      <c r="Y306" s="167" t="s">
        <v>353</v>
      </c>
      <c r="Z306" s="82" t="s">
        <v>63</v>
      </c>
      <c r="AA306" s="166">
        <v>9</v>
      </c>
      <c r="AB306" s="166">
        <v>8</v>
      </c>
      <c r="AC306" s="165"/>
      <c r="AD306" s="21" t="s">
        <v>80</v>
      </c>
      <c r="AE306" s="165"/>
      <c r="AF306" s="165"/>
      <c r="AG306" s="165"/>
      <c r="AH306" s="165"/>
      <c r="AI306" s="165">
        <v>22</v>
      </c>
      <c r="AJ306" s="165">
        <v>26</v>
      </c>
      <c r="AK306" s="166"/>
      <c r="AL306" s="166"/>
      <c r="AM306" s="166"/>
      <c r="AN306" s="166"/>
      <c r="AO306" s="166"/>
      <c r="AP306" s="166"/>
      <c r="AQ306" s="166">
        <v>55</v>
      </c>
      <c r="AR306" s="166">
        <v>92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354</v>
      </c>
      <c r="BR306" s="165"/>
      <c r="BS306" s="124">
        <v>332</v>
      </c>
    </row>
    <row r="307" spans="1:72" s="124" customFormat="1" ht="14.25" hidden="1" customHeight="1" x14ac:dyDescent="0.2">
      <c r="A307" s="92">
        <v>333</v>
      </c>
      <c r="B307" s="233" t="s">
        <v>380</v>
      </c>
      <c r="C307" s="263" t="s">
        <v>381</v>
      </c>
      <c r="D307" s="233" t="s">
        <v>386</v>
      </c>
      <c r="E307" s="17" t="s">
        <v>111</v>
      </c>
      <c r="F307" s="18" t="s">
        <v>103</v>
      </c>
      <c r="G307" s="181" t="s">
        <v>56</v>
      </c>
      <c r="H307" s="181" t="s">
        <v>57</v>
      </c>
      <c r="I307" s="181"/>
      <c r="J307" s="178">
        <v>10</v>
      </c>
      <c r="K307" s="139">
        <f>J307*0.9135071</f>
        <v>9.1350709999999999</v>
      </c>
      <c r="L307" s="139" t="s">
        <v>58</v>
      </c>
      <c r="M307" s="178" t="s">
        <v>59</v>
      </c>
      <c r="N307" s="178">
        <v>30</v>
      </c>
      <c r="O307" s="138" t="s">
        <v>60</v>
      </c>
      <c r="P307" s="178" t="s">
        <v>79</v>
      </c>
      <c r="Q307" s="176" t="s">
        <v>113</v>
      </c>
      <c r="R307" s="179" t="s">
        <v>352</v>
      </c>
      <c r="S307" s="180"/>
      <c r="T307" s="180">
        <v>150</v>
      </c>
      <c r="U307" s="180"/>
      <c r="V307" s="167" t="s">
        <v>62</v>
      </c>
      <c r="W307" s="168">
        <v>2</v>
      </c>
      <c r="X307" s="106">
        <v>3</v>
      </c>
      <c r="Y307" s="167" t="s">
        <v>353</v>
      </c>
      <c r="Z307" s="82" t="s">
        <v>63</v>
      </c>
      <c r="AA307" s="166">
        <v>9</v>
      </c>
      <c r="AB307" s="166">
        <v>8</v>
      </c>
      <c r="AC307" s="165"/>
      <c r="AD307" s="21" t="s">
        <v>80</v>
      </c>
      <c r="AE307" s="165"/>
      <c r="AF307" s="165"/>
      <c r="AG307" s="165"/>
      <c r="AH307" s="165"/>
      <c r="AI307" s="165">
        <v>22</v>
      </c>
      <c r="AJ307" s="165">
        <v>26</v>
      </c>
      <c r="AK307" s="166"/>
      <c r="AL307" s="166"/>
      <c r="AM307" s="166"/>
      <c r="AN307" s="166"/>
      <c r="AO307" s="166"/>
      <c r="AP307" s="166"/>
      <c r="AQ307" s="166">
        <v>55</v>
      </c>
      <c r="AR307" s="166">
        <v>92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354</v>
      </c>
      <c r="BR307" s="165"/>
      <c r="BS307" s="124">
        <v>333</v>
      </c>
    </row>
    <row r="308" spans="1:72" s="124" customFormat="1" ht="14.25" hidden="1" customHeight="1" x14ac:dyDescent="0.2">
      <c r="A308" s="92">
        <v>334</v>
      </c>
      <c r="B308" s="233" t="s">
        <v>380</v>
      </c>
      <c r="C308" s="263" t="s">
        <v>381</v>
      </c>
      <c r="D308" s="233" t="s">
        <v>386</v>
      </c>
      <c r="E308" s="17" t="s">
        <v>387</v>
      </c>
      <c r="F308" s="18" t="s">
        <v>103</v>
      </c>
      <c r="G308" s="181" t="s">
        <v>56</v>
      </c>
      <c r="H308" s="181" t="s">
        <v>57</v>
      </c>
      <c r="I308" s="181"/>
      <c r="J308" s="178">
        <v>60</v>
      </c>
      <c r="K308" s="139"/>
      <c r="L308" s="139" t="s">
        <v>58</v>
      </c>
      <c r="M308" s="178" t="s">
        <v>59</v>
      </c>
      <c r="N308" s="178" t="s">
        <v>384</v>
      </c>
      <c r="O308" s="138" t="s">
        <v>60</v>
      </c>
      <c r="P308" s="178" t="s">
        <v>79</v>
      </c>
      <c r="Q308" s="176"/>
      <c r="R308" s="179" t="s">
        <v>388</v>
      </c>
      <c r="S308" s="180"/>
      <c r="T308" s="180">
        <v>150</v>
      </c>
      <c r="U308" s="180"/>
      <c r="V308" s="167" t="s">
        <v>62</v>
      </c>
      <c r="W308" s="168">
        <v>2</v>
      </c>
      <c r="X308" s="106">
        <v>3</v>
      </c>
      <c r="Y308" s="167" t="s">
        <v>353</v>
      </c>
      <c r="Z308" s="82" t="s">
        <v>63</v>
      </c>
      <c r="AA308" s="166">
        <v>9</v>
      </c>
      <c r="AB308" s="166">
        <v>8</v>
      </c>
      <c r="AC308" s="165"/>
      <c r="AD308" s="21" t="s">
        <v>80</v>
      </c>
      <c r="AE308" s="165"/>
      <c r="AF308" s="165"/>
      <c r="AG308" s="165"/>
      <c r="AH308" s="165"/>
      <c r="AI308" s="165">
        <v>22</v>
      </c>
      <c r="AJ308" s="165">
        <v>26</v>
      </c>
      <c r="AK308" s="166"/>
      <c r="AL308" s="166"/>
      <c r="AM308" s="166"/>
      <c r="AN308" s="166"/>
      <c r="AO308" s="166"/>
      <c r="AP308" s="166"/>
      <c r="AQ308" s="166">
        <v>55</v>
      </c>
      <c r="AR308" s="166">
        <v>92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c r="BS308" s="124">
        <v>334</v>
      </c>
    </row>
    <row r="309" spans="1:72" s="124" customFormat="1" ht="14.25" hidden="1" customHeight="1" x14ac:dyDescent="0.2">
      <c r="A309" s="92">
        <v>335</v>
      </c>
      <c r="B309" s="233" t="s">
        <v>389</v>
      </c>
      <c r="C309" s="263" t="s">
        <v>390</v>
      </c>
      <c r="D309" s="233" t="s">
        <v>200</v>
      </c>
      <c r="E309" s="17" t="s">
        <v>111</v>
      </c>
      <c r="F309" s="18" t="s">
        <v>103</v>
      </c>
      <c r="G309" s="181" t="s">
        <v>56</v>
      </c>
      <c r="H309" s="181" t="s">
        <v>57</v>
      </c>
      <c r="I309" s="181"/>
      <c r="J309" s="178">
        <v>10</v>
      </c>
      <c r="K309" s="139">
        <f>J309*0.9135071</f>
        <v>9.1350709999999999</v>
      </c>
      <c r="L309" s="139" t="s">
        <v>58</v>
      </c>
      <c r="M309" s="178" t="s">
        <v>59</v>
      </c>
      <c r="N309" s="178">
        <v>0</v>
      </c>
      <c r="O309" s="138" t="s">
        <v>60</v>
      </c>
      <c r="P309" s="178" t="s">
        <v>79</v>
      </c>
      <c r="Q309" s="176" t="s">
        <v>113</v>
      </c>
      <c r="R309" s="179" t="s">
        <v>352</v>
      </c>
      <c r="S309" s="180"/>
      <c r="T309" s="180">
        <v>150</v>
      </c>
      <c r="U309" s="180"/>
      <c r="V309" s="167" t="s">
        <v>62</v>
      </c>
      <c r="W309" s="168">
        <v>2</v>
      </c>
      <c r="X309" s="106">
        <v>3</v>
      </c>
      <c r="Y309" s="167" t="s">
        <v>353</v>
      </c>
      <c r="Z309" s="82" t="s">
        <v>63</v>
      </c>
      <c r="AA309" s="166">
        <v>10</v>
      </c>
      <c r="AB309" s="166">
        <v>5</v>
      </c>
      <c r="AC309" s="165">
        <v>22.3</v>
      </c>
      <c r="AD309" s="21" t="s">
        <v>80</v>
      </c>
      <c r="AE309" s="165"/>
      <c r="AF309" s="165">
        <v>3.2</v>
      </c>
      <c r="AG309" s="165"/>
      <c r="AH309" s="165"/>
      <c r="AI309" s="165">
        <v>20</v>
      </c>
      <c r="AJ309" s="165">
        <v>29</v>
      </c>
      <c r="AK309" s="166">
        <v>67.099999999999994</v>
      </c>
      <c r="AL309" s="166"/>
      <c r="AM309" s="166"/>
      <c r="AN309" s="166">
        <v>6.8</v>
      </c>
      <c r="AO309" s="166"/>
      <c r="AP309" s="166"/>
      <c r="AQ309" s="166">
        <v>58</v>
      </c>
      <c r="AR309" s="166">
        <v>76</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c r="BS309" s="124">
        <v>335</v>
      </c>
      <c r="BT309" s="174"/>
    </row>
    <row r="310" spans="1:72" s="124" customFormat="1" ht="14.25" hidden="1" customHeight="1" x14ac:dyDescent="0.2">
      <c r="A310" s="205">
        <v>336</v>
      </c>
      <c r="B310" s="233" t="s">
        <v>790</v>
      </c>
      <c r="C310" s="263" t="s">
        <v>791</v>
      </c>
      <c r="D310" s="233" t="s">
        <v>200</v>
      </c>
      <c r="E310" s="125" t="s">
        <v>412</v>
      </c>
      <c r="F310" s="181" t="s">
        <v>55</v>
      </c>
      <c r="G310" s="181" t="s">
        <v>705</v>
      </c>
      <c r="H310" s="181" t="s">
        <v>66</v>
      </c>
      <c r="I310" s="181"/>
      <c r="J310" s="178">
        <v>0.5</v>
      </c>
      <c r="K310" s="182"/>
      <c r="L310" s="182" t="s">
        <v>58</v>
      </c>
      <c r="M310" s="178" t="s">
        <v>59</v>
      </c>
      <c r="N310" s="178">
        <v>0</v>
      </c>
      <c r="O310" s="178" t="s">
        <v>60</v>
      </c>
      <c r="P310" s="178" t="s">
        <v>79</v>
      </c>
      <c r="Q310" s="179" t="s">
        <v>1365</v>
      </c>
      <c r="R310" s="179" t="s">
        <v>1390</v>
      </c>
      <c r="S310" s="180"/>
      <c r="T310" s="179">
        <v>400</v>
      </c>
      <c r="U310" s="179" t="s">
        <v>1366</v>
      </c>
      <c r="V310" s="167" t="s">
        <v>62</v>
      </c>
      <c r="W310" s="168">
        <v>8</v>
      </c>
      <c r="X310" s="168"/>
      <c r="Y310" s="167"/>
      <c r="Z310" s="169" t="s">
        <v>63</v>
      </c>
      <c r="AA310" s="166">
        <v>10</v>
      </c>
      <c r="AB310" s="166">
        <v>5</v>
      </c>
      <c r="AC310" s="165"/>
      <c r="AD310" s="165" t="s">
        <v>80</v>
      </c>
      <c r="AE310" s="165"/>
      <c r="AF310" s="165"/>
      <c r="AG310" s="165"/>
      <c r="AH310" s="165"/>
      <c r="AI310" s="165">
        <v>24</v>
      </c>
      <c r="AJ310" s="165">
        <v>34</v>
      </c>
      <c r="AK310" s="166"/>
      <c r="AL310" s="166" t="s">
        <v>81</v>
      </c>
      <c r="AM310" s="166"/>
      <c r="AN310" s="166"/>
      <c r="AO310" s="166"/>
      <c r="AP310" s="166"/>
      <c r="AQ310" s="166">
        <v>53</v>
      </c>
      <c r="AR310" s="166">
        <v>115</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1367</v>
      </c>
      <c r="BR310" s="165" t="s">
        <v>1368</v>
      </c>
      <c r="BS310" s="124">
        <v>336</v>
      </c>
    </row>
    <row r="311" spans="1:72" s="124" customFormat="1" ht="14.25" hidden="1" customHeight="1" x14ac:dyDescent="0.2">
      <c r="A311" s="205">
        <v>337</v>
      </c>
      <c r="B311" s="233" t="s">
        <v>790</v>
      </c>
      <c r="C311" s="263" t="s">
        <v>791</v>
      </c>
      <c r="D311" s="233" t="s">
        <v>205</v>
      </c>
      <c r="E311" s="125" t="s">
        <v>412</v>
      </c>
      <c r="F311" s="181" t="s">
        <v>55</v>
      </c>
      <c r="G311" s="181" t="s">
        <v>705</v>
      </c>
      <c r="H311" s="181" t="s">
        <v>66</v>
      </c>
      <c r="I311" s="181"/>
      <c r="J311" s="178">
        <v>0.5</v>
      </c>
      <c r="K311" s="182"/>
      <c r="L311" s="182" t="s">
        <v>58</v>
      </c>
      <c r="M311" s="178" t="s">
        <v>59</v>
      </c>
      <c r="N311" s="178">
        <v>144</v>
      </c>
      <c r="O311" s="178" t="s">
        <v>60</v>
      </c>
      <c r="P311" s="178" t="s">
        <v>79</v>
      </c>
      <c r="Q311" s="179" t="s">
        <v>1365</v>
      </c>
      <c r="R311" s="179" t="s">
        <v>1390</v>
      </c>
      <c r="S311" s="180"/>
      <c r="T311" s="179">
        <v>400</v>
      </c>
      <c r="U311" s="179" t="s">
        <v>1366</v>
      </c>
      <c r="V311" s="167" t="s">
        <v>62</v>
      </c>
      <c r="W311" s="168">
        <v>8</v>
      </c>
      <c r="X311" s="168"/>
      <c r="Y311" s="167"/>
      <c r="Z311" s="169" t="s">
        <v>63</v>
      </c>
      <c r="AA311" s="166">
        <v>10</v>
      </c>
      <c r="AB311" s="166">
        <v>5</v>
      </c>
      <c r="AC311" s="165"/>
      <c r="AD311" s="165" t="s">
        <v>80</v>
      </c>
      <c r="AE311" s="165"/>
      <c r="AF311" s="165"/>
      <c r="AG311" s="165"/>
      <c r="AH311" s="165"/>
      <c r="AI311" s="165">
        <v>24</v>
      </c>
      <c r="AJ311" s="165">
        <v>34</v>
      </c>
      <c r="AK311" s="166"/>
      <c r="AL311" s="166" t="s">
        <v>81</v>
      </c>
      <c r="AM311" s="166"/>
      <c r="AN311" s="166"/>
      <c r="AO311" s="166"/>
      <c r="AP311" s="166"/>
      <c r="AQ311" s="166">
        <v>53</v>
      </c>
      <c r="AR311" s="166">
        <v>115</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1367</v>
      </c>
      <c r="BR311" s="165" t="s">
        <v>1368</v>
      </c>
      <c r="BS311" s="124">
        <v>337</v>
      </c>
    </row>
    <row r="312" spans="1:72" s="124" customFormat="1" ht="14.25" hidden="1" customHeight="1" x14ac:dyDescent="0.2">
      <c r="A312" s="205">
        <v>338</v>
      </c>
      <c r="B312" s="233" t="s">
        <v>790</v>
      </c>
      <c r="C312" s="263" t="s">
        <v>791</v>
      </c>
      <c r="D312" s="233" t="s">
        <v>207</v>
      </c>
      <c r="E312" s="125" t="s">
        <v>412</v>
      </c>
      <c r="F312" s="181" t="s">
        <v>55</v>
      </c>
      <c r="G312" s="181" t="s">
        <v>705</v>
      </c>
      <c r="H312" s="181" t="s">
        <v>66</v>
      </c>
      <c r="I312" s="181"/>
      <c r="J312" s="178">
        <v>0.5</v>
      </c>
      <c r="K312" s="182"/>
      <c r="L312" s="182" t="s">
        <v>58</v>
      </c>
      <c r="M312" s="178" t="s">
        <v>59</v>
      </c>
      <c r="N312" s="178">
        <v>96</v>
      </c>
      <c r="O312" s="178" t="s">
        <v>60</v>
      </c>
      <c r="P312" s="178" t="s">
        <v>79</v>
      </c>
      <c r="Q312" s="179" t="s">
        <v>1365</v>
      </c>
      <c r="R312" s="179" t="s">
        <v>1390</v>
      </c>
      <c r="S312" s="180"/>
      <c r="T312" s="179">
        <v>400</v>
      </c>
      <c r="U312" s="179" t="s">
        <v>1366</v>
      </c>
      <c r="V312" s="167" t="s">
        <v>62</v>
      </c>
      <c r="W312" s="168">
        <v>8</v>
      </c>
      <c r="X312" s="168"/>
      <c r="Y312" s="167"/>
      <c r="Z312" s="169" t="s">
        <v>63</v>
      </c>
      <c r="AA312" s="166">
        <v>10</v>
      </c>
      <c r="AB312" s="166">
        <v>5</v>
      </c>
      <c r="AC312" s="165"/>
      <c r="AD312" s="165" t="s">
        <v>80</v>
      </c>
      <c r="AE312" s="165"/>
      <c r="AF312" s="165"/>
      <c r="AG312" s="165"/>
      <c r="AH312" s="165"/>
      <c r="AI312" s="165">
        <v>24</v>
      </c>
      <c r="AJ312" s="165">
        <v>34</v>
      </c>
      <c r="AK312" s="166"/>
      <c r="AL312" s="166" t="s">
        <v>81</v>
      </c>
      <c r="AM312" s="166"/>
      <c r="AN312" s="166"/>
      <c r="AO312" s="166"/>
      <c r="AP312" s="166"/>
      <c r="AQ312" s="166">
        <v>53</v>
      </c>
      <c r="AR312" s="166">
        <v>115</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1367</v>
      </c>
      <c r="BR312" s="165" t="s">
        <v>1368</v>
      </c>
      <c r="BS312" s="124">
        <v>338</v>
      </c>
    </row>
    <row r="313" spans="1:72" s="124" customFormat="1" ht="14.25" hidden="1" customHeight="1" x14ac:dyDescent="0.2">
      <c r="A313" s="92">
        <v>339</v>
      </c>
      <c r="B313" s="233" t="s">
        <v>391</v>
      </c>
      <c r="C313" s="263" t="s">
        <v>392</v>
      </c>
      <c r="D313" s="233" t="s">
        <v>200</v>
      </c>
      <c r="E313" s="17" t="s">
        <v>111</v>
      </c>
      <c r="F313" s="18" t="s">
        <v>103</v>
      </c>
      <c r="G313" s="181" t="s">
        <v>56</v>
      </c>
      <c r="H313" s="181" t="s">
        <v>57</v>
      </c>
      <c r="I313" s="181"/>
      <c r="J313" s="178">
        <v>10</v>
      </c>
      <c r="K313" s="139">
        <f>J313*0.9135071</f>
        <v>9.1350709999999999</v>
      </c>
      <c r="L313" s="139" t="s">
        <v>58</v>
      </c>
      <c r="M313" s="178" t="s">
        <v>59</v>
      </c>
      <c r="N313" s="178">
        <v>0</v>
      </c>
      <c r="O313" s="138" t="s">
        <v>60</v>
      </c>
      <c r="P313" s="178" t="s">
        <v>79</v>
      </c>
      <c r="Q313" s="176" t="s">
        <v>113</v>
      </c>
      <c r="R313" s="179" t="s">
        <v>352</v>
      </c>
      <c r="S313" s="180"/>
      <c r="T313" s="180">
        <v>200</v>
      </c>
      <c r="U313" s="180"/>
      <c r="V313" s="167" t="s">
        <v>62</v>
      </c>
      <c r="W313" s="168">
        <v>1</v>
      </c>
      <c r="X313" s="106">
        <v>4</v>
      </c>
      <c r="Y313" s="167" t="s">
        <v>353</v>
      </c>
      <c r="Z313" s="82" t="s">
        <v>63</v>
      </c>
      <c r="AA313" s="166">
        <v>10</v>
      </c>
      <c r="AB313" s="166">
        <v>6</v>
      </c>
      <c r="AC313" s="165">
        <v>22.3</v>
      </c>
      <c r="AD313" s="21" t="s">
        <v>80</v>
      </c>
      <c r="AE313" s="165" t="s">
        <v>116</v>
      </c>
      <c r="AF313" s="165">
        <v>3.5</v>
      </c>
      <c r="AG313" s="165"/>
      <c r="AH313" s="165"/>
      <c r="AI313" s="165">
        <v>20</v>
      </c>
      <c r="AJ313" s="165">
        <v>32</v>
      </c>
      <c r="AK313" s="166">
        <v>55.6</v>
      </c>
      <c r="AL313" s="166" t="s">
        <v>81</v>
      </c>
      <c r="AM313" s="166" t="s">
        <v>116</v>
      </c>
      <c r="AN313" s="166">
        <v>8.4</v>
      </c>
      <c r="AO313" s="166"/>
      <c r="AP313" s="166"/>
      <c r="AQ313" s="166">
        <v>56</v>
      </c>
      <c r="AR313" s="166">
        <v>80</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c r="BS313" s="124">
        <v>339</v>
      </c>
      <c r="BT313" s="174"/>
    </row>
    <row r="314" spans="1:72" s="124" customFormat="1" ht="14.25" hidden="1" customHeight="1" x14ac:dyDescent="0.2">
      <c r="A314" s="92">
        <v>340</v>
      </c>
      <c r="B314" s="233" t="s">
        <v>391</v>
      </c>
      <c r="C314" s="263" t="s">
        <v>392</v>
      </c>
      <c r="D314" s="233" t="s">
        <v>278</v>
      </c>
      <c r="E314" s="17" t="s">
        <v>111</v>
      </c>
      <c r="F314" s="18" t="s">
        <v>103</v>
      </c>
      <c r="G314" s="181" t="s">
        <v>56</v>
      </c>
      <c r="H314" s="181" t="s">
        <v>57</v>
      </c>
      <c r="I314" s="181"/>
      <c r="J314" s="178">
        <v>10</v>
      </c>
      <c r="K314" s="139">
        <f>J314*0.9135071</f>
        <v>9.1350709999999999</v>
      </c>
      <c r="L314" s="139" t="s">
        <v>58</v>
      </c>
      <c r="M314" s="178" t="s">
        <v>59</v>
      </c>
      <c r="N314" s="178">
        <v>50</v>
      </c>
      <c r="O314" s="138" t="s">
        <v>60</v>
      </c>
      <c r="P314" s="178" t="s">
        <v>79</v>
      </c>
      <c r="Q314" s="176" t="s">
        <v>113</v>
      </c>
      <c r="R314" s="179" t="s">
        <v>352</v>
      </c>
      <c r="S314" s="180"/>
      <c r="T314" s="180">
        <v>200</v>
      </c>
      <c r="U314" s="180"/>
      <c r="V314" s="167" t="s">
        <v>62</v>
      </c>
      <c r="W314" s="168">
        <v>1</v>
      </c>
      <c r="X314" s="106">
        <v>4</v>
      </c>
      <c r="Y314" s="167" t="s">
        <v>353</v>
      </c>
      <c r="Z314" s="82" t="s">
        <v>63</v>
      </c>
      <c r="AA314" s="166">
        <v>10</v>
      </c>
      <c r="AB314" s="166">
        <v>6</v>
      </c>
      <c r="AC314" s="165">
        <v>22.3</v>
      </c>
      <c r="AD314" s="21" t="s">
        <v>80</v>
      </c>
      <c r="AE314" s="165" t="s">
        <v>116</v>
      </c>
      <c r="AF314" s="165">
        <v>3.5</v>
      </c>
      <c r="AG314" s="165"/>
      <c r="AH314" s="165"/>
      <c r="AI314" s="165">
        <v>20</v>
      </c>
      <c r="AJ314" s="165">
        <v>32</v>
      </c>
      <c r="AK314" s="166">
        <v>55.6</v>
      </c>
      <c r="AL314" s="166" t="s">
        <v>81</v>
      </c>
      <c r="AM314" s="166" t="s">
        <v>116</v>
      </c>
      <c r="AN314" s="166">
        <v>8.4</v>
      </c>
      <c r="AO314" s="166"/>
      <c r="AP314" s="166"/>
      <c r="AQ314" s="166">
        <v>56</v>
      </c>
      <c r="AR314" s="166">
        <v>80</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c r="BS314" s="124">
        <v>340</v>
      </c>
      <c r="BT314" s="174"/>
    </row>
    <row r="315" spans="1:72" s="124" customFormat="1" ht="14.25" hidden="1" customHeight="1" x14ac:dyDescent="0.2">
      <c r="A315" s="205">
        <v>341</v>
      </c>
      <c r="B315" s="233" t="s">
        <v>792</v>
      </c>
      <c r="C315" s="263" t="s">
        <v>793</v>
      </c>
      <c r="D315" s="233" t="s">
        <v>333</v>
      </c>
      <c r="E315" s="125" t="s">
        <v>102</v>
      </c>
      <c r="F315" s="181" t="s">
        <v>103</v>
      </c>
      <c r="G315" s="156" t="s">
        <v>56</v>
      </c>
      <c r="H315" s="156" t="s">
        <v>794</v>
      </c>
      <c r="I315" s="156"/>
      <c r="J315" s="208">
        <v>2</v>
      </c>
      <c r="K315" s="209"/>
      <c r="L315" s="209" t="s">
        <v>58</v>
      </c>
      <c r="M315" s="208" t="s">
        <v>78</v>
      </c>
      <c r="N315" s="208">
        <v>0</v>
      </c>
      <c r="O315" s="208" t="s">
        <v>60</v>
      </c>
      <c r="P315" s="208" t="s">
        <v>79</v>
      </c>
      <c r="Q315" s="210" t="s">
        <v>621</v>
      </c>
      <c r="R315" s="180"/>
      <c r="S315" s="211"/>
      <c r="T315" s="210"/>
      <c r="U315" s="210"/>
      <c r="V315" s="132" t="s">
        <v>62</v>
      </c>
      <c r="W315" s="129"/>
      <c r="X315" s="129">
        <v>4</v>
      </c>
      <c r="Y315" s="170" t="s">
        <v>732</v>
      </c>
      <c r="Z315" s="169" t="s">
        <v>63</v>
      </c>
      <c r="AA315" s="171">
        <v>8</v>
      </c>
      <c r="AB315" s="171">
        <v>0</v>
      </c>
      <c r="AC315" s="172">
        <v>27.7</v>
      </c>
      <c r="AD315" s="133" t="s">
        <v>80</v>
      </c>
      <c r="AE315" s="131" t="s">
        <v>116</v>
      </c>
      <c r="AF315" s="172">
        <v>9.6</v>
      </c>
      <c r="AG315" s="131" t="s">
        <v>80</v>
      </c>
      <c r="AH315" s="131" t="s">
        <v>117</v>
      </c>
      <c r="AI315" s="172">
        <v>21</v>
      </c>
      <c r="AJ315" s="172">
        <v>46</v>
      </c>
      <c r="AK315" s="171">
        <v>70</v>
      </c>
      <c r="AL315" s="173" t="s">
        <v>81</v>
      </c>
      <c r="AM315" s="173" t="s">
        <v>116</v>
      </c>
      <c r="AN315" s="171">
        <v>6</v>
      </c>
      <c r="AO315" s="173" t="s">
        <v>81</v>
      </c>
      <c r="AP315" s="173" t="s">
        <v>117</v>
      </c>
      <c r="AQ315" s="171">
        <v>60</v>
      </c>
      <c r="AR315" s="171">
        <v>78</v>
      </c>
      <c r="AS315" s="172"/>
      <c r="AT315" s="172"/>
      <c r="AU315" s="172"/>
      <c r="AV315" s="172"/>
      <c r="AW315" s="172"/>
      <c r="AX315" s="172"/>
      <c r="AY315" s="172"/>
      <c r="AZ315" s="172"/>
      <c r="BA315" s="171"/>
      <c r="BB315" s="171"/>
      <c r="BC315" s="171"/>
      <c r="BD315" s="171"/>
      <c r="BE315" s="171"/>
      <c r="BF315" s="171"/>
      <c r="BG315" s="171"/>
      <c r="BH315" s="171"/>
      <c r="BI315" s="172"/>
      <c r="BJ315" s="172"/>
      <c r="BK315" s="172"/>
      <c r="BL315" s="172"/>
      <c r="BM315" s="172"/>
      <c r="BN315" s="172"/>
      <c r="BO315" s="172"/>
      <c r="BP315" s="172"/>
      <c r="BQ315" s="171" t="s">
        <v>795</v>
      </c>
      <c r="BR315" s="172" t="s">
        <v>796</v>
      </c>
      <c r="BS315" s="124">
        <v>341</v>
      </c>
      <c r="BT315" s="124" t="s">
        <v>584</v>
      </c>
    </row>
    <row r="316" spans="1:72" s="124" customFormat="1" ht="14.25" hidden="1" customHeight="1" x14ac:dyDescent="0.2">
      <c r="A316" s="205">
        <v>342</v>
      </c>
      <c r="B316" s="233" t="s">
        <v>792</v>
      </c>
      <c r="C316" s="263" t="s">
        <v>793</v>
      </c>
      <c r="D316" s="233" t="s">
        <v>336</v>
      </c>
      <c r="E316" s="125" t="s">
        <v>102</v>
      </c>
      <c r="F316" s="181" t="s">
        <v>103</v>
      </c>
      <c r="G316" s="156" t="s">
        <v>56</v>
      </c>
      <c r="H316" s="156" t="s">
        <v>794</v>
      </c>
      <c r="I316" s="156"/>
      <c r="J316" s="208">
        <v>2</v>
      </c>
      <c r="K316" s="209"/>
      <c r="L316" s="209" t="s">
        <v>58</v>
      </c>
      <c r="M316" s="208" t="s">
        <v>78</v>
      </c>
      <c r="N316" s="208">
        <v>144</v>
      </c>
      <c r="O316" s="208" t="s">
        <v>60</v>
      </c>
      <c r="P316" s="208" t="s">
        <v>79</v>
      </c>
      <c r="Q316" s="210" t="s">
        <v>621</v>
      </c>
      <c r="R316" s="180"/>
      <c r="S316" s="211"/>
      <c r="T316" s="210"/>
      <c r="U316" s="210"/>
      <c r="V316" s="132" t="s">
        <v>62</v>
      </c>
      <c r="W316" s="129"/>
      <c r="X316" s="129">
        <v>4</v>
      </c>
      <c r="Y316" s="170" t="s">
        <v>732</v>
      </c>
      <c r="Z316" s="169" t="s">
        <v>63</v>
      </c>
      <c r="AA316" s="171">
        <v>8</v>
      </c>
      <c r="AB316" s="171">
        <v>0</v>
      </c>
      <c r="AC316" s="172">
        <v>27.7</v>
      </c>
      <c r="AD316" s="133" t="s">
        <v>80</v>
      </c>
      <c r="AE316" s="131" t="s">
        <v>116</v>
      </c>
      <c r="AF316" s="172">
        <v>9.6</v>
      </c>
      <c r="AG316" s="131" t="s">
        <v>80</v>
      </c>
      <c r="AH316" s="131" t="s">
        <v>117</v>
      </c>
      <c r="AI316" s="172">
        <v>21</v>
      </c>
      <c r="AJ316" s="172">
        <v>46</v>
      </c>
      <c r="AK316" s="171">
        <v>70</v>
      </c>
      <c r="AL316" s="173" t="s">
        <v>81</v>
      </c>
      <c r="AM316" s="173" t="s">
        <v>116</v>
      </c>
      <c r="AN316" s="171">
        <v>6</v>
      </c>
      <c r="AO316" s="173" t="s">
        <v>81</v>
      </c>
      <c r="AP316" s="173" t="s">
        <v>117</v>
      </c>
      <c r="AQ316" s="171">
        <v>60</v>
      </c>
      <c r="AR316" s="171">
        <v>78</v>
      </c>
      <c r="AS316" s="172"/>
      <c r="AT316" s="172"/>
      <c r="AU316" s="172"/>
      <c r="AV316" s="172"/>
      <c r="AW316" s="172"/>
      <c r="AX316" s="172"/>
      <c r="AY316" s="172"/>
      <c r="AZ316" s="172"/>
      <c r="BA316" s="171"/>
      <c r="BB316" s="171"/>
      <c r="BC316" s="171"/>
      <c r="BD316" s="171"/>
      <c r="BE316" s="171"/>
      <c r="BF316" s="171"/>
      <c r="BG316" s="171"/>
      <c r="BH316" s="171"/>
      <c r="BI316" s="172"/>
      <c r="BJ316" s="172"/>
      <c r="BK316" s="172"/>
      <c r="BL316" s="172"/>
      <c r="BM316" s="172"/>
      <c r="BN316" s="172"/>
      <c r="BO316" s="172"/>
      <c r="BP316" s="172"/>
      <c r="BQ316" s="171" t="s">
        <v>795</v>
      </c>
      <c r="BR316" s="172" t="s">
        <v>796</v>
      </c>
      <c r="BS316" s="124">
        <v>342</v>
      </c>
      <c r="BT316" s="124" t="s">
        <v>584</v>
      </c>
    </row>
    <row r="317" spans="1:72" s="124" customFormat="1" ht="14.25" hidden="1" customHeight="1" x14ac:dyDescent="0.2">
      <c r="A317" s="205">
        <v>343</v>
      </c>
      <c r="B317" s="233" t="s">
        <v>792</v>
      </c>
      <c r="C317" s="263" t="s">
        <v>793</v>
      </c>
      <c r="D317" s="233" t="s">
        <v>683</v>
      </c>
      <c r="E317" s="125" t="s">
        <v>102</v>
      </c>
      <c r="F317" s="181" t="s">
        <v>103</v>
      </c>
      <c r="G317" s="156" t="s">
        <v>56</v>
      </c>
      <c r="H317" s="156" t="s">
        <v>797</v>
      </c>
      <c r="I317" s="156"/>
      <c r="J317" s="208">
        <v>7.5</v>
      </c>
      <c r="K317" s="209"/>
      <c r="L317" s="209" t="s">
        <v>58</v>
      </c>
      <c r="M317" s="208" t="s">
        <v>59</v>
      </c>
      <c r="N317" s="208">
        <v>0</v>
      </c>
      <c r="O317" s="208" t="s">
        <v>60</v>
      </c>
      <c r="P317" s="208" t="s">
        <v>79</v>
      </c>
      <c r="Q317" s="210" t="s">
        <v>621</v>
      </c>
      <c r="R317" s="180" t="s">
        <v>798</v>
      </c>
      <c r="S317" s="211"/>
      <c r="T317" s="211">
        <v>200</v>
      </c>
      <c r="U317" s="210"/>
      <c r="V317" s="132" t="s">
        <v>62</v>
      </c>
      <c r="W317" s="129"/>
      <c r="X317" s="129">
        <v>4</v>
      </c>
      <c r="Y317" s="170" t="s">
        <v>732</v>
      </c>
      <c r="Z317" s="169" t="s">
        <v>63</v>
      </c>
      <c r="AA317" s="171">
        <v>8</v>
      </c>
      <c r="AB317" s="171">
        <v>0</v>
      </c>
      <c r="AC317" s="172">
        <v>27.7</v>
      </c>
      <c r="AD317" s="133" t="s">
        <v>80</v>
      </c>
      <c r="AE317" s="131" t="s">
        <v>116</v>
      </c>
      <c r="AF317" s="172">
        <v>9.6</v>
      </c>
      <c r="AG317" s="131" t="s">
        <v>80</v>
      </c>
      <c r="AH317" s="131" t="s">
        <v>117</v>
      </c>
      <c r="AI317" s="172">
        <v>21</v>
      </c>
      <c r="AJ317" s="172">
        <v>46</v>
      </c>
      <c r="AK317" s="171">
        <v>70</v>
      </c>
      <c r="AL317" s="173" t="s">
        <v>81</v>
      </c>
      <c r="AM317" s="173" t="s">
        <v>116</v>
      </c>
      <c r="AN317" s="171">
        <v>6</v>
      </c>
      <c r="AO317" s="173" t="s">
        <v>81</v>
      </c>
      <c r="AP317" s="173" t="s">
        <v>117</v>
      </c>
      <c r="AQ317" s="171">
        <v>60</v>
      </c>
      <c r="AR317" s="171">
        <v>78</v>
      </c>
      <c r="AS317" s="172"/>
      <c r="AT317" s="172"/>
      <c r="AU317" s="172"/>
      <c r="AV317" s="172"/>
      <c r="AW317" s="172"/>
      <c r="AX317" s="172"/>
      <c r="AY317" s="172"/>
      <c r="AZ317" s="172"/>
      <c r="BA317" s="171"/>
      <c r="BB317" s="171"/>
      <c r="BC317" s="171"/>
      <c r="BD317" s="171"/>
      <c r="BE317" s="171"/>
      <c r="BF317" s="171"/>
      <c r="BG317" s="171"/>
      <c r="BH317" s="171"/>
      <c r="BI317" s="172"/>
      <c r="BJ317" s="172"/>
      <c r="BK317" s="172"/>
      <c r="BL317" s="172"/>
      <c r="BM317" s="172"/>
      <c r="BN317" s="172"/>
      <c r="BO317" s="172"/>
      <c r="BP317" s="172"/>
      <c r="BQ317" s="171" t="s">
        <v>795</v>
      </c>
      <c r="BR317" s="172" t="s">
        <v>796</v>
      </c>
      <c r="BS317" s="124">
        <v>343</v>
      </c>
      <c r="BT317" s="124" t="s">
        <v>584</v>
      </c>
    </row>
    <row r="318" spans="1:72" s="124" customFormat="1" ht="12.75" hidden="1" customHeight="1" x14ac:dyDescent="0.2">
      <c r="A318" s="205">
        <v>344</v>
      </c>
      <c r="B318" s="233" t="s">
        <v>792</v>
      </c>
      <c r="C318" s="263" t="s">
        <v>793</v>
      </c>
      <c r="D318" s="233" t="s">
        <v>701</v>
      </c>
      <c r="E318" s="125" t="s">
        <v>102</v>
      </c>
      <c r="F318" s="181" t="s">
        <v>103</v>
      </c>
      <c r="G318" s="156" t="s">
        <v>56</v>
      </c>
      <c r="H318" s="156" t="s">
        <v>797</v>
      </c>
      <c r="I318" s="156"/>
      <c r="J318" s="208">
        <v>7.5</v>
      </c>
      <c r="K318" s="209"/>
      <c r="L318" s="209" t="s">
        <v>58</v>
      </c>
      <c r="M318" s="208" t="s">
        <v>59</v>
      </c>
      <c r="N318" s="208">
        <v>144</v>
      </c>
      <c r="O318" s="208" t="s">
        <v>60</v>
      </c>
      <c r="P318" s="208" t="s">
        <v>79</v>
      </c>
      <c r="Q318" s="210" t="s">
        <v>621</v>
      </c>
      <c r="R318" s="180" t="s">
        <v>798</v>
      </c>
      <c r="S318" s="211"/>
      <c r="T318" s="211">
        <v>200</v>
      </c>
      <c r="U318" s="210"/>
      <c r="V318" s="132" t="s">
        <v>62</v>
      </c>
      <c r="W318" s="129"/>
      <c r="X318" s="129">
        <v>4</v>
      </c>
      <c r="Y318" s="170" t="s">
        <v>732</v>
      </c>
      <c r="Z318" s="169" t="s">
        <v>63</v>
      </c>
      <c r="AA318" s="171">
        <v>8</v>
      </c>
      <c r="AB318" s="171">
        <v>0</v>
      </c>
      <c r="AC318" s="172">
        <v>27.7</v>
      </c>
      <c r="AD318" s="133" t="s">
        <v>80</v>
      </c>
      <c r="AE318" s="131" t="s">
        <v>116</v>
      </c>
      <c r="AF318" s="172">
        <v>9.6</v>
      </c>
      <c r="AG318" s="131" t="s">
        <v>80</v>
      </c>
      <c r="AH318" s="131" t="s">
        <v>117</v>
      </c>
      <c r="AI318" s="172">
        <v>21</v>
      </c>
      <c r="AJ318" s="172">
        <v>46</v>
      </c>
      <c r="AK318" s="171">
        <v>70</v>
      </c>
      <c r="AL318" s="173" t="s">
        <v>81</v>
      </c>
      <c r="AM318" s="173" t="s">
        <v>116</v>
      </c>
      <c r="AN318" s="171">
        <v>6</v>
      </c>
      <c r="AO318" s="173" t="s">
        <v>81</v>
      </c>
      <c r="AP318" s="173" t="s">
        <v>117</v>
      </c>
      <c r="AQ318" s="171">
        <v>60</v>
      </c>
      <c r="AR318" s="171">
        <v>78</v>
      </c>
      <c r="AS318" s="172"/>
      <c r="AT318" s="172"/>
      <c r="AU318" s="172"/>
      <c r="AV318" s="172"/>
      <c r="AW318" s="172"/>
      <c r="AX318" s="172"/>
      <c r="AY318" s="172"/>
      <c r="AZ318" s="172"/>
      <c r="BA318" s="171"/>
      <c r="BB318" s="171"/>
      <c r="BC318" s="171"/>
      <c r="BD318" s="171"/>
      <c r="BE318" s="171"/>
      <c r="BF318" s="171"/>
      <c r="BG318" s="171"/>
      <c r="BH318" s="171"/>
      <c r="BI318" s="172"/>
      <c r="BJ318" s="172"/>
      <c r="BK318" s="172"/>
      <c r="BL318" s="172"/>
      <c r="BM318" s="172"/>
      <c r="BN318" s="172"/>
      <c r="BO318" s="172"/>
      <c r="BP318" s="172"/>
      <c r="BQ318" s="171" t="s">
        <v>795</v>
      </c>
      <c r="BR318" s="172" t="s">
        <v>796</v>
      </c>
      <c r="BS318" s="124">
        <v>344</v>
      </c>
      <c r="BT318" s="124" t="s">
        <v>584</v>
      </c>
    </row>
    <row r="319" spans="1:72" s="124" customFormat="1" ht="14.25" hidden="1" customHeight="1" x14ac:dyDescent="0.2">
      <c r="A319" s="205">
        <v>345</v>
      </c>
      <c r="B319" s="233" t="s">
        <v>799</v>
      </c>
      <c r="C319" s="263" t="s">
        <v>800</v>
      </c>
      <c r="D319" s="233" t="s">
        <v>801</v>
      </c>
      <c r="E319" s="125" t="s">
        <v>54</v>
      </c>
      <c r="F319" s="181" t="s">
        <v>55</v>
      </c>
      <c r="G319" s="181" t="s">
        <v>76</v>
      </c>
      <c r="H319" s="181" t="s">
        <v>1369</v>
      </c>
      <c r="I319" s="181"/>
      <c r="J319" s="178">
        <v>600</v>
      </c>
      <c r="K319" s="182"/>
      <c r="L319" s="182" t="s">
        <v>58</v>
      </c>
      <c r="M319" s="178" t="s">
        <v>1370</v>
      </c>
      <c r="N319" s="178" t="s">
        <v>1371</v>
      </c>
      <c r="O319" s="178" t="s">
        <v>60</v>
      </c>
      <c r="P319" s="178" t="s">
        <v>1372</v>
      </c>
      <c r="Q319" s="179" t="s">
        <v>1373</v>
      </c>
      <c r="R319" s="179"/>
      <c r="S319" s="180"/>
      <c r="T319" s="179"/>
      <c r="U319" s="179"/>
      <c r="V319" s="167" t="s">
        <v>62</v>
      </c>
      <c r="W319" s="168"/>
      <c r="X319" s="168">
        <v>2</v>
      </c>
      <c r="Y319" s="167" t="s">
        <v>655</v>
      </c>
      <c r="Z319" s="169" t="s">
        <v>63</v>
      </c>
      <c r="AA319" s="166">
        <v>6</v>
      </c>
      <c r="AB319" s="166">
        <v>1</v>
      </c>
      <c r="AC319" s="165">
        <v>52</v>
      </c>
      <c r="AD319" s="165"/>
      <c r="AE319" s="165"/>
      <c r="AF319" s="165"/>
      <c r="AG319" s="165"/>
      <c r="AH319" s="165"/>
      <c r="AI319" s="165">
        <v>19</v>
      </c>
      <c r="AJ319" s="165">
        <v>73</v>
      </c>
      <c r="AK319" s="166">
        <v>67</v>
      </c>
      <c r="AL319" s="166"/>
      <c r="AM319" s="166"/>
      <c r="AN319" s="166"/>
      <c r="AO319" s="166"/>
      <c r="AP319" s="166"/>
      <c r="AQ319" s="166">
        <v>50</v>
      </c>
      <c r="AR319" s="166">
        <v>82</v>
      </c>
      <c r="AS319" s="165">
        <v>172</v>
      </c>
      <c r="AT319" s="165"/>
      <c r="AU319" s="165"/>
      <c r="AV319" s="165"/>
      <c r="AW319" s="165"/>
      <c r="AX319" s="165"/>
      <c r="AY319" s="165">
        <v>162</v>
      </c>
      <c r="AZ319" s="165">
        <v>180</v>
      </c>
      <c r="BA319" s="166"/>
      <c r="BB319" s="166"/>
      <c r="BC319" s="166"/>
      <c r="BD319" s="166"/>
      <c r="BE319" s="166"/>
      <c r="BF319" s="166"/>
      <c r="BG319" s="166"/>
      <c r="BH319" s="166"/>
      <c r="BI319" s="165"/>
      <c r="BJ319" s="165"/>
      <c r="BK319" s="165"/>
      <c r="BL319" s="165"/>
      <c r="BM319" s="165"/>
      <c r="BN319" s="165"/>
      <c r="BO319" s="165"/>
      <c r="BP319" s="165"/>
      <c r="BQ319" s="166" t="s">
        <v>195</v>
      </c>
      <c r="BR319" s="165" t="s">
        <v>1375</v>
      </c>
      <c r="BS319" s="124">
        <v>345</v>
      </c>
    </row>
    <row r="320" spans="1:72" s="124" customFormat="1" ht="14.25" hidden="1" customHeight="1" x14ac:dyDescent="0.2">
      <c r="A320" s="205">
        <v>346</v>
      </c>
      <c r="B320" s="233" t="s">
        <v>799</v>
      </c>
      <c r="C320" s="263" t="s">
        <v>800</v>
      </c>
      <c r="D320" s="233" t="s">
        <v>802</v>
      </c>
      <c r="E320" s="125" t="s">
        <v>54</v>
      </c>
      <c r="F320" s="181" t="s">
        <v>55</v>
      </c>
      <c r="G320" s="181" t="s">
        <v>76</v>
      </c>
      <c r="H320" s="181" t="s">
        <v>1369</v>
      </c>
      <c r="I320" s="181"/>
      <c r="J320" s="178">
        <v>600</v>
      </c>
      <c r="K320" s="182"/>
      <c r="L320" s="182" t="s">
        <v>58</v>
      </c>
      <c r="M320" s="178" t="s">
        <v>1370</v>
      </c>
      <c r="N320" s="178" t="s">
        <v>1376</v>
      </c>
      <c r="O320" s="178" t="s">
        <v>60</v>
      </c>
      <c r="P320" s="178" t="s">
        <v>1377</v>
      </c>
      <c r="Q320" s="179" t="s">
        <v>1373</v>
      </c>
      <c r="R320" s="179"/>
      <c r="S320" s="180"/>
      <c r="T320" s="179"/>
      <c r="U320" s="179"/>
      <c r="V320" s="167" t="s">
        <v>62</v>
      </c>
      <c r="W320" s="168"/>
      <c r="X320" s="168">
        <v>2</v>
      </c>
      <c r="Y320" s="167" t="s">
        <v>655</v>
      </c>
      <c r="Z320" s="169" t="s">
        <v>63</v>
      </c>
      <c r="AA320" s="166">
        <v>6</v>
      </c>
      <c r="AB320" s="166">
        <v>1</v>
      </c>
      <c r="AC320" s="165">
        <v>52</v>
      </c>
      <c r="AD320" s="165"/>
      <c r="AE320" s="165"/>
      <c r="AF320" s="165"/>
      <c r="AG320" s="165"/>
      <c r="AH320" s="165"/>
      <c r="AI320" s="165">
        <v>19</v>
      </c>
      <c r="AJ320" s="165">
        <v>73</v>
      </c>
      <c r="AK320" s="166">
        <v>67</v>
      </c>
      <c r="AL320" s="166"/>
      <c r="AM320" s="166"/>
      <c r="AN320" s="166"/>
      <c r="AO320" s="166"/>
      <c r="AP320" s="166"/>
      <c r="AQ320" s="166">
        <v>50</v>
      </c>
      <c r="AR320" s="166">
        <v>82</v>
      </c>
      <c r="AS320" s="165">
        <v>172</v>
      </c>
      <c r="AT320" s="165"/>
      <c r="AU320" s="165"/>
      <c r="AV320" s="165"/>
      <c r="AW320" s="165"/>
      <c r="AX320" s="165"/>
      <c r="AY320" s="165">
        <v>162</v>
      </c>
      <c r="AZ320" s="165">
        <v>180</v>
      </c>
      <c r="BA320" s="166"/>
      <c r="BB320" s="166"/>
      <c r="BC320" s="166"/>
      <c r="BD320" s="166"/>
      <c r="BE320" s="166"/>
      <c r="BF320" s="166"/>
      <c r="BG320" s="166"/>
      <c r="BH320" s="166"/>
      <c r="BI320" s="165"/>
      <c r="BJ320" s="165"/>
      <c r="BK320" s="165"/>
      <c r="BL320" s="165"/>
      <c r="BM320" s="165"/>
      <c r="BN320" s="165"/>
      <c r="BO320" s="165"/>
      <c r="BP320" s="165"/>
      <c r="BQ320" s="166" t="s">
        <v>195</v>
      </c>
      <c r="BR320" s="165" t="s">
        <v>1375</v>
      </c>
      <c r="BS320" s="124">
        <v>346</v>
      </c>
    </row>
    <row r="321" spans="1:72" s="124" customFormat="1" ht="14.25" hidden="1" customHeight="1" x14ac:dyDescent="0.2">
      <c r="A321" s="205">
        <v>347</v>
      </c>
      <c r="B321" s="233" t="s">
        <v>799</v>
      </c>
      <c r="C321" s="263" t="s">
        <v>800</v>
      </c>
      <c r="D321" s="233" t="s">
        <v>803</v>
      </c>
      <c r="E321" s="125" t="s">
        <v>54</v>
      </c>
      <c r="F321" s="181" t="s">
        <v>55</v>
      </c>
      <c r="G321" s="181" t="s">
        <v>76</v>
      </c>
      <c r="H321" s="181" t="s">
        <v>1369</v>
      </c>
      <c r="I321" s="181"/>
      <c r="J321" s="178">
        <v>600</v>
      </c>
      <c r="K321" s="182"/>
      <c r="L321" s="182" t="s">
        <v>58</v>
      </c>
      <c r="M321" s="178" t="s">
        <v>1370</v>
      </c>
      <c r="N321" s="178" t="s">
        <v>1378</v>
      </c>
      <c r="O321" s="178" t="s">
        <v>60</v>
      </c>
      <c r="P321" s="178" t="s">
        <v>1379</v>
      </c>
      <c r="Q321" s="179" t="s">
        <v>1373</v>
      </c>
      <c r="R321" s="179"/>
      <c r="S321" s="180"/>
      <c r="T321" s="179"/>
      <c r="U321" s="179"/>
      <c r="V321" s="167" t="s">
        <v>62</v>
      </c>
      <c r="W321" s="168"/>
      <c r="X321" s="168">
        <v>2</v>
      </c>
      <c r="Y321" s="167" t="s">
        <v>655</v>
      </c>
      <c r="Z321" s="169" t="s">
        <v>63</v>
      </c>
      <c r="AA321" s="166">
        <v>6</v>
      </c>
      <c r="AB321" s="166">
        <v>1</v>
      </c>
      <c r="AC321" s="165">
        <v>52</v>
      </c>
      <c r="AD321" s="165"/>
      <c r="AE321" s="165"/>
      <c r="AF321" s="165"/>
      <c r="AG321" s="165"/>
      <c r="AH321" s="165"/>
      <c r="AI321" s="165">
        <v>19</v>
      </c>
      <c r="AJ321" s="165">
        <v>73</v>
      </c>
      <c r="AK321" s="166">
        <v>67</v>
      </c>
      <c r="AL321" s="166"/>
      <c r="AM321" s="166"/>
      <c r="AN321" s="166"/>
      <c r="AO321" s="166"/>
      <c r="AP321" s="166"/>
      <c r="AQ321" s="166">
        <v>50</v>
      </c>
      <c r="AR321" s="166">
        <v>82</v>
      </c>
      <c r="AS321" s="165">
        <v>172</v>
      </c>
      <c r="AT321" s="165"/>
      <c r="AU321" s="165"/>
      <c r="AV321" s="165"/>
      <c r="AW321" s="165"/>
      <c r="AX321" s="165"/>
      <c r="AY321" s="165">
        <v>162</v>
      </c>
      <c r="AZ321" s="165">
        <v>180</v>
      </c>
      <c r="BA321" s="166"/>
      <c r="BB321" s="166"/>
      <c r="BC321" s="166"/>
      <c r="BD321" s="166"/>
      <c r="BE321" s="166"/>
      <c r="BF321" s="166"/>
      <c r="BG321" s="166"/>
      <c r="BH321" s="166"/>
      <c r="BI321" s="165"/>
      <c r="BJ321" s="165"/>
      <c r="BK321" s="165"/>
      <c r="BL321" s="165"/>
      <c r="BM321" s="165"/>
      <c r="BN321" s="165"/>
      <c r="BO321" s="165"/>
      <c r="BP321" s="165"/>
      <c r="BQ321" s="166" t="s">
        <v>195</v>
      </c>
      <c r="BR321" s="165" t="s">
        <v>1375</v>
      </c>
      <c r="BS321" s="124">
        <v>347</v>
      </c>
    </row>
    <row r="322" spans="1:72" s="124" customFormat="1" ht="14.25" hidden="1" customHeight="1" x14ac:dyDescent="0.2">
      <c r="A322" s="205">
        <v>348</v>
      </c>
      <c r="B322" s="233" t="s">
        <v>799</v>
      </c>
      <c r="C322" s="263" t="s">
        <v>800</v>
      </c>
      <c r="D322" s="233" t="s">
        <v>804</v>
      </c>
      <c r="E322" s="125" t="s">
        <v>54</v>
      </c>
      <c r="F322" s="181" t="s">
        <v>55</v>
      </c>
      <c r="G322" s="181" t="s">
        <v>76</v>
      </c>
      <c r="H322" s="181" t="s">
        <v>1369</v>
      </c>
      <c r="I322" s="181"/>
      <c r="J322" s="178">
        <v>600</v>
      </c>
      <c r="K322" s="182"/>
      <c r="L322" s="182" t="s">
        <v>58</v>
      </c>
      <c r="M322" s="178" t="s">
        <v>78</v>
      </c>
      <c r="N322" s="178">
        <v>0</v>
      </c>
      <c r="O322" s="178" t="s">
        <v>60</v>
      </c>
      <c r="P322" s="178" t="s">
        <v>79</v>
      </c>
      <c r="Q322" s="179" t="s">
        <v>1145</v>
      </c>
      <c r="R322" s="179"/>
      <c r="S322" s="180">
        <v>60</v>
      </c>
      <c r="T322" s="179"/>
      <c r="U322" s="179" t="s">
        <v>1374</v>
      </c>
      <c r="V322" s="167"/>
      <c r="W322" s="168"/>
      <c r="X322" s="168"/>
      <c r="Y322" s="167"/>
      <c r="Z322" s="169" t="s">
        <v>63</v>
      </c>
      <c r="AA322" s="166">
        <v>6</v>
      </c>
      <c r="AB322" s="166">
        <v>1</v>
      </c>
      <c r="AC322" s="165">
        <v>43</v>
      </c>
      <c r="AD322" s="165"/>
      <c r="AE322" s="165"/>
      <c r="AF322" s="165"/>
      <c r="AG322" s="165"/>
      <c r="AH322" s="165"/>
      <c r="AI322" s="165">
        <v>18</v>
      </c>
      <c r="AJ322" s="165">
        <v>62</v>
      </c>
      <c r="AK322" s="166">
        <v>66</v>
      </c>
      <c r="AL322" s="166"/>
      <c r="AM322" s="166"/>
      <c r="AN322" s="166"/>
      <c r="AO322" s="166"/>
      <c r="AP322" s="166"/>
      <c r="AQ322" s="166">
        <v>51</v>
      </c>
      <c r="AR322" s="166">
        <v>96</v>
      </c>
      <c r="AS322" s="165">
        <v>173</v>
      </c>
      <c r="AT322" s="165"/>
      <c r="AU322" s="165"/>
      <c r="AV322" s="165"/>
      <c r="AW322" s="165"/>
      <c r="AX322" s="165"/>
      <c r="AY322" s="165">
        <v>158</v>
      </c>
      <c r="AZ322" s="165">
        <v>181</v>
      </c>
      <c r="BA322" s="166"/>
      <c r="BB322" s="166"/>
      <c r="BC322" s="166"/>
      <c r="BD322" s="166"/>
      <c r="BE322" s="166"/>
      <c r="BF322" s="166"/>
      <c r="BG322" s="166"/>
      <c r="BH322" s="166"/>
      <c r="BI322" s="165"/>
      <c r="BJ322" s="165"/>
      <c r="BK322" s="165"/>
      <c r="BL322" s="165"/>
      <c r="BM322" s="165"/>
      <c r="BN322" s="165"/>
      <c r="BO322" s="165"/>
      <c r="BP322" s="165"/>
      <c r="BQ322" s="166" t="s">
        <v>195</v>
      </c>
      <c r="BR322" s="165" t="s">
        <v>1375</v>
      </c>
      <c r="BS322" s="124">
        <v>348</v>
      </c>
    </row>
    <row r="323" spans="1:72" s="124" customFormat="1" ht="14.25" hidden="1" customHeight="1" x14ac:dyDescent="0.2">
      <c r="A323" s="205">
        <v>349</v>
      </c>
      <c r="B323" s="233" t="s">
        <v>799</v>
      </c>
      <c r="C323" s="263" t="s">
        <v>800</v>
      </c>
      <c r="D323" s="233" t="s">
        <v>805</v>
      </c>
      <c r="E323" s="125" t="s">
        <v>54</v>
      </c>
      <c r="F323" s="181" t="s">
        <v>55</v>
      </c>
      <c r="G323" s="181" t="s">
        <v>76</v>
      </c>
      <c r="H323" s="181" t="s">
        <v>1369</v>
      </c>
      <c r="I323" s="181"/>
      <c r="J323" s="178">
        <v>600</v>
      </c>
      <c r="K323" s="182"/>
      <c r="L323" s="182" t="s">
        <v>58</v>
      </c>
      <c r="M323" s="178" t="s">
        <v>1370</v>
      </c>
      <c r="N323" s="178" t="s">
        <v>1380</v>
      </c>
      <c r="O323" s="178" t="s">
        <v>60</v>
      </c>
      <c r="P323" s="178" t="s">
        <v>1381</v>
      </c>
      <c r="Q323" s="179" t="s">
        <v>1145</v>
      </c>
      <c r="R323" s="179"/>
      <c r="S323" s="180">
        <v>60</v>
      </c>
      <c r="T323" s="179"/>
      <c r="U323" s="179" t="s">
        <v>1374</v>
      </c>
      <c r="V323" s="167"/>
      <c r="W323" s="168"/>
      <c r="X323" s="168"/>
      <c r="Y323" s="167"/>
      <c r="Z323" s="169" t="s">
        <v>63</v>
      </c>
      <c r="AA323" s="166">
        <v>6</v>
      </c>
      <c r="AB323" s="166">
        <v>1</v>
      </c>
      <c r="AC323" s="165">
        <v>43</v>
      </c>
      <c r="AD323" s="165"/>
      <c r="AE323" s="165"/>
      <c r="AF323" s="165"/>
      <c r="AG323" s="165"/>
      <c r="AH323" s="165"/>
      <c r="AI323" s="165">
        <v>18</v>
      </c>
      <c r="AJ323" s="165">
        <v>62</v>
      </c>
      <c r="AK323" s="166">
        <v>66</v>
      </c>
      <c r="AL323" s="166"/>
      <c r="AM323" s="166"/>
      <c r="AN323" s="166"/>
      <c r="AO323" s="166"/>
      <c r="AP323" s="166"/>
      <c r="AQ323" s="166">
        <v>51</v>
      </c>
      <c r="AR323" s="166">
        <v>96</v>
      </c>
      <c r="AS323" s="165">
        <v>173</v>
      </c>
      <c r="AT323" s="165"/>
      <c r="AU323" s="165"/>
      <c r="AV323" s="165"/>
      <c r="AW323" s="165"/>
      <c r="AX323" s="165"/>
      <c r="AY323" s="165">
        <v>158</v>
      </c>
      <c r="AZ323" s="165">
        <v>181</v>
      </c>
      <c r="BA323" s="166"/>
      <c r="BB323" s="166"/>
      <c r="BC323" s="166"/>
      <c r="BD323" s="166"/>
      <c r="BE323" s="166"/>
      <c r="BF323" s="166"/>
      <c r="BG323" s="166"/>
      <c r="BH323" s="166"/>
      <c r="BI323" s="165"/>
      <c r="BJ323" s="165"/>
      <c r="BK323" s="165"/>
      <c r="BL323" s="165"/>
      <c r="BM323" s="165"/>
      <c r="BN323" s="165"/>
      <c r="BO323" s="165"/>
      <c r="BP323" s="165"/>
      <c r="BQ323" s="166" t="s">
        <v>195</v>
      </c>
      <c r="BR323" s="165" t="s">
        <v>1375</v>
      </c>
      <c r="BS323" s="124">
        <v>349</v>
      </c>
    </row>
    <row r="324" spans="1:72" s="124" customFormat="1" ht="14.25" hidden="1" customHeight="1" x14ac:dyDescent="0.2">
      <c r="A324" s="205">
        <v>350</v>
      </c>
      <c r="B324" s="233" t="s">
        <v>799</v>
      </c>
      <c r="C324" s="263" t="s">
        <v>800</v>
      </c>
      <c r="D324" s="233" t="s">
        <v>806</v>
      </c>
      <c r="E324" s="125" t="s">
        <v>54</v>
      </c>
      <c r="F324" s="181" t="s">
        <v>55</v>
      </c>
      <c r="G324" s="181" t="s">
        <v>76</v>
      </c>
      <c r="H324" s="181" t="s">
        <v>1369</v>
      </c>
      <c r="I324" s="181"/>
      <c r="J324" s="178">
        <v>600</v>
      </c>
      <c r="K324" s="182"/>
      <c r="L324" s="182" t="s">
        <v>58</v>
      </c>
      <c r="M324" s="178" t="s">
        <v>1370</v>
      </c>
      <c r="N324" s="178" t="s">
        <v>1382</v>
      </c>
      <c r="O324" s="178" t="s">
        <v>60</v>
      </c>
      <c r="P324" s="178" t="s">
        <v>1383</v>
      </c>
      <c r="Q324" s="179" t="s">
        <v>1145</v>
      </c>
      <c r="R324" s="179"/>
      <c r="S324" s="180">
        <v>60</v>
      </c>
      <c r="T324" s="179"/>
      <c r="U324" s="179" t="s">
        <v>1374</v>
      </c>
      <c r="V324" s="167"/>
      <c r="W324" s="168"/>
      <c r="X324" s="168"/>
      <c r="Y324" s="167"/>
      <c r="Z324" s="169" t="s">
        <v>63</v>
      </c>
      <c r="AA324" s="166">
        <v>6</v>
      </c>
      <c r="AB324" s="166">
        <v>1</v>
      </c>
      <c r="AC324" s="165">
        <v>43</v>
      </c>
      <c r="AD324" s="165"/>
      <c r="AE324" s="165"/>
      <c r="AF324" s="165"/>
      <c r="AG324" s="165"/>
      <c r="AH324" s="165"/>
      <c r="AI324" s="165">
        <v>18</v>
      </c>
      <c r="AJ324" s="165">
        <v>62</v>
      </c>
      <c r="AK324" s="166">
        <v>66</v>
      </c>
      <c r="AL324" s="166"/>
      <c r="AM324" s="166"/>
      <c r="AN324" s="166"/>
      <c r="AO324" s="166"/>
      <c r="AP324" s="166"/>
      <c r="AQ324" s="166">
        <v>51</v>
      </c>
      <c r="AR324" s="166">
        <v>96</v>
      </c>
      <c r="AS324" s="165">
        <v>173</v>
      </c>
      <c r="AT324" s="165"/>
      <c r="AU324" s="165"/>
      <c r="AV324" s="165"/>
      <c r="AW324" s="165"/>
      <c r="AX324" s="165"/>
      <c r="AY324" s="165">
        <v>158</v>
      </c>
      <c r="AZ324" s="165">
        <v>181</v>
      </c>
      <c r="BA324" s="166"/>
      <c r="BB324" s="166"/>
      <c r="BC324" s="166"/>
      <c r="BD324" s="166"/>
      <c r="BE324" s="166"/>
      <c r="BF324" s="166"/>
      <c r="BG324" s="166"/>
      <c r="BH324" s="166"/>
      <c r="BI324" s="165"/>
      <c r="BJ324" s="165"/>
      <c r="BK324" s="165"/>
      <c r="BL324" s="165"/>
      <c r="BM324" s="165"/>
      <c r="BN324" s="165"/>
      <c r="BO324" s="165"/>
      <c r="BP324" s="165"/>
      <c r="BQ324" s="166" t="s">
        <v>195</v>
      </c>
      <c r="BR324" s="165" t="s">
        <v>1375</v>
      </c>
      <c r="BS324" s="124">
        <v>350</v>
      </c>
    </row>
    <row r="325" spans="1:72" s="124" customFormat="1" ht="14.25" hidden="1" customHeight="1" x14ac:dyDescent="0.2">
      <c r="A325" s="205">
        <v>351</v>
      </c>
      <c r="B325" s="231" t="s">
        <v>807</v>
      </c>
      <c r="C325" s="263" t="s">
        <v>808</v>
      </c>
      <c r="D325" s="233" t="s">
        <v>683</v>
      </c>
      <c r="E325" s="125" t="s">
        <v>102</v>
      </c>
      <c r="F325" s="181" t="s">
        <v>103</v>
      </c>
      <c r="G325" s="181" t="s">
        <v>56</v>
      </c>
      <c r="H325" s="181" t="s">
        <v>57</v>
      </c>
      <c r="I325" s="181"/>
      <c r="J325" s="178">
        <v>2</v>
      </c>
      <c r="K325" s="182"/>
      <c r="L325" s="182" t="s">
        <v>58</v>
      </c>
      <c r="M325" s="178" t="s">
        <v>78</v>
      </c>
      <c r="N325" s="178">
        <v>0</v>
      </c>
      <c r="O325" s="178" t="s">
        <v>60</v>
      </c>
      <c r="P325" s="178" t="s">
        <v>79</v>
      </c>
      <c r="Q325" s="179"/>
      <c r="R325" s="179"/>
      <c r="S325" s="180">
        <v>2</v>
      </c>
      <c r="T325" s="179"/>
      <c r="U325" s="179"/>
      <c r="V325" s="167" t="s">
        <v>62</v>
      </c>
      <c r="W325" s="168"/>
      <c r="X325" s="168"/>
      <c r="Y325" s="167" t="s">
        <v>655</v>
      </c>
      <c r="Z325" s="169" t="s">
        <v>63</v>
      </c>
      <c r="AA325" s="166">
        <v>12</v>
      </c>
      <c r="AB325" s="166">
        <v>9</v>
      </c>
      <c r="AC325" s="165"/>
      <c r="AD325" s="165" t="s">
        <v>80</v>
      </c>
      <c r="AE325" s="165"/>
      <c r="AF325" s="165"/>
      <c r="AG325" s="165"/>
      <c r="AH325" s="165"/>
      <c r="AI325" s="165">
        <v>20</v>
      </c>
      <c r="AJ325" s="165">
        <v>36</v>
      </c>
      <c r="AK325" s="166"/>
      <c r="AL325" s="166"/>
      <c r="AM325" s="166"/>
      <c r="AN325" s="166"/>
      <c r="AO325" s="166"/>
      <c r="AP325" s="166"/>
      <c r="AQ325" s="166"/>
      <c r="AR325" s="166"/>
      <c r="AS325" s="165"/>
      <c r="AT325" s="165"/>
      <c r="AU325" s="165"/>
      <c r="AV325" s="165"/>
      <c r="AW325" s="165"/>
      <c r="AX325" s="165"/>
      <c r="AY325" s="165"/>
      <c r="AZ325" s="165"/>
      <c r="BA325" s="166"/>
      <c r="BB325" s="166"/>
      <c r="BC325" s="166"/>
      <c r="BD325" s="166"/>
      <c r="BE325" s="166"/>
      <c r="BF325" s="166"/>
      <c r="BG325" s="166"/>
      <c r="BH325" s="166"/>
      <c r="BI325" s="165"/>
      <c r="BJ325" s="165"/>
      <c r="BK325" s="165"/>
      <c r="BL325" s="165"/>
      <c r="BM325" s="165"/>
      <c r="BN325" s="165"/>
      <c r="BO325" s="165"/>
      <c r="BP325" s="165"/>
      <c r="BQ325" s="166" t="s">
        <v>214</v>
      </c>
      <c r="BR325" s="165" t="s">
        <v>809</v>
      </c>
      <c r="BS325" s="124">
        <v>351</v>
      </c>
      <c r="BT325" s="124" t="s">
        <v>584</v>
      </c>
    </row>
    <row r="326" spans="1:72" s="124" customFormat="1" ht="14.25" hidden="1" customHeight="1" x14ac:dyDescent="0.2">
      <c r="A326" s="205">
        <v>352</v>
      </c>
      <c r="B326" s="231" t="s">
        <v>807</v>
      </c>
      <c r="C326" s="263" t="s">
        <v>808</v>
      </c>
      <c r="D326" s="233" t="s">
        <v>810</v>
      </c>
      <c r="E326" s="125" t="s">
        <v>102</v>
      </c>
      <c r="F326" s="181" t="s">
        <v>103</v>
      </c>
      <c r="G326" s="181" t="s">
        <v>56</v>
      </c>
      <c r="H326" s="181" t="s">
        <v>57</v>
      </c>
      <c r="I326" s="181"/>
      <c r="J326" s="178">
        <v>2</v>
      </c>
      <c r="K326" s="182"/>
      <c r="L326" s="182" t="s">
        <v>58</v>
      </c>
      <c r="M326" s="178" t="s">
        <v>78</v>
      </c>
      <c r="N326" s="178">
        <v>1</v>
      </c>
      <c r="O326" s="178" t="s">
        <v>60</v>
      </c>
      <c r="P326" s="178" t="s">
        <v>79</v>
      </c>
      <c r="Q326" s="179"/>
      <c r="R326" s="179"/>
      <c r="S326" s="180">
        <v>2</v>
      </c>
      <c r="T326" s="179"/>
      <c r="U326" s="179"/>
      <c r="V326" s="167" t="s">
        <v>62</v>
      </c>
      <c r="W326" s="168"/>
      <c r="X326" s="168"/>
      <c r="Y326" s="167" t="s">
        <v>655</v>
      </c>
      <c r="Z326" s="169" t="s">
        <v>63</v>
      </c>
      <c r="AA326" s="166">
        <v>12</v>
      </c>
      <c r="AB326" s="166">
        <v>9</v>
      </c>
      <c r="AC326" s="165"/>
      <c r="AD326" s="165" t="s">
        <v>80</v>
      </c>
      <c r="AE326" s="165"/>
      <c r="AF326" s="165"/>
      <c r="AG326" s="165"/>
      <c r="AH326" s="165"/>
      <c r="AI326" s="165">
        <v>20</v>
      </c>
      <c r="AJ326" s="165">
        <v>36</v>
      </c>
      <c r="AK326" s="166"/>
      <c r="AL326" s="166"/>
      <c r="AM326" s="166"/>
      <c r="AN326" s="166"/>
      <c r="AO326" s="166"/>
      <c r="AP326" s="166"/>
      <c r="AQ326" s="166"/>
      <c r="AR326" s="166"/>
      <c r="AS326" s="165"/>
      <c r="AT326" s="165"/>
      <c r="AU326" s="165"/>
      <c r="AV326" s="165"/>
      <c r="AW326" s="165"/>
      <c r="AX326" s="165"/>
      <c r="AY326" s="165"/>
      <c r="AZ326" s="165"/>
      <c r="BA326" s="166"/>
      <c r="BB326" s="166"/>
      <c r="BC326" s="166"/>
      <c r="BD326" s="166"/>
      <c r="BE326" s="166"/>
      <c r="BF326" s="166"/>
      <c r="BG326" s="166"/>
      <c r="BH326" s="166"/>
      <c r="BI326" s="165"/>
      <c r="BJ326" s="165"/>
      <c r="BK326" s="165"/>
      <c r="BL326" s="165"/>
      <c r="BM326" s="165"/>
      <c r="BN326" s="165"/>
      <c r="BO326" s="165"/>
      <c r="BP326" s="165"/>
      <c r="BQ326" s="166" t="s">
        <v>214</v>
      </c>
      <c r="BR326" s="165" t="s">
        <v>809</v>
      </c>
      <c r="BS326" s="124">
        <v>352</v>
      </c>
      <c r="BT326" s="124" t="s">
        <v>584</v>
      </c>
    </row>
    <row r="327" spans="1:72" s="124" customFormat="1" ht="14.25" hidden="1" customHeight="1" x14ac:dyDescent="0.2">
      <c r="A327" s="92">
        <v>353</v>
      </c>
      <c r="B327" s="231" t="s">
        <v>393</v>
      </c>
      <c r="C327" s="263" t="s">
        <v>394</v>
      </c>
      <c r="D327" s="233" t="s">
        <v>200</v>
      </c>
      <c r="E327" s="125" t="s">
        <v>102</v>
      </c>
      <c r="F327" s="181" t="s">
        <v>103</v>
      </c>
      <c r="G327" s="181" t="s">
        <v>56</v>
      </c>
      <c r="H327" s="181" t="s">
        <v>2939</v>
      </c>
      <c r="I327" s="181"/>
      <c r="J327" s="178">
        <v>3</v>
      </c>
      <c r="K327" s="182"/>
      <c r="L327" s="182" t="s">
        <v>58</v>
      </c>
      <c r="M327" s="178" t="s">
        <v>59</v>
      </c>
      <c r="N327" s="178">
        <v>0</v>
      </c>
      <c r="O327" s="178" t="s">
        <v>60</v>
      </c>
      <c r="P327" s="178" t="s">
        <v>79</v>
      </c>
      <c r="Q327" s="179"/>
      <c r="R327" s="179" t="s">
        <v>2934</v>
      </c>
      <c r="S327" s="180"/>
      <c r="T327" s="179">
        <v>200</v>
      </c>
      <c r="U327" s="179"/>
      <c r="V327" s="167" t="s">
        <v>62</v>
      </c>
      <c r="W327" s="168">
        <v>12</v>
      </c>
      <c r="X327" s="106"/>
      <c r="Y327" s="167"/>
      <c r="Z327" s="169" t="s">
        <v>63</v>
      </c>
      <c r="AA327" s="166">
        <v>11</v>
      </c>
      <c r="AB327" s="166">
        <v>1</v>
      </c>
      <c r="AC327" s="165">
        <v>31.2</v>
      </c>
      <c r="AD327" s="165" t="s">
        <v>80</v>
      </c>
      <c r="AE327" s="165" t="s">
        <v>116</v>
      </c>
      <c r="AF327" s="165">
        <v>9.9600000000000009</v>
      </c>
      <c r="AG327" s="165" t="s">
        <v>80</v>
      </c>
      <c r="AH327" s="165"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22.8</v>
      </c>
      <c r="BB327" s="166" t="s">
        <v>204</v>
      </c>
      <c r="BC327" s="166" t="s">
        <v>335</v>
      </c>
      <c r="BD327" s="166">
        <v>1.96</v>
      </c>
      <c r="BE327" s="166" t="s">
        <v>204</v>
      </c>
      <c r="BF327" s="166" t="s">
        <v>117</v>
      </c>
      <c r="BG327" s="166"/>
      <c r="BH327" s="166"/>
      <c r="BI327" s="165"/>
      <c r="BJ327" s="165"/>
      <c r="BK327" s="165"/>
      <c r="BL327" s="165"/>
      <c r="BM327" s="165"/>
      <c r="BN327" s="165"/>
      <c r="BO327" s="165"/>
      <c r="BP327" s="165"/>
      <c r="BQ327" s="166"/>
      <c r="BR327" s="165"/>
      <c r="BS327" s="124">
        <v>353</v>
      </c>
      <c r="BT327" s="174"/>
    </row>
    <row r="328" spans="1:72" s="124" customFormat="1" ht="14.25" hidden="1" customHeight="1" x14ac:dyDescent="0.2">
      <c r="A328" s="92">
        <v>354</v>
      </c>
      <c r="B328" s="231" t="s">
        <v>393</v>
      </c>
      <c r="C328" s="263" t="s">
        <v>394</v>
      </c>
      <c r="D328" s="233" t="s">
        <v>395</v>
      </c>
      <c r="E328" s="125" t="s">
        <v>102</v>
      </c>
      <c r="F328" s="181" t="s">
        <v>103</v>
      </c>
      <c r="G328" s="181" t="s">
        <v>56</v>
      </c>
      <c r="H328" s="181" t="s">
        <v>2939</v>
      </c>
      <c r="I328" s="181"/>
      <c r="J328" s="178">
        <v>3</v>
      </c>
      <c r="K328" s="182"/>
      <c r="L328" s="182" t="s">
        <v>58</v>
      </c>
      <c r="M328" s="178" t="s">
        <v>59</v>
      </c>
      <c r="N328" s="178">
        <v>72.25</v>
      </c>
      <c r="O328" s="178" t="s">
        <v>60</v>
      </c>
      <c r="P328" s="178" t="s">
        <v>79</v>
      </c>
      <c r="Q328" s="179"/>
      <c r="R328" s="179" t="s">
        <v>2934</v>
      </c>
      <c r="S328" s="180"/>
      <c r="T328" s="179">
        <v>200</v>
      </c>
      <c r="U328" s="179"/>
      <c r="V328" s="167" t="s">
        <v>62</v>
      </c>
      <c r="W328" s="168">
        <v>12</v>
      </c>
      <c r="X328" s="106"/>
      <c r="Y328" s="167"/>
      <c r="Z328" s="169" t="s">
        <v>63</v>
      </c>
      <c r="AA328" s="166">
        <v>11</v>
      </c>
      <c r="AB328" s="166">
        <v>1</v>
      </c>
      <c r="AC328" s="165">
        <v>31.2</v>
      </c>
      <c r="AD328" s="165" t="s">
        <v>80</v>
      </c>
      <c r="AE328" s="165" t="s">
        <v>116</v>
      </c>
      <c r="AF328" s="165">
        <v>9.9600000000000009</v>
      </c>
      <c r="AG328" s="165" t="s">
        <v>80</v>
      </c>
      <c r="AH328" s="165"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22.8</v>
      </c>
      <c r="BB328" s="166" t="s">
        <v>204</v>
      </c>
      <c r="BC328" s="166" t="s">
        <v>335</v>
      </c>
      <c r="BD328" s="166">
        <v>1.96</v>
      </c>
      <c r="BE328" s="166" t="s">
        <v>204</v>
      </c>
      <c r="BF328" s="166" t="s">
        <v>117</v>
      </c>
      <c r="BG328" s="166"/>
      <c r="BH328" s="166"/>
      <c r="BI328" s="165"/>
      <c r="BJ328" s="165"/>
      <c r="BK328" s="165"/>
      <c r="BL328" s="165"/>
      <c r="BM328" s="165"/>
      <c r="BN328" s="165"/>
      <c r="BO328" s="165"/>
      <c r="BP328" s="165"/>
      <c r="BQ328" s="166"/>
      <c r="BR328" s="165"/>
      <c r="BS328" s="124">
        <v>354</v>
      </c>
      <c r="BT328" s="174"/>
    </row>
    <row r="329" spans="1:72" s="124" customFormat="1" ht="14.25" hidden="1" customHeight="1" x14ac:dyDescent="0.2">
      <c r="A329" s="92">
        <v>355</v>
      </c>
      <c r="B329" s="233" t="s">
        <v>396</v>
      </c>
      <c r="C329" s="263" t="s">
        <v>397</v>
      </c>
      <c r="D329" s="233" t="s">
        <v>398</v>
      </c>
      <c r="E329" s="125" t="s">
        <v>54</v>
      </c>
      <c r="F329" s="18" t="s">
        <v>55</v>
      </c>
      <c r="G329" s="181" t="s">
        <v>56</v>
      </c>
      <c r="H329" s="181" t="s">
        <v>399</v>
      </c>
      <c r="I329" s="181"/>
      <c r="J329" s="178">
        <v>300</v>
      </c>
      <c r="K329" s="182"/>
      <c r="L329" s="182" t="s">
        <v>58</v>
      </c>
      <c r="M329" s="178" t="s">
        <v>78</v>
      </c>
      <c r="N329" s="178">
        <v>0</v>
      </c>
      <c r="O329" s="178" t="s">
        <v>60</v>
      </c>
      <c r="P329" s="178" t="s">
        <v>79</v>
      </c>
      <c r="Q329" s="179"/>
      <c r="R329" s="179"/>
      <c r="S329" s="180">
        <v>180</v>
      </c>
      <c r="T329" s="179"/>
      <c r="U329" s="179"/>
      <c r="V329" s="167"/>
      <c r="W329" s="168"/>
      <c r="X329" s="106"/>
      <c r="Y329" s="167"/>
      <c r="Z329" s="169" t="s">
        <v>63</v>
      </c>
      <c r="AA329" s="166">
        <v>2</v>
      </c>
      <c r="AB329" s="166"/>
      <c r="AC329" s="165"/>
      <c r="AD329" s="165"/>
      <c r="AE329" s="165"/>
      <c r="AF329" s="165"/>
      <c r="AG329" s="165"/>
      <c r="AH329" s="165"/>
      <c r="AI329" s="165"/>
      <c r="AJ329" s="165"/>
      <c r="AK329" s="166"/>
      <c r="AL329" s="166"/>
      <c r="AM329" s="166"/>
      <c r="AN329" s="166"/>
      <c r="AO329" s="166"/>
      <c r="AP329" s="166"/>
      <c r="AQ329" s="166"/>
      <c r="AR329" s="166"/>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c r="BR329" s="165" t="s">
        <v>400</v>
      </c>
      <c r="BS329" s="124">
        <v>355</v>
      </c>
      <c r="BT329" s="174"/>
    </row>
    <row r="330" spans="1:72" s="124" customFormat="1" ht="14.25" hidden="1" customHeight="1" x14ac:dyDescent="0.2">
      <c r="A330" s="92">
        <v>356</v>
      </c>
      <c r="B330" s="233" t="s">
        <v>396</v>
      </c>
      <c r="C330" s="263" t="s">
        <v>397</v>
      </c>
      <c r="D330" s="233" t="s">
        <v>401</v>
      </c>
      <c r="E330" s="125" t="s">
        <v>54</v>
      </c>
      <c r="F330" s="18" t="s">
        <v>55</v>
      </c>
      <c r="G330" s="181" t="s">
        <v>56</v>
      </c>
      <c r="H330" s="181" t="s">
        <v>399</v>
      </c>
      <c r="I330" s="181"/>
      <c r="J330" s="178">
        <v>450</v>
      </c>
      <c r="K330" s="182"/>
      <c r="L330" s="182" t="s">
        <v>58</v>
      </c>
      <c r="M330" s="178" t="s">
        <v>78</v>
      </c>
      <c r="N330" s="178">
        <v>0</v>
      </c>
      <c r="O330" s="178" t="s">
        <v>60</v>
      </c>
      <c r="P330" s="178" t="s">
        <v>79</v>
      </c>
      <c r="Q330" s="179"/>
      <c r="R330" s="179"/>
      <c r="S330" s="180">
        <v>180</v>
      </c>
      <c r="T330" s="179"/>
      <c r="U330" s="179"/>
      <c r="V330" s="167"/>
      <c r="W330" s="168"/>
      <c r="X330" s="106"/>
      <c r="Y330" s="167"/>
      <c r="Z330" s="169" t="s">
        <v>63</v>
      </c>
      <c r="AA330" s="166">
        <v>3</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c r="BR330" s="165" t="s">
        <v>400</v>
      </c>
      <c r="BS330" s="124">
        <v>356</v>
      </c>
      <c r="BT330" s="174"/>
    </row>
    <row r="331" spans="1:72" s="124" customFormat="1" ht="14.25" hidden="1" customHeight="1" x14ac:dyDescent="0.2">
      <c r="A331" s="92">
        <v>357</v>
      </c>
      <c r="B331" s="233" t="s">
        <v>396</v>
      </c>
      <c r="C331" s="263" t="s">
        <v>397</v>
      </c>
      <c r="D331" s="233" t="s">
        <v>402</v>
      </c>
      <c r="E331" s="125" t="s">
        <v>54</v>
      </c>
      <c r="F331" s="18" t="s">
        <v>55</v>
      </c>
      <c r="G331" s="181" t="s">
        <v>56</v>
      </c>
      <c r="H331" s="181" t="s">
        <v>399</v>
      </c>
      <c r="I331" s="181"/>
      <c r="J331" s="178">
        <v>600</v>
      </c>
      <c r="K331" s="182"/>
      <c r="L331" s="182" t="s">
        <v>58</v>
      </c>
      <c r="M331" s="178" t="s">
        <v>78</v>
      </c>
      <c r="N331" s="178">
        <v>0</v>
      </c>
      <c r="O331" s="178" t="s">
        <v>60</v>
      </c>
      <c r="P331" s="178" t="s">
        <v>79</v>
      </c>
      <c r="Q331" s="179"/>
      <c r="R331" s="179"/>
      <c r="S331" s="180">
        <v>180</v>
      </c>
      <c r="T331" s="179"/>
      <c r="U331" s="179"/>
      <c r="V331" s="167"/>
      <c r="W331" s="168"/>
      <c r="X331" s="106"/>
      <c r="Y331" s="167"/>
      <c r="Z331" s="169" t="s">
        <v>63</v>
      </c>
      <c r="AA331" s="166">
        <v>6</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c r="BR331" s="165" t="s">
        <v>400</v>
      </c>
      <c r="BS331" s="124">
        <v>357</v>
      </c>
      <c r="BT331" s="174"/>
    </row>
    <row r="332" spans="1:72" s="124" customFormat="1" ht="14.25" hidden="1" customHeight="1" x14ac:dyDescent="0.2">
      <c r="A332" s="92">
        <v>358</v>
      </c>
      <c r="B332" s="233" t="s">
        <v>396</v>
      </c>
      <c r="C332" s="263" t="s">
        <v>397</v>
      </c>
      <c r="D332" s="233" t="s">
        <v>398</v>
      </c>
      <c r="E332" s="125" t="s">
        <v>54</v>
      </c>
      <c r="F332" s="181" t="s">
        <v>71</v>
      </c>
      <c r="G332" s="181" t="s">
        <v>56</v>
      </c>
      <c r="H332" s="181" t="s">
        <v>403</v>
      </c>
      <c r="I332" s="181"/>
      <c r="J332" s="178">
        <v>300</v>
      </c>
      <c r="K332" s="182"/>
      <c r="L332" s="182" t="s">
        <v>58</v>
      </c>
      <c r="M332" s="178" t="s">
        <v>78</v>
      </c>
      <c r="N332" s="178">
        <v>0</v>
      </c>
      <c r="O332" s="178" t="s">
        <v>60</v>
      </c>
      <c r="P332" s="178" t="s">
        <v>79</v>
      </c>
      <c r="Q332" s="179"/>
      <c r="R332" s="179"/>
      <c r="S332" s="180">
        <v>180</v>
      </c>
      <c r="T332" s="179"/>
      <c r="U332" s="179"/>
      <c r="V332" s="167"/>
      <c r="W332" s="168"/>
      <c r="X332" s="106"/>
      <c r="Y332" s="167"/>
      <c r="Z332" s="169" t="s">
        <v>63</v>
      </c>
      <c r="AA332" s="166">
        <v>2</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c r="BR332" s="165" t="s">
        <v>400</v>
      </c>
      <c r="BS332" s="124">
        <v>358</v>
      </c>
      <c r="BT332" s="174"/>
    </row>
    <row r="333" spans="1:72" s="124" customFormat="1" ht="14.25" hidden="1" customHeight="1" x14ac:dyDescent="0.2">
      <c r="A333" s="92">
        <v>359</v>
      </c>
      <c r="B333" s="233" t="s">
        <v>396</v>
      </c>
      <c r="C333" s="263" t="s">
        <v>397</v>
      </c>
      <c r="D333" s="233" t="s">
        <v>401</v>
      </c>
      <c r="E333" s="125" t="s">
        <v>54</v>
      </c>
      <c r="F333" s="181" t="s">
        <v>71</v>
      </c>
      <c r="G333" s="181" t="s">
        <v>56</v>
      </c>
      <c r="H333" s="181" t="s">
        <v>403</v>
      </c>
      <c r="I333" s="181"/>
      <c r="J333" s="178">
        <v>450</v>
      </c>
      <c r="K333" s="182"/>
      <c r="L333" s="182" t="s">
        <v>58</v>
      </c>
      <c r="M333" s="178" t="s">
        <v>78</v>
      </c>
      <c r="N333" s="178">
        <v>0</v>
      </c>
      <c r="O333" s="178" t="s">
        <v>60</v>
      </c>
      <c r="P333" s="178" t="s">
        <v>79</v>
      </c>
      <c r="Q333" s="179"/>
      <c r="R333" s="179"/>
      <c r="S333" s="180">
        <v>180</v>
      </c>
      <c r="T333" s="179"/>
      <c r="U333" s="179"/>
      <c r="V333" s="167"/>
      <c r="W333" s="168"/>
      <c r="X333" s="106"/>
      <c r="Y333" s="167"/>
      <c r="Z333" s="169" t="s">
        <v>63</v>
      </c>
      <c r="AA333" s="166">
        <v>3</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c r="BR333" s="165" t="s">
        <v>400</v>
      </c>
      <c r="BS333" s="124">
        <v>359</v>
      </c>
      <c r="BT333" s="174"/>
    </row>
    <row r="334" spans="1:72" s="124" customFormat="1" ht="14.25" hidden="1" customHeight="1" x14ac:dyDescent="0.2">
      <c r="A334" s="92">
        <v>360</v>
      </c>
      <c r="B334" s="233" t="s">
        <v>396</v>
      </c>
      <c r="C334" s="263" t="s">
        <v>397</v>
      </c>
      <c r="D334" s="233" t="s">
        <v>402</v>
      </c>
      <c r="E334" s="125" t="s">
        <v>54</v>
      </c>
      <c r="F334" s="181" t="s">
        <v>71</v>
      </c>
      <c r="G334" s="181" t="s">
        <v>56</v>
      </c>
      <c r="H334" s="181" t="s">
        <v>403</v>
      </c>
      <c r="I334" s="181"/>
      <c r="J334" s="178">
        <v>600</v>
      </c>
      <c r="K334" s="182"/>
      <c r="L334" s="182" t="s">
        <v>58</v>
      </c>
      <c r="M334" s="178" t="s">
        <v>78</v>
      </c>
      <c r="N334" s="178">
        <v>0</v>
      </c>
      <c r="O334" s="178" t="s">
        <v>60</v>
      </c>
      <c r="P334" s="178" t="s">
        <v>79</v>
      </c>
      <c r="Q334" s="179"/>
      <c r="R334" s="179"/>
      <c r="S334" s="180">
        <v>180</v>
      </c>
      <c r="T334" s="179"/>
      <c r="U334" s="179"/>
      <c r="V334" s="167"/>
      <c r="W334" s="168"/>
      <c r="X334" s="106"/>
      <c r="Y334" s="167"/>
      <c r="Z334" s="169" t="s">
        <v>63</v>
      </c>
      <c r="AA334" s="166">
        <v>6</v>
      </c>
      <c r="AB334" s="166"/>
      <c r="AC334" s="165"/>
      <c r="AD334" s="165"/>
      <c r="AE334" s="165"/>
      <c r="AF334" s="165"/>
      <c r="AG334" s="165"/>
      <c r="AH334" s="165"/>
      <c r="AI334" s="165"/>
      <c r="AJ334" s="165"/>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t="s">
        <v>400</v>
      </c>
      <c r="BS334" s="124">
        <v>360</v>
      </c>
      <c r="BT334" s="174"/>
    </row>
    <row r="335" spans="1:72" s="124" customFormat="1" ht="14.25" hidden="1" customHeight="1" x14ac:dyDescent="0.2">
      <c r="A335" s="205">
        <v>361</v>
      </c>
      <c r="B335" s="231" t="s">
        <v>811</v>
      </c>
      <c r="C335" s="263" t="s">
        <v>812</v>
      </c>
      <c r="D335" s="233" t="s">
        <v>813</v>
      </c>
      <c r="E335" s="125" t="s">
        <v>102</v>
      </c>
      <c r="F335" s="181" t="s">
        <v>103</v>
      </c>
      <c r="G335" s="181" t="s">
        <v>56</v>
      </c>
      <c r="H335" s="181" t="s">
        <v>57</v>
      </c>
      <c r="I335" s="181" t="s">
        <v>628</v>
      </c>
      <c r="J335" s="178" t="s">
        <v>814</v>
      </c>
      <c r="K335" s="182"/>
      <c r="L335" s="182" t="s">
        <v>58</v>
      </c>
      <c r="M335" s="178" t="s">
        <v>59</v>
      </c>
      <c r="N335" s="178">
        <v>0</v>
      </c>
      <c r="O335" s="178" t="s">
        <v>60</v>
      </c>
      <c r="P335" s="178" t="s">
        <v>79</v>
      </c>
      <c r="Q335" s="179" t="s">
        <v>621</v>
      </c>
      <c r="R335" s="179" t="s">
        <v>815</v>
      </c>
      <c r="S335" s="180"/>
      <c r="T335" s="179"/>
      <c r="U335" s="179"/>
      <c r="V335" s="167" t="s">
        <v>436</v>
      </c>
      <c r="W335" s="168"/>
      <c r="X335" s="168"/>
      <c r="Y335" s="167" t="s">
        <v>816</v>
      </c>
      <c r="Z335" s="169" t="s">
        <v>63</v>
      </c>
      <c r="AA335" s="166">
        <v>12</v>
      </c>
      <c r="AB335" s="166">
        <v>0</v>
      </c>
      <c r="AC335" s="165"/>
      <c r="AD335" s="165" t="s">
        <v>80</v>
      </c>
      <c r="AE335" s="165"/>
      <c r="AF335" s="165"/>
      <c r="AG335" s="165"/>
      <c r="AH335" s="165"/>
      <c r="AI335" s="165">
        <v>21</v>
      </c>
      <c r="AJ335" s="165">
        <v>28</v>
      </c>
      <c r="AK335" s="166"/>
      <c r="AL335" s="166" t="s">
        <v>81</v>
      </c>
      <c r="AM335" s="166"/>
      <c r="AN335" s="166"/>
      <c r="AO335" s="166"/>
      <c r="AP335" s="166"/>
      <c r="AQ335" s="166">
        <v>54.3</v>
      </c>
      <c r="AR335" s="166">
        <v>73.400000000000006</v>
      </c>
      <c r="AS335" s="165"/>
      <c r="AT335" s="165"/>
      <c r="AU335" s="165"/>
      <c r="AV335" s="165"/>
      <c r="AW335" s="165"/>
      <c r="AX335" s="165"/>
      <c r="AY335" s="165"/>
      <c r="AZ335" s="165"/>
      <c r="BA335" s="166"/>
      <c r="BB335" s="166" t="s">
        <v>367</v>
      </c>
      <c r="BC335" s="166"/>
      <c r="BD335" s="166"/>
      <c r="BE335" s="166"/>
      <c r="BF335" s="166"/>
      <c r="BG335" s="166">
        <v>18.3</v>
      </c>
      <c r="BH335" s="166">
        <v>25.9</v>
      </c>
      <c r="BI335" s="165"/>
      <c r="BJ335" s="165"/>
      <c r="BK335" s="165"/>
      <c r="BL335" s="165"/>
      <c r="BM335" s="165"/>
      <c r="BN335" s="165"/>
      <c r="BO335" s="165"/>
      <c r="BP335" s="165"/>
      <c r="BQ335" s="166" t="s">
        <v>817</v>
      </c>
      <c r="BR335" s="165" t="s">
        <v>818</v>
      </c>
      <c r="BS335" s="124">
        <v>361</v>
      </c>
      <c r="BT335" s="124" t="s">
        <v>584</v>
      </c>
    </row>
    <row r="336" spans="1:72" s="124" customFormat="1" ht="14.25" hidden="1" customHeight="1" x14ac:dyDescent="0.2">
      <c r="A336" s="205">
        <v>362</v>
      </c>
      <c r="B336" s="231" t="s">
        <v>811</v>
      </c>
      <c r="C336" s="263" t="s">
        <v>812</v>
      </c>
      <c r="D336" s="233" t="s">
        <v>819</v>
      </c>
      <c r="E336" s="125" t="s">
        <v>102</v>
      </c>
      <c r="F336" s="181" t="s">
        <v>103</v>
      </c>
      <c r="G336" s="181" t="s">
        <v>56</v>
      </c>
      <c r="H336" s="181" t="s">
        <v>57</v>
      </c>
      <c r="I336" s="181"/>
      <c r="J336" s="178">
        <v>2.5</v>
      </c>
      <c r="K336" s="182"/>
      <c r="L336" s="182" t="s">
        <v>58</v>
      </c>
      <c r="M336" s="178" t="s">
        <v>59</v>
      </c>
      <c r="N336" s="178">
        <v>25</v>
      </c>
      <c r="O336" s="178" t="s">
        <v>60</v>
      </c>
      <c r="P336" s="178" t="s">
        <v>79</v>
      </c>
      <c r="Q336" s="179" t="s">
        <v>621</v>
      </c>
      <c r="R336" s="179" t="s">
        <v>815</v>
      </c>
      <c r="S336" s="180"/>
      <c r="T336" s="179"/>
      <c r="U336" s="179"/>
      <c r="V336" s="167" t="s">
        <v>436</v>
      </c>
      <c r="W336" s="168"/>
      <c r="X336" s="168"/>
      <c r="Y336" s="167" t="s">
        <v>816</v>
      </c>
      <c r="Z336" s="169" t="s">
        <v>63</v>
      </c>
      <c r="AA336" s="166">
        <v>12</v>
      </c>
      <c r="AB336" s="166">
        <v>0</v>
      </c>
      <c r="AC336" s="165"/>
      <c r="AD336" s="165" t="s">
        <v>80</v>
      </c>
      <c r="AE336" s="165"/>
      <c r="AF336" s="165"/>
      <c r="AG336" s="165"/>
      <c r="AH336" s="165"/>
      <c r="AI336" s="165">
        <v>21</v>
      </c>
      <c r="AJ336" s="165">
        <v>28</v>
      </c>
      <c r="AK336" s="166"/>
      <c r="AL336" s="166" t="s">
        <v>81</v>
      </c>
      <c r="AM336" s="166"/>
      <c r="AN336" s="166"/>
      <c r="AO336" s="166"/>
      <c r="AP336" s="166"/>
      <c r="AQ336" s="166">
        <v>54.3</v>
      </c>
      <c r="AR336" s="166">
        <v>73.400000000000006</v>
      </c>
      <c r="AS336" s="165"/>
      <c r="AT336" s="165"/>
      <c r="AU336" s="165"/>
      <c r="AV336" s="165"/>
      <c r="AW336" s="165"/>
      <c r="AX336" s="165"/>
      <c r="AY336" s="165"/>
      <c r="AZ336" s="165"/>
      <c r="BA336" s="166"/>
      <c r="BB336" s="166" t="s">
        <v>367</v>
      </c>
      <c r="BC336" s="166"/>
      <c r="BD336" s="166"/>
      <c r="BE336" s="166"/>
      <c r="BF336" s="166"/>
      <c r="BG336" s="166">
        <v>18.3</v>
      </c>
      <c r="BH336" s="166">
        <v>25.9</v>
      </c>
      <c r="BI336" s="165"/>
      <c r="BJ336" s="165"/>
      <c r="BK336" s="165"/>
      <c r="BL336" s="165"/>
      <c r="BM336" s="165"/>
      <c r="BN336" s="165"/>
      <c r="BO336" s="165"/>
      <c r="BP336" s="165"/>
      <c r="BQ336" s="166" t="s">
        <v>817</v>
      </c>
      <c r="BR336" s="165" t="s">
        <v>818</v>
      </c>
      <c r="BS336" s="124">
        <v>362</v>
      </c>
      <c r="BT336" s="124" t="s">
        <v>584</v>
      </c>
    </row>
    <row r="337" spans="1:72" s="124" customFormat="1" ht="14.25" hidden="1" customHeight="1" x14ac:dyDescent="0.2">
      <c r="A337" s="205">
        <v>363</v>
      </c>
      <c r="B337" s="231" t="s">
        <v>811</v>
      </c>
      <c r="C337" s="263" t="s">
        <v>812</v>
      </c>
      <c r="D337" s="233" t="s">
        <v>820</v>
      </c>
      <c r="E337" s="125" t="s">
        <v>102</v>
      </c>
      <c r="F337" s="181" t="s">
        <v>103</v>
      </c>
      <c r="G337" s="181" t="s">
        <v>56</v>
      </c>
      <c r="H337" s="181" t="s">
        <v>57</v>
      </c>
      <c r="I337" s="181"/>
      <c r="J337" s="178">
        <v>2.5</v>
      </c>
      <c r="K337" s="182"/>
      <c r="L337" s="182" t="s">
        <v>58</v>
      </c>
      <c r="M337" s="178" t="s">
        <v>59</v>
      </c>
      <c r="N337" s="178">
        <v>73</v>
      </c>
      <c r="O337" s="178" t="s">
        <v>60</v>
      </c>
      <c r="P337" s="178" t="s">
        <v>79</v>
      </c>
      <c r="Q337" s="179" t="s">
        <v>621</v>
      </c>
      <c r="R337" s="179" t="s">
        <v>815</v>
      </c>
      <c r="S337" s="180"/>
      <c r="T337" s="179"/>
      <c r="U337" s="179"/>
      <c r="V337" s="167" t="s">
        <v>436</v>
      </c>
      <c r="W337" s="168"/>
      <c r="X337" s="168"/>
      <c r="Y337" s="167" t="s">
        <v>816</v>
      </c>
      <c r="Z337" s="169" t="s">
        <v>63</v>
      </c>
      <c r="AA337" s="166">
        <v>12</v>
      </c>
      <c r="AB337" s="166">
        <v>0</v>
      </c>
      <c r="AC337" s="165"/>
      <c r="AD337" s="165" t="s">
        <v>80</v>
      </c>
      <c r="AE337" s="165"/>
      <c r="AF337" s="165"/>
      <c r="AG337" s="165"/>
      <c r="AH337" s="165"/>
      <c r="AI337" s="165">
        <v>21</v>
      </c>
      <c r="AJ337" s="165">
        <v>28</v>
      </c>
      <c r="AK337" s="166"/>
      <c r="AL337" s="166" t="s">
        <v>81</v>
      </c>
      <c r="AM337" s="166"/>
      <c r="AN337" s="166"/>
      <c r="AO337" s="166"/>
      <c r="AP337" s="166"/>
      <c r="AQ337" s="166">
        <v>54.3</v>
      </c>
      <c r="AR337" s="166">
        <v>73.400000000000006</v>
      </c>
      <c r="AS337" s="165"/>
      <c r="AT337" s="165"/>
      <c r="AU337" s="165"/>
      <c r="AV337" s="165"/>
      <c r="AW337" s="165"/>
      <c r="AX337" s="165"/>
      <c r="AY337" s="165"/>
      <c r="AZ337" s="165"/>
      <c r="BA337" s="166"/>
      <c r="BB337" s="166" t="s">
        <v>367</v>
      </c>
      <c r="BC337" s="166"/>
      <c r="BD337" s="166"/>
      <c r="BE337" s="166"/>
      <c r="BF337" s="166"/>
      <c r="BG337" s="166">
        <v>18.3</v>
      </c>
      <c r="BH337" s="166">
        <v>25.9</v>
      </c>
      <c r="BI337" s="165"/>
      <c r="BJ337" s="165"/>
      <c r="BK337" s="165"/>
      <c r="BL337" s="165"/>
      <c r="BM337" s="165"/>
      <c r="BN337" s="165"/>
      <c r="BO337" s="165"/>
      <c r="BP337" s="165"/>
      <c r="BQ337" s="166" t="s">
        <v>817</v>
      </c>
      <c r="BR337" s="165" t="s">
        <v>818</v>
      </c>
      <c r="BS337" s="124">
        <v>363</v>
      </c>
      <c r="BT337" s="124" t="s">
        <v>584</v>
      </c>
    </row>
    <row r="338" spans="1:72" s="124" customFormat="1" ht="14.25" hidden="1" customHeight="1" x14ac:dyDescent="0.2">
      <c r="A338" s="205">
        <v>364</v>
      </c>
      <c r="B338" s="231" t="s">
        <v>811</v>
      </c>
      <c r="C338" s="263" t="s">
        <v>812</v>
      </c>
      <c r="D338" s="233" t="s">
        <v>821</v>
      </c>
      <c r="E338" s="125" t="s">
        <v>102</v>
      </c>
      <c r="F338" s="181" t="s">
        <v>103</v>
      </c>
      <c r="G338" s="181" t="s">
        <v>56</v>
      </c>
      <c r="H338" s="181" t="s">
        <v>57</v>
      </c>
      <c r="I338" s="181"/>
      <c r="J338" s="178">
        <v>2.5</v>
      </c>
      <c r="K338" s="182"/>
      <c r="L338" s="182" t="s">
        <v>58</v>
      </c>
      <c r="M338" s="178" t="s">
        <v>59</v>
      </c>
      <c r="N338" s="178">
        <v>145</v>
      </c>
      <c r="O338" s="178" t="s">
        <v>60</v>
      </c>
      <c r="P338" s="178" t="s">
        <v>79</v>
      </c>
      <c r="Q338" s="179" t="s">
        <v>621</v>
      </c>
      <c r="R338" s="179" t="s">
        <v>815</v>
      </c>
      <c r="S338" s="180"/>
      <c r="T338" s="179"/>
      <c r="U338" s="179"/>
      <c r="V338" s="167" t="s">
        <v>436</v>
      </c>
      <c r="W338" s="168"/>
      <c r="X338" s="168"/>
      <c r="Y338" s="167" t="s">
        <v>816</v>
      </c>
      <c r="Z338" s="169" t="s">
        <v>63</v>
      </c>
      <c r="AA338" s="166">
        <v>12</v>
      </c>
      <c r="AB338" s="166">
        <v>0</v>
      </c>
      <c r="AC338" s="165"/>
      <c r="AD338" s="165" t="s">
        <v>80</v>
      </c>
      <c r="AE338" s="165"/>
      <c r="AF338" s="165"/>
      <c r="AG338" s="165"/>
      <c r="AH338" s="165"/>
      <c r="AI338" s="165">
        <v>21</v>
      </c>
      <c r="AJ338" s="165">
        <v>28</v>
      </c>
      <c r="AK338" s="166"/>
      <c r="AL338" s="166" t="s">
        <v>81</v>
      </c>
      <c r="AM338" s="166"/>
      <c r="AN338" s="166"/>
      <c r="AO338" s="166"/>
      <c r="AP338" s="166"/>
      <c r="AQ338" s="166">
        <v>54.3</v>
      </c>
      <c r="AR338" s="166">
        <v>73.400000000000006</v>
      </c>
      <c r="AS338" s="165"/>
      <c r="AT338" s="165"/>
      <c r="AU338" s="165"/>
      <c r="AV338" s="165"/>
      <c r="AW338" s="165"/>
      <c r="AX338" s="165"/>
      <c r="AY338" s="165"/>
      <c r="AZ338" s="165"/>
      <c r="BA338" s="166"/>
      <c r="BB338" s="166" t="s">
        <v>367</v>
      </c>
      <c r="BC338" s="166"/>
      <c r="BD338" s="166"/>
      <c r="BE338" s="166"/>
      <c r="BF338" s="166"/>
      <c r="BG338" s="166">
        <v>18.3</v>
      </c>
      <c r="BH338" s="166">
        <v>25.9</v>
      </c>
      <c r="BI338" s="165"/>
      <c r="BJ338" s="165"/>
      <c r="BK338" s="165"/>
      <c r="BL338" s="165"/>
      <c r="BM338" s="165"/>
      <c r="BN338" s="165"/>
      <c r="BO338" s="165"/>
      <c r="BP338" s="165"/>
      <c r="BQ338" s="166" t="s">
        <v>817</v>
      </c>
      <c r="BR338" s="165" t="s">
        <v>818</v>
      </c>
      <c r="BS338" s="124">
        <v>364</v>
      </c>
      <c r="BT338" s="124" t="s">
        <v>584</v>
      </c>
    </row>
    <row r="339" spans="1:72" s="124" customFormat="1" ht="14.25" hidden="1" customHeight="1" x14ac:dyDescent="0.2">
      <c r="A339" s="205">
        <v>365</v>
      </c>
      <c r="B339" s="231" t="s">
        <v>822</v>
      </c>
      <c r="C339" s="263" t="s">
        <v>823</v>
      </c>
      <c r="D339" s="233" t="s">
        <v>683</v>
      </c>
      <c r="E339" s="125" t="s">
        <v>102</v>
      </c>
      <c r="F339" s="181" t="s">
        <v>103</v>
      </c>
      <c r="G339" s="181" t="s">
        <v>56</v>
      </c>
      <c r="H339" s="181" t="s">
        <v>57</v>
      </c>
      <c r="I339" s="181"/>
      <c r="J339" s="178">
        <v>15</v>
      </c>
      <c r="K339" s="182"/>
      <c r="L339" s="182" t="s">
        <v>58</v>
      </c>
      <c r="M339" s="178" t="s">
        <v>59</v>
      </c>
      <c r="N339" s="178">
        <v>0</v>
      </c>
      <c r="O339" s="178" t="s">
        <v>60</v>
      </c>
      <c r="P339" s="178" t="s">
        <v>79</v>
      </c>
      <c r="Q339" s="179" t="s">
        <v>621</v>
      </c>
      <c r="R339" s="179" t="s">
        <v>824</v>
      </c>
      <c r="S339" s="180"/>
      <c r="T339" s="179">
        <v>150</v>
      </c>
      <c r="U339" s="179"/>
      <c r="V339" s="167" t="s">
        <v>62</v>
      </c>
      <c r="W339" s="168">
        <v>3</v>
      </c>
      <c r="X339" s="168">
        <v>4</v>
      </c>
      <c r="Y339" s="167"/>
      <c r="Z339" s="169" t="s">
        <v>63</v>
      </c>
      <c r="AA339" s="166">
        <v>12</v>
      </c>
      <c r="AB339" s="166">
        <v>9</v>
      </c>
      <c r="AC339" s="165"/>
      <c r="AD339" s="165"/>
      <c r="AE339" s="165"/>
      <c r="AF339" s="165"/>
      <c r="AG339" s="165"/>
      <c r="AH339" s="165"/>
      <c r="AI339" s="165">
        <v>18</v>
      </c>
      <c r="AJ339" s="165">
        <v>29</v>
      </c>
      <c r="AK339" s="166"/>
      <c r="AL339" s="166"/>
      <c r="AM339" s="166"/>
      <c r="AN339" s="166"/>
      <c r="AO339" s="166"/>
      <c r="AP339" s="166"/>
      <c r="AQ339" s="166">
        <v>50</v>
      </c>
      <c r="AR339" s="166">
        <v>73</v>
      </c>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t="s">
        <v>354</v>
      </c>
      <c r="BR339" s="165" t="s">
        <v>825</v>
      </c>
      <c r="BS339" s="124">
        <v>365</v>
      </c>
      <c r="BT339" s="124" t="s">
        <v>584</v>
      </c>
    </row>
    <row r="340" spans="1:72" s="124" customFormat="1" ht="14.25" hidden="1" customHeight="1" x14ac:dyDescent="0.2">
      <c r="A340" s="205">
        <v>366</v>
      </c>
      <c r="B340" s="231" t="s">
        <v>822</v>
      </c>
      <c r="C340" s="263" t="s">
        <v>823</v>
      </c>
      <c r="D340" s="233" t="s">
        <v>826</v>
      </c>
      <c r="E340" s="125" t="s">
        <v>102</v>
      </c>
      <c r="F340" s="181" t="s">
        <v>103</v>
      </c>
      <c r="G340" s="181" t="s">
        <v>56</v>
      </c>
      <c r="H340" s="181" t="s">
        <v>57</v>
      </c>
      <c r="I340" s="181"/>
      <c r="J340" s="178">
        <v>15</v>
      </c>
      <c r="K340" s="182"/>
      <c r="L340" s="182" t="s">
        <v>58</v>
      </c>
      <c r="M340" s="178" t="s">
        <v>59</v>
      </c>
      <c r="N340" s="178">
        <v>128</v>
      </c>
      <c r="O340" s="178" t="s">
        <v>60</v>
      </c>
      <c r="P340" s="178" t="s">
        <v>79</v>
      </c>
      <c r="Q340" s="179" t="s">
        <v>621</v>
      </c>
      <c r="R340" s="179" t="s">
        <v>824</v>
      </c>
      <c r="S340" s="180"/>
      <c r="T340" s="179">
        <v>150</v>
      </c>
      <c r="U340" s="179"/>
      <c r="V340" s="167" t="s">
        <v>62</v>
      </c>
      <c r="W340" s="168">
        <v>3</v>
      </c>
      <c r="X340" s="168">
        <v>4</v>
      </c>
      <c r="Y340" s="167"/>
      <c r="Z340" s="169" t="s">
        <v>63</v>
      </c>
      <c r="AA340" s="166">
        <v>12</v>
      </c>
      <c r="AB340" s="166">
        <v>9</v>
      </c>
      <c r="AC340" s="165"/>
      <c r="AD340" s="165"/>
      <c r="AE340" s="165"/>
      <c r="AF340" s="165"/>
      <c r="AG340" s="165"/>
      <c r="AH340" s="165"/>
      <c r="AI340" s="165">
        <v>18</v>
      </c>
      <c r="AJ340" s="165">
        <v>29</v>
      </c>
      <c r="AK340" s="166"/>
      <c r="AL340" s="166"/>
      <c r="AM340" s="166"/>
      <c r="AN340" s="166"/>
      <c r="AO340" s="166"/>
      <c r="AP340" s="166"/>
      <c r="AQ340" s="166">
        <v>50</v>
      </c>
      <c r="AR340" s="166">
        <v>73</v>
      </c>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t="s">
        <v>354</v>
      </c>
      <c r="BR340" s="165" t="s">
        <v>825</v>
      </c>
      <c r="BS340" s="124">
        <v>366</v>
      </c>
      <c r="BT340" s="124" t="s">
        <v>584</v>
      </c>
    </row>
    <row r="341" spans="1:72" s="124" customFormat="1" ht="14.25" hidden="1" customHeight="1" x14ac:dyDescent="0.2">
      <c r="A341" s="205">
        <v>367</v>
      </c>
      <c r="B341" s="231" t="s">
        <v>822</v>
      </c>
      <c r="C341" s="263" t="s">
        <v>823</v>
      </c>
      <c r="D341" s="233" t="s">
        <v>333</v>
      </c>
      <c r="E341" s="125" t="s">
        <v>102</v>
      </c>
      <c r="F341" s="181" t="s">
        <v>103</v>
      </c>
      <c r="G341" s="181" t="s">
        <v>56</v>
      </c>
      <c r="H341" s="181" t="s">
        <v>157</v>
      </c>
      <c r="I341" s="181"/>
      <c r="J341" s="178">
        <v>0.05</v>
      </c>
      <c r="K341" s="182"/>
      <c r="L341" s="182" t="s">
        <v>107</v>
      </c>
      <c r="M341" s="178" t="s">
        <v>78</v>
      </c>
      <c r="N341" s="178">
        <v>0</v>
      </c>
      <c r="O341" s="178" t="s">
        <v>60</v>
      </c>
      <c r="P341" s="178" t="s">
        <v>79</v>
      </c>
      <c r="Q341" s="179" t="s">
        <v>621</v>
      </c>
      <c r="R341" s="179" t="s">
        <v>827</v>
      </c>
      <c r="S341" s="180">
        <v>2</v>
      </c>
      <c r="T341" s="179"/>
      <c r="U341" s="179"/>
      <c r="V341" s="167" t="s">
        <v>62</v>
      </c>
      <c r="W341" s="168">
        <v>3</v>
      </c>
      <c r="X341" s="168">
        <v>4</v>
      </c>
      <c r="Y341" s="167"/>
      <c r="Z341" s="169" t="s">
        <v>63</v>
      </c>
      <c r="AA341" s="166">
        <v>6</v>
      </c>
      <c r="AB341" s="166">
        <v>4</v>
      </c>
      <c r="AC341" s="165"/>
      <c r="AD341" s="165"/>
      <c r="AE341" s="165"/>
      <c r="AF341" s="165"/>
      <c r="AG341" s="165"/>
      <c r="AH341" s="165"/>
      <c r="AI341" s="165">
        <v>20</v>
      </c>
      <c r="AJ341" s="165">
        <v>22</v>
      </c>
      <c r="AK341" s="166"/>
      <c r="AL341" s="166"/>
      <c r="AM341" s="166"/>
      <c r="AN341" s="166"/>
      <c r="AO341" s="166"/>
      <c r="AP341" s="166"/>
      <c r="AQ341" s="166">
        <v>56</v>
      </c>
      <c r="AR341" s="166">
        <v>70</v>
      </c>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t="s">
        <v>354</v>
      </c>
      <c r="BR341" s="165" t="s">
        <v>825</v>
      </c>
      <c r="BS341" s="124">
        <v>367</v>
      </c>
      <c r="BT341" s="124" t="s">
        <v>584</v>
      </c>
    </row>
    <row r="342" spans="1:72" s="124" customFormat="1" ht="14.25" hidden="1" customHeight="1" x14ac:dyDescent="0.2">
      <c r="A342" s="205">
        <v>368</v>
      </c>
      <c r="B342" s="231" t="s">
        <v>822</v>
      </c>
      <c r="C342" s="263" t="s">
        <v>823</v>
      </c>
      <c r="D342" s="233" t="s">
        <v>828</v>
      </c>
      <c r="E342" s="125" t="s">
        <v>102</v>
      </c>
      <c r="F342" s="181" t="s">
        <v>103</v>
      </c>
      <c r="G342" s="181" t="s">
        <v>56</v>
      </c>
      <c r="H342" s="181" t="s">
        <v>157</v>
      </c>
      <c r="I342" s="181"/>
      <c r="J342" s="178">
        <v>0.05</v>
      </c>
      <c r="K342" s="182"/>
      <c r="L342" s="182" t="s">
        <v>107</v>
      </c>
      <c r="M342" s="178" t="s">
        <v>78</v>
      </c>
      <c r="N342" s="178">
        <v>128</v>
      </c>
      <c r="O342" s="178" t="s">
        <v>60</v>
      </c>
      <c r="P342" s="178" t="s">
        <v>79</v>
      </c>
      <c r="Q342" s="179" t="s">
        <v>621</v>
      </c>
      <c r="R342" s="179" t="s">
        <v>827</v>
      </c>
      <c r="S342" s="180">
        <v>2</v>
      </c>
      <c r="T342" s="179"/>
      <c r="U342" s="179"/>
      <c r="V342" s="167" t="s">
        <v>62</v>
      </c>
      <c r="W342" s="168">
        <v>3</v>
      </c>
      <c r="X342" s="168">
        <v>4</v>
      </c>
      <c r="Y342" s="167"/>
      <c r="Z342" s="169" t="s">
        <v>63</v>
      </c>
      <c r="AA342" s="166">
        <v>6</v>
      </c>
      <c r="AB342" s="166">
        <v>4</v>
      </c>
      <c r="AC342" s="165"/>
      <c r="AD342" s="165"/>
      <c r="AE342" s="165"/>
      <c r="AF342" s="165"/>
      <c r="AG342" s="165"/>
      <c r="AH342" s="165"/>
      <c r="AI342" s="165">
        <v>20</v>
      </c>
      <c r="AJ342" s="165">
        <v>22</v>
      </c>
      <c r="AK342" s="166"/>
      <c r="AL342" s="166"/>
      <c r="AM342" s="166"/>
      <c r="AN342" s="166"/>
      <c r="AO342" s="166"/>
      <c r="AP342" s="166"/>
      <c r="AQ342" s="166">
        <v>56</v>
      </c>
      <c r="AR342" s="166">
        <v>70</v>
      </c>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t="s">
        <v>354</v>
      </c>
      <c r="BR342" s="165" t="s">
        <v>825</v>
      </c>
      <c r="BS342" s="124">
        <v>368</v>
      </c>
      <c r="BT342" s="124" t="s">
        <v>584</v>
      </c>
    </row>
    <row r="343" spans="1:72" s="124" customFormat="1" ht="14.25" hidden="1" customHeight="1" x14ac:dyDescent="0.2">
      <c r="A343" s="205">
        <v>369</v>
      </c>
      <c r="B343" s="231" t="s">
        <v>829</v>
      </c>
      <c r="C343" s="263" t="s">
        <v>830</v>
      </c>
      <c r="D343" s="233" t="s">
        <v>683</v>
      </c>
      <c r="E343" s="125" t="s">
        <v>102</v>
      </c>
      <c r="F343" s="181" t="s">
        <v>103</v>
      </c>
      <c r="G343" s="181" t="s">
        <v>56</v>
      </c>
      <c r="H343" s="181" t="s">
        <v>57</v>
      </c>
      <c r="I343" s="181"/>
      <c r="J343" s="178">
        <v>7.5</v>
      </c>
      <c r="K343" s="182"/>
      <c r="L343" s="182" t="s">
        <v>58</v>
      </c>
      <c r="M343" s="178" t="s">
        <v>59</v>
      </c>
      <c r="N343" s="178">
        <v>0</v>
      </c>
      <c r="O343" s="178" t="s">
        <v>60</v>
      </c>
      <c r="P343" s="178" t="s">
        <v>79</v>
      </c>
      <c r="Q343" s="179" t="s">
        <v>621</v>
      </c>
      <c r="R343" s="179" t="s">
        <v>831</v>
      </c>
      <c r="S343" s="180"/>
      <c r="T343" s="179">
        <v>150</v>
      </c>
      <c r="U343" s="179"/>
      <c r="V343" s="167" t="s">
        <v>62</v>
      </c>
      <c r="W343" s="168">
        <v>3</v>
      </c>
      <c r="X343" s="168">
        <v>4</v>
      </c>
      <c r="Y343" s="167"/>
      <c r="Z343" s="169" t="s">
        <v>63</v>
      </c>
      <c r="AA343" s="166">
        <v>9</v>
      </c>
      <c r="AB343" s="166">
        <v>7</v>
      </c>
      <c r="AC343" s="165"/>
      <c r="AD343" s="165" t="s">
        <v>80</v>
      </c>
      <c r="AE343" s="165"/>
      <c r="AF343" s="165"/>
      <c r="AG343" s="165"/>
      <c r="AH343" s="165"/>
      <c r="AI343" s="165">
        <v>19</v>
      </c>
      <c r="AJ343" s="165">
        <v>26</v>
      </c>
      <c r="AK343" s="166"/>
      <c r="AL343" s="166" t="s">
        <v>81</v>
      </c>
      <c r="AM343" s="166"/>
      <c r="AN343" s="166"/>
      <c r="AO343" s="166"/>
      <c r="AP343" s="166"/>
      <c r="AQ343" s="166">
        <v>52</v>
      </c>
      <c r="AR343" s="166">
        <v>85</v>
      </c>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t="s">
        <v>354</v>
      </c>
      <c r="BR343" s="165"/>
      <c r="BS343" s="124">
        <v>369</v>
      </c>
      <c r="BT343" s="124" t="s">
        <v>584</v>
      </c>
    </row>
    <row r="344" spans="1:72" s="124" customFormat="1" ht="14.25" hidden="1" customHeight="1" x14ac:dyDescent="0.2">
      <c r="A344" s="205">
        <v>370</v>
      </c>
      <c r="B344" s="231" t="s">
        <v>829</v>
      </c>
      <c r="C344" s="263" t="s">
        <v>830</v>
      </c>
      <c r="D344" s="233" t="s">
        <v>765</v>
      </c>
      <c r="E344" s="125" t="s">
        <v>102</v>
      </c>
      <c r="F344" s="181" t="s">
        <v>103</v>
      </c>
      <c r="G344" s="181" t="s">
        <v>56</v>
      </c>
      <c r="H344" s="181" t="s">
        <v>57</v>
      </c>
      <c r="I344" s="181"/>
      <c r="J344" s="178">
        <v>7.5</v>
      </c>
      <c r="K344" s="182"/>
      <c r="L344" s="182" t="s">
        <v>58</v>
      </c>
      <c r="M344" s="178" t="s">
        <v>59</v>
      </c>
      <c r="N344" s="178">
        <v>73</v>
      </c>
      <c r="O344" s="178" t="s">
        <v>60</v>
      </c>
      <c r="P344" s="178" t="s">
        <v>79</v>
      </c>
      <c r="Q344" s="179" t="s">
        <v>621</v>
      </c>
      <c r="R344" s="179" t="s">
        <v>831</v>
      </c>
      <c r="S344" s="180"/>
      <c r="T344" s="179">
        <v>150</v>
      </c>
      <c r="U344" s="179"/>
      <c r="V344" s="167" t="s">
        <v>62</v>
      </c>
      <c r="W344" s="168">
        <v>3</v>
      </c>
      <c r="X344" s="168">
        <v>4</v>
      </c>
      <c r="Y344" s="167"/>
      <c r="Z344" s="169" t="s">
        <v>63</v>
      </c>
      <c r="AA344" s="166">
        <v>9</v>
      </c>
      <c r="AB344" s="166">
        <v>7</v>
      </c>
      <c r="AC344" s="165"/>
      <c r="AD344" s="165" t="s">
        <v>80</v>
      </c>
      <c r="AE344" s="165"/>
      <c r="AF344" s="165"/>
      <c r="AG344" s="165"/>
      <c r="AH344" s="165"/>
      <c r="AI344" s="165">
        <v>19</v>
      </c>
      <c r="AJ344" s="165">
        <v>26</v>
      </c>
      <c r="AK344" s="166"/>
      <c r="AL344" s="166" t="s">
        <v>81</v>
      </c>
      <c r="AM344" s="166"/>
      <c r="AN344" s="166"/>
      <c r="AO344" s="166"/>
      <c r="AP344" s="166"/>
      <c r="AQ344" s="166">
        <v>52</v>
      </c>
      <c r="AR344" s="166">
        <v>85</v>
      </c>
      <c r="AS344" s="165"/>
      <c r="AT344" s="165"/>
      <c r="AU344" s="165"/>
      <c r="AV344" s="165"/>
      <c r="AW344" s="165"/>
      <c r="AX344" s="165"/>
      <c r="AY344" s="165"/>
      <c r="AZ344" s="165"/>
      <c r="BA344" s="166"/>
      <c r="BB344" s="166"/>
      <c r="BC344" s="166"/>
      <c r="BD344" s="166"/>
      <c r="BE344" s="166"/>
      <c r="BF344" s="166"/>
      <c r="BG344" s="166"/>
      <c r="BH344" s="166"/>
      <c r="BI344" s="165"/>
      <c r="BJ344" s="165"/>
      <c r="BK344" s="165"/>
      <c r="BL344" s="165"/>
      <c r="BM344" s="165"/>
      <c r="BN344" s="165"/>
      <c r="BO344" s="165"/>
      <c r="BP344" s="165"/>
      <c r="BQ344" s="166" t="s">
        <v>354</v>
      </c>
      <c r="BR344" s="165"/>
      <c r="BS344" s="124">
        <v>370</v>
      </c>
      <c r="BT344" s="124" t="s">
        <v>584</v>
      </c>
    </row>
    <row r="345" spans="1:72" s="124" customFormat="1" ht="14.25" hidden="1" customHeight="1" x14ac:dyDescent="0.2">
      <c r="A345" s="205">
        <v>371</v>
      </c>
      <c r="B345" s="231" t="s">
        <v>829</v>
      </c>
      <c r="C345" s="263" t="s">
        <v>830</v>
      </c>
      <c r="D345" s="233" t="s">
        <v>832</v>
      </c>
      <c r="E345" s="125" t="s">
        <v>102</v>
      </c>
      <c r="F345" s="181" t="s">
        <v>103</v>
      </c>
      <c r="G345" s="181" t="s">
        <v>56</v>
      </c>
      <c r="H345" s="181" t="s">
        <v>57</v>
      </c>
      <c r="I345" s="181"/>
      <c r="J345" s="178">
        <v>7.5</v>
      </c>
      <c r="K345" s="182"/>
      <c r="L345" s="182" t="s">
        <v>58</v>
      </c>
      <c r="M345" s="178" t="s">
        <v>59</v>
      </c>
      <c r="N345" s="178">
        <v>73</v>
      </c>
      <c r="O345" s="178" t="s">
        <v>60</v>
      </c>
      <c r="P345" s="178" t="s">
        <v>79</v>
      </c>
      <c r="Q345" s="179" t="s">
        <v>621</v>
      </c>
      <c r="R345" s="179" t="s">
        <v>831</v>
      </c>
      <c r="S345" s="180"/>
      <c r="T345" s="179">
        <v>150</v>
      </c>
      <c r="U345" s="179"/>
      <c r="V345" s="167" t="s">
        <v>62</v>
      </c>
      <c r="W345" s="168">
        <v>3</v>
      </c>
      <c r="X345" s="168">
        <v>4</v>
      </c>
      <c r="Y345" s="167"/>
      <c r="Z345" s="169" t="s">
        <v>63</v>
      </c>
      <c r="AA345" s="166">
        <v>9</v>
      </c>
      <c r="AB345" s="166">
        <v>7</v>
      </c>
      <c r="AC345" s="165"/>
      <c r="AD345" s="165" t="s">
        <v>80</v>
      </c>
      <c r="AE345" s="165"/>
      <c r="AF345" s="165"/>
      <c r="AG345" s="165"/>
      <c r="AH345" s="165"/>
      <c r="AI345" s="165">
        <v>19</v>
      </c>
      <c r="AJ345" s="165">
        <v>26</v>
      </c>
      <c r="AK345" s="166"/>
      <c r="AL345" s="166" t="s">
        <v>81</v>
      </c>
      <c r="AM345" s="166"/>
      <c r="AN345" s="166"/>
      <c r="AO345" s="166"/>
      <c r="AP345" s="166"/>
      <c r="AQ345" s="166">
        <v>52</v>
      </c>
      <c r="AR345" s="166">
        <v>85</v>
      </c>
      <c r="AS345" s="165"/>
      <c r="AT345" s="165"/>
      <c r="AU345" s="165"/>
      <c r="AV345" s="165"/>
      <c r="AW345" s="165"/>
      <c r="AX345" s="165"/>
      <c r="AY345" s="165"/>
      <c r="AZ345" s="165"/>
      <c r="BA345" s="166"/>
      <c r="BB345" s="166"/>
      <c r="BC345" s="166"/>
      <c r="BD345" s="166"/>
      <c r="BE345" s="166"/>
      <c r="BF345" s="166"/>
      <c r="BG345" s="166"/>
      <c r="BH345" s="166"/>
      <c r="BI345" s="165"/>
      <c r="BJ345" s="165"/>
      <c r="BK345" s="165"/>
      <c r="BL345" s="165"/>
      <c r="BM345" s="165"/>
      <c r="BN345" s="165"/>
      <c r="BO345" s="165"/>
      <c r="BP345" s="165"/>
      <c r="BQ345" s="166" t="s">
        <v>354</v>
      </c>
      <c r="BR345" s="165"/>
      <c r="BS345" s="124">
        <v>371</v>
      </c>
      <c r="BT345" s="124" t="s">
        <v>584</v>
      </c>
    </row>
    <row r="346" spans="1:72" s="124" customFormat="1" ht="14.25" hidden="1" customHeight="1" x14ac:dyDescent="0.2">
      <c r="A346" s="205">
        <v>372</v>
      </c>
      <c r="B346" s="231" t="s">
        <v>829</v>
      </c>
      <c r="C346" s="263" t="s">
        <v>830</v>
      </c>
      <c r="D346" s="233" t="s">
        <v>765</v>
      </c>
      <c r="E346" s="125" t="s">
        <v>149</v>
      </c>
      <c r="F346" s="181" t="s">
        <v>103</v>
      </c>
      <c r="G346" s="181" t="s">
        <v>56</v>
      </c>
      <c r="H346" s="181" t="s">
        <v>66</v>
      </c>
      <c r="I346" s="181"/>
      <c r="J346" s="178">
        <v>200</v>
      </c>
      <c r="K346" s="182"/>
      <c r="L346" s="182" t="s">
        <v>58</v>
      </c>
      <c r="M346" s="178" t="s">
        <v>59</v>
      </c>
      <c r="N346" s="178" t="s">
        <v>833</v>
      </c>
      <c r="O346" s="178" t="s">
        <v>60</v>
      </c>
      <c r="P346" s="178" t="s">
        <v>92</v>
      </c>
      <c r="Q346" s="179" t="s">
        <v>834</v>
      </c>
      <c r="R346" s="179" t="s">
        <v>835</v>
      </c>
      <c r="S346" s="180"/>
      <c r="T346" s="179"/>
      <c r="U346" s="179"/>
      <c r="V346" s="167" t="s">
        <v>62</v>
      </c>
      <c r="W346" s="168">
        <v>2</v>
      </c>
      <c r="X346" s="168">
        <v>5</v>
      </c>
      <c r="Y346" s="167"/>
      <c r="Z346" s="169" t="s">
        <v>63</v>
      </c>
      <c r="AA346" s="166">
        <v>9</v>
      </c>
      <c r="AB346" s="166">
        <v>7</v>
      </c>
      <c r="AC346" s="165"/>
      <c r="AD346" s="165" t="s">
        <v>80</v>
      </c>
      <c r="AE346" s="165"/>
      <c r="AF346" s="165"/>
      <c r="AG346" s="165"/>
      <c r="AH346" s="165"/>
      <c r="AI346" s="165">
        <v>19</v>
      </c>
      <c r="AJ346" s="165">
        <v>26</v>
      </c>
      <c r="AK346" s="166"/>
      <c r="AL346" s="166" t="s">
        <v>81</v>
      </c>
      <c r="AM346" s="166"/>
      <c r="AN346" s="166"/>
      <c r="AO346" s="166"/>
      <c r="AP346" s="166"/>
      <c r="AQ346" s="166">
        <v>52</v>
      </c>
      <c r="AR346" s="166">
        <v>85</v>
      </c>
      <c r="AS346" s="165"/>
      <c r="AT346" s="165"/>
      <c r="AU346" s="165"/>
      <c r="AV346" s="165"/>
      <c r="AW346" s="165"/>
      <c r="AX346" s="165"/>
      <c r="AY346" s="165"/>
      <c r="AZ346" s="165"/>
      <c r="BA346" s="166"/>
      <c r="BB346" s="166"/>
      <c r="BC346" s="166"/>
      <c r="BD346" s="166"/>
      <c r="BE346" s="166"/>
      <c r="BF346" s="166"/>
      <c r="BG346" s="166"/>
      <c r="BH346" s="166"/>
      <c r="BI346" s="165"/>
      <c r="BJ346" s="165"/>
      <c r="BK346" s="165"/>
      <c r="BL346" s="165"/>
      <c r="BM346" s="165"/>
      <c r="BN346" s="165"/>
      <c r="BO346" s="165"/>
      <c r="BP346" s="165"/>
      <c r="BQ346" s="166" t="s">
        <v>354</v>
      </c>
      <c r="BR346" s="165"/>
      <c r="BS346" s="124">
        <v>372</v>
      </c>
      <c r="BT346" s="124" t="s">
        <v>584</v>
      </c>
    </row>
    <row r="347" spans="1:72" s="124" customFormat="1" ht="14.25" hidden="1" customHeight="1" x14ac:dyDescent="0.2">
      <c r="A347" s="205">
        <v>373</v>
      </c>
      <c r="B347" s="231" t="s">
        <v>829</v>
      </c>
      <c r="C347" s="263" t="s">
        <v>830</v>
      </c>
      <c r="D347" s="233" t="s">
        <v>832</v>
      </c>
      <c r="E347" s="125" t="s">
        <v>836</v>
      </c>
      <c r="F347" s="181" t="s">
        <v>103</v>
      </c>
      <c r="G347" s="181" t="s">
        <v>56</v>
      </c>
      <c r="H347" s="181" t="s">
        <v>66</v>
      </c>
      <c r="I347" s="181"/>
      <c r="J347" s="178">
        <v>400</v>
      </c>
      <c r="K347" s="182"/>
      <c r="L347" s="182" t="s">
        <v>58</v>
      </c>
      <c r="M347" s="178" t="s">
        <v>59</v>
      </c>
      <c r="N347" s="178" t="s">
        <v>833</v>
      </c>
      <c r="O347" s="178" t="s">
        <v>60</v>
      </c>
      <c r="P347" s="178" t="s">
        <v>92</v>
      </c>
      <c r="Q347" s="179" t="s">
        <v>837</v>
      </c>
      <c r="R347" s="179" t="s">
        <v>838</v>
      </c>
      <c r="S347" s="180"/>
      <c r="T347" s="179"/>
      <c r="U347" s="179"/>
      <c r="V347" s="167" t="s">
        <v>62</v>
      </c>
      <c r="W347" s="168">
        <v>2</v>
      </c>
      <c r="X347" s="168">
        <v>5</v>
      </c>
      <c r="Y347" s="167"/>
      <c r="Z347" s="169" t="s">
        <v>63</v>
      </c>
      <c r="AA347" s="166">
        <v>9</v>
      </c>
      <c r="AB347" s="166">
        <v>7</v>
      </c>
      <c r="AC347" s="165"/>
      <c r="AD347" s="165" t="s">
        <v>80</v>
      </c>
      <c r="AE347" s="165"/>
      <c r="AF347" s="165"/>
      <c r="AG347" s="165"/>
      <c r="AH347" s="165"/>
      <c r="AI347" s="165">
        <v>19</v>
      </c>
      <c r="AJ347" s="165">
        <v>26</v>
      </c>
      <c r="AK347" s="166"/>
      <c r="AL347" s="166" t="s">
        <v>81</v>
      </c>
      <c r="AM347" s="166"/>
      <c r="AN347" s="166"/>
      <c r="AO347" s="166"/>
      <c r="AP347" s="166"/>
      <c r="AQ347" s="166">
        <v>52</v>
      </c>
      <c r="AR347" s="166">
        <v>85</v>
      </c>
      <c r="AS347" s="165"/>
      <c r="AT347" s="165"/>
      <c r="AU347" s="165"/>
      <c r="AV347" s="165"/>
      <c r="AW347" s="165"/>
      <c r="AX347" s="165"/>
      <c r="AY347" s="165"/>
      <c r="AZ347" s="165"/>
      <c r="BA347" s="166"/>
      <c r="BB347" s="166"/>
      <c r="BC347" s="166"/>
      <c r="BD347" s="166"/>
      <c r="BE347" s="166"/>
      <c r="BF347" s="166"/>
      <c r="BG347" s="166"/>
      <c r="BH347" s="166"/>
      <c r="BI347" s="165"/>
      <c r="BJ347" s="165"/>
      <c r="BK347" s="165"/>
      <c r="BL347" s="165"/>
      <c r="BM347" s="165"/>
      <c r="BN347" s="165"/>
      <c r="BO347" s="165"/>
      <c r="BP347" s="165"/>
      <c r="BQ347" s="166" t="s">
        <v>354</v>
      </c>
      <c r="BR347" s="165"/>
      <c r="BS347" s="124">
        <v>373</v>
      </c>
      <c r="BT347" s="124" t="s">
        <v>584</v>
      </c>
    </row>
    <row r="348" spans="1:72" s="124" customFormat="1" ht="14.25" hidden="1" customHeight="1" x14ac:dyDescent="0.2">
      <c r="A348" s="205">
        <v>374</v>
      </c>
      <c r="B348" s="231" t="s">
        <v>839</v>
      </c>
      <c r="C348" s="263" t="s">
        <v>840</v>
      </c>
      <c r="D348" s="231" t="s">
        <v>841</v>
      </c>
      <c r="E348" s="125" t="s">
        <v>102</v>
      </c>
      <c r="F348" s="181" t="s">
        <v>103</v>
      </c>
      <c r="G348" s="181" t="s">
        <v>56</v>
      </c>
      <c r="H348" s="181" t="s">
        <v>57</v>
      </c>
      <c r="I348" s="181"/>
      <c r="J348" s="178">
        <v>7.5</v>
      </c>
      <c r="K348" s="182"/>
      <c r="L348" s="182" t="s">
        <v>58</v>
      </c>
      <c r="M348" s="178" t="s">
        <v>59</v>
      </c>
      <c r="N348" s="178">
        <v>0</v>
      </c>
      <c r="O348" s="178" t="s">
        <v>60</v>
      </c>
      <c r="P348" s="178" t="s">
        <v>79</v>
      </c>
      <c r="Q348" s="179"/>
      <c r="R348" s="179"/>
      <c r="S348" s="180"/>
      <c r="T348" s="179">
        <v>150</v>
      </c>
      <c r="U348" s="179"/>
      <c r="V348" s="167" t="s">
        <v>62</v>
      </c>
      <c r="W348" s="168">
        <v>3</v>
      </c>
      <c r="X348" s="168">
        <v>4</v>
      </c>
      <c r="Y348" s="167"/>
      <c r="Z348" s="169" t="s">
        <v>63</v>
      </c>
      <c r="AA348" s="166">
        <v>12</v>
      </c>
      <c r="AB348" s="166">
        <v>5</v>
      </c>
      <c r="AC348" s="165"/>
      <c r="AD348" s="165" t="s">
        <v>80</v>
      </c>
      <c r="AE348" s="165"/>
      <c r="AF348" s="165"/>
      <c r="AG348" s="165"/>
      <c r="AH348" s="165"/>
      <c r="AI348" s="165">
        <v>19</v>
      </c>
      <c r="AJ348" s="165">
        <v>25</v>
      </c>
      <c r="AK348" s="166"/>
      <c r="AL348" s="166" t="s">
        <v>81</v>
      </c>
      <c r="AM348" s="166"/>
      <c r="AN348" s="166"/>
      <c r="AO348" s="166"/>
      <c r="AP348" s="166"/>
      <c r="AQ348" s="166">
        <v>57</v>
      </c>
      <c r="AR348" s="166">
        <v>95</v>
      </c>
      <c r="AS348" s="165"/>
      <c r="AT348" s="165"/>
      <c r="AU348" s="165"/>
      <c r="AV348" s="165"/>
      <c r="AW348" s="165"/>
      <c r="AX348" s="165"/>
      <c r="AY348" s="165"/>
      <c r="AZ348" s="165"/>
      <c r="BA348" s="166"/>
      <c r="BB348" s="166"/>
      <c r="BC348" s="166"/>
      <c r="BD348" s="166"/>
      <c r="BE348" s="166"/>
      <c r="BF348" s="166"/>
      <c r="BG348" s="166"/>
      <c r="BH348" s="166"/>
      <c r="BI348" s="165"/>
      <c r="BJ348" s="165"/>
      <c r="BK348" s="165"/>
      <c r="BL348" s="165"/>
      <c r="BM348" s="165"/>
      <c r="BN348" s="165"/>
      <c r="BO348" s="165"/>
      <c r="BP348" s="165"/>
      <c r="BQ348" s="166" t="s">
        <v>354</v>
      </c>
      <c r="BR348" s="165" t="s">
        <v>842</v>
      </c>
      <c r="BS348" s="124">
        <v>374</v>
      </c>
      <c r="BT348" s="124" t="s">
        <v>584</v>
      </c>
    </row>
    <row r="349" spans="1:72" s="124" customFormat="1" ht="14.25" hidden="1" customHeight="1" x14ac:dyDescent="0.2">
      <c r="A349" s="205">
        <v>375</v>
      </c>
      <c r="B349" s="231" t="s">
        <v>839</v>
      </c>
      <c r="C349" s="263" t="s">
        <v>840</v>
      </c>
      <c r="D349" s="231" t="s">
        <v>843</v>
      </c>
      <c r="E349" s="125" t="s">
        <v>102</v>
      </c>
      <c r="F349" s="181" t="s">
        <v>103</v>
      </c>
      <c r="G349" s="181" t="s">
        <v>56</v>
      </c>
      <c r="H349" s="181" t="s">
        <v>57</v>
      </c>
      <c r="I349" s="181"/>
      <c r="J349" s="178">
        <v>0.05</v>
      </c>
      <c r="K349" s="182"/>
      <c r="L349" s="182" t="s">
        <v>107</v>
      </c>
      <c r="M349" s="178" t="s">
        <v>78</v>
      </c>
      <c r="N349" s="178">
        <v>0</v>
      </c>
      <c r="O349" s="178" t="s">
        <v>60</v>
      </c>
      <c r="P349" s="178" t="s">
        <v>79</v>
      </c>
      <c r="Q349" s="179"/>
      <c r="R349" s="179"/>
      <c r="S349" s="180">
        <v>2</v>
      </c>
      <c r="T349" s="179"/>
      <c r="U349" s="179"/>
      <c r="V349" s="167" t="s">
        <v>62</v>
      </c>
      <c r="W349" s="168">
        <v>3</v>
      </c>
      <c r="X349" s="168">
        <v>4</v>
      </c>
      <c r="Y349" s="167"/>
      <c r="Z349" s="169" t="s">
        <v>63</v>
      </c>
      <c r="AA349" s="166">
        <v>12</v>
      </c>
      <c r="AB349" s="166">
        <v>5</v>
      </c>
      <c r="AC349" s="165"/>
      <c r="AD349" s="165" t="s">
        <v>80</v>
      </c>
      <c r="AE349" s="165"/>
      <c r="AF349" s="165"/>
      <c r="AG349" s="165"/>
      <c r="AH349" s="165"/>
      <c r="AI349" s="165">
        <v>19</v>
      </c>
      <c r="AJ349" s="165">
        <v>25</v>
      </c>
      <c r="AK349" s="166"/>
      <c r="AL349" s="166" t="s">
        <v>81</v>
      </c>
      <c r="AM349" s="166"/>
      <c r="AN349" s="166"/>
      <c r="AO349" s="166"/>
      <c r="AP349" s="166"/>
      <c r="AQ349" s="166">
        <v>57</v>
      </c>
      <c r="AR349" s="166">
        <v>95</v>
      </c>
      <c r="AS349" s="165"/>
      <c r="AT349" s="165"/>
      <c r="AU349" s="165"/>
      <c r="AV349" s="165"/>
      <c r="AW349" s="165"/>
      <c r="AX349" s="165"/>
      <c r="AY349" s="165"/>
      <c r="AZ349" s="165"/>
      <c r="BA349" s="166"/>
      <c r="BB349" s="166"/>
      <c r="BC349" s="166"/>
      <c r="BD349" s="166"/>
      <c r="BE349" s="166"/>
      <c r="BF349" s="166"/>
      <c r="BG349" s="166"/>
      <c r="BH349" s="166"/>
      <c r="BI349" s="165"/>
      <c r="BJ349" s="165"/>
      <c r="BK349" s="165"/>
      <c r="BL349" s="165"/>
      <c r="BM349" s="165"/>
      <c r="BN349" s="165"/>
      <c r="BO349" s="165"/>
      <c r="BP349" s="165"/>
      <c r="BQ349" s="166" t="s">
        <v>354</v>
      </c>
      <c r="BR349" s="165" t="s">
        <v>842</v>
      </c>
      <c r="BS349" s="124">
        <v>375</v>
      </c>
      <c r="BT349" s="124" t="s">
        <v>584</v>
      </c>
    </row>
    <row r="350" spans="1:72" s="124" customFormat="1" ht="14.25" hidden="1" customHeight="1" x14ac:dyDescent="0.2">
      <c r="A350" s="205">
        <v>376</v>
      </c>
      <c r="B350" s="231" t="s">
        <v>839</v>
      </c>
      <c r="C350" s="263" t="s">
        <v>840</v>
      </c>
      <c r="D350" s="231" t="s">
        <v>844</v>
      </c>
      <c r="E350" s="125" t="s">
        <v>102</v>
      </c>
      <c r="F350" s="181" t="s">
        <v>103</v>
      </c>
      <c r="G350" s="181" t="s">
        <v>56</v>
      </c>
      <c r="H350" s="181" t="s">
        <v>57</v>
      </c>
      <c r="I350" s="181"/>
      <c r="J350" s="178">
        <v>7.5</v>
      </c>
      <c r="K350" s="182"/>
      <c r="L350" s="182" t="s">
        <v>58</v>
      </c>
      <c r="M350" s="178" t="s">
        <v>59</v>
      </c>
      <c r="N350" s="178">
        <v>0</v>
      </c>
      <c r="O350" s="178" t="s">
        <v>60</v>
      </c>
      <c r="P350" s="178" t="s">
        <v>79</v>
      </c>
      <c r="Q350" s="179"/>
      <c r="R350" s="179"/>
      <c r="S350" s="180"/>
      <c r="T350" s="179"/>
      <c r="U350" s="179"/>
      <c r="V350" s="167" t="s">
        <v>62</v>
      </c>
      <c r="W350" s="168">
        <v>3</v>
      </c>
      <c r="X350" s="168">
        <v>4</v>
      </c>
      <c r="Y350" s="167"/>
      <c r="Z350" s="169" t="s">
        <v>63</v>
      </c>
      <c r="AA350" s="166">
        <v>12</v>
      </c>
      <c r="AB350" s="166">
        <v>5</v>
      </c>
      <c r="AC350" s="165"/>
      <c r="AD350" s="165" t="s">
        <v>80</v>
      </c>
      <c r="AE350" s="165"/>
      <c r="AF350" s="165"/>
      <c r="AG350" s="165"/>
      <c r="AH350" s="165"/>
      <c r="AI350" s="165">
        <v>19</v>
      </c>
      <c r="AJ350" s="165">
        <v>25</v>
      </c>
      <c r="AK350" s="166"/>
      <c r="AL350" s="166" t="s">
        <v>81</v>
      </c>
      <c r="AM350" s="166"/>
      <c r="AN350" s="166"/>
      <c r="AO350" s="166"/>
      <c r="AP350" s="166"/>
      <c r="AQ350" s="166">
        <v>57</v>
      </c>
      <c r="AR350" s="166">
        <v>95</v>
      </c>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t="s">
        <v>354</v>
      </c>
      <c r="BR350" s="165" t="s">
        <v>842</v>
      </c>
      <c r="BS350" s="124">
        <v>376</v>
      </c>
      <c r="BT350" s="124" t="s">
        <v>584</v>
      </c>
    </row>
    <row r="351" spans="1:72" s="124" customFormat="1" ht="14.25" hidden="1" customHeight="1" x14ac:dyDescent="0.2">
      <c r="A351" s="205">
        <v>377</v>
      </c>
      <c r="B351" s="231" t="s">
        <v>839</v>
      </c>
      <c r="C351" s="263" t="s">
        <v>840</v>
      </c>
      <c r="D351" s="231" t="s">
        <v>845</v>
      </c>
      <c r="E351" s="125" t="s">
        <v>102</v>
      </c>
      <c r="F351" s="181" t="s">
        <v>103</v>
      </c>
      <c r="G351" s="181" t="s">
        <v>56</v>
      </c>
      <c r="H351" s="181" t="s">
        <v>57</v>
      </c>
      <c r="I351" s="181"/>
      <c r="J351" s="178">
        <v>7.5</v>
      </c>
      <c r="K351" s="182"/>
      <c r="L351" s="182" t="s">
        <v>58</v>
      </c>
      <c r="M351" s="178" t="s">
        <v>59</v>
      </c>
      <c r="N351" s="178">
        <v>2</v>
      </c>
      <c r="O351" s="178" t="s">
        <v>60</v>
      </c>
      <c r="P351" s="178" t="s">
        <v>79</v>
      </c>
      <c r="Q351" s="179"/>
      <c r="R351" s="179"/>
      <c r="S351" s="180"/>
      <c r="T351" s="179"/>
      <c r="U351" s="179"/>
      <c r="V351" s="167" t="s">
        <v>62</v>
      </c>
      <c r="W351" s="168">
        <v>3</v>
      </c>
      <c r="X351" s="168">
        <v>4</v>
      </c>
      <c r="Y351" s="167"/>
      <c r="Z351" s="169" t="s">
        <v>63</v>
      </c>
      <c r="AA351" s="166">
        <v>12</v>
      </c>
      <c r="AB351" s="166">
        <v>5</v>
      </c>
      <c r="AC351" s="165"/>
      <c r="AD351" s="165" t="s">
        <v>80</v>
      </c>
      <c r="AE351" s="165"/>
      <c r="AF351" s="165"/>
      <c r="AG351" s="165"/>
      <c r="AH351" s="165"/>
      <c r="AI351" s="165">
        <v>19</v>
      </c>
      <c r="AJ351" s="165">
        <v>25</v>
      </c>
      <c r="AK351" s="166"/>
      <c r="AL351" s="166" t="s">
        <v>81</v>
      </c>
      <c r="AM351" s="166"/>
      <c r="AN351" s="166"/>
      <c r="AO351" s="166"/>
      <c r="AP351" s="166"/>
      <c r="AQ351" s="166">
        <v>57</v>
      </c>
      <c r="AR351" s="166">
        <v>95</v>
      </c>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t="s">
        <v>354</v>
      </c>
      <c r="BR351" s="165" t="s">
        <v>842</v>
      </c>
      <c r="BS351" s="124">
        <v>377</v>
      </c>
      <c r="BT351" s="124" t="s">
        <v>584</v>
      </c>
    </row>
    <row r="352" spans="1:72" s="124" customFormat="1" ht="14.25" hidden="1" customHeight="1" x14ac:dyDescent="0.2">
      <c r="A352" s="205">
        <v>378</v>
      </c>
      <c r="B352" s="231" t="s">
        <v>839</v>
      </c>
      <c r="C352" s="263" t="s">
        <v>840</v>
      </c>
      <c r="D352" s="231" t="s">
        <v>846</v>
      </c>
      <c r="E352" s="125" t="s">
        <v>102</v>
      </c>
      <c r="F352" s="181" t="s">
        <v>103</v>
      </c>
      <c r="G352" s="181" t="s">
        <v>56</v>
      </c>
      <c r="H352" s="181" t="s">
        <v>57</v>
      </c>
      <c r="I352" s="181"/>
      <c r="J352" s="178">
        <v>0.05</v>
      </c>
      <c r="K352" s="182"/>
      <c r="L352" s="182" t="s">
        <v>107</v>
      </c>
      <c r="M352" s="178" t="s">
        <v>78</v>
      </c>
      <c r="N352" s="178">
        <v>74</v>
      </c>
      <c r="O352" s="178" t="s">
        <v>60</v>
      </c>
      <c r="P352" s="178" t="s">
        <v>79</v>
      </c>
      <c r="Q352" s="179"/>
      <c r="R352" s="179"/>
      <c r="S352" s="180">
        <v>2</v>
      </c>
      <c r="T352" s="179"/>
      <c r="U352" s="179"/>
      <c r="V352" s="167" t="s">
        <v>62</v>
      </c>
      <c r="W352" s="168">
        <v>3</v>
      </c>
      <c r="X352" s="168">
        <v>4</v>
      </c>
      <c r="Y352" s="167"/>
      <c r="Z352" s="169" t="s">
        <v>63</v>
      </c>
      <c r="AA352" s="166">
        <v>12</v>
      </c>
      <c r="AB352" s="166">
        <v>5</v>
      </c>
      <c r="AC352" s="165"/>
      <c r="AD352" s="165" t="s">
        <v>80</v>
      </c>
      <c r="AE352" s="165"/>
      <c r="AF352" s="165"/>
      <c r="AG352" s="165"/>
      <c r="AH352" s="165"/>
      <c r="AI352" s="165">
        <v>19</v>
      </c>
      <c r="AJ352" s="165">
        <v>25</v>
      </c>
      <c r="AK352" s="166"/>
      <c r="AL352" s="166" t="s">
        <v>81</v>
      </c>
      <c r="AM352" s="166"/>
      <c r="AN352" s="166"/>
      <c r="AO352" s="166"/>
      <c r="AP352" s="166"/>
      <c r="AQ352" s="166">
        <v>57</v>
      </c>
      <c r="AR352" s="166">
        <v>95</v>
      </c>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354</v>
      </c>
      <c r="BR352" s="165" t="s">
        <v>842</v>
      </c>
      <c r="BS352" s="124">
        <v>378</v>
      </c>
      <c r="BT352" s="124" t="s">
        <v>584</v>
      </c>
    </row>
    <row r="353" spans="1:72" s="124" customFormat="1" ht="14.25" hidden="1" customHeight="1" x14ac:dyDescent="0.2">
      <c r="A353" s="205">
        <v>379</v>
      </c>
      <c r="B353" s="231" t="s">
        <v>839</v>
      </c>
      <c r="C353" s="263" t="s">
        <v>840</v>
      </c>
      <c r="D353" s="231" t="s">
        <v>847</v>
      </c>
      <c r="E353" s="125" t="s">
        <v>102</v>
      </c>
      <c r="F353" s="181" t="s">
        <v>103</v>
      </c>
      <c r="G353" s="181" t="s">
        <v>56</v>
      </c>
      <c r="H353" s="181" t="s">
        <v>57</v>
      </c>
      <c r="I353" s="181"/>
      <c r="J353" s="178">
        <v>7.5</v>
      </c>
      <c r="K353" s="182"/>
      <c r="L353" s="182" t="s">
        <v>58</v>
      </c>
      <c r="M353" s="178" t="s">
        <v>59</v>
      </c>
      <c r="N353" s="178">
        <v>122</v>
      </c>
      <c r="O353" s="178" t="s">
        <v>60</v>
      </c>
      <c r="P353" s="178" t="s">
        <v>79</v>
      </c>
      <c r="Q353" s="179"/>
      <c r="R353" s="179"/>
      <c r="S353" s="180"/>
      <c r="T353" s="179"/>
      <c r="U353" s="179"/>
      <c r="V353" s="167" t="s">
        <v>62</v>
      </c>
      <c r="W353" s="168">
        <v>3</v>
      </c>
      <c r="X353" s="168">
        <v>4</v>
      </c>
      <c r="Y353" s="167"/>
      <c r="Z353" s="169" t="s">
        <v>63</v>
      </c>
      <c r="AA353" s="166">
        <v>12</v>
      </c>
      <c r="AB353" s="166">
        <v>5</v>
      </c>
      <c r="AC353" s="165"/>
      <c r="AD353" s="165" t="s">
        <v>80</v>
      </c>
      <c r="AE353" s="165"/>
      <c r="AF353" s="165"/>
      <c r="AG353" s="165"/>
      <c r="AH353" s="165"/>
      <c r="AI353" s="165">
        <v>19</v>
      </c>
      <c r="AJ353" s="165">
        <v>25</v>
      </c>
      <c r="AK353" s="166"/>
      <c r="AL353" s="166" t="s">
        <v>81</v>
      </c>
      <c r="AM353" s="166"/>
      <c r="AN353" s="166"/>
      <c r="AO353" s="166"/>
      <c r="AP353" s="166"/>
      <c r="AQ353" s="166">
        <v>57</v>
      </c>
      <c r="AR353" s="166">
        <v>95</v>
      </c>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354</v>
      </c>
      <c r="BR353" s="165" t="s">
        <v>842</v>
      </c>
      <c r="BS353" s="124">
        <v>379</v>
      </c>
      <c r="BT353" s="124" t="s">
        <v>584</v>
      </c>
    </row>
    <row r="354" spans="1:72" s="124" customFormat="1" ht="14.25" hidden="1" customHeight="1" x14ac:dyDescent="0.2">
      <c r="A354" s="205">
        <v>380</v>
      </c>
      <c r="B354" s="231" t="s">
        <v>839</v>
      </c>
      <c r="C354" s="263" t="s">
        <v>840</v>
      </c>
      <c r="D354" s="231" t="s">
        <v>848</v>
      </c>
      <c r="E354" s="125" t="s">
        <v>102</v>
      </c>
      <c r="F354" s="181" t="s">
        <v>103</v>
      </c>
      <c r="G354" s="181" t="s">
        <v>56</v>
      </c>
      <c r="H354" s="181" t="s">
        <v>57</v>
      </c>
      <c r="I354" s="181"/>
      <c r="J354" s="178">
        <v>7.5</v>
      </c>
      <c r="K354" s="182"/>
      <c r="L354" s="182" t="s">
        <v>58</v>
      </c>
      <c r="M354" s="178" t="s">
        <v>59</v>
      </c>
      <c r="N354" s="178">
        <v>2</v>
      </c>
      <c r="O354" s="178" t="s">
        <v>60</v>
      </c>
      <c r="P354" s="178" t="s">
        <v>79</v>
      </c>
      <c r="Q354" s="179"/>
      <c r="R354" s="179"/>
      <c r="S354" s="180"/>
      <c r="T354" s="179"/>
      <c r="U354" s="179"/>
      <c r="V354" s="167" t="s">
        <v>62</v>
      </c>
      <c r="W354" s="168">
        <v>3</v>
      </c>
      <c r="X354" s="168">
        <v>4</v>
      </c>
      <c r="Y354" s="167"/>
      <c r="Z354" s="169" t="s">
        <v>63</v>
      </c>
      <c r="AA354" s="166">
        <v>12</v>
      </c>
      <c r="AB354" s="166">
        <v>5</v>
      </c>
      <c r="AC354" s="165"/>
      <c r="AD354" s="165" t="s">
        <v>80</v>
      </c>
      <c r="AE354" s="165"/>
      <c r="AF354" s="165"/>
      <c r="AG354" s="165"/>
      <c r="AH354" s="165"/>
      <c r="AI354" s="165">
        <v>19</v>
      </c>
      <c r="AJ354" s="165">
        <v>25</v>
      </c>
      <c r="AK354" s="166"/>
      <c r="AL354" s="166" t="s">
        <v>81</v>
      </c>
      <c r="AM354" s="166"/>
      <c r="AN354" s="166"/>
      <c r="AO354" s="166"/>
      <c r="AP354" s="166"/>
      <c r="AQ354" s="166">
        <v>57</v>
      </c>
      <c r="AR354" s="166">
        <v>95</v>
      </c>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354</v>
      </c>
      <c r="BR354" s="165" t="s">
        <v>842</v>
      </c>
      <c r="BS354" s="124">
        <v>380</v>
      </c>
      <c r="BT354" s="124" t="s">
        <v>584</v>
      </c>
    </row>
    <row r="355" spans="1:72" s="124" customFormat="1" ht="14.25" hidden="1" customHeight="1" x14ac:dyDescent="0.2">
      <c r="A355" s="205">
        <v>381</v>
      </c>
      <c r="B355" s="231" t="s">
        <v>839</v>
      </c>
      <c r="C355" s="263" t="s">
        <v>840</v>
      </c>
      <c r="D355" s="231" t="s">
        <v>849</v>
      </c>
      <c r="E355" s="125" t="s">
        <v>102</v>
      </c>
      <c r="F355" s="181" t="s">
        <v>103</v>
      </c>
      <c r="G355" s="181" t="s">
        <v>56</v>
      </c>
      <c r="H355" s="181" t="s">
        <v>57</v>
      </c>
      <c r="I355" s="181"/>
      <c r="J355" s="178">
        <v>0.05</v>
      </c>
      <c r="K355" s="182"/>
      <c r="L355" s="182" t="s">
        <v>107</v>
      </c>
      <c r="M355" s="178" t="s">
        <v>78</v>
      </c>
      <c r="N355" s="178">
        <v>74</v>
      </c>
      <c r="O355" s="178" t="s">
        <v>60</v>
      </c>
      <c r="P355" s="178" t="s">
        <v>79</v>
      </c>
      <c r="Q355" s="179"/>
      <c r="R355" s="179"/>
      <c r="S355" s="180">
        <v>2</v>
      </c>
      <c r="T355" s="179"/>
      <c r="U355" s="179"/>
      <c r="V355" s="167" t="s">
        <v>62</v>
      </c>
      <c r="W355" s="168">
        <v>3</v>
      </c>
      <c r="X355" s="168">
        <v>4</v>
      </c>
      <c r="Y355" s="167"/>
      <c r="Z355" s="169" t="s">
        <v>63</v>
      </c>
      <c r="AA355" s="166">
        <v>12</v>
      </c>
      <c r="AB355" s="166">
        <v>5</v>
      </c>
      <c r="AC355" s="165"/>
      <c r="AD355" s="165" t="s">
        <v>80</v>
      </c>
      <c r="AE355" s="165"/>
      <c r="AF355" s="165"/>
      <c r="AG355" s="165"/>
      <c r="AH355" s="165"/>
      <c r="AI355" s="165">
        <v>19</v>
      </c>
      <c r="AJ355" s="165">
        <v>25</v>
      </c>
      <c r="AK355" s="166"/>
      <c r="AL355" s="166" t="s">
        <v>81</v>
      </c>
      <c r="AM355" s="166"/>
      <c r="AN355" s="166"/>
      <c r="AO355" s="166"/>
      <c r="AP355" s="166"/>
      <c r="AQ355" s="166">
        <v>57</v>
      </c>
      <c r="AR355" s="166">
        <v>95</v>
      </c>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354</v>
      </c>
      <c r="BR355" s="165" t="s">
        <v>842</v>
      </c>
      <c r="BS355" s="124">
        <v>381</v>
      </c>
      <c r="BT355" s="124" t="s">
        <v>584</v>
      </c>
    </row>
    <row r="356" spans="1:72" s="124" customFormat="1" ht="14.25" hidden="1" customHeight="1" x14ac:dyDescent="0.2">
      <c r="A356" s="205">
        <v>382</v>
      </c>
      <c r="B356" s="231" t="s">
        <v>839</v>
      </c>
      <c r="C356" s="263" t="s">
        <v>840</v>
      </c>
      <c r="D356" s="231" t="s">
        <v>850</v>
      </c>
      <c r="E356" s="125" t="s">
        <v>102</v>
      </c>
      <c r="F356" s="181" t="s">
        <v>103</v>
      </c>
      <c r="G356" s="181" t="s">
        <v>56</v>
      </c>
      <c r="H356" s="181" t="s">
        <v>57</v>
      </c>
      <c r="I356" s="181"/>
      <c r="J356" s="178">
        <v>7.5</v>
      </c>
      <c r="K356" s="182"/>
      <c r="L356" s="182" t="s">
        <v>58</v>
      </c>
      <c r="M356" s="178" t="s">
        <v>59</v>
      </c>
      <c r="N356" s="178">
        <v>122</v>
      </c>
      <c r="O356" s="178" t="s">
        <v>60</v>
      </c>
      <c r="P356" s="178" t="s">
        <v>79</v>
      </c>
      <c r="Q356" s="179"/>
      <c r="R356" s="179"/>
      <c r="S356" s="180"/>
      <c r="T356" s="179"/>
      <c r="U356" s="179"/>
      <c r="V356" s="167" t="s">
        <v>62</v>
      </c>
      <c r="W356" s="168">
        <v>3</v>
      </c>
      <c r="X356" s="168">
        <v>4</v>
      </c>
      <c r="Y356" s="167"/>
      <c r="Z356" s="169" t="s">
        <v>63</v>
      </c>
      <c r="AA356" s="166">
        <v>12</v>
      </c>
      <c r="AB356" s="166">
        <v>5</v>
      </c>
      <c r="AC356" s="165"/>
      <c r="AD356" s="165" t="s">
        <v>80</v>
      </c>
      <c r="AE356" s="165"/>
      <c r="AF356" s="165"/>
      <c r="AG356" s="165"/>
      <c r="AH356" s="165"/>
      <c r="AI356" s="165">
        <v>19</v>
      </c>
      <c r="AJ356" s="165">
        <v>25</v>
      </c>
      <c r="AK356" s="166"/>
      <c r="AL356" s="166" t="s">
        <v>81</v>
      </c>
      <c r="AM356" s="166"/>
      <c r="AN356" s="166"/>
      <c r="AO356" s="166"/>
      <c r="AP356" s="166"/>
      <c r="AQ356" s="166">
        <v>57</v>
      </c>
      <c r="AR356" s="166">
        <v>95</v>
      </c>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354</v>
      </c>
      <c r="BR356" s="165" t="s">
        <v>842</v>
      </c>
      <c r="BS356" s="124">
        <v>382</v>
      </c>
      <c r="BT356" s="124" t="s">
        <v>584</v>
      </c>
    </row>
    <row r="357" spans="1:72" s="124" customFormat="1" ht="14.25" hidden="1" customHeight="1" x14ac:dyDescent="0.2">
      <c r="A357" s="205">
        <v>383</v>
      </c>
      <c r="B357" s="233" t="s">
        <v>851</v>
      </c>
      <c r="C357" s="263" t="s">
        <v>852</v>
      </c>
      <c r="D357" s="233" t="s">
        <v>402</v>
      </c>
      <c r="E357" s="125" t="s">
        <v>54</v>
      </c>
      <c r="F357" s="181" t="s">
        <v>103</v>
      </c>
      <c r="G357" s="181" t="s">
        <v>56</v>
      </c>
      <c r="H357" s="181" t="s">
        <v>157</v>
      </c>
      <c r="I357" s="181"/>
      <c r="J357" s="178">
        <v>600</v>
      </c>
      <c r="K357" s="182"/>
      <c r="L357" s="182" t="s">
        <v>58</v>
      </c>
      <c r="M357" s="178" t="s">
        <v>59</v>
      </c>
      <c r="N357" s="178">
        <v>0</v>
      </c>
      <c r="O357" s="178" t="s">
        <v>60</v>
      </c>
      <c r="P357" s="208" t="s">
        <v>79</v>
      </c>
      <c r="Q357" s="179"/>
      <c r="R357" s="179" t="s">
        <v>853</v>
      </c>
      <c r="S357" s="180"/>
      <c r="T357" s="179"/>
      <c r="U357" s="179"/>
      <c r="V357" s="170" t="s">
        <v>62</v>
      </c>
      <c r="W357" s="168"/>
      <c r="X357" s="168">
        <v>4</v>
      </c>
      <c r="Y357" s="167" t="s">
        <v>854</v>
      </c>
      <c r="Z357" s="169" t="s">
        <v>63</v>
      </c>
      <c r="AA357" s="166">
        <v>24</v>
      </c>
      <c r="AB357" s="166">
        <v>0</v>
      </c>
      <c r="AC357" s="165">
        <v>27.5</v>
      </c>
      <c r="AD357" s="172" t="s">
        <v>80</v>
      </c>
      <c r="AE357" s="172" t="s">
        <v>116</v>
      </c>
      <c r="AF357" s="165">
        <v>7.1</v>
      </c>
      <c r="AG357" s="172" t="s">
        <v>80</v>
      </c>
      <c r="AH357" s="172" t="s">
        <v>117</v>
      </c>
      <c r="AI357" s="165">
        <v>19</v>
      </c>
      <c r="AJ357" s="165">
        <v>45</v>
      </c>
      <c r="AK357" s="166">
        <v>76.900000000000006</v>
      </c>
      <c r="AL357" s="166" t="s">
        <v>81</v>
      </c>
      <c r="AM357" s="171" t="s">
        <v>118</v>
      </c>
      <c r="AN357" s="166">
        <v>11</v>
      </c>
      <c r="AO357" s="166" t="s">
        <v>81</v>
      </c>
      <c r="AP357" s="173" t="s">
        <v>117</v>
      </c>
      <c r="AQ357" s="166">
        <v>60</v>
      </c>
      <c r="AR357" s="166">
        <v>101.4</v>
      </c>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855</v>
      </c>
      <c r="BR357" s="165" t="s">
        <v>856</v>
      </c>
      <c r="BS357" s="124">
        <v>383</v>
      </c>
      <c r="BT357" s="124" t="s">
        <v>584</v>
      </c>
    </row>
    <row r="358" spans="1:72" s="124" customFormat="1" ht="14.25" hidden="1" customHeight="1" x14ac:dyDescent="0.2">
      <c r="A358" s="205">
        <v>384</v>
      </c>
      <c r="B358" s="231" t="s">
        <v>857</v>
      </c>
      <c r="C358" s="263" t="s">
        <v>858</v>
      </c>
      <c r="D358" s="231" t="s">
        <v>859</v>
      </c>
      <c r="E358" s="125" t="s">
        <v>54</v>
      </c>
      <c r="F358" s="181" t="s">
        <v>55</v>
      </c>
      <c r="G358" s="181" t="s">
        <v>56</v>
      </c>
      <c r="H358" s="181" t="s">
        <v>57</v>
      </c>
      <c r="I358" s="181"/>
      <c r="J358" s="208">
        <v>600</v>
      </c>
      <c r="K358" s="209"/>
      <c r="L358" s="209" t="s">
        <v>58</v>
      </c>
      <c r="M358" s="208" t="s">
        <v>59</v>
      </c>
      <c r="N358" s="208">
        <v>0</v>
      </c>
      <c r="O358" s="208" t="s">
        <v>60</v>
      </c>
      <c r="P358" s="208" t="s">
        <v>79</v>
      </c>
      <c r="Q358" s="210"/>
      <c r="R358" s="210"/>
      <c r="S358" s="211"/>
      <c r="T358" s="210"/>
      <c r="U358" s="210" t="s">
        <v>860</v>
      </c>
      <c r="V358" s="170" t="s">
        <v>62</v>
      </c>
      <c r="W358" s="129"/>
      <c r="X358" s="129">
        <v>4</v>
      </c>
      <c r="Y358" s="170" t="s">
        <v>861</v>
      </c>
      <c r="Z358" s="169" t="s">
        <v>63</v>
      </c>
      <c r="AA358" s="171">
        <v>14</v>
      </c>
      <c r="AB358" s="171">
        <v>6</v>
      </c>
      <c r="AC358" s="172">
        <v>39.1</v>
      </c>
      <c r="AD358" s="172" t="s">
        <v>80</v>
      </c>
      <c r="AE358" s="172" t="s">
        <v>116</v>
      </c>
      <c r="AF358" s="172">
        <v>7.4</v>
      </c>
      <c r="AG358" s="172" t="s">
        <v>80</v>
      </c>
      <c r="AH358" s="172" t="s">
        <v>117</v>
      </c>
      <c r="AI358" s="172"/>
      <c r="AJ358" s="172"/>
      <c r="AK358" s="171">
        <v>79.3</v>
      </c>
      <c r="AL358" s="171" t="s">
        <v>81</v>
      </c>
      <c r="AM358" s="171" t="s">
        <v>118</v>
      </c>
      <c r="AN358" s="171">
        <v>13.2</v>
      </c>
      <c r="AO358" s="171" t="s">
        <v>81</v>
      </c>
      <c r="AP358" s="173" t="s">
        <v>117</v>
      </c>
      <c r="AQ358" s="171"/>
      <c r="AR358" s="171"/>
      <c r="AS358" s="172"/>
      <c r="AT358" s="172"/>
      <c r="AU358" s="172"/>
      <c r="AV358" s="172"/>
      <c r="AW358" s="172"/>
      <c r="AX358" s="172"/>
      <c r="AY358" s="172"/>
      <c r="AZ358" s="172"/>
      <c r="BA358" s="171"/>
      <c r="BB358" s="171"/>
      <c r="BC358" s="171"/>
      <c r="BD358" s="171"/>
      <c r="BE358" s="171"/>
      <c r="BF358" s="171"/>
      <c r="BG358" s="171"/>
      <c r="BH358" s="171"/>
      <c r="BI358" s="172"/>
      <c r="BJ358" s="172"/>
      <c r="BK358" s="172"/>
      <c r="BL358" s="172"/>
      <c r="BM358" s="172"/>
      <c r="BN358" s="172"/>
      <c r="BO358" s="172"/>
      <c r="BP358" s="172"/>
      <c r="BQ358" s="171" t="s">
        <v>214</v>
      </c>
      <c r="BR358" s="172" t="s">
        <v>862</v>
      </c>
      <c r="BS358" s="124">
        <v>384</v>
      </c>
      <c r="BT358" s="124" t="s">
        <v>584</v>
      </c>
    </row>
    <row r="359" spans="1:72" s="124" customFormat="1" ht="14.25" hidden="1" customHeight="1" x14ac:dyDescent="0.2">
      <c r="A359" s="205">
        <v>385</v>
      </c>
      <c r="B359" s="231" t="s">
        <v>857</v>
      </c>
      <c r="C359" s="263" t="s">
        <v>858</v>
      </c>
      <c r="D359" s="231" t="s">
        <v>863</v>
      </c>
      <c r="E359" s="125" t="s">
        <v>54</v>
      </c>
      <c r="F359" s="181" t="s">
        <v>55</v>
      </c>
      <c r="G359" s="181" t="s">
        <v>56</v>
      </c>
      <c r="H359" s="181" t="s">
        <v>57</v>
      </c>
      <c r="I359" s="181"/>
      <c r="J359" s="208">
        <v>600</v>
      </c>
      <c r="K359" s="209"/>
      <c r="L359" s="209" t="s">
        <v>58</v>
      </c>
      <c r="M359" s="208" t="s">
        <v>59</v>
      </c>
      <c r="N359" s="208">
        <v>0</v>
      </c>
      <c r="O359" s="208" t="s">
        <v>60</v>
      </c>
      <c r="P359" s="208" t="s">
        <v>79</v>
      </c>
      <c r="Q359" s="210"/>
      <c r="R359" s="210"/>
      <c r="S359" s="211"/>
      <c r="T359" s="210"/>
      <c r="U359" s="210" t="s">
        <v>860</v>
      </c>
      <c r="V359" s="170" t="s">
        <v>62</v>
      </c>
      <c r="W359" s="129"/>
      <c r="X359" s="129">
        <v>4</v>
      </c>
      <c r="Y359" s="170" t="s">
        <v>861</v>
      </c>
      <c r="Z359" s="169" t="s">
        <v>63</v>
      </c>
      <c r="AA359" s="171">
        <v>14</v>
      </c>
      <c r="AB359" s="171">
        <v>6</v>
      </c>
      <c r="AC359" s="172">
        <v>39.1</v>
      </c>
      <c r="AD359" s="172" t="s">
        <v>80</v>
      </c>
      <c r="AE359" s="172" t="s">
        <v>116</v>
      </c>
      <c r="AF359" s="172">
        <v>7.4</v>
      </c>
      <c r="AG359" s="172" t="s">
        <v>80</v>
      </c>
      <c r="AH359" s="172" t="s">
        <v>117</v>
      </c>
      <c r="AI359" s="172"/>
      <c r="AJ359" s="172"/>
      <c r="AK359" s="171">
        <v>79.3</v>
      </c>
      <c r="AL359" s="171" t="s">
        <v>81</v>
      </c>
      <c r="AM359" s="171" t="s">
        <v>118</v>
      </c>
      <c r="AN359" s="171">
        <v>13.2</v>
      </c>
      <c r="AO359" s="171" t="s">
        <v>81</v>
      </c>
      <c r="AP359" s="173" t="s">
        <v>117</v>
      </c>
      <c r="AQ359" s="171"/>
      <c r="AR359" s="171"/>
      <c r="AS359" s="172"/>
      <c r="AT359" s="172"/>
      <c r="AU359" s="172"/>
      <c r="AV359" s="172"/>
      <c r="AW359" s="172"/>
      <c r="AX359" s="172"/>
      <c r="AY359" s="172"/>
      <c r="AZ359" s="172"/>
      <c r="BA359" s="171"/>
      <c r="BB359" s="171"/>
      <c r="BC359" s="171"/>
      <c r="BD359" s="171"/>
      <c r="BE359" s="171"/>
      <c r="BF359" s="171"/>
      <c r="BG359" s="171"/>
      <c r="BH359" s="171"/>
      <c r="BI359" s="172"/>
      <c r="BJ359" s="172"/>
      <c r="BK359" s="172"/>
      <c r="BL359" s="172"/>
      <c r="BM359" s="172"/>
      <c r="BN359" s="172"/>
      <c r="BO359" s="172"/>
      <c r="BP359" s="172"/>
      <c r="BQ359" s="171" t="s">
        <v>214</v>
      </c>
      <c r="BR359" s="172" t="s">
        <v>862</v>
      </c>
      <c r="BS359" s="124">
        <v>385</v>
      </c>
      <c r="BT359" s="124" t="s">
        <v>584</v>
      </c>
    </row>
    <row r="360" spans="1:72" s="124" customFormat="1" ht="14.25" hidden="1" customHeight="1" x14ac:dyDescent="0.2">
      <c r="A360" s="205">
        <v>386</v>
      </c>
      <c r="B360" s="231" t="s">
        <v>857</v>
      </c>
      <c r="C360" s="263" t="s">
        <v>858</v>
      </c>
      <c r="D360" s="231" t="s">
        <v>864</v>
      </c>
      <c r="E360" s="125" t="s">
        <v>54</v>
      </c>
      <c r="F360" s="181" t="s">
        <v>55</v>
      </c>
      <c r="G360" s="181" t="s">
        <v>56</v>
      </c>
      <c r="H360" s="181" t="s">
        <v>57</v>
      </c>
      <c r="I360" s="181"/>
      <c r="J360" s="208">
        <v>600</v>
      </c>
      <c r="K360" s="209"/>
      <c r="L360" s="209" t="s">
        <v>58</v>
      </c>
      <c r="M360" s="208" t="s">
        <v>59</v>
      </c>
      <c r="N360" s="208">
        <v>0</v>
      </c>
      <c r="O360" s="208" t="s">
        <v>60</v>
      </c>
      <c r="P360" s="208" t="s">
        <v>79</v>
      </c>
      <c r="Q360" s="210"/>
      <c r="R360" s="210"/>
      <c r="S360" s="211"/>
      <c r="T360" s="210"/>
      <c r="U360" s="210" t="s">
        <v>860</v>
      </c>
      <c r="V360" s="170" t="s">
        <v>62</v>
      </c>
      <c r="W360" s="129"/>
      <c r="X360" s="129">
        <v>4</v>
      </c>
      <c r="Y360" s="170" t="s">
        <v>861</v>
      </c>
      <c r="Z360" s="169" t="s">
        <v>63</v>
      </c>
      <c r="AA360" s="171">
        <v>14</v>
      </c>
      <c r="AB360" s="171">
        <v>6</v>
      </c>
      <c r="AC360" s="172">
        <v>39.1</v>
      </c>
      <c r="AD360" s="172" t="s">
        <v>80</v>
      </c>
      <c r="AE360" s="172" t="s">
        <v>116</v>
      </c>
      <c r="AF360" s="172">
        <v>7.4</v>
      </c>
      <c r="AG360" s="172" t="s">
        <v>80</v>
      </c>
      <c r="AH360" s="172" t="s">
        <v>117</v>
      </c>
      <c r="AI360" s="172"/>
      <c r="AJ360" s="172"/>
      <c r="AK360" s="171">
        <v>79.3</v>
      </c>
      <c r="AL360" s="171" t="s">
        <v>81</v>
      </c>
      <c r="AM360" s="171" t="s">
        <v>118</v>
      </c>
      <c r="AN360" s="171">
        <v>13.2</v>
      </c>
      <c r="AO360" s="171" t="s">
        <v>81</v>
      </c>
      <c r="AP360" s="173" t="s">
        <v>117</v>
      </c>
      <c r="AQ360" s="171"/>
      <c r="AR360" s="171"/>
      <c r="AS360" s="172"/>
      <c r="AT360" s="172"/>
      <c r="AU360" s="172"/>
      <c r="AV360" s="172"/>
      <c r="AW360" s="172"/>
      <c r="AX360" s="172"/>
      <c r="AY360" s="172"/>
      <c r="AZ360" s="172"/>
      <c r="BA360" s="171"/>
      <c r="BB360" s="171"/>
      <c r="BC360" s="171"/>
      <c r="BD360" s="171"/>
      <c r="BE360" s="171"/>
      <c r="BF360" s="171"/>
      <c r="BG360" s="171"/>
      <c r="BH360" s="171"/>
      <c r="BI360" s="172"/>
      <c r="BJ360" s="172"/>
      <c r="BK360" s="172"/>
      <c r="BL360" s="172"/>
      <c r="BM360" s="172"/>
      <c r="BN360" s="172"/>
      <c r="BO360" s="172"/>
      <c r="BP360" s="172"/>
      <c r="BQ360" s="171" t="s">
        <v>214</v>
      </c>
      <c r="BR360" s="172" t="s">
        <v>862</v>
      </c>
      <c r="BS360" s="124">
        <v>386</v>
      </c>
      <c r="BT360" s="124" t="s">
        <v>584</v>
      </c>
    </row>
    <row r="361" spans="1:72" s="124" customFormat="1" ht="14.25" hidden="1" customHeight="1" x14ac:dyDescent="0.2">
      <c r="A361" s="205">
        <v>387</v>
      </c>
      <c r="B361" s="231" t="s">
        <v>857</v>
      </c>
      <c r="C361" s="263" t="s">
        <v>858</v>
      </c>
      <c r="D361" s="231" t="s">
        <v>644</v>
      </c>
      <c r="E361" s="125" t="s">
        <v>54</v>
      </c>
      <c r="F361" s="181" t="s">
        <v>55</v>
      </c>
      <c r="G361" s="181" t="s">
        <v>56</v>
      </c>
      <c r="H361" s="181" t="s">
        <v>57</v>
      </c>
      <c r="I361" s="181"/>
      <c r="J361" s="208">
        <v>600</v>
      </c>
      <c r="K361" s="209"/>
      <c r="L361" s="209" t="s">
        <v>58</v>
      </c>
      <c r="M361" s="208" t="s">
        <v>59</v>
      </c>
      <c r="N361" s="208">
        <v>0</v>
      </c>
      <c r="O361" s="208" t="s">
        <v>60</v>
      </c>
      <c r="P361" s="208" t="s">
        <v>79</v>
      </c>
      <c r="Q361" s="210"/>
      <c r="R361" s="210"/>
      <c r="S361" s="211"/>
      <c r="T361" s="210"/>
      <c r="U361" s="210" t="s">
        <v>860</v>
      </c>
      <c r="V361" s="170" t="s">
        <v>436</v>
      </c>
      <c r="W361" s="129"/>
      <c r="X361" s="129"/>
      <c r="Y361" s="170"/>
      <c r="Z361" s="169" t="s">
        <v>63</v>
      </c>
      <c r="AA361" s="171">
        <v>14</v>
      </c>
      <c r="AB361" s="171">
        <v>6</v>
      </c>
      <c r="AC361" s="172">
        <v>39.1</v>
      </c>
      <c r="AD361" s="172" t="s">
        <v>80</v>
      </c>
      <c r="AE361" s="172" t="s">
        <v>116</v>
      </c>
      <c r="AF361" s="172">
        <v>7.4</v>
      </c>
      <c r="AG361" s="172" t="s">
        <v>80</v>
      </c>
      <c r="AH361" s="172" t="s">
        <v>117</v>
      </c>
      <c r="AI361" s="172"/>
      <c r="AJ361" s="172"/>
      <c r="AK361" s="171">
        <v>79.3</v>
      </c>
      <c r="AL361" s="171" t="s">
        <v>81</v>
      </c>
      <c r="AM361" s="171" t="s">
        <v>118</v>
      </c>
      <c r="AN361" s="171">
        <v>13.2</v>
      </c>
      <c r="AO361" s="171" t="s">
        <v>81</v>
      </c>
      <c r="AP361" s="173" t="s">
        <v>117</v>
      </c>
      <c r="AQ361" s="171"/>
      <c r="AR361" s="171"/>
      <c r="AS361" s="172"/>
      <c r="AT361" s="172"/>
      <c r="AU361" s="172"/>
      <c r="AV361" s="172"/>
      <c r="AW361" s="172"/>
      <c r="AX361" s="172"/>
      <c r="AY361" s="172"/>
      <c r="AZ361" s="172"/>
      <c r="BA361" s="171"/>
      <c r="BB361" s="171"/>
      <c r="BC361" s="171"/>
      <c r="BD361" s="171"/>
      <c r="BE361" s="171"/>
      <c r="BF361" s="171"/>
      <c r="BG361" s="171"/>
      <c r="BH361" s="171"/>
      <c r="BI361" s="172"/>
      <c r="BJ361" s="172"/>
      <c r="BK361" s="172"/>
      <c r="BL361" s="172"/>
      <c r="BM361" s="172"/>
      <c r="BN361" s="172"/>
      <c r="BO361" s="172"/>
      <c r="BP361" s="172"/>
      <c r="BQ361" s="171" t="s">
        <v>214</v>
      </c>
      <c r="BR361" s="172" t="s">
        <v>862</v>
      </c>
      <c r="BS361" s="124">
        <v>387</v>
      </c>
      <c r="BT361" s="124" t="s">
        <v>584</v>
      </c>
    </row>
    <row r="362" spans="1:72" s="124" customFormat="1" ht="14.25" hidden="1" customHeight="1" x14ac:dyDescent="0.2">
      <c r="A362" s="205">
        <v>388</v>
      </c>
      <c r="B362" s="233" t="s">
        <v>865</v>
      </c>
      <c r="C362" s="263" t="s">
        <v>866</v>
      </c>
      <c r="D362" s="233" t="s">
        <v>200</v>
      </c>
      <c r="E362" s="125" t="s">
        <v>102</v>
      </c>
      <c r="F362" s="181" t="s">
        <v>103</v>
      </c>
      <c r="G362" s="156" t="s">
        <v>56</v>
      </c>
      <c r="H362" s="156" t="s">
        <v>867</v>
      </c>
      <c r="I362" s="156"/>
      <c r="J362" s="208">
        <v>1</v>
      </c>
      <c r="K362" s="209"/>
      <c r="L362" s="209" t="s">
        <v>58</v>
      </c>
      <c r="M362" s="208" t="s">
        <v>78</v>
      </c>
      <c r="N362" s="208">
        <v>0</v>
      </c>
      <c r="O362" s="208" t="s">
        <v>60</v>
      </c>
      <c r="P362" s="208" t="s">
        <v>79</v>
      </c>
      <c r="Q362" s="210"/>
      <c r="R362" s="210" t="s">
        <v>868</v>
      </c>
      <c r="S362" s="211"/>
      <c r="T362" s="210"/>
      <c r="U362" s="210"/>
      <c r="V362" s="170"/>
      <c r="W362" s="129"/>
      <c r="X362" s="129">
        <v>3</v>
      </c>
      <c r="Y362" s="170"/>
      <c r="Z362" s="169" t="s">
        <v>63</v>
      </c>
      <c r="AA362" s="171">
        <v>6</v>
      </c>
      <c r="AB362" s="171">
        <v>3</v>
      </c>
      <c r="AC362" s="172"/>
      <c r="AD362" s="172"/>
      <c r="AE362" s="172"/>
      <c r="AF362" s="172"/>
      <c r="AG362" s="172"/>
      <c r="AH362" s="172"/>
      <c r="AI362" s="172">
        <v>19</v>
      </c>
      <c r="AJ362" s="172">
        <v>26</v>
      </c>
      <c r="AK362" s="171">
        <v>77</v>
      </c>
      <c r="AL362" s="171" t="s">
        <v>81</v>
      </c>
      <c r="AM362" s="171" t="s">
        <v>118</v>
      </c>
      <c r="AN362" s="171">
        <v>6</v>
      </c>
      <c r="AO362" s="171" t="s">
        <v>81</v>
      </c>
      <c r="AP362" s="173" t="s">
        <v>117</v>
      </c>
      <c r="AQ362" s="171">
        <v>70</v>
      </c>
      <c r="AR362" s="171">
        <v>85</v>
      </c>
      <c r="AS362" s="172"/>
      <c r="AT362" s="172"/>
      <c r="AU362" s="172"/>
      <c r="AV362" s="172"/>
      <c r="AW362" s="172"/>
      <c r="AX362" s="172"/>
      <c r="AY362" s="172"/>
      <c r="AZ362" s="172"/>
      <c r="BA362" s="171"/>
      <c r="BB362" s="171"/>
      <c r="BC362" s="171"/>
      <c r="BD362" s="171"/>
      <c r="BE362" s="171"/>
      <c r="BF362" s="171"/>
      <c r="BG362" s="171"/>
      <c r="BH362" s="171"/>
      <c r="BI362" s="172"/>
      <c r="BJ362" s="172"/>
      <c r="BK362" s="172"/>
      <c r="BL362" s="172"/>
      <c r="BM362" s="172"/>
      <c r="BN362" s="172"/>
      <c r="BO362" s="172"/>
      <c r="BP362" s="172"/>
      <c r="BQ362" s="171" t="s">
        <v>214</v>
      </c>
      <c r="BR362" s="131" t="s">
        <v>869</v>
      </c>
      <c r="BS362" s="124">
        <v>388</v>
      </c>
      <c r="BT362" s="124" t="s">
        <v>584</v>
      </c>
    </row>
    <row r="363" spans="1:72" s="124" customFormat="1" ht="14.25" hidden="1" customHeight="1" x14ac:dyDescent="0.2">
      <c r="A363" s="205">
        <v>389</v>
      </c>
      <c r="B363" s="233" t="s">
        <v>865</v>
      </c>
      <c r="C363" s="263" t="s">
        <v>866</v>
      </c>
      <c r="D363" s="233" t="s">
        <v>205</v>
      </c>
      <c r="E363" s="125" t="s">
        <v>102</v>
      </c>
      <c r="F363" s="181" t="s">
        <v>103</v>
      </c>
      <c r="G363" s="156" t="s">
        <v>56</v>
      </c>
      <c r="H363" s="156" t="s">
        <v>867</v>
      </c>
      <c r="I363" s="156" t="s">
        <v>870</v>
      </c>
      <c r="J363" s="208">
        <v>1</v>
      </c>
      <c r="K363" s="209"/>
      <c r="L363" s="209" t="s">
        <v>58</v>
      </c>
      <c r="M363" s="208" t="s">
        <v>78</v>
      </c>
      <c r="N363" s="208">
        <v>106</v>
      </c>
      <c r="O363" s="208" t="s">
        <v>60</v>
      </c>
      <c r="P363" s="208" t="s">
        <v>79</v>
      </c>
      <c r="Q363" s="210"/>
      <c r="R363" s="210" t="s">
        <v>868</v>
      </c>
      <c r="S363" s="211"/>
      <c r="T363" s="210"/>
      <c r="U363" s="210"/>
      <c r="V363" s="170"/>
      <c r="W363" s="129"/>
      <c r="X363" s="129">
        <v>3</v>
      </c>
      <c r="Y363" s="170"/>
      <c r="Z363" s="169" t="s">
        <v>63</v>
      </c>
      <c r="AA363" s="171">
        <v>6</v>
      </c>
      <c r="AB363" s="171">
        <v>3</v>
      </c>
      <c r="AC363" s="172"/>
      <c r="AD363" s="172"/>
      <c r="AE363" s="172"/>
      <c r="AF363" s="172"/>
      <c r="AG363" s="172"/>
      <c r="AH363" s="172"/>
      <c r="AI363" s="172">
        <v>19</v>
      </c>
      <c r="AJ363" s="172">
        <v>26</v>
      </c>
      <c r="AK363" s="171">
        <v>77</v>
      </c>
      <c r="AL363" s="171" t="s">
        <v>81</v>
      </c>
      <c r="AM363" s="171" t="s">
        <v>118</v>
      </c>
      <c r="AN363" s="171">
        <v>6</v>
      </c>
      <c r="AO363" s="171" t="s">
        <v>81</v>
      </c>
      <c r="AP363" s="173" t="s">
        <v>117</v>
      </c>
      <c r="AQ363" s="171">
        <v>70</v>
      </c>
      <c r="AR363" s="171">
        <v>85</v>
      </c>
      <c r="AS363" s="172"/>
      <c r="AT363" s="172"/>
      <c r="AU363" s="172"/>
      <c r="AV363" s="172"/>
      <c r="AW363" s="172"/>
      <c r="AX363" s="172"/>
      <c r="AY363" s="172"/>
      <c r="AZ363" s="172"/>
      <c r="BA363" s="171"/>
      <c r="BB363" s="171"/>
      <c r="BC363" s="171"/>
      <c r="BD363" s="171"/>
      <c r="BE363" s="171"/>
      <c r="BF363" s="171"/>
      <c r="BG363" s="171"/>
      <c r="BH363" s="171"/>
      <c r="BI363" s="172"/>
      <c r="BJ363" s="172"/>
      <c r="BK363" s="172"/>
      <c r="BL363" s="172"/>
      <c r="BM363" s="172"/>
      <c r="BN363" s="172"/>
      <c r="BO363" s="172"/>
      <c r="BP363" s="172"/>
      <c r="BQ363" s="171" t="s">
        <v>214</v>
      </c>
      <c r="BR363" s="131" t="s">
        <v>869</v>
      </c>
      <c r="BS363" s="124">
        <v>389</v>
      </c>
      <c r="BT363" s="124" t="s">
        <v>584</v>
      </c>
    </row>
    <row r="364" spans="1:72" s="124" customFormat="1" ht="14.25" hidden="1" customHeight="1" x14ac:dyDescent="0.2">
      <c r="A364" s="205">
        <v>390</v>
      </c>
      <c r="B364" s="233" t="s">
        <v>865</v>
      </c>
      <c r="C364" s="263" t="s">
        <v>866</v>
      </c>
      <c r="D364" s="233" t="s">
        <v>200</v>
      </c>
      <c r="E364" s="125" t="s">
        <v>339</v>
      </c>
      <c r="F364" s="181" t="s">
        <v>103</v>
      </c>
      <c r="G364" s="156" t="s">
        <v>56</v>
      </c>
      <c r="H364" s="156" t="s">
        <v>867</v>
      </c>
      <c r="I364" s="156"/>
      <c r="J364" s="208">
        <v>15</v>
      </c>
      <c r="K364" s="244"/>
      <c r="L364" s="209" t="s">
        <v>212</v>
      </c>
      <c r="M364" s="208" t="s">
        <v>78</v>
      </c>
      <c r="N364" s="208">
        <v>0</v>
      </c>
      <c r="O364" s="208" t="s">
        <v>60</v>
      </c>
      <c r="P364" s="208" t="s">
        <v>79</v>
      </c>
      <c r="Q364" s="210"/>
      <c r="R364" s="210" t="s">
        <v>868</v>
      </c>
      <c r="S364" s="211"/>
      <c r="T364" s="210"/>
      <c r="U364" s="210"/>
      <c r="V364" s="170"/>
      <c r="W364" s="129"/>
      <c r="X364" s="129">
        <v>2</v>
      </c>
      <c r="Y364" s="170"/>
      <c r="Z364" s="169" t="s">
        <v>63</v>
      </c>
      <c r="AA364" s="171">
        <v>6</v>
      </c>
      <c r="AB364" s="171">
        <v>3</v>
      </c>
      <c r="AC364" s="172"/>
      <c r="AD364" s="172"/>
      <c r="AE364" s="172"/>
      <c r="AF364" s="172"/>
      <c r="AG364" s="172"/>
      <c r="AH364" s="172"/>
      <c r="AI364" s="172">
        <v>19</v>
      </c>
      <c r="AJ364" s="172">
        <v>26</v>
      </c>
      <c r="AK364" s="171">
        <v>77</v>
      </c>
      <c r="AL364" s="171" t="s">
        <v>81</v>
      </c>
      <c r="AM364" s="171" t="s">
        <v>118</v>
      </c>
      <c r="AN364" s="171">
        <v>6</v>
      </c>
      <c r="AO364" s="171" t="s">
        <v>81</v>
      </c>
      <c r="AP364" s="173" t="s">
        <v>117</v>
      </c>
      <c r="AQ364" s="171">
        <v>70</v>
      </c>
      <c r="AR364" s="171">
        <v>85</v>
      </c>
      <c r="AS364" s="172"/>
      <c r="AT364" s="172"/>
      <c r="AU364" s="172"/>
      <c r="AV364" s="172"/>
      <c r="AW364" s="172"/>
      <c r="AX364" s="172"/>
      <c r="AY364" s="172"/>
      <c r="AZ364" s="172"/>
      <c r="BA364" s="171"/>
      <c r="BB364" s="171"/>
      <c r="BC364" s="171"/>
      <c r="BD364" s="171"/>
      <c r="BE364" s="171"/>
      <c r="BF364" s="171"/>
      <c r="BG364" s="171"/>
      <c r="BH364" s="171"/>
      <c r="BI364" s="172"/>
      <c r="BJ364" s="172"/>
      <c r="BK364" s="172"/>
      <c r="BL364" s="172"/>
      <c r="BM364" s="172"/>
      <c r="BN364" s="172"/>
      <c r="BO364" s="172"/>
      <c r="BP364" s="172"/>
      <c r="BQ364" s="171" t="s">
        <v>214</v>
      </c>
      <c r="BR364" s="131" t="s">
        <v>869</v>
      </c>
      <c r="BS364" s="124">
        <v>390</v>
      </c>
      <c r="BT364" s="124" t="s">
        <v>584</v>
      </c>
    </row>
    <row r="365" spans="1:72" s="124" customFormat="1" ht="14.25" hidden="1" customHeight="1" x14ac:dyDescent="0.2">
      <c r="A365" s="205">
        <v>391</v>
      </c>
      <c r="B365" s="233" t="s">
        <v>865</v>
      </c>
      <c r="C365" s="263" t="s">
        <v>866</v>
      </c>
      <c r="D365" s="233" t="s">
        <v>205</v>
      </c>
      <c r="E365" s="125" t="s">
        <v>339</v>
      </c>
      <c r="F365" s="181" t="s">
        <v>103</v>
      </c>
      <c r="G365" s="156" t="s">
        <v>56</v>
      </c>
      <c r="H365" s="156" t="s">
        <v>867</v>
      </c>
      <c r="I365" s="156" t="s">
        <v>870</v>
      </c>
      <c r="J365" s="208">
        <v>15</v>
      </c>
      <c r="K365" s="244"/>
      <c r="L365" s="209" t="s">
        <v>212</v>
      </c>
      <c r="M365" s="208" t="s">
        <v>78</v>
      </c>
      <c r="N365" s="208">
        <v>107</v>
      </c>
      <c r="O365" s="208" t="s">
        <v>60</v>
      </c>
      <c r="P365" s="208" t="s">
        <v>79</v>
      </c>
      <c r="Q365" s="210"/>
      <c r="R365" s="210" t="s">
        <v>868</v>
      </c>
      <c r="S365" s="211"/>
      <c r="T365" s="210"/>
      <c r="U365" s="210"/>
      <c r="V365" s="170"/>
      <c r="W365" s="129"/>
      <c r="X365" s="129">
        <v>2</v>
      </c>
      <c r="Y365" s="170"/>
      <c r="Z365" s="169" t="s">
        <v>63</v>
      </c>
      <c r="AA365" s="171">
        <v>6</v>
      </c>
      <c r="AB365" s="171">
        <v>3</v>
      </c>
      <c r="AC365" s="172"/>
      <c r="AD365" s="172"/>
      <c r="AE365" s="172"/>
      <c r="AF365" s="172"/>
      <c r="AG365" s="172"/>
      <c r="AH365" s="172"/>
      <c r="AI365" s="172">
        <v>19</v>
      </c>
      <c r="AJ365" s="172">
        <v>26</v>
      </c>
      <c r="AK365" s="171">
        <v>77</v>
      </c>
      <c r="AL365" s="171" t="s">
        <v>81</v>
      </c>
      <c r="AM365" s="171" t="s">
        <v>118</v>
      </c>
      <c r="AN365" s="171">
        <v>6</v>
      </c>
      <c r="AO365" s="171" t="s">
        <v>81</v>
      </c>
      <c r="AP365" s="173" t="s">
        <v>117</v>
      </c>
      <c r="AQ365" s="171">
        <v>70</v>
      </c>
      <c r="AR365" s="171">
        <v>85</v>
      </c>
      <c r="AS365" s="172"/>
      <c r="AT365" s="172"/>
      <c r="AU365" s="172"/>
      <c r="AV365" s="172"/>
      <c r="AW365" s="172"/>
      <c r="AX365" s="172"/>
      <c r="AY365" s="172"/>
      <c r="AZ365" s="172"/>
      <c r="BA365" s="171"/>
      <c r="BB365" s="171"/>
      <c r="BC365" s="171"/>
      <c r="BD365" s="171"/>
      <c r="BE365" s="171"/>
      <c r="BF365" s="171"/>
      <c r="BG365" s="171"/>
      <c r="BH365" s="171"/>
      <c r="BI365" s="172"/>
      <c r="BJ365" s="172"/>
      <c r="BK365" s="172"/>
      <c r="BL365" s="172"/>
      <c r="BM365" s="172"/>
      <c r="BN365" s="172"/>
      <c r="BO365" s="172"/>
      <c r="BP365" s="172"/>
      <c r="BQ365" s="171" t="s">
        <v>214</v>
      </c>
      <c r="BR365" s="131" t="s">
        <v>869</v>
      </c>
      <c r="BS365" s="124">
        <v>391</v>
      </c>
      <c r="BT365" s="124" t="s">
        <v>584</v>
      </c>
    </row>
    <row r="366" spans="1:72" s="124" customFormat="1" ht="14.25" hidden="1" customHeight="1" x14ac:dyDescent="0.2">
      <c r="A366" s="92">
        <v>392</v>
      </c>
      <c r="B366" s="233" t="s">
        <v>404</v>
      </c>
      <c r="C366" s="263" t="s">
        <v>405</v>
      </c>
      <c r="D366" s="233" t="s">
        <v>406</v>
      </c>
      <c r="E366" s="125" t="s">
        <v>102</v>
      </c>
      <c r="F366" s="181" t="s">
        <v>103</v>
      </c>
      <c r="G366" s="181" t="s">
        <v>56</v>
      </c>
      <c r="H366" s="181" t="s">
        <v>407</v>
      </c>
      <c r="I366" s="181"/>
      <c r="J366" s="178">
        <v>2</v>
      </c>
      <c r="K366" s="182"/>
      <c r="L366" s="182" t="s">
        <v>58</v>
      </c>
      <c r="M366" s="178" t="s">
        <v>59</v>
      </c>
      <c r="N366" s="178">
        <v>648</v>
      </c>
      <c r="O366" s="178" t="s">
        <v>60</v>
      </c>
      <c r="P366" s="178"/>
      <c r="Q366" s="179"/>
      <c r="R366" s="179" t="s">
        <v>201</v>
      </c>
      <c r="S366" s="180"/>
      <c r="T366" s="179"/>
      <c r="U366" s="179" t="s">
        <v>408</v>
      </c>
      <c r="V366" s="167" t="s">
        <v>62</v>
      </c>
      <c r="W366" s="168"/>
      <c r="X366" s="106" t="s">
        <v>203</v>
      </c>
      <c r="Y366" s="167"/>
      <c r="Z366" s="169" t="s">
        <v>63</v>
      </c>
      <c r="AA366" s="166">
        <v>11</v>
      </c>
      <c r="AB366" s="166">
        <v>0</v>
      </c>
      <c r="AC366" s="165">
        <v>30</v>
      </c>
      <c r="AD366" s="165" t="s">
        <v>80</v>
      </c>
      <c r="AE366" s="165" t="s">
        <v>116</v>
      </c>
      <c r="AF366" s="165"/>
      <c r="AG366" s="165"/>
      <c r="AH366" s="165"/>
      <c r="AI366" s="165">
        <v>19</v>
      </c>
      <c r="AJ366" s="165">
        <v>48</v>
      </c>
      <c r="AK366" s="166"/>
      <c r="AL366" s="166"/>
      <c r="AM366" s="166"/>
      <c r="AN366" s="166"/>
      <c r="AO366" s="166"/>
      <c r="AP366" s="166"/>
      <c r="AQ366" s="166"/>
      <c r="AR366" s="166"/>
      <c r="AS366" s="165"/>
      <c r="AT366" s="165"/>
      <c r="AU366" s="165"/>
      <c r="AV366" s="165"/>
      <c r="AW366" s="165"/>
      <c r="AX366" s="165"/>
      <c r="AY366" s="165"/>
      <c r="AZ366" s="165"/>
      <c r="BA366" s="166">
        <v>26.9</v>
      </c>
      <c r="BB366" s="166" t="s">
        <v>204</v>
      </c>
      <c r="BC366" s="166" t="s">
        <v>116</v>
      </c>
      <c r="BD366" s="166"/>
      <c r="BE366" s="166"/>
      <c r="BF366" s="166"/>
      <c r="BG366" s="166">
        <v>22.1</v>
      </c>
      <c r="BH366" s="166">
        <v>31.1</v>
      </c>
      <c r="BI366" s="165"/>
      <c r="BJ366" s="165"/>
      <c r="BK366" s="165"/>
      <c r="BL366" s="165"/>
      <c r="BM366" s="165"/>
      <c r="BN366" s="165"/>
      <c r="BO366" s="165"/>
      <c r="BP366" s="165"/>
      <c r="BQ366" s="166"/>
      <c r="BR366" s="165"/>
      <c r="BS366" s="124">
        <v>392</v>
      </c>
      <c r="BT366" s="174"/>
    </row>
    <row r="367" spans="1:72" s="124" customFormat="1" ht="14.25" hidden="1" customHeight="1" x14ac:dyDescent="0.2">
      <c r="A367" s="92">
        <v>393</v>
      </c>
      <c r="B367" s="233" t="s">
        <v>404</v>
      </c>
      <c r="C367" s="263" t="s">
        <v>405</v>
      </c>
      <c r="D367" s="233" t="s">
        <v>409</v>
      </c>
      <c r="E367" s="125" t="s">
        <v>102</v>
      </c>
      <c r="F367" s="181" t="s">
        <v>103</v>
      </c>
      <c r="G367" s="181" t="s">
        <v>56</v>
      </c>
      <c r="H367" s="181" t="s">
        <v>407</v>
      </c>
      <c r="I367" s="181"/>
      <c r="J367" s="178">
        <v>2</v>
      </c>
      <c r="K367" s="182"/>
      <c r="L367" s="182" t="s">
        <v>58</v>
      </c>
      <c r="M367" s="178" t="s">
        <v>59</v>
      </c>
      <c r="N367" s="178">
        <v>616</v>
      </c>
      <c r="O367" s="178" t="s">
        <v>60</v>
      </c>
      <c r="P367" s="178"/>
      <c r="Q367" s="179"/>
      <c r="R367" s="179" t="s">
        <v>201</v>
      </c>
      <c r="S367" s="180"/>
      <c r="T367" s="179"/>
      <c r="U367" s="179" t="s">
        <v>408</v>
      </c>
      <c r="V367" s="167" t="s">
        <v>62</v>
      </c>
      <c r="W367" s="168"/>
      <c r="X367" s="106" t="s">
        <v>203</v>
      </c>
      <c r="Y367" s="167"/>
      <c r="Z367" s="169" t="s">
        <v>63</v>
      </c>
      <c r="AA367" s="166">
        <v>11</v>
      </c>
      <c r="AB367" s="166">
        <v>0</v>
      </c>
      <c r="AC367" s="165">
        <v>30</v>
      </c>
      <c r="AD367" s="165" t="s">
        <v>80</v>
      </c>
      <c r="AE367" s="165" t="s">
        <v>116</v>
      </c>
      <c r="AF367" s="165"/>
      <c r="AG367" s="165"/>
      <c r="AH367" s="165"/>
      <c r="AI367" s="165">
        <v>19</v>
      </c>
      <c r="AJ367" s="165">
        <v>48</v>
      </c>
      <c r="AK367" s="166"/>
      <c r="AL367" s="166"/>
      <c r="AM367" s="166"/>
      <c r="AN367" s="166"/>
      <c r="AO367" s="166"/>
      <c r="AP367" s="166"/>
      <c r="AQ367" s="166"/>
      <c r="AR367" s="166"/>
      <c r="AS367" s="165"/>
      <c r="AT367" s="165"/>
      <c r="AU367" s="165"/>
      <c r="AV367" s="165"/>
      <c r="AW367" s="165"/>
      <c r="AX367" s="165"/>
      <c r="AY367" s="165"/>
      <c r="AZ367" s="165"/>
      <c r="BA367" s="166">
        <v>26.9</v>
      </c>
      <c r="BB367" s="166" t="s">
        <v>204</v>
      </c>
      <c r="BC367" s="166" t="s">
        <v>116</v>
      </c>
      <c r="BD367" s="166"/>
      <c r="BE367" s="166"/>
      <c r="BF367" s="166"/>
      <c r="BG367" s="166">
        <v>22.1</v>
      </c>
      <c r="BH367" s="166">
        <v>31.1</v>
      </c>
      <c r="BI367" s="165"/>
      <c r="BJ367" s="165"/>
      <c r="BK367" s="165"/>
      <c r="BL367" s="165"/>
      <c r="BM367" s="165"/>
      <c r="BN367" s="165"/>
      <c r="BO367" s="165"/>
      <c r="BP367" s="165"/>
      <c r="BQ367" s="166"/>
      <c r="BR367" s="165"/>
      <c r="BS367" s="124">
        <v>393</v>
      </c>
      <c r="BT367" s="174"/>
    </row>
    <row r="368" spans="1:72" s="124" customFormat="1" ht="14.25" hidden="1" customHeight="1" x14ac:dyDescent="0.2">
      <c r="A368" s="92">
        <v>394</v>
      </c>
      <c r="B368" s="233" t="s">
        <v>404</v>
      </c>
      <c r="C368" s="263" t="s">
        <v>405</v>
      </c>
      <c r="D368" s="233" t="s">
        <v>410</v>
      </c>
      <c r="E368" s="125" t="s">
        <v>102</v>
      </c>
      <c r="F368" s="181" t="s">
        <v>103</v>
      </c>
      <c r="G368" s="181" t="s">
        <v>56</v>
      </c>
      <c r="H368" s="181" t="s">
        <v>407</v>
      </c>
      <c r="I368" s="181"/>
      <c r="J368" s="178">
        <v>2</v>
      </c>
      <c r="K368" s="182"/>
      <c r="L368" s="182" t="s">
        <v>58</v>
      </c>
      <c r="M368" s="178" t="s">
        <v>59</v>
      </c>
      <c r="N368" s="178">
        <v>984</v>
      </c>
      <c r="O368" s="178" t="s">
        <v>60</v>
      </c>
      <c r="P368" s="178"/>
      <c r="Q368" s="179"/>
      <c r="R368" s="179" t="s">
        <v>201</v>
      </c>
      <c r="S368" s="180"/>
      <c r="T368" s="179"/>
      <c r="U368" s="179" t="s">
        <v>408</v>
      </c>
      <c r="V368" s="167" t="s">
        <v>62</v>
      </c>
      <c r="W368" s="168"/>
      <c r="X368" s="106" t="s">
        <v>203</v>
      </c>
      <c r="Y368" s="167"/>
      <c r="Z368" s="169" t="s">
        <v>63</v>
      </c>
      <c r="AA368" s="166">
        <v>11</v>
      </c>
      <c r="AB368" s="166">
        <v>0</v>
      </c>
      <c r="AC368" s="165">
        <v>30</v>
      </c>
      <c r="AD368" s="165" t="s">
        <v>80</v>
      </c>
      <c r="AE368" s="165" t="s">
        <v>116</v>
      </c>
      <c r="AF368" s="165"/>
      <c r="AG368" s="165"/>
      <c r="AH368" s="165"/>
      <c r="AI368" s="165">
        <v>19</v>
      </c>
      <c r="AJ368" s="165">
        <v>48</v>
      </c>
      <c r="AK368" s="166"/>
      <c r="AL368" s="166"/>
      <c r="AM368" s="166"/>
      <c r="AN368" s="166"/>
      <c r="AO368" s="166"/>
      <c r="AP368" s="166"/>
      <c r="AQ368" s="166"/>
      <c r="AR368" s="166"/>
      <c r="AS368" s="165"/>
      <c r="AT368" s="165"/>
      <c r="AU368" s="165"/>
      <c r="AV368" s="165"/>
      <c r="AW368" s="165"/>
      <c r="AX368" s="165"/>
      <c r="AY368" s="165"/>
      <c r="AZ368" s="165"/>
      <c r="BA368" s="166">
        <v>26.9</v>
      </c>
      <c r="BB368" s="166" t="s">
        <v>204</v>
      </c>
      <c r="BC368" s="166" t="s">
        <v>116</v>
      </c>
      <c r="BD368" s="166"/>
      <c r="BE368" s="166"/>
      <c r="BF368" s="166"/>
      <c r="BG368" s="166">
        <v>22.1</v>
      </c>
      <c r="BH368" s="166">
        <v>31.1</v>
      </c>
      <c r="BI368" s="165"/>
      <c r="BJ368" s="165"/>
      <c r="BK368" s="165"/>
      <c r="BL368" s="165"/>
      <c r="BM368" s="165"/>
      <c r="BN368" s="165"/>
      <c r="BO368" s="165"/>
      <c r="BP368" s="165"/>
      <c r="BQ368" s="166"/>
      <c r="BR368" s="165"/>
      <c r="BS368" s="124">
        <v>394</v>
      </c>
      <c r="BT368" s="174"/>
    </row>
    <row r="369" spans="1:72" s="124" customFormat="1" ht="14.25" hidden="1" customHeight="1" x14ac:dyDescent="0.2">
      <c r="A369" s="92">
        <v>395</v>
      </c>
      <c r="B369" s="233" t="s">
        <v>404</v>
      </c>
      <c r="C369" s="263" t="s">
        <v>405</v>
      </c>
      <c r="D369" s="233" t="s">
        <v>411</v>
      </c>
      <c r="E369" s="125" t="s">
        <v>102</v>
      </c>
      <c r="F369" s="181" t="s">
        <v>103</v>
      </c>
      <c r="G369" s="181" t="s">
        <v>56</v>
      </c>
      <c r="H369" s="181" t="s">
        <v>407</v>
      </c>
      <c r="I369" s="181"/>
      <c r="J369" s="178">
        <v>2</v>
      </c>
      <c r="K369" s="182"/>
      <c r="L369" s="182" t="s">
        <v>58</v>
      </c>
      <c r="M369" s="178" t="s">
        <v>59</v>
      </c>
      <c r="N369" s="178">
        <v>1320</v>
      </c>
      <c r="O369" s="178" t="s">
        <v>60</v>
      </c>
      <c r="P369" s="178"/>
      <c r="Q369" s="179"/>
      <c r="R369" s="179" t="s">
        <v>201</v>
      </c>
      <c r="S369" s="180"/>
      <c r="T369" s="179"/>
      <c r="U369" s="179" t="s">
        <v>408</v>
      </c>
      <c r="V369" s="167" t="s">
        <v>62</v>
      </c>
      <c r="W369" s="168"/>
      <c r="X369" s="106" t="s">
        <v>203</v>
      </c>
      <c r="Y369" s="167"/>
      <c r="Z369" s="169" t="s">
        <v>63</v>
      </c>
      <c r="AA369" s="166">
        <v>11</v>
      </c>
      <c r="AB369" s="166">
        <v>0</v>
      </c>
      <c r="AC369" s="165">
        <v>30</v>
      </c>
      <c r="AD369" s="165" t="s">
        <v>80</v>
      </c>
      <c r="AE369" s="165" t="s">
        <v>116</v>
      </c>
      <c r="AF369" s="165"/>
      <c r="AG369" s="165"/>
      <c r="AH369" s="165"/>
      <c r="AI369" s="165">
        <v>19</v>
      </c>
      <c r="AJ369" s="165">
        <v>48</v>
      </c>
      <c r="AK369" s="166"/>
      <c r="AL369" s="166"/>
      <c r="AM369" s="166"/>
      <c r="AN369" s="166"/>
      <c r="AO369" s="166"/>
      <c r="AP369" s="166"/>
      <c r="AQ369" s="166"/>
      <c r="AR369" s="166"/>
      <c r="AS369" s="165"/>
      <c r="AT369" s="165"/>
      <c r="AU369" s="165"/>
      <c r="AV369" s="165"/>
      <c r="AW369" s="165"/>
      <c r="AX369" s="165"/>
      <c r="AY369" s="165"/>
      <c r="AZ369" s="165"/>
      <c r="BA369" s="166">
        <v>26.9</v>
      </c>
      <c r="BB369" s="166" t="s">
        <v>204</v>
      </c>
      <c r="BC369" s="166" t="s">
        <v>116</v>
      </c>
      <c r="BD369" s="166"/>
      <c r="BE369" s="166"/>
      <c r="BF369" s="166"/>
      <c r="BG369" s="166">
        <v>22.1</v>
      </c>
      <c r="BH369" s="166">
        <v>31.1</v>
      </c>
      <c r="BI369" s="165"/>
      <c r="BJ369" s="165"/>
      <c r="BK369" s="165"/>
      <c r="BL369" s="165"/>
      <c r="BM369" s="165"/>
      <c r="BN369" s="165"/>
      <c r="BO369" s="165"/>
      <c r="BP369" s="165"/>
      <c r="BQ369" s="166"/>
      <c r="BR369" s="165"/>
      <c r="BS369" s="124">
        <v>395</v>
      </c>
      <c r="BT369" s="174"/>
    </row>
    <row r="370" spans="1:72" s="124" customFormat="1" ht="14.25" hidden="1" customHeight="1" x14ac:dyDescent="0.2">
      <c r="A370" s="92">
        <v>396</v>
      </c>
      <c r="B370" s="233" t="s">
        <v>404</v>
      </c>
      <c r="C370" s="263" t="s">
        <v>405</v>
      </c>
      <c r="D370" s="233" t="s">
        <v>406</v>
      </c>
      <c r="E370" s="125" t="s">
        <v>412</v>
      </c>
      <c r="F370" s="181" t="s">
        <v>103</v>
      </c>
      <c r="G370" s="181" t="s">
        <v>56</v>
      </c>
      <c r="H370" s="181" t="s">
        <v>413</v>
      </c>
      <c r="I370" s="181"/>
      <c r="J370" s="178">
        <v>0.5</v>
      </c>
      <c r="K370" s="182"/>
      <c r="L370" s="182" t="s">
        <v>58</v>
      </c>
      <c r="M370" s="178" t="s">
        <v>59</v>
      </c>
      <c r="N370" s="178">
        <v>649</v>
      </c>
      <c r="O370" s="178" t="s">
        <v>60</v>
      </c>
      <c r="P370" s="178"/>
      <c r="Q370" s="179"/>
      <c r="R370" s="179" t="s">
        <v>414</v>
      </c>
      <c r="S370" s="180"/>
      <c r="T370" s="179"/>
      <c r="U370" s="179" t="s">
        <v>415</v>
      </c>
      <c r="V370" s="167" t="s">
        <v>62</v>
      </c>
      <c r="W370" s="168"/>
      <c r="X370" s="106" t="s">
        <v>416</v>
      </c>
      <c r="Y370" s="167"/>
      <c r="Z370" s="169" t="s">
        <v>63</v>
      </c>
      <c r="AA370" s="166">
        <v>11</v>
      </c>
      <c r="AB370" s="166">
        <v>0</v>
      </c>
      <c r="AC370" s="165">
        <v>30</v>
      </c>
      <c r="AD370" s="165" t="s">
        <v>80</v>
      </c>
      <c r="AE370" s="165" t="s">
        <v>116</v>
      </c>
      <c r="AF370" s="165"/>
      <c r="AG370" s="165"/>
      <c r="AH370" s="165"/>
      <c r="AI370" s="165">
        <v>19</v>
      </c>
      <c r="AJ370" s="165">
        <v>48</v>
      </c>
      <c r="AK370" s="166"/>
      <c r="AL370" s="166"/>
      <c r="AM370" s="166"/>
      <c r="AN370" s="166"/>
      <c r="AO370" s="166"/>
      <c r="AP370" s="166"/>
      <c r="AQ370" s="166"/>
      <c r="AR370" s="166"/>
      <c r="AS370" s="165"/>
      <c r="AT370" s="165"/>
      <c r="AU370" s="165"/>
      <c r="AV370" s="165"/>
      <c r="AW370" s="165"/>
      <c r="AX370" s="165"/>
      <c r="AY370" s="165"/>
      <c r="AZ370" s="165"/>
      <c r="BA370" s="166">
        <v>26.9</v>
      </c>
      <c r="BB370" s="166" t="s">
        <v>204</v>
      </c>
      <c r="BC370" s="166" t="s">
        <v>116</v>
      </c>
      <c r="BD370" s="166"/>
      <c r="BE370" s="166"/>
      <c r="BF370" s="166"/>
      <c r="BG370" s="166">
        <v>22.1</v>
      </c>
      <c r="BH370" s="166">
        <v>31.1</v>
      </c>
      <c r="BI370" s="165"/>
      <c r="BJ370" s="165"/>
      <c r="BK370" s="165"/>
      <c r="BL370" s="165"/>
      <c r="BM370" s="165"/>
      <c r="BN370" s="165"/>
      <c r="BO370" s="165"/>
      <c r="BP370" s="165"/>
      <c r="BQ370" s="166"/>
      <c r="BR370" s="165"/>
      <c r="BS370" s="124">
        <v>396</v>
      </c>
      <c r="BT370" s="174"/>
    </row>
    <row r="371" spans="1:72" s="124" customFormat="1" ht="14.25" hidden="1" customHeight="1" x14ac:dyDescent="0.2">
      <c r="A371" s="92">
        <v>397</v>
      </c>
      <c r="B371" s="233" t="s">
        <v>404</v>
      </c>
      <c r="C371" s="263" t="s">
        <v>405</v>
      </c>
      <c r="D371" s="233" t="s">
        <v>409</v>
      </c>
      <c r="E371" s="125" t="s">
        <v>412</v>
      </c>
      <c r="F371" s="181" t="s">
        <v>103</v>
      </c>
      <c r="G371" s="181" t="s">
        <v>56</v>
      </c>
      <c r="H371" s="181" t="s">
        <v>413</v>
      </c>
      <c r="I371" s="181"/>
      <c r="J371" s="178">
        <v>0.5</v>
      </c>
      <c r="K371" s="182"/>
      <c r="L371" s="182" t="s">
        <v>58</v>
      </c>
      <c r="M371" s="178" t="s">
        <v>59</v>
      </c>
      <c r="N371" s="178">
        <v>817</v>
      </c>
      <c r="O371" s="178" t="s">
        <v>60</v>
      </c>
      <c r="P371" s="178"/>
      <c r="Q371" s="179"/>
      <c r="R371" s="179" t="s">
        <v>414</v>
      </c>
      <c r="S371" s="180"/>
      <c r="T371" s="179"/>
      <c r="U371" s="179" t="s">
        <v>415</v>
      </c>
      <c r="V371" s="167" t="s">
        <v>62</v>
      </c>
      <c r="W371" s="168"/>
      <c r="X371" s="106" t="s">
        <v>416</v>
      </c>
      <c r="Y371" s="167"/>
      <c r="Z371" s="169" t="s">
        <v>63</v>
      </c>
      <c r="AA371" s="166">
        <v>11</v>
      </c>
      <c r="AB371" s="166">
        <v>0</v>
      </c>
      <c r="AC371" s="165">
        <v>30</v>
      </c>
      <c r="AD371" s="165" t="s">
        <v>80</v>
      </c>
      <c r="AE371" s="165" t="s">
        <v>116</v>
      </c>
      <c r="AF371" s="165"/>
      <c r="AG371" s="165"/>
      <c r="AH371" s="165"/>
      <c r="AI371" s="165">
        <v>19</v>
      </c>
      <c r="AJ371" s="165">
        <v>48</v>
      </c>
      <c r="AK371" s="166"/>
      <c r="AL371" s="166"/>
      <c r="AM371" s="166"/>
      <c r="AN371" s="166"/>
      <c r="AO371" s="166"/>
      <c r="AP371" s="166"/>
      <c r="AQ371" s="166"/>
      <c r="AR371" s="166"/>
      <c r="AS371" s="165"/>
      <c r="AT371" s="165"/>
      <c r="AU371" s="165"/>
      <c r="AV371" s="165"/>
      <c r="AW371" s="165"/>
      <c r="AX371" s="165"/>
      <c r="AY371" s="165"/>
      <c r="AZ371" s="165"/>
      <c r="BA371" s="166">
        <v>26.9</v>
      </c>
      <c r="BB371" s="166" t="s">
        <v>204</v>
      </c>
      <c r="BC371" s="166" t="s">
        <v>116</v>
      </c>
      <c r="BD371" s="166"/>
      <c r="BE371" s="166"/>
      <c r="BF371" s="166"/>
      <c r="BG371" s="166">
        <v>22.1</v>
      </c>
      <c r="BH371" s="166">
        <v>31.1</v>
      </c>
      <c r="BI371" s="165"/>
      <c r="BJ371" s="165"/>
      <c r="BK371" s="165"/>
      <c r="BL371" s="165"/>
      <c r="BM371" s="165"/>
      <c r="BN371" s="165"/>
      <c r="BO371" s="165"/>
      <c r="BP371" s="165"/>
      <c r="BQ371" s="166"/>
      <c r="BR371" s="165"/>
      <c r="BS371" s="124">
        <v>397</v>
      </c>
      <c r="BT371" s="174"/>
    </row>
    <row r="372" spans="1:72" s="124" customFormat="1" ht="14.25" hidden="1" customHeight="1" x14ac:dyDescent="0.2">
      <c r="A372" s="92">
        <v>398</v>
      </c>
      <c r="B372" s="233" t="s">
        <v>404</v>
      </c>
      <c r="C372" s="263" t="s">
        <v>405</v>
      </c>
      <c r="D372" s="233" t="s">
        <v>410</v>
      </c>
      <c r="E372" s="125" t="s">
        <v>412</v>
      </c>
      <c r="F372" s="181" t="s">
        <v>103</v>
      </c>
      <c r="G372" s="181" t="s">
        <v>56</v>
      </c>
      <c r="H372" s="181" t="s">
        <v>413</v>
      </c>
      <c r="I372" s="181"/>
      <c r="J372" s="178">
        <v>0.5</v>
      </c>
      <c r="K372" s="182"/>
      <c r="L372" s="182" t="s">
        <v>58</v>
      </c>
      <c r="M372" s="178" t="s">
        <v>59</v>
      </c>
      <c r="N372" s="178">
        <v>985</v>
      </c>
      <c r="O372" s="178" t="s">
        <v>60</v>
      </c>
      <c r="P372" s="178"/>
      <c r="Q372" s="179"/>
      <c r="R372" s="179" t="s">
        <v>414</v>
      </c>
      <c r="S372" s="180"/>
      <c r="T372" s="179"/>
      <c r="U372" s="179" t="s">
        <v>415</v>
      </c>
      <c r="V372" s="167" t="s">
        <v>62</v>
      </c>
      <c r="W372" s="168"/>
      <c r="X372" s="106" t="s">
        <v>416</v>
      </c>
      <c r="Y372" s="167"/>
      <c r="Z372" s="169" t="s">
        <v>63</v>
      </c>
      <c r="AA372" s="166">
        <v>11</v>
      </c>
      <c r="AB372" s="166">
        <v>0</v>
      </c>
      <c r="AC372" s="165">
        <v>30</v>
      </c>
      <c r="AD372" s="165" t="s">
        <v>80</v>
      </c>
      <c r="AE372" s="165" t="s">
        <v>116</v>
      </c>
      <c r="AF372" s="165"/>
      <c r="AG372" s="165"/>
      <c r="AH372" s="165"/>
      <c r="AI372" s="165">
        <v>19</v>
      </c>
      <c r="AJ372" s="165">
        <v>48</v>
      </c>
      <c r="AK372" s="166"/>
      <c r="AL372" s="166"/>
      <c r="AM372" s="166"/>
      <c r="AN372" s="166"/>
      <c r="AO372" s="166"/>
      <c r="AP372" s="166"/>
      <c r="AQ372" s="166"/>
      <c r="AR372" s="166"/>
      <c r="AS372" s="165"/>
      <c r="AT372" s="165"/>
      <c r="AU372" s="165"/>
      <c r="AV372" s="165"/>
      <c r="AW372" s="165"/>
      <c r="AX372" s="165"/>
      <c r="AY372" s="165"/>
      <c r="AZ372" s="165"/>
      <c r="BA372" s="166">
        <v>26.9</v>
      </c>
      <c r="BB372" s="166" t="s">
        <v>204</v>
      </c>
      <c r="BC372" s="166" t="s">
        <v>116</v>
      </c>
      <c r="BD372" s="166"/>
      <c r="BE372" s="166"/>
      <c r="BF372" s="166"/>
      <c r="BG372" s="166">
        <v>22.1</v>
      </c>
      <c r="BH372" s="166">
        <v>31.1</v>
      </c>
      <c r="BI372" s="165"/>
      <c r="BJ372" s="165"/>
      <c r="BK372" s="165"/>
      <c r="BL372" s="165"/>
      <c r="BM372" s="165"/>
      <c r="BN372" s="165"/>
      <c r="BO372" s="165"/>
      <c r="BP372" s="165"/>
      <c r="BQ372" s="166"/>
      <c r="BR372" s="165"/>
      <c r="BS372" s="124">
        <v>398</v>
      </c>
      <c r="BT372" s="174"/>
    </row>
    <row r="373" spans="1:72" s="124" customFormat="1" ht="14.25" hidden="1" customHeight="1" x14ac:dyDescent="0.2">
      <c r="A373" s="92">
        <v>399</v>
      </c>
      <c r="B373" s="233" t="s">
        <v>404</v>
      </c>
      <c r="C373" s="263" t="s">
        <v>405</v>
      </c>
      <c r="D373" s="233" t="s">
        <v>411</v>
      </c>
      <c r="E373" s="125" t="s">
        <v>412</v>
      </c>
      <c r="F373" s="181" t="s">
        <v>103</v>
      </c>
      <c r="G373" s="181" t="s">
        <v>56</v>
      </c>
      <c r="H373" s="181" t="s">
        <v>413</v>
      </c>
      <c r="I373" s="181"/>
      <c r="J373" s="178">
        <v>0.5</v>
      </c>
      <c r="K373" s="182"/>
      <c r="L373" s="182" t="s">
        <v>58</v>
      </c>
      <c r="M373" s="178" t="s">
        <v>59</v>
      </c>
      <c r="N373" s="178">
        <v>1321</v>
      </c>
      <c r="O373" s="178" t="s">
        <v>60</v>
      </c>
      <c r="P373" s="178"/>
      <c r="Q373" s="179"/>
      <c r="R373" s="179" t="s">
        <v>414</v>
      </c>
      <c r="S373" s="180"/>
      <c r="T373" s="179"/>
      <c r="U373" s="179" t="s">
        <v>415</v>
      </c>
      <c r="V373" s="167" t="s">
        <v>62</v>
      </c>
      <c r="W373" s="168"/>
      <c r="X373" s="106" t="s">
        <v>416</v>
      </c>
      <c r="Y373" s="167"/>
      <c r="Z373" s="169" t="s">
        <v>63</v>
      </c>
      <c r="AA373" s="166">
        <v>11</v>
      </c>
      <c r="AB373" s="166">
        <v>0</v>
      </c>
      <c r="AC373" s="165">
        <v>30</v>
      </c>
      <c r="AD373" s="165" t="s">
        <v>80</v>
      </c>
      <c r="AE373" s="165" t="s">
        <v>116</v>
      </c>
      <c r="AF373" s="165"/>
      <c r="AG373" s="165"/>
      <c r="AH373" s="165"/>
      <c r="AI373" s="165">
        <v>19</v>
      </c>
      <c r="AJ373" s="165">
        <v>48</v>
      </c>
      <c r="AK373" s="166"/>
      <c r="AL373" s="166"/>
      <c r="AM373" s="166"/>
      <c r="AN373" s="166"/>
      <c r="AO373" s="166"/>
      <c r="AP373" s="166"/>
      <c r="AQ373" s="166"/>
      <c r="AR373" s="166"/>
      <c r="AS373" s="165"/>
      <c r="AT373" s="165"/>
      <c r="AU373" s="165"/>
      <c r="AV373" s="165"/>
      <c r="AW373" s="165"/>
      <c r="AX373" s="165"/>
      <c r="AY373" s="165"/>
      <c r="AZ373" s="165"/>
      <c r="BA373" s="166">
        <v>26.9</v>
      </c>
      <c r="BB373" s="166" t="s">
        <v>204</v>
      </c>
      <c r="BC373" s="166" t="s">
        <v>116</v>
      </c>
      <c r="BD373" s="166"/>
      <c r="BE373" s="166"/>
      <c r="BF373" s="166"/>
      <c r="BG373" s="166">
        <v>22.1</v>
      </c>
      <c r="BH373" s="166">
        <v>31.1</v>
      </c>
      <c r="BI373" s="165"/>
      <c r="BJ373" s="165"/>
      <c r="BK373" s="165"/>
      <c r="BL373" s="165"/>
      <c r="BM373" s="165"/>
      <c r="BN373" s="165"/>
      <c r="BO373" s="165"/>
      <c r="BP373" s="165"/>
      <c r="BQ373" s="166"/>
      <c r="BR373" s="165"/>
      <c r="BS373" s="124">
        <v>399</v>
      </c>
      <c r="BT373" s="174"/>
    </row>
    <row r="374" spans="1:72" s="124" customFormat="1" ht="14.25" hidden="1" customHeight="1" x14ac:dyDescent="0.2">
      <c r="A374" s="205">
        <v>400</v>
      </c>
      <c r="B374" s="231" t="s">
        <v>871</v>
      </c>
      <c r="C374" s="263" t="s">
        <v>872</v>
      </c>
      <c r="D374" s="233" t="s">
        <v>683</v>
      </c>
      <c r="E374" s="125" t="s">
        <v>102</v>
      </c>
      <c r="F374" s="181" t="s">
        <v>103</v>
      </c>
      <c r="G374" s="181" t="s">
        <v>56</v>
      </c>
      <c r="H374" s="181" t="s">
        <v>157</v>
      </c>
      <c r="I374" s="181"/>
      <c r="J374" s="178">
        <v>7.5</v>
      </c>
      <c r="K374" s="182"/>
      <c r="L374" s="182" t="s">
        <v>58</v>
      </c>
      <c r="M374" s="178" t="s">
        <v>59</v>
      </c>
      <c r="N374" s="178">
        <v>0</v>
      </c>
      <c r="O374" s="178" t="s">
        <v>60</v>
      </c>
      <c r="P374" s="178" t="s">
        <v>79</v>
      </c>
      <c r="Q374" s="179" t="s">
        <v>621</v>
      </c>
      <c r="R374" s="179" t="s">
        <v>873</v>
      </c>
      <c r="S374" s="180"/>
      <c r="T374" s="179">
        <v>150</v>
      </c>
      <c r="U374" s="179"/>
      <c r="V374" s="167" t="s">
        <v>62</v>
      </c>
      <c r="W374" s="168">
        <v>12</v>
      </c>
      <c r="X374" s="168">
        <v>4</v>
      </c>
      <c r="Y374" s="167"/>
      <c r="Z374" s="169" t="s">
        <v>63</v>
      </c>
      <c r="AA374" s="166">
        <v>10</v>
      </c>
      <c r="AB374" s="166">
        <v>0</v>
      </c>
      <c r="AC374" s="165"/>
      <c r="AD374" s="165"/>
      <c r="AE374" s="165"/>
      <c r="AF374" s="165"/>
      <c r="AG374" s="165"/>
      <c r="AH374" s="165"/>
      <c r="AI374" s="165">
        <v>23</v>
      </c>
      <c r="AJ374" s="165">
        <v>29</v>
      </c>
      <c r="AK374" s="166"/>
      <c r="AL374" s="166"/>
      <c r="AM374" s="171"/>
      <c r="AN374" s="166"/>
      <c r="AO374" s="166"/>
      <c r="AP374" s="166"/>
      <c r="AQ374" s="166">
        <v>65</v>
      </c>
      <c r="AR374" s="166">
        <v>100</v>
      </c>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354</v>
      </c>
      <c r="BR374" s="165"/>
      <c r="BS374" s="124">
        <v>400</v>
      </c>
      <c r="BT374" s="124" t="s">
        <v>584</v>
      </c>
    </row>
    <row r="375" spans="1:72" s="124" customFormat="1" ht="14.25" hidden="1" customHeight="1" x14ac:dyDescent="0.2">
      <c r="A375" s="205">
        <v>401</v>
      </c>
      <c r="B375" s="231" t="s">
        <v>871</v>
      </c>
      <c r="C375" s="263" t="s">
        <v>872</v>
      </c>
      <c r="D375" s="233" t="s">
        <v>874</v>
      </c>
      <c r="E375" s="125" t="s">
        <v>102</v>
      </c>
      <c r="F375" s="181" t="s">
        <v>103</v>
      </c>
      <c r="G375" s="181" t="s">
        <v>56</v>
      </c>
      <c r="H375" s="181" t="s">
        <v>157</v>
      </c>
      <c r="I375" s="181"/>
      <c r="J375" s="178">
        <v>7.5</v>
      </c>
      <c r="K375" s="182"/>
      <c r="L375" s="182" t="s">
        <v>58</v>
      </c>
      <c r="M375" s="178" t="s">
        <v>59</v>
      </c>
      <c r="N375" s="178">
        <v>37</v>
      </c>
      <c r="O375" s="178" t="s">
        <v>60</v>
      </c>
      <c r="P375" s="178" t="s">
        <v>79</v>
      </c>
      <c r="Q375" s="179" t="s">
        <v>621</v>
      </c>
      <c r="R375" s="179" t="s">
        <v>873</v>
      </c>
      <c r="S375" s="180"/>
      <c r="T375" s="179">
        <v>150</v>
      </c>
      <c r="U375" s="179"/>
      <c r="V375" s="167" t="s">
        <v>62</v>
      </c>
      <c r="W375" s="168">
        <v>12</v>
      </c>
      <c r="X375" s="168">
        <v>4</v>
      </c>
      <c r="Y375" s="167"/>
      <c r="Z375" s="169" t="s">
        <v>63</v>
      </c>
      <c r="AA375" s="166">
        <v>10</v>
      </c>
      <c r="AB375" s="166">
        <v>0</v>
      </c>
      <c r="AC375" s="165"/>
      <c r="AD375" s="165"/>
      <c r="AE375" s="165"/>
      <c r="AF375" s="165"/>
      <c r="AG375" s="165"/>
      <c r="AH375" s="165"/>
      <c r="AI375" s="165">
        <v>23</v>
      </c>
      <c r="AJ375" s="165">
        <v>29</v>
      </c>
      <c r="AK375" s="166"/>
      <c r="AL375" s="166"/>
      <c r="AM375" s="171"/>
      <c r="AN375" s="166"/>
      <c r="AO375" s="166"/>
      <c r="AP375" s="166"/>
      <c r="AQ375" s="166">
        <v>65</v>
      </c>
      <c r="AR375" s="166">
        <v>100</v>
      </c>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354</v>
      </c>
      <c r="BR375" s="165"/>
      <c r="BS375" s="124">
        <v>401</v>
      </c>
      <c r="BT375" s="124" t="s">
        <v>584</v>
      </c>
    </row>
    <row r="376" spans="1:72" s="124" customFormat="1" ht="14.25" hidden="1" customHeight="1" x14ac:dyDescent="0.2">
      <c r="A376" s="205">
        <v>402</v>
      </c>
      <c r="B376" s="231" t="s">
        <v>871</v>
      </c>
      <c r="C376" s="263" t="s">
        <v>872</v>
      </c>
      <c r="D376" s="233" t="s">
        <v>874</v>
      </c>
      <c r="E376" s="125" t="s">
        <v>875</v>
      </c>
      <c r="F376" s="181" t="s">
        <v>103</v>
      </c>
      <c r="G376" s="181" t="s">
        <v>56</v>
      </c>
      <c r="H376" s="181" t="s">
        <v>430</v>
      </c>
      <c r="I376" s="181"/>
      <c r="J376" s="178" t="s">
        <v>876</v>
      </c>
      <c r="K376" s="178"/>
      <c r="L376" s="178" t="s">
        <v>58</v>
      </c>
      <c r="M376" s="178" t="s">
        <v>59</v>
      </c>
      <c r="N376" s="178" t="s">
        <v>877</v>
      </c>
      <c r="O376" s="178" t="s">
        <v>60</v>
      </c>
      <c r="P376" s="178" t="s">
        <v>92</v>
      </c>
      <c r="Q376" s="179" t="s">
        <v>878</v>
      </c>
      <c r="R376" s="179" t="s">
        <v>879</v>
      </c>
      <c r="S376" s="180"/>
      <c r="T376" s="179">
        <v>150</v>
      </c>
      <c r="U376" s="179" t="s">
        <v>880</v>
      </c>
      <c r="V376" s="167" t="s">
        <v>62</v>
      </c>
      <c r="W376" s="168">
        <v>11</v>
      </c>
      <c r="X376" s="168">
        <v>5</v>
      </c>
      <c r="Y376" s="167"/>
      <c r="Z376" s="169" t="s">
        <v>63</v>
      </c>
      <c r="AA376" s="166">
        <v>10</v>
      </c>
      <c r="AB376" s="166">
        <v>0</v>
      </c>
      <c r="AC376" s="165"/>
      <c r="AD376" s="165"/>
      <c r="AE376" s="165"/>
      <c r="AF376" s="165"/>
      <c r="AG376" s="165"/>
      <c r="AH376" s="165"/>
      <c r="AI376" s="165">
        <v>23</v>
      </c>
      <c r="AJ376" s="165">
        <v>29</v>
      </c>
      <c r="AK376" s="166"/>
      <c r="AL376" s="166"/>
      <c r="AM376" s="171"/>
      <c r="AN376" s="166"/>
      <c r="AO376" s="166"/>
      <c r="AP376" s="166"/>
      <c r="AQ376" s="166">
        <v>65</v>
      </c>
      <c r="AR376" s="166">
        <v>100</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354</v>
      </c>
      <c r="BR376" s="165"/>
      <c r="BS376" s="124">
        <v>402</v>
      </c>
      <c r="BT376" s="124" t="s">
        <v>584</v>
      </c>
    </row>
    <row r="377" spans="1:72" s="124" customFormat="1" ht="14.25" hidden="1" customHeight="1" x14ac:dyDescent="0.2">
      <c r="A377" s="205">
        <v>403</v>
      </c>
      <c r="B377" s="231" t="s">
        <v>871</v>
      </c>
      <c r="C377" s="263" t="s">
        <v>872</v>
      </c>
      <c r="D377" s="233" t="s">
        <v>333</v>
      </c>
      <c r="E377" s="125" t="s">
        <v>102</v>
      </c>
      <c r="F377" s="181" t="s">
        <v>103</v>
      </c>
      <c r="G377" s="181" t="s">
        <v>56</v>
      </c>
      <c r="H377" s="181" t="s">
        <v>66</v>
      </c>
      <c r="I377" s="181"/>
      <c r="J377" s="178">
        <v>0.05</v>
      </c>
      <c r="K377" s="178"/>
      <c r="L377" s="178" t="s">
        <v>107</v>
      </c>
      <c r="M377" s="178" t="s">
        <v>78</v>
      </c>
      <c r="N377" s="178">
        <v>0</v>
      </c>
      <c r="O377" s="178" t="s">
        <v>60</v>
      </c>
      <c r="P377" s="178" t="s">
        <v>79</v>
      </c>
      <c r="Q377" s="179" t="s">
        <v>621</v>
      </c>
      <c r="R377" s="179" t="s">
        <v>881</v>
      </c>
      <c r="S377" s="180">
        <v>2</v>
      </c>
      <c r="T377" s="179">
        <v>150</v>
      </c>
      <c r="U377" s="179"/>
      <c r="V377" s="167" t="s">
        <v>62</v>
      </c>
      <c r="W377" s="168">
        <v>12</v>
      </c>
      <c r="X377" s="168">
        <v>4</v>
      </c>
      <c r="Y377" s="167"/>
      <c r="Z377" s="169" t="s">
        <v>63</v>
      </c>
      <c r="AA377" s="166">
        <v>10</v>
      </c>
      <c r="AB377" s="166">
        <v>0</v>
      </c>
      <c r="AC377" s="165"/>
      <c r="AD377" s="165"/>
      <c r="AE377" s="165"/>
      <c r="AF377" s="165"/>
      <c r="AG377" s="165"/>
      <c r="AH377" s="165"/>
      <c r="AI377" s="165">
        <v>23</v>
      </c>
      <c r="AJ377" s="165">
        <v>29</v>
      </c>
      <c r="AK377" s="166"/>
      <c r="AL377" s="166"/>
      <c r="AM377" s="171"/>
      <c r="AN377" s="166"/>
      <c r="AO377" s="166"/>
      <c r="AP377" s="166"/>
      <c r="AQ377" s="166">
        <v>65</v>
      </c>
      <c r="AR377" s="166">
        <v>100</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354</v>
      </c>
      <c r="BR377" s="165"/>
      <c r="BS377" s="124">
        <v>403</v>
      </c>
      <c r="BT377" s="124" t="s">
        <v>584</v>
      </c>
    </row>
    <row r="378" spans="1:72" s="124" customFormat="1" ht="14.25" hidden="1" customHeight="1" x14ac:dyDescent="0.2">
      <c r="A378" s="205">
        <v>404</v>
      </c>
      <c r="B378" s="231" t="s">
        <v>871</v>
      </c>
      <c r="C378" s="263" t="s">
        <v>872</v>
      </c>
      <c r="D378" s="233" t="s">
        <v>882</v>
      </c>
      <c r="E378" s="125" t="s">
        <v>102</v>
      </c>
      <c r="F378" s="181" t="s">
        <v>103</v>
      </c>
      <c r="G378" s="181" t="s">
        <v>56</v>
      </c>
      <c r="H378" s="181" t="s">
        <v>66</v>
      </c>
      <c r="I378" s="181"/>
      <c r="J378" s="178">
        <v>0.05</v>
      </c>
      <c r="K378" s="178"/>
      <c r="L378" s="178" t="s">
        <v>107</v>
      </c>
      <c r="M378" s="178" t="s">
        <v>78</v>
      </c>
      <c r="N378" s="178">
        <v>37</v>
      </c>
      <c r="O378" s="178" t="s">
        <v>60</v>
      </c>
      <c r="P378" s="178" t="s">
        <v>79</v>
      </c>
      <c r="Q378" s="179" t="s">
        <v>621</v>
      </c>
      <c r="R378" s="179" t="s">
        <v>881</v>
      </c>
      <c r="S378" s="180">
        <v>2</v>
      </c>
      <c r="T378" s="179">
        <v>150</v>
      </c>
      <c r="U378" s="179"/>
      <c r="V378" s="167" t="s">
        <v>62</v>
      </c>
      <c r="W378" s="168">
        <v>12</v>
      </c>
      <c r="X378" s="168">
        <v>4</v>
      </c>
      <c r="Y378" s="167"/>
      <c r="Z378" s="169" t="s">
        <v>63</v>
      </c>
      <c r="AA378" s="166">
        <v>10</v>
      </c>
      <c r="AB378" s="166">
        <v>0</v>
      </c>
      <c r="AC378" s="165"/>
      <c r="AD378" s="165"/>
      <c r="AE378" s="165"/>
      <c r="AF378" s="165"/>
      <c r="AG378" s="165"/>
      <c r="AH378" s="165"/>
      <c r="AI378" s="165">
        <v>23</v>
      </c>
      <c r="AJ378" s="165">
        <v>29</v>
      </c>
      <c r="AK378" s="166"/>
      <c r="AL378" s="166"/>
      <c r="AM378" s="171"/>
      <c r="AN378" s="166"/>
      <c r="AO378" s="166"/>
      <c r="AP378" s="166"/>
      <c r="AQ378" s="166">
        <v>65</v>
      </c>
      <c r="AR378" s="166">
        <v>100</v>
      </c>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354</v>
      </c>
      <c r="BR378" s="165"/>
      <c r="BS378" s="124">
        <v>404</v>
      </c>
      <c r="BT378" s="124" t="s">
        <v>584</v>
      </c>
    </row>
    <row r="379" spans="1:72" s="124" customFormat="1" ht="14.25" hidden="1" customHeight="1" x14ac:dyDescent="0.2">
      <c r="A379" s="205">
        <v>405</v>
      </c>
      <c r="B379" s="231" t="s">
        <v>871</v>
      </c>
      <c r="C379" s="263" t="s">
        <v>872</v>
      </c>
      <c r="D379" s="233" t="s">
        <v>882</v>
      </c>
      <c r="E379" s="125" t="s">
        <v>875</v>
      </c>
      <c r="F379" s="181" t="s">
        <v>103</v>
      </c>
      <c r="G379" s="181" t="s">
        <v>56</v>
      </c>
      <c r="H379" s="181" t="s">
        <v>430</v>
      </c>
      <c r="I379" s="181"/>
      <c r="J379" s="178" t="s">
        <v>876</v>
      </c>
      <c r="K379" s="178"/>
      <c r="L379" s="178" t="s">
        <v>58</v>
      </c>
      <c r="M379" s="178" t="s">
        <v>59</v>
      </c>
      <c r="N379" s="178" t="s">
        <v>877</v>
      </c>
      <c r="O379" s="178" t="s">
        <v>60</v>
      </c>
      <c r="P379" s="178" t="s">
        <v>92</v>
      </c>
      <c r="Q379" s="179" t="s">
        <v>878</v>
      </c>
      <c r="R379" s="179" t="s">
        <v>879</v>
      </c>
      <c r="S379" s="180"/>
      <c r="T379" s="179">
        <v>150</v>
      </c>
      <c r="U379" s="179" t="s">
        <v>880</v>
      </c>
      <c r="V379" s="167" t="s">
        <v>62</v>
      </c>
      <c r="W379" s="168">
        <v>11</v>
      </c>
      <c r="X379" s="168">
        <v>5</v>
      </c>
      <c r="Y379" s="167"/>
      <c r="Z379" s="169" t="s">
        <v>63</v>
      </c>
      <c r="AA379" s="166">
        <v>10</v>
      </c>
      <c r="AB379" s="166">
        <v>0</v>
      </c>
      <c r="AC379" s="165"/>
      <c r="AD379" s="165"/>
      <c r="AE379" s="165"/>
      <c r="AF379" s="165"/>
      <c r="AG379" s="165"/>
      <c r="AH379" s="165"/>
      <c r="AI379" s="165">
        <v>23</v>
      </c>
      <c r="AJ379" s="165">
        <v>29</v>
      </c>
      <c r="AK379" s="166"/>
      <c r="AL379" s="166"/>
      <c r="AM379" s="171"/>
      <c r="AN379" s="166"/>
      <c r="AO379" s="166"/>
      <c r="AP379" s="166"/>
      <c r="AQ379" s="166">
        <v>65</v>
      </c>
      <c r="AR379" s="166">
        <v>100</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354</v>
      </c>
      <c r="BR379" s="165"/>
      <c r="BS379" s="124">
        <v>405</v>
      </c>
      <c r="BT379" s="124" t="s">
        <v>584</v>
      </c>
    </row>
    <row r="380" spans="1:72" s="124" customFormat="1" ht="14.25" hidden="1" customHeight="1" x14ac:dyDescent="0.2">
      <c r="A380" s="92">
        <v>406</v>
      </c>
      <c r="B380" s="233" t="s">
        <v>417</v>
      </c>
      <c r="C380" s="263" t="s">
        <v>418</v>
      </c>
      <c r="D380" s="233" t="s">
        <v>398</v>
      </c>
      <c r="E380" s="125" t="s">
        <v>54</v>
      </c>
      <c r="F380" s="181" t="s">
        <v>103</v>
      </c>
      <c r="G380" s="181" t="s">
        <v>56</v>
      </c>
      <c r="H380" s="181" t="s">
        <v>419</v>
      </c>
      <c r="I380" s="181"/>
      <c r="J380" s="178">
        <v>300</v>
      </c>
      <c r="K380" s="182"/>
      <c r="L380" s="182" t="s">
        <v>58</v>
      </c>
      <c r="M380" s="178" t="s">
        <v>78</v>
      </c>
      <c r="N380" s="178">
        <v>0</v>
      </c>
      <c r="O380" s="178" t="s">
        <v>60</v>
      </c>
      <c r="P380" s="178" t="s">
        <v>79</v>
      </c>
      <c r="Q380" s="179"/>
      <c r="R380" s="179" t="s">
        <v>420</v>
      </c>
      <c r="S380" s="180">
        <v>30</v>
      </c>
      <c r="T380" s="179"/>
      <c r="U380" s="179"/>
      <c r="V380" s="167"/>
      <c r="W380" s="168"/>
      <c r="X380" s="106"/>
      <c r="Y380" s="167"/>
      <c r="Z380" s="169" t="s">
        <v>63</v>
      </c>
      <c r="AA380" s="166">
        <v>12</v>
      </c>
      <c r="AB380" s="166">
        <v>0</v>
      </c>
      <c r="AC380" s="165"/>
      <c r="AD380" s="165"/>
      <c r="AE380" s="165"/>
      <c r="AF380" s="165"/>
      <c r="AG380" s="165"/>
      <c r="AH380" s="165"/>
      <c r="AI380" s="165"/>
      <c r="AJ380" s="165"/>
      <c r="AK380" s="166"/>
      <c r="AL380" s="166"/>
      <c r="AM380" s="166"/>
      <c r="AN380" s="166"/>
      <c r="AO380" s="166"/>
      <c r="AP380" s="166"/>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c r="BR380" s="165"/>
      <c r="BS380" s="124">
        <v>406</v>
      </c>
      <c r="BT380" s="174"/>
    </row>
    <row r="381" spans="1:72" s="124" customFormat="1" ht="14.25" hidden="1" customHeight="1" x14ac:dyDescent="0.2">
      <c r="A381" s="92">
        <v>407</v>
      </c>
      <c r="B381" s="233" t="s">
        <v>417</v>
      </c>
      <c r="C381" s="263" t="s">
        <v>418</v>
      </c>
      <c r="D381" s="233" t="s">
        <v>402</v>
      </c>
      <c r="E381" s="125" t="s">
        <v>54</v>
      </c>
      <c r="F381" s="181" t="s">
        <v>103</v>
      </c>
      <c r="G381" s="181" t="s">
        <v>56</v>
      </c>
      <c r="H381" s="181" t="s">
        <v>419</v>
      </c>
      <c r="I381" s="181"/>
      <c r="J381" s="178">
        <v>600</v>
      </c>
      <c r="K381" s="182"/>
      <c r="L381" s="182" t="s">
        <v>58</v>
      </c>
      <c r="M381" s="178" t="s">
        <v>78</v>
      </c>
      <c r="N381" s="178">
        <v>0</v>
      </c>
      <c r="O381" s="178" t="s">
        <v>60</v>
      </c>
      <c r="P381" s="178" t="s">
        <v>79</v>
      </c>
      <c r="Q381" s="179"/>
      <c r="R381" s="179" t="s">
        <v>420</v>
      </c>
      <c r="S381" s="180">
        <v>30</v>
      </c>
      <c r="T381" s="179"/>
      <c r="U381" s="179"/>
      <c r="V381" s="167"/>
      <c r="W381" s="168"/>
      <c r="X381" s="106"/>
      <c r="Y381" s="167"/>
      <c r="Z381" s="169" t="s">
        <v>63</v>
      </c>
      <c r="AA381" s="166">
        <v>12</v>
      </c>
      <c r="AB381" s="166">
        <v>0</v>
      </c>
      <c r="AC381" s="165"/>
      <c r="AD381" s="165"/>
      <c r="AE381" s="165"/>
      <c r="AF381" s="165"/>
      <c r="AG381" s="165"/>
      <c r="AH381" s="165"/>
      <c r="AI381" s="165"/>
      <c r="AJ381" s="165"/>
      <c r="AK381" s="166"/>
      <c r="AL381" s="166"/>
      <c r="AM381" s="166"/>
      <c r="AN381" s="166"/>
      <c r="AO381" s="166"/>
      <c r="AP381" s="166"/>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c r="BR381" s="165"/>
      <c r="BS381" s="124">
        <v>407</v>
      </c>
      <c r="BT381" s="174"/>
    </row>
    <row r="382" spans="1:72" s="124" customFormat="1" ht="14.25" hidden="1" customHeight="1" x14ac:dyDescent="0.2">
      <c r="A382" s="205">
        <v>414</v>
      </c>
      <c r="B382" s="231" t="s">
        <v>883</v>
      </c>
      <c r="C382" s="263" t="s">
        <v>884</v>
      </c>
      <c r="D382" s="231" t="s">
        <v>885</v>
      </c>
      <c r="E382" s="125" t="s">
        <v>102</v>
      </c>
      <c r="F382" s="181" t="s">
        <v>103</v>
      </c>
      <c r="G382" s="181" t="s">
        <v>56</v>
      </c>
      <c r="H382" s="181" t="s">
        <v>66</v>
      </c>
      <c r="I382" s="181"/>
      <c r="J382" s="178">
        <v>5</v>
      </c>
      <c r="K382" s="182"/>
      <c r="L382" s="182" t="s">
        <v>58</v>
      </c>
      <c r="M382" s="178" t="s">
        <v>78</v>
      </c>
      <c r="N382" s="178">
        <v>0</v>
      </c>
      <c r="O382" s="178" t="s">
        <v>60</v>
      </c>
      <c r="P382" s="178" t="s">
        <v>79</v>
      </c>
      <c r="Q382" s="179"/>
      <c r="R382" s="179"/>
      <c r="S382" s="180">
        <v>0.5</v>
      </c>
      <c r="T382" s="179"/>
      <c r="U382" s="179" t="s">
        <v>886</v>
      </c>
      <c r="V382" s="167"/>
      <c r="W382" s="168"/>
      <c r="X382" s="168"/>
      <c r="Y382" s="167"/>
      <c r="Z382" s="169" t="s">
        <v>63</v>
      </c>
      <c r="AA382" s="166">
        <v>8</v>
      </c>
      <c r="AB382" s="166">
        <v>4</v>
      </c>
      <c r="AC382" s="165">
        <v>25.9</v>
      </c>
      <c r="AD382" s="172" t="s">
        <v>80</v>
      </c>
      <c r="AE382" s="172" t="s">
        <v>116</v>
      </c>
      <c r="AF382" s="165"/>
      <c r="AG382" s="165"/>
      <c r="AH382" s="165"/>
      <c r="AI382" s="165">
        <v>22</v>
      </c>
      <c r="AJ382" s="165">
        <v>30</v>
      </c>
      <c r="AK382" s="166">
        <v>68.3</v>
      </c>
      <c r="AL382" s="166" t="s">
        <v>81</v>
      </c>
      <c r="AM382" s="171" t="s">
        <v>118</v>
      </c>
      <c r="AN382" s="166"/>
      <c r="AO382" s="166"/>
      <c r="AP382" s="166"/>
      <c r="AQ382" s="166">
        <v>48</v>
      </c>
      <c r="AR382" s="166">
        <v>87</v>
      </c>
      <c r="AS382" s="165">
        <v>179</v>
      </c>
      <c r="AT382" s="165" t="s">
        <v>119</v>
      </c>
      <c r="AU382" s="172" t="s">
        <v>116</v>
      </c>
      <c r="AV382" s="165"/>
      <c r="AW382" s="165"/>
      <c r="AX382" s="165"/>
      <c r="AY382" s="165">
        <v>165</v>
      </c>
      <c r="AZ382" s="165">
        <v>194</v>
      </c>
      <c r="BA382" s="166"/>
      <c r="BB382" s="166"/>
      <c r="BC382" s="166"/>
      <c r="BD382" s="166"/>
      <c r="BE382" s="166"/>
      <c r="BF382" s="166"/>
      <c r="BG382" s="166"/>
      <c r="BH382" s="166"/>
      <c r="BI382" s="165"/>
      <c r="BJ382" s="165"/>
      <c r="BK382" s="165"/>
      <c r="BL382" s="165"/>
      <c r="BM382" s="165"/>
      <c r="BN382" s="165"/>
      <c r="BO382" s="165"/>
      <c r="BP382" s="165"/>
      <c r="BQ382" s="166" t="s">
        <v>195</v>
      </c>
      <c r="BR382" s="165" t="s">
        <v>887</v>
      </c>
      <c r="BS382" s="124">
        <v>414</v>
      </c>
      <c r="BT382" s="124" t="s">
        <v>584</v>
      </c>
    </row>
    <row r="383" spans="1:72" s="124" customFormat="1" ht="14.25" hidden="1" customHeight="1" x14ac:dyDescent="0.2">
      <c r="A383" s="92">
        <v>415</v>
      </c>
      <c r="B383" s="231" t="s">
        <v>423</v>
      </c>
      <c r="C383" s="264" t="s">
        <v>424</v>
      </c>
      <c r="D383" s="231" t="s">
        <v>425</v>
      </c>
      <c r="E383" s="125" t="s">
        <v>102</v>
      </c>
      <c r="F383" s="181" t="s">
        <v>103</v>
      </c>
      <c r="G383" s="181" t="s">
        <v>56</v>
      </c>
      <c r="H383" s="181" t="s">
        <v>157</v>
      </c>
      <c r="I383" s="181"/>
      <c r="J383" s="178">
        <v>5</v>
      </c>
      <c r="K383" s="182"/>
      <c r="L383" s="182" t="s">
        <v>58</v>
      </c>
      <c r="M383" s="178" t="s">
        <v>78</v>
      </c>
      <c r="N383" s="178">
        <v>0</v>
      </c>
      <c r="O383" s="178" t="s">
        <v>60</v>
      </c>
      <c r="P383" s="178"/>
      <c r="Q383" s="179"/>
      <c r="R383" s="179"/>
      <c r="S383" s="180">
        <v>0</v>
      </c>
      <c r="T383" s="179"/>
      <c r="U383" s="179" t="s">
        <v>426</v>
      </c>
      <c r="V383" s="167" t="s">
        <v>62</v>
      </c>
      <c r="W383" s="168">
        <v>2</v>
      </c>
      <c r="X383" s="106"/>
      <c r="Y383" s="167" t="s">
        <v>427</v>
      </c>
      <c r="Z383" s="169" t="s">
        <v>63</v>
      </c>
      <c r="AA383" s="166">
        <v>6</v>
      </c>
      <c r="AB383" s="166">
        <v>1</v>
      </c>
      <c r="AC383" s="165">
        <v>21.5</v>
      </c>
      <c r="AD383" s="165" t="s">
        <v>80</v>
      </c>
      <c r="AE383" s="165" t="s">
        <v>335</v>
      </c>
      <c r="AF383" s="165">
        <v>0.5</v>
      </c>
      <c r="AG383" s="165" t="s">
        <v>80</v>
      </c>
      <c r="AH383" s="165" t="s">
        <v>117</v>
      </c>
      <c r="AI383" s="165">
        <v>21</v>
      </c>
      <c r="AJ383" s="165">
        <v>22</v>
      </c>
      <c r="AK383" s="166">
        <v>72.5</v>
      </c>
      <c r="AL383" s="166" t="s">
        <v>81</v>
      </c>
      <c r="AM383" s="166" t="s">
        <v>335</v>
      </c>
      <c r="AN383" s="166">
        <v>5.4</v>
      </c>
      <c r="AO383" s="166" t="s">
        <v>81</v>
      </c>
      <c r="AP383" s="166" t="s">
        <v>117</v>
      </c>
      <c r="AQ383" s="166">
        <v>66.25</v>
      </c>
      <c r="AR383" s="166">
        <v>77.900000000000006</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c r="BR383" s="165"/>
      <c r="BS383" s="124">
        <v>415</v>
      </c>
      <c r="BT383" s="174"/>
    </row>
    <row r="384" spans="1:72" s="124" customFormat="1" ht="14.25" hidden="1" customHeight="1" x14ac:dyDescent="0.2">
      <c r="A384" s="92">
        <v>416</v>
      </c>
      <c r="B384" s="231" t="s">
        <v>423</v>
      </c>
      <c r="C384" s="264" t="s">
        <v>424</v>
      </c>
      <c r="D384" s="231" t="s">
        <v>428</v>
      </c>
      <c r="E384" s="125" t="s">
        <v>102</v>
      </c>
      <c r="F384" s="181" t="s">
        <v>103</v>
      </c>
      <c r="G384" s="181" t="s">
        <v>56</v>
      </c>
      <c r="H384" s="181" t="s">
        <v>168</v>
      </c>
      <c r="I384" s="181"/>
      <c r="J384" s="178">
        <v>10</v>
      </c>
      <c r="K384" s="182"/>
      <c r="L384" s="182" t="s">
        <v>58</v>
      </c>
      <c r="M384" s="178" t="s">
        <v>59</v>
      </c>
      <c r="N384" s="178">
        <v>0</v>
      </c>
      <c r="O384" s="178" t="s">
        <v>60</v>
      </c>
      <c r="P384" s="178"/>
      <c r="Q384" s="179"/>
      <c r="R384" s="179" t="s">
        <v>171</v>
      </c>
      <c r="S384" s="180"/>
      <c r="T384" s="179"/>
      <c r="U384" s="179"/>
      <c r="V384" s="167" t="s">
        <v>62</v>
      </c>
      <c r="W384" s="168">
        <v>2</v>
      </c>
      <c r="X384" s="106"/>
      <c r="Y384" s="167" t="s">
        <v>427</v>
      </c>
      <c r="Z384" s="169" t="s">
        <v>63</v>
      </c>
      <c r="AA384" s="166">
        <v>6</v>
      </c>
      <c r="AB384" s="166">
        <v>1</v>
      </c>
      <c r="AC384" s="165">
        <v>21.5</v>
      </c>
      <c r="AD384" s="165" t="s">
        <v>80</v>
      </c>
      <c r="AE384" s="165" t="s">
        <v>335</v>
      </c>
      <c r="AF384" s="165">
        <v>0.5</v>
      </c>
      <c r="AG384" s="165" t="s">
        <v>80</v>
      </c>
      <c r="AH384" s="165" t="s">
        <v>117</v>
      </c>
      <c r="AI384" s="165">
        <v>21</v>
      </c>
      <c r="AJ384" s="165">
        <v>22</v>
      </c>
      <c r="AK384" s="166">
        <v>72.5</v>
      </c>
      <c r="AL384" s="166" t="s">
        <v>81</v>
      </c>
      <c r="AM384" s="166" t="s">
        <v>335</v>
      </c>
      <c r="AN384" s="166">
        <v>5.4</v>
      </c>
      <c r="AO384" s="166" t="s">
        <v>81</v>
      </c>
      <c r="AP384" s="166" t="s">
        <v>117</v>
      </c>
      <c r="AQ384" s="166">
        <v>66.25</v>
      </c>
      <c r="AR384" s="166">
        <v>77.900000000000006</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c r="BR384" s="165"/>
      <c r="BS384" s="124">
        <v>416</v>
      </c>
      <c r="BT384" s="174"/>
    </row>
    <row r="385" spans="1:72" s="124" customFormat="1" ht="14.25" hidden="1" customHeight="1" x14ac:dyDescent="0.2">
      <c r="A385" s="92">
        <v>417</v>
      </c>
      <c r="B385" s="231" t="s">
        <v>423</v>
      </c>
      <c r="C385" s="264" t="s">
        <v>424</v>
      </c>
      <c r="D385" s="231" t="s">
        <v>429</v>
      </c>
      <c r="E385" s="125" t="s">
        <v>102</v>
      </c>
      <c r="F385" s="181" t="s">
        <v>103</v>
      </c>
      <c r="G385" s="181" t="s">
        <v>56</v>
      </c>
      <c r="H385" s="181" t="s">
        <v>430</v>
      </c>
      <c r="I385" s="181"/>
      <c r="J385" s="178">
        <v>10</v>
      </c>
      <c r="K385" s="182"/>
      <c r="L385" s="182" t="s">
        <v>58</v>
      </c>
      <c r="M385" s="178" t="s">
        <v>59</v>
      </c>
      <c r="N385" s="178">
        <v>0</v>
      </c>
      <c r="O385" s="178" t="s">
        <v>60</v>
      </c>
      <c r="P385" s="178"/>
      <c r="Q385" s="179"/>
      <c r="R385" s="179" t="s">
        <v>307</v>
      </c>
      <c r="S385" s="180"/>
      <c r="T385" s="179"/>
      <c r="U385" s="179"/>
      <c r="V385" s="167" t="s">
        <v>62</v>
      </c>
      <c r="W385" s="168">
        <v>2</v>
      </c>
      <c r="X385" s="106"/>
      <c r="Y385" s="167" t="s">
        <v>427</v>
      </c>
      <c r="Z385" s="169" t="s">
        <v>63</v>
      </c>
      <c r="AA385" s="166">
        <v>6</v>
      </c>
      <c r="AB385" s="166">
        <v>1</v>
      </c>
      <c r="AC385" s="165">
        <v>21.5</v>
      </c>
      <c r="AD385" s="165" t="s">
        <v>80</v>
      </c>
      <c r="AE385" s="165" t="s">
        <v>335</v>
      </c>
      <c r="AF385" s="165">
        <v>0.5</v>
      </c>
      <c r="AG385" s="165" t="s">
        <v>80</v>
      </c>
      <c r="AH385" s="165" t="s">
        <v>117</v>
      </c>
      <c r="AI385" s="165">
        <v>21</v>
      </c>
      <c r="AJ385" s="165">
        <v>22</v>
      </c>
      <c r="AK385" s="166">
        <v>72.5</v>
      </c>
      <c r="AL385" s="166" t="s">
        <v>81</v>
      </c>
      <c r="AM385" s="166" t="s">
        <v>335</v>
      </c>
      <c r="AN385" s="166">
        <v>5.4</v>
      </c>
      <c r="AO385" s="166" t="s">
        <v>81</v>
      </c>
      <c r="AP385" s="166" t="s">
        <v>117</v>
      </c>
      <c r="AQ385" s="166">
        <v>66.25</v>
      </c>
      <c r="AR385" s="166">
        <v>77.900000000000006</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c r="BR385" s="165"/>
      <c r="BS385" s="124">
        <v>417</v>
      </c>
      <c r="BT385" s="174"/>
    </row>
    <row r="386" spans="1:72" s="124" customFormat="1" ht="14.25" hidden="1" customHeight="1" x14ac:dyDescent="0.2">
      <c r="A386" s="92">
        <v>418</v>
      </c>
      <c r="B386" s="231" t="s">
        <v>431</v>
      </c>
      <c r="C386" s="264" t="s">
        <v>432</v>
      </c>
      <c r="D386" s="231" t="s">
        <v>433</v>
      </c>
      <c r="E386" s="125" t="s">
        <v>54</v>
      </c>
      <c r="F386" s="181" t="s">
        <v>103</v>
      </c>
      <c r="G386" s="181" t="s">
        <v>56</v>
      </c>
      <c r="H386" s="181" t="s">
        <v>434</v>
      </c>
      <c r="I386" s="181"/>
      <c r="J386" s="178">
        <v>600</v>
      </c>
      <c r="K386" s="182"/>
      <c r="L386" s="182" t="s">
        <v>58</v>
      </c>
      <c r="M386" s="178" t="s">
        <v>59</v>
      </c>
      <c r="N386" s="178" t="s">
        <v>435</v>
      </c>
      <c r="O386" s="178" t="s">
        <v>60</v>
      </c>
      <c r="P386" s="178"/>
      <c r="Q386" s="179"/>
      <c r="R386" s="179"/>
      <c r="S386" s="180"/>
      <c r="T386" s="179"/>
      <c r="U386" s="179"/>
      <c r="V386" s="167" t="s">
        <v>436</v>
      </c>
      <c r="W386" s="168"/>
      <c r="X386" s="106"/>
      <c r="Y386" s="167" t="s">
        <v>437</v>
      </c>
      <c r="Z386" s="169" t="s">
        <v>63</v>
      </c>
      <c r="AA386" s="166">
        <v>26</v>
      </c>
      <c r="AB386" s="166">
        <v>0</v>
      </c>
      <c r="AC386" s="165">
        <v>35</v>
      </c>
      <c r="AD386" s="165" t="s">
        <v>80</v>
      </c>
      <c r="AE386" s="165" t="s">
        <v>335</v>
      </c>
      <c r="AF386" s="165"/>
      <c r="AG386" s="165"/>
      <c r="AH386" s="165"/>
      <c r="AI386" s="165">
        <v>18</v>
      </c>
      <c r="AJ386" s="165">
        <v>44</v>
      </c>
      <c r="AK386" s="166">
        <v>76</v>
      </c>
      <c r="AL386" s="166" t="s">
        <v>81</v>
      </c>
      <c r="AM386" s="166" t="s">
        <v>335</v>
      </c>
      <c r="AN386" s="166"/>
      <c r="AO386" s="166"/>
      <c r="AP386" s="166"/>
      <c r="AQ386" s="166">
        <v>58</v>
      </c>
      <c r="AR386" s="166">
        <v>92</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236</v>
      </c>
      <c r="BR386" s="165" t="s">
        <v>438</v>
      </c>
      <c r="BS386" s="124">
        <v>418</v>
      </c>
      <c r="BT386" s="174"/>
    </row>
    <row r="387" spans="1:72" s="124" customFormat="1" ht="14.25" hidden="1" customHeight="1" x14ac:dyDescent="0.2">
      <c r="A387" s="205">
        <v>419</v>
      </c>
      <c r="B387" s="231" t="s">
        <v>888</v>
      </c>
      <c r="C387" s="264" t="s">
        <v>889</v>
      </c>
      <c r="D387" s="231" t="s">
        <v>890</v>
      </c>
      <c r="E387" s="125" t="s">
        <v>102</v>
      </c>
      <c r="F387" s="181" t="s">
        <v>103</v>
      </c>
      <c r="G387" s="181" t="s">
        <v>56</v>
      </c>
      <c r="H387" s="181" t="s">
        <v>66</v>
      </c>
      <c r="I387" s="181" t="s">
        <v>1384</v>
      </c>
      <c r="J387" s="178">
        <v>7.4999999999999997E-2</v>
      </c>
      <c r="K387" s="182"/>
      <c r="L387" s="182" t="s">
        <v>107</v>
      </c>
      <c r="M387" s="178" t="s">
        <v>78</v>
      </c>
      <c r="N387" s="178">
        <v>0</v>
      </c>
      <c r="O387" s="178" t="s">
        <v>60</v>
      </c>
      <c r="P387" s="178"/>
      <c r="Q387" s="179"/>
      <c r="R387" s="179" t="s">
        <v>1385</v>
      </c>
      <c r="S387" s="180">
        <v>1</v>
      </c>
      <c r="T387" s="179"/>
      <c r="U387" s="179"/>
      <c r="V387" s="167"/>
      <c r="W387" s="168"/>
      <c r="X387" s="168"/>
      <c r="Y387" s="167"/>
      <c r="Z387" s="169" t="s">
        <v>63</v>
      </c>
      <c r="AA387" s="166">
        <v>8</v>
      </c>
      <c r="AB387" s="166">
        <v>4</v>
      </c>
      <c r="AC387" s="165"/>
      <c r="AD387" s="165" t="s">
        <v>80</v>
      </c>
      <c r="AE387" s="165" t="s">
        <v>1386</v>
      </c>
      <c r="AF387" s="165"/>
      <c r="AG387" s="165"/>
      <c r="AH387" s="165"/>
      <c r="AI387" s="165">
        <v>21</v>
      </c>
      <c r="AJ387" s="165">
        <v>26</v>
      </c>
      <c r="AK387" s="166"/>
      <c r="AL387" s="166" t="s">
        <v>81</v>
      </c>
      <c r="AM387" s="166" t="s">
        <v>1386</v>
      </c>
      <c r="AN387" s="166"/>
      <c r="AO387" s="166"/>
      <c r="AP387" s="166"/>
      <c r="AQ387" s="166">
        <v>58</v>
      </c>
      <c r="AR387" s="166">
        <v>90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197</v>
      </c>
      <c r="BR387" s="165" t="s">
        <v>1387</v>
      </c>
      <c r="BS387" s="124">
        <v>419</v>
      </c>
    </row>
    <row r="388" spans="1:72" s="124" customFormat="1" ht="12.75" hidden="1" customHeight="1" x14ac:dyDescent="0.2">
      <c r="A388" s="205">
        <v>420</v>
      </c>
      <c r="B388" s="231" t="s">
        <v>888</v>
      </c>
      <c r="C388" s="264" t="s">
        <v>889</v>
      </c>
      <c r="D388" s="231" t="s">
        <v>1360</v>
      </c>
      <c r="E388" s="125" t="s">
        <v>102</v>
      </c>
      <c r="F388" s="181" t="s">
        <v>103</v>
      </c>
      <c r="G388" s="181" t="s">
        <v>56</v>
      </c>
      <c r="H388" s="181" t="s">
        <v>66</v>
      </c>
      <c r="I388" s="181" t="s">
        <v>1388</v>
      </c>
      <c r="J388" s="178">
        <v>7.4999999999999997E-2</v>
      </c>
      <c r="K388" s="182"/>
      <c r="L388" s="182" t="s">
        <v>107</v>
      </c>
      <c r="M388" s="178" t="s">
        <v>78</v>
      </c>
      <c r="N388" s="178">
        <v>96</v>
      </c>
      <c r="O388" s="178" t="s">
        <v>60</v>
      </c>
      <c r="P388" s="178" t="s">
        <v>1389</v>
      </c>
      <c r="Q388" s="179"/>
      <c r="R388" s="179" t="s">
        <v>1385</v>
      </c>
      <c r="S388" s="180">
        <v>1</v>
      </c>
      <c r="T388" s="179"/>
      <c r="U388" s="179"/>
      <c r="V388" s="167"/>
      <c r="W388" s="168"/>
      <c r="X388" s="168"/>
      <c r="Y388" s="167"/>
      <c r="Z388" s="169" t="s">
        <v>63</v>
      </c>
      <c r="AA388" s="166">
        <v>8</v>
      </c>
      <c r="AB388" s="166">
        <v>4</v>
      </c>
      <c r="AC388" s="165"/>
      <c r="AD388" s="165"/>
      <c r="AE388" s="165"/>
      <c r="AF388" s="165"/>
      <c r="AG388" s="165"/>
      <c r="AH388" s="165"/>
      <c r="AI388" s="165"/>
      <c r="AJ388" s="165"/>
      <c r="AK388" s="166"/>
      <c r="AL388" s="166"/>
      <c r="AM388" s="166"/>
      <c r="AN388" s="166"/>
      <c r="AO388" s="166"/>
      <c r="AP388" s="166"/>
      <c r="AQ388" s="166"/>
      <c r="AR388" s="166"/>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197</v>
      </c>
      <c r="BR388" s="165" t="s">
        <v>1387</v>
      </c>
      <c r="BS388" s="124">
        <v>420</v>
      </c>
    </row>
    <row r="389" spans="1:72" s="124" customFormat="1" ht="14.25" hidden="1" customHeight="1" x14ac:dyDescent="0.2">
      <c r="A389" s="205">
        <v>421</v>
      </c>
      <c r="B389" s="233" t="s">
        <v>891</v>
      </c>
      <c r="C389" s="263" t="s">
        <v>892</v>
      </c>
      <c r="D389" s="233" t="s">
        <v>200</v>
      </c>
      <c r="E389" s="125" t="s">
        <v>102</v>
      </c>
      <c r="F389" s="181" t="s">
        <v>103</v>
      </c>
      <c r="G389" s="181" t="s">
        <v>56</v>
      </c>
      <c r="H389" s="181" t="s">
        <v>66</v>
      </c>
      <c r="I389" s="181"/>
      <c r="J389" s="178">
        <v>0.05</v>
      </c>
      <c r="K389" s="182"/>
      <c r="L389" s="182" t="s">
        <v>107</v>
      </c>
      <c r="M389" s="178" t="s">
        <v>78</v>
      </c>
      <c r="N389" s="178">
        <v>0</v>
      </c>
      <c r="O389" s="178" t="s">
        <v>60</v>
      </c>
      <c r="P389" s="178" t="s">
        <v>79</v>
      </c>
      <c r="Q389" s="179"/>
      <c r="R389" s="179" t="s">
        <v>893</v>
      </c>
      <c r="S389" s="180">
        <v>2</v>
      </c>
      <c r="T389" s="179"/>
      <c r="U389" s="179"/>
      <c r="V389" s="167"/>
      <c r="W389" s="168"/>
      <c r="X389" s="168"/>
      <c r="Y389" s="167"/>
      <c r="Z389" s="169" t="s">
        <v>63</v>
      </c>
      <c r="AA389" s="166">
        <v>3</v>
      </c>
      <c r="AB389" s="166">
        <v>0</v>
      </c>
      <c r="AC389" s="165">
        <v>28.3</v>
      </c>
      <c r="AD389" s="165" t="s">
        <v>80</v>
      </c>
      <c r="AE389" s="165" t="s">
        <v>335</v>
      </c>
      <c r="AF389" s="165"/>
      <c r="AG389" s="165"/>
      <c r="AH389" s="165"/>
      <c r="AI389" s="165">
        <v>24</v>
      </c>
      <c r="AJ389" s="165">
        <v>36</v>
      </c>
      <c r="AK389" s="166"/>
      <c r="AL389" s="166"/>
      <c r="AM389" s="166"/>
      <c r="AN389" s="166"/>
      <c r="AO389" s="166"/>
      <c r="AP389" s="166"/>
      <c r="AQ389" s="166"/>
      <c r="AR389" s="166"/>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894</v>
      </c>
      <c r="BR389" s="165" t="s">
        <v>895</v>
      </c>
      <c r="BS389" s="124">
        <v>421</v>
      </c>
      <c r="BT389" s="124" t="s">
        <v>584</v>
      </c>
    </row>
    <row r="390" spans="1:72" s="124" customFormat="1" ht="14.25" hidden="1" customHeight="1" x14ac:dyDescent="0.2">
      <c r="A390" s="205">
        <v>422</v>
      </c>
      <c r="B390" s="233" t="s">
        <v>891</v>
      </c>
      <c r="C390" s="263" t="s">
        <v>892</v>
      </c>
      <c r="D390" s="233" t="s">
        <v>205</v>
      </c>
      <c r="E390" s="125" t="s">
        <v>102</v>
      </c>
      <c r="F390" s="181" t="s">
        <v>103</v>
      </c>
      <c r="G390" s="181" t="s">
        <v>56</v>
      </c>
      <c r="H390" s="181" t="s">
        <v>66</v>
      </c>
      <c r="I390" s="181" t="s">
        <v>896</v>
      </c>
      <c r="J390" s="178">
        <v>0.05</v>
      </c>
      <c r="K390" s="182"/>
      <c r="L390" s="182" t="s">
        <v>107</v>
      </c>
      <c r="M390" s="178" t="s">
        <v>78</v>
      </c>
      <c r="N390" s="178">
        <v>132</v>
      </c>
      <c r="O390" s="178" t="s">
        <v>60</v>
      </c>
      <c r="P390" s="178" t="s">
        <v>79</v>
      </c>
      <c r="Q390" s="179"/>
      <c r="R390" s="179" t="s">
        <v>893</v>
      </c>
      <c r="S390" s="180">
        <v>2</v>
      </c>
      <c r="T390" s="179"/>
      <c r="U390" s="179"/>
      <c r="V390" s="167"/>
      <c r="W390" s="168"/>
      <c r="X390" s="168"/>
      <c r="Y390" s="167"/>
      <c r="Z390" s="169" t="s">
        <v>63</v>
      </c>
      <c r="AA390" s="166">
        <v>3</v>
      </c>
      <c r="AB390" s="166">
        <v>0</v>
      </c>
      <c r="AC390" s="165">
        <v>28.3</v>
      </c>
      <c r="AD390" s="165" t="s">
        <v>80</v>
      </c>
      <c r="AE390" s="165" t="s">
        <v>335</v>
      </c>
      <c r="AF390" s="165"/>
      <c r="AG390" s="165"/>
      <c r="AH390" s="165"/>
      <c r="AI390" s="165">
        <v>24</v>
      </c>
      <c r="AJ390" s="165">
        <v>36</v>
      </c>
      <c r="AK390" s="166"/>
      <c r="AL390" s="166"/>
      <c r="AM390" s="166"/>
      <c r="AN390" s="166"/>
      <c r="AO390" s="166"/>
      <c r="AP390" s="166"/>
      <c r="AQ390" s="166"/>
      <c r="AR390" s="166"/>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894</v>
      </c>
      <c r="BR390" s="165" t="s">
        <v>895</v>
      </c>
      <c r="BS390" s="124">
        <v>422</v>
      </c>
      <c r="BT390" s="124" t="s">
        <v>584</v>
      </c>
    </row>
    <row r="391" spans="1:72" s="124" customFormat="1" ht="14.25" hidden="1" customHeight="1" x14ac:dyDescent="0.2">
      <c r="A391" s="205">
        <v>423</v>
      </c>
      <c r="B391" s="231" t="s">
        <v>897</v>
      </c>
      <c r="C391" s="264" t="s">
        <v>898</v>
      </c>
      <c r="D391" s="233" t="s">
        <v>200</v>
      </c>
      <c r="E391" s="125" t="s">
        <v>102</v>
      </c>
      <c r="F391" s="181" t="s">
        <v>103</v>
      </c>
      <c r="G391" s="181" t="s">
        <v>56</v>
      </c>
      <c r="H391" s="181" t="s">
        <v>57</v>
      </c>
      <c r="I391" s="181"/>
      <c r="J391" s="178">
        <v>2</v>
      </c>
      <c r="K391" s="182"/>
      <c r="L391" s="182" t="s">
        <v>58</v>
      </c>
      <c r="M391" s="178" t="s">
        <v>59</v>
      </c>
      <c r="N391" s="178">
        <v>0</v>
      </c>
      <c r="O391" s="178" t="s">
        <v>60</v>
      </c>
      <c r="P391" s="178" t="s">
        <v>79</v>
      </c>
      <c r="Q391" s="179"/>
      <c r="R391" s="179" t="s">
        <v>719</v>
      </c>
      <c r="S391" s="180"/>
      <c r="T391" s="179"/>
      <c r="U391" s="179"/>
      <c r="V391" s="167"/>
      <c r="W391" s="168"/>
      <c r="X391" s="168">
        <v>0.5</v>
      </c>
      <c r="Y391" s="167"/>
      <c r="Z391" s="169" t="s">
        <v>63</v>
      </c>
      <c r="AA391" s="166">
        <v>6</v>
      </c>
      <c r="AB391" s="166">
        <v>1</v>
      </c>
      <c r="AC391" s="165">
        <v>34</v>
      </c>
      <c r="AD391" s="165" t="s">
        <v>80</v>
      </c>
      <c r="AE391" s="165" t="s">
        <v>335</v>
      </c>
      <c r="AF391" s="165"/>
      <c r="AG391" s="165"/>
      <c r="AH391" s="165"/>
      <c r="AI391" s="165">
        <v>22</v>
      </c>
      <c r="AJ391" s="165">
        <v>42</v>
      </c>
      <c r="AK391" s="166"/>
      <c r="AL391" s="166"/>
      <c r="AM391" s="166"/>
      <c r="AN391" s="166"/>
      <c r="AO391" s="166"/>
      <c r="AP391" s="166"/>
      <c r="AQ391" s="166"/>
      <c r="AR391" s="166"/>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t="s">
        <v>899</v>
      </c>
      <c r="BS391" s="124">
        <v>423</v>
      </c>
      <c r="BT391" s="124" t="s">
        <v>584</v>
      </c>
    </row>
    <row r="392" spans="1:72" s="124" customFormat="1" ht="14.25" hidden="1" customHeight="1" x14ac:dyDescent="0.2">
      <c r="A392" s="205">
        <v>424</v>
      </c>
      <c r="B392" s="231" t="s">
        <v>897</v>
      </c>
      <c r="C392" s="264" t="s">
        <v>898</v>
      </c>
      <c r="D392" s="233" t="s">
        <v>900</v>
      </c>
      <c r="E392" s="125" t="s">
        <v>102</v>
      </c>
      <c r="F392" s="181" t="s">
        <v>103</v>
      </c>
      <c r="G392" s="181" t="s">
        <v>56</v>
      </c>
      <c r="H392" s="181" t="s">
        <v>57</v>
      </c>
      <c r="I392" s="181"/>
      <c r="J392" s="178">
        <v>2</v>
      </c>
      <c r="K392" s="182"/>
      <c r="L392" s="182" t="s">
        <v>58</v>
      </c>
      <c r="M392" s="178" t="s">
        <v>59</v>
      </c>
      <c r="N392" s="178">
        <v>4</v>
      </c>
      <c r="O392" s="178" t="s">
        <v>60</v>
      </c>
      <c r="P392" s="178" t="s">
        <v>79</v>
      </c>
      <c r="Q392" s="179"/>
      <c r="R392" s="179" t="s">
        <v>719</v>
      </c>
      <c r="S392" s="180"/>
      <c r="T392" s="179"/>
      <c r="U392" s="179"/>
      <c r="V392" s="167"/>
      <c r="W392" s="168"/>
      <c r="X392" s="168">
        <v>0.5</v>
      </c>
      <c r="Y392" s="167"/>
      <c r="Z392" s="169" t="s">
        <v>63</v>
      </c>
      <c r="AA392" s="166">
        <v>6</v>
      </c>
      <c r="AB392" s="166">
        <v>1</v>
      </c>
      <c r="AC392" s="165">
        <v>34</v>
      </c>
      <c r="AD392" s="165" t="s">
        <v>80</v>
      </c>
      <c r="AE392" s="165" t="s">
        <v>335</v>
      </c>
      <c r="AF392" s="165"/>
      <c r="AG392" s="165"/>
      <c r="AH392" s="165"/>
      <c r="AI392" s="165">
        <v>22</v>
      </c>
      <c r="AJ392" s="165">
        <v>42</v>
      </c>
      <c r="AK392" s="166"/>
      <c r="AL392" s="166"/>
      <c r="AM392" s="166"/>
      <c r="AN392" s="166"/>
      <c r="AO392" s="166"/>
      <c r="AP392" s="166"/>
      <c r="AQ392" s="166"/>
      <c r="AR392" s="166"/>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t="s">
        <v>899</v>
      </c>
      <c r="BS392" s="124">
        <v>424</v>
      </c>
      <c r="BT392" s="124" t="s">
        <v>584</v>
      </c>
    </row>
    <row r="393" spans="1:72" s="124" customFormat="1" ht="14.25" hidden="1" customHeight="1" x14ac:dyDescent="0.2">
      <c r="A393" s="205">
        <v>425</v>
      </c>
      <c r="B393" s="231" t="s">
        <v>897</v>
      </c>
      <c r="C393" s="264" t="s">
        <v>898</v>
      </c>
      <c r="D393" s="233" t="s">
        <v>901</v>
      </c>
      <c r="E393" s="125" t="s">
        <v>102</v>
      </c>
      <c r="F393" s="181" t="s">
        <v>103</v>
      </c>
      <c r="G393" s="181" t="s">
        <v>56</v>
      </c>
      <c r="H393" s="181" t="s">
        <v>57</v>
      </c>
      <c r="I393" s="181"/>
      <c r="J393" s="178">
        <v>2</v>
      </c>
      <c r="K393" s="182"/>
      <c r="L393" s="182" t="s">
        <v>58</v>
      </c>
      <c r="M393" s="178" t="s">
        <v>59</v>
      </c>
      <c r="N393" s="178">
        <v>4</v>
      </c>
      <c r="O393" s="178" t="s">
        <v>60</v>
      </c>
      <c r="P393" s="178" t="s">
        <v>79</v>
      </c>
      <c r="Q393" s="179"/>
      <c r="R393" s="179" t="s">
        <v>719</v>
      </c>
      <c r="S393" s="180"/>
      <c r="T393" s="179"/>
      <c r="U393" s="179"/>
      <c r="V393" s="167"/>
      <c r="W393" s="168"/>
      <c r="X393" s="168">
        <v>0.5</v>
      </c>
      <c r="Y393" s="167"/>
      <c r="Z393" s="169" t="s">
        <v>63</v>
      </c>
      <c r="AA393" s="166">
        <v>6</v>
      </c>
      <c r="AB393" s="166">
        <v>1</v>
      </c>
      <c r="AC393" s="165">
        <v>34</v>
      </c>
      <c r="AD393" s="165" t="s">
        <v>80</v>
      </c>
      <c r="AE393" s="165" t="s">
        <v>335</v>
      </c>
      <c r="AF393" s="165"/>
      <c r="AG393" s="165"/>
      <c r="AH393" s="165"/>
      <c r="AI393" s="165">
        <v>22</v>
      </c>
      <c r="AJ393" s="165">
        <v>42</v>
      </c>
      <c r="AK393" s="166"/>
      <c r="AL393" s="166"/>
      <c r="AM393" s="166"/>
      <c r="AN393" s="166"/>
      <c r="AO393" s="166"/>
      <c r="AP393" s="166"/>
      <c r="AQ393" s="166"/>
      <c r="AR393" s="166"/>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t="s">
        <v>899</v>
      </c>
      <c r="BS393" s="124">
        <v>425</v>
      </c>
      <c r="BT393" s="124" t="s">
        <v>584</v>
      </c>
    </row>
    <row r="394" spans="1:72" s="124" customFormat="1" ht="14.25" hidden="1" customHeight="1" x14ac:dyDescent="0.2">
      <c r="A394" s="205">
        <v>426</v>
      </c>
      <c r="B394" s="231" t="s">
        <v>897</v>
      </c>
      <c r="C394" s="264" t="s">
        <v>898</v>
      </c>
      <c r="D394" s="233" t="s">
        <v>902</v>
      </c>
      <c r="E394" s="125" t="s">
        <v>102</v>
      </c>
      <c r="F394" s="181" t="s">
        <v>103</v>
      </c>
      <c r="G394" s="181" t="s">
        <v>56</v>
      </c>
      <c r="H394" s="181" t="s">
        <v>57</v>
      </c>
      <c r="I394" s="181"/>
      <c r="J394" s="178">
        <v>2</v>
      </c>
      <c r="K394" s="182"/>
      <c r="L394" s="182" t="s">
        <v>58</v>
      </c>
      <c r="M394" s="178" t="s">
        <v>59</v>
      </c>
      <c r="N394" s="178">
        <v>4</v>
      </c>
      <c r="O394" s="178" t="s">
        <v>60</v>
      </c>
      <c r="P394" s="178" t="s">
        <v>79</v>
      </c>
      <c r="Q394" s="179"/>
      <c r="R394" s="179" t="s">
        <v>719</v>
      </c>
      <c r="S394" s="180"/>
      <c r="T394" s="179"/>
      <c r="U394" s="179"/>
      <c r="V394" s="167"/>
      <c r="W394" s="168"/>
      <c r="X394" s="168">
        <v>0.5</v>
      </c>
      <c r="Y394" s="167"/>
      <c r="Z394" s="169" t="s">
        <v>63</v>
      </c>
      <c r="AA394" s="166">
        <v>6</v>
      </c>
      <c r="AB394" s="166">
        <v>1</v>
      </c>
      <c r="AC394" s="165">
        <v>34</v>
      </c>
      <c r="AD394" s="165" t="s">
        <v>80</v>
      </c>
      <c r="AE394" s="165" t="s">
        <v>335</v>
      </c>
      <c r="AF394" s="165"/>
      <c r="AG394" s="165"/>
      <c r="AH394" s="165"/>
      <c r="AI394" s="165">
        <v>22</v>
      </c>
      <c r="AJ394" s="165">
        <v>42</v>
      </c>
      <c r="AK394" s="166"/>
      <c r="AL394" s="166"/>
      <c r="AM394" s="166"/>
      <c r="AN394" s="166"/>
      <c r="AO394" s="166"/>
      <c r="AP394" s="166"/>
      <c r="AQ394" s="166"/>
      <c r="AR394" s="166"/>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t="s">
        <v>899</v>
      </c>
      <c r="BS394" s="124">
        <v>426</v>
      </c>
      <c r="BT394" s="124" t="s">
        <v>584</v>
      </c>
    </row>
    <row r="395" spans="1:72" s="124" customFormat="1" ht="14.25" hidden="1" customHeight="1" x14ac:dyDescent="0.2">
      <c r="A395" s="205">
        <v>427</v>
      </c>
      <c r="B395" s="231" t="s">
        <v>903</v>
      </c>
      <c r="C395" s="264" t="s">
        <v>904</v>
      </c>
      <c r="D395" s="233" t="s">
        <v>200</v>
      </c>
      <c r="E395" s="125" t="s">
        <v>102</v>
      </c>
      <c r="F395" s="181" t="s">
        <v>103</v>
      </c>
      <c r="G395" s="181" t="s">
        <v>56</v>
      </c>
      <c r="H395" s="181" t="s">
        <v>57</v>
      </c>
      <c r="I395" s="181"/>
      <c r="J395" s="178">
        <v>1</v>
      </c>
      <c r="K395" s="182"/>
      <c r="L395" s="182" t="s">
        <v>58</v>
      </c>
      <c r="M395" s="178" t="s">
        <v>78</v>
      </c>
      <c r="N395" s="178">
        <v>0</v>
      </c>
      <c r="O395" s="178" t="s">
        <v>60</v>
      </c>
      <c r="P395" s="178" t="s">
        <v>79</v>
      </c>
      <c r="Q395" s="179" t="s">
        <v>905</v>
      </c>
      <c r="R395" s="180"/>
      <c r="S395" s="180">
        <v>0.5</v>
      </c>
      <c r="T395" s="179"/>
      <c r="U395" s="179" t="s">
        <v>906</v>
      </c>
      <c r="V395" s="167"/>
      <c r="W395" s="168"/>
      <c r="X395" s="168"/>
      <c r="Y395" s="167"/>
      <c r="Z395" s="169" t="s">
        <v>63</v>
      </c>
      <c r="AA395" s="166">
        <v>28</v>
      </c>
      <c r="AB395" s="166">
        <v>14</v>
      </c>
      <c r="AC395" s="165">
        <v>55.7</v>
      </c>
      <c r="AD395" s="172" t="s">
        <v>80</v>
      </c>
      <c r="AE395" s="172" t="s">
        <v>116</v>
      </c>
      <c r="AF395" s="165">
        <v>8.1</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c r="BB395" s="166"/>
      <c r="BC395" s="166"/>
      <c r="BD395" s="166"/>
      <c r="BE395" s="166"/>
      <c r="BF395" s="166"/>
      <c r="BG395" s="166"/>
      <c r="BH395" s="166"/>
      <c r="BI395" s="165">
        <v>1.6</v>
      </c>
      <c r="BJ395" s="165" t="s">
        <v>120</v>
      </c>
      <c r="BK395" s="165" t="s">
        <v>335</v>
      </c>
      <c r="BL395" s="165">
        <v>0.2</v>
      </c>
      <c r="BM395" s="165" t="s">
        <v>120</v>
      </c>
      <c r="BN395" s="165" t="s">
        <v>117</v>
      </c>
      <c r="BO395" s="165"/>
      <c r="BP395" s="165"/>
      <c r="BQ395" s="166" t="s">
        <v>907</v>
      </c>
      <c r="BR395" s="126" t="s">
        <v>908</v>
      </c>
      <c r="BS395" s="124">
        <v>427</v>
      </c>
      <c r="BT395" s="124" t="s">
        <v>584</v>
      </c>
    </row>
    <row r="396" spans="1:72" s="124" customFormat="1" ht="14.25" hidden="1" customHeight="1" x14ac:dyDescent="0.2">
      <c r="A396" s="205">
        <v>428</v>
      </c>
      <c r="B396" s="231" t="s">
        <v>903</v>
      </c>
      <c r="C396" s="264" t="s">
        <v>904</v>
      </c>
      <c r="D396" s="233" t="s">
        <v>909</v>
      </c>
      <c r="E396" s="125" t="s">
        <v>102</v>
      </c>
      <c r="F396" s="181" t="s">
        <v>103</v>
      </c>
      <c r="G396" s="181" t="s">
        <v>56</v>
      </c>
      <c r="H396" s="181" t="s">
        <v>57</v>
      </c>
      <c r="I396" s="181" t="s">
        <v>910</v>
      </c>
      <c r="J396" s="178">
        <v>1</v>
      </c>
      <c r="K396" s="182"/>
      <c r="L396" s="182" t="s">
        <v>58</v>
      </c>
      <c r="M396" s="178" t="s">
        <v>78</v>
      </c>
      <c r="N396" s="178">
        <v>47</v>
      </c>
      <c r="O396" s="178" t="s">
        <v>60</v>
      </c>
      <c r="P396" s="178" t="s">
        <v>79</v>
      </c>
      <c r="Q396" s="179" t="s">
        <v>905</v>
      </c>
      <c r="R396" s="180"/>
      <c r="S396" s="180">
        <v>0.5</v>
      </c>
      <c r="T396" s="179"/>
      <c r="U396" s="179" t="s">
        <v>906</v>
      </c>
      <c r="V396" s="167"/>
      <c r="W396" s="168"/>
      <c r="X396" s="168"/>
      <c r="Y396" s="167"/>
      <c r="Z396" s="169" t="s">
        <v>63</v>
      </c>
      <c r="AA396" s="166">
        <v>29</v>
      </c>
      <c r="AB396" s="166">
        <v>11</v>
      </c>
      <c r="AC396" s="165">
        <v>59.1</v>
      </c>
      <c r="AD396" s="172" t="s">
        <v>80</v>
      </c>
      <c r="AE396" s="172" t="s">
        <v>116</v>
      </c>
      <c r="AF396" s="165">
        <v>11.1</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c r="BB396" s="166"/>
      <c r="BC396" s="166"/>
      <c r="BD396" s="166"/>
      <c r="BE396" s="166"/>
      <c r="BF396" s="166"/>
      <c r="BG396" s="166"/>
      <c r="BH396" s="166"/>
      <c r="BI396" s="165">
        <v>1.6</v>
      </c>
      <c r="BJ396" s="165" t="s">
        <v>120</v>
      </c>
      <c r="BK396" s="165" t="s">
        <v>335</v>
      </c>
      <c r="BL396" s="165">
        <v>0.2</v>
      </c>
      <c r="BM396" s="165" t="s">
        <v>120</v>
      </c>
      <c r="BN396" s="165" t="s">
        <v>117</v>
      </c>
      <c r="BO396" s="165"/>
      <c r="BP396" s="165"/>
      <c r="BQ396" s="166" t="s">
        <v>911</v>
      </c>
      <c r="BR396" s="126" t="s">
        <v>908</v>
      </c>
      <c r="BS396" s="124">
        <v>428</v>
      </c>
      <c r="BT396" s="124" t="s">
        <v>584</v>
      </c>
    </row>
    <row r="397" spans="1:72" s="124" customFormat="1" ht="14.25" hidden="1" customHeight="1" x14ac:dyDescent="0.2">
      <c r="A397" s="91">
        <v>429</v>
      </c>
      <c r="B397" s="231" t="s">
        <v>439</v>
      </c>
      <c r="C397" s="264" t="s">
        <v>440</v>
      </c>
      <c r="D397" s="231" t="s">
        <v>441</v>
      </c>
      <c r="E397" s="125" t="s">
        <v>102</v>
      </c>
      <c r="F397" s="181" t="s">
        <v>71</v>
      </c>
      <c r="G397" s="181" t="s">
        <v>56</v>
      </c>
      <c r="H397" s="181" t="s">
        <v>442</v>
      </c>
      <c r="I397" s="181"/>
      <c r="J397" s="178">
        <v>1</v>
      </c>
      <c r="K397" s="182"/>
      <c r="L397" s="182" t="s">
        <v>58</v>
      </c>
      <c r="M397" s="178" t="s">
        <v>78</v>
      </c>
      <c r="N397" s="178">
        <v>0</v>
      </c>
      <c r="O397" s="178" t="s">
        <v>60</v>
      </c>
      <c r="P397" s="178" t="s">
        <v>79</v>
      </c>
      <c r="Q397" s="179"/>
      <c r="R397" s="179"/>
      <c r="S397" s="180">
        <v>0</v>
      </c>
      <c r="T397" s="179"/>
      <c r="U397" s="179"/>
      <c r="V397" s="167"/>
      <c r="W397" s="168"/>
      <c r="X397" s="106"/>
      <c r="Y397" s="167"/>
      <c r="Z397" s="169" t="s">
        <v>63</v>
      </c>
      <c r="AA397" s="166">
        <v>10</v>
      </c>
      <c r="AB397" s="166">
        <v>10</v>
      </c>
      <c r="AC397" s="165">
        <v>31</v>
      </c>
      <c r="AD397" s="165" t="s">
        <v>80</v>
      </c>
      <c r="AE397" s="165" t="s">
        <v>116</v>
      </c>
      <c r="AF397" s="165">
        <v>6</v>
      </c>
      <c r="AG397" s="165" t="s">
        <v>80</v>
      </c>
      <c r="AH397" s="165" t="s">
        <v>117</v>
      </c>
      <c r="AI397" s="165">
        <v>24</v>
      </c>
      <c r="AJ397" s="165">
        <v>44</v>
      </c>
      <c r="AK397" s="166">
        <v>73</v>
      </c>
      <c r="AL397" s="166" t="s">
        <v>81</v>
      </c>
      <c r="AM397" s="166" t="s">
        <v>116</v>
      </c>
      <c r="AN397" s="166">
        <v>17</v>
      </c>
      <c r="AO397" s="166" t="s">
        <v>81</v>
      </c>
      <c r="AP397" s="166" t="s">
        <v>117</v>
      </c>
      <c r="AQ397" s="166">
        <v>61</v>
      </c>
      <c r="AR397" s="166">
        <v>118</v>
      </c>
      <c r="AS397" s="165"/>
      <c r="AT397" s="165"/>
      <c r="AU397" s="165"/>
      <c r="AV397" s="165"/>
      <c r="AW397" s="165"/>
      <c r="AX397" s="165"/>
      <c r="AY397" s="165"/>
      <c r="AZ397" s="165"/>
      <c r="BA397" s="166"/>
      <c r="BB397" s="166"/>
      <c r="BC397" s="166"/>
      <c r="BD397" s="166"/>
      <c r="BE397" s="166"/>
      <c r="BF397" s="166"/>
      <c r="BG397" s="166"/>
      <c r="BH397" s="166"/>
      <c r="BI397" s="165"/>
      <c r="BJ397" s="165"/>
      <c r="BK397" s="165"/>
      <c r="BL397" s="165"/>
      <c r="BM397" s="165"/>
      <c r="BN397" s="165"/>
      <c r="BO397" s="165"/>
      <c r="BP397" s="165"/>
      <c r="BQ397" s="166"/>
      <c r="BR397" s="165"/>
      <c r="BS397" s="124">
        <v>429</v>
      </c>
      <c r="BT397" s="174"/>
    </row>
    <row r="398" spans="1:72" s="124" customFormat="1" ht="14.25" hidden="1" customHeight="1" x14ac:dyDescent="0.2">
      <c r="A398" s="91">
        <v>430</v>
      </c>
      <c r="B398" s="231" t="s">
        <v>439</v>
      </c>
      <c r="C398" s="264" t="s">
        <v>440</v>
      </c>
      <c r="D398" s="231" t="s">
        <v>443</v>
      </c>
      <c r="E398" s="125" t="s">
        <v>102</v>
      </c>
      <c r="F398" s="181" t="s">
        <v>71</v>
      </c>
      <c r="G398" s="181" t="s">
        <v>56</v>
      </c>
      <c r="H398" s="181" t="s">
        <v>442</v>
      </c>
      <c r="I398" s="181"/>
      <c r="J398" s="178">
        <v>1</v>
      </c>
      <c r="K398" s="182"/>
      <c r="L398" s="182" t="s">
        <v>58</v>
      </c>
      <c r="M398" s="178" t="s">
        <v>78</v>
      </c>
      <c r="N398" s="178">
        <v>0</v>
      </c>
      <c r="O398" s="178" t="s">
        <v>60</v>
      </c>
      <c r="P398" s="178" t="s">
        <v>79</v>
      </c>
      <c r="Q398" s="179"/>
      <c r="R398" s="179"/>
      <c r="S398" s="180">
        <v>0</v>
      </c>
      <c r="T398" s="179"/>
      <c r="U398" s="179"/>
      <c r="V398" s="167"/>
      <c r="W398" s="168"/>
      <c r="X398" s="106"/>
      <c r="Y398" s="167"/>
      <c r="Z398" s="169" t="s">
        <v>63</v>
      </c>
      <c r="AA398" s="166">
        <v>10</v>
      </c>
      <c r="AB398" s="166">
        <v>0</v>
      </c>
      <c r="AC398" s="165">
        <v>32</v>
      </c>
      <c r="AD398" s="165" t="s">
        <v>80</v>
      </c>
      <c r="AE398" s="165" t="s">
        <v>116</v>
      </c>
      <c r="AF398" s="165">
        <v>5</v>
      </c>
      <c r="AG398" s="165" t="s">
        <v>80</v>
      </c>
      <c r="AH398" s="165" t="s">
        <v>117</v>
      </c>
      <c r="AI398" s="165">
        <v>26</v>
      </c>
      <c r="AJ398" s="165">
        <v>42</v>
      </c>
      <c r="AK398" s="166">
        <v>84</v>
      </c>
      <c r="AL398" s="166" t="s">
        <v>81</v>
      </c>
      <c r="AM398" s="166" t="s">
        <v>116</v>
      </c>
      <c r="AN398" s="166">
        <v>9</v>
      </c>
      <c r="AO398" s="166" t="s">
        <v>81</v>
      </c>
      <c r="AP398" s="166" t="s">
        <v>117</v>
      </c>
      <c r="AQ398" s="166">
        <v>75</v>
      </c>
      <c r="AR398" s="166">
        <v>100</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c r="BR398" s="165"/>
      <c r="BS398" s="124">
        <v>430</v>
      </c>
      <c r="BT398" s="174"/>
    </row>
    <row r="399" spans="1:72" s="124" customFormat="1" ht="14.25" hidden="1" customHeight="1" x14ac:dyDescent="0.2">
      <c r="A399" s="91">
        <v>431</v>
      </c>
      <c r="B399" s="231" t="s">
        <v>439</v>
      </c>
      <c r="C399" s="264" t="s">
        <v>440</v>
      </c>
      <c r="D399" s="231" t="s">
        <v>444</v>
      </c>
      <c r="E399" s="125" t="s">
        <v>102</v>
      </c>
      <c r="F399" s="181" t="s">
        <v>71</v>
      </c>
      <c r="G399" s="181" t="s">
        <v>56</v>
      </c>
      <c r="H399" s="181" t="s">
        <v>442</v>
      </c>
      <c r="I399" s="181"/>
      <c r="J399" s="178">
        <v>2</v>
      </c>
      <c r="K399" s="182"/>
      <c r="L399" s="182" t="s">
        <v>58</v>
      </c>
      <c r="M399" s="178" t="s">
        <v>59</v>
      </c>
      <c r="N399" s="178">
        <v>0</v>
      </c>
      <c r="O399" s="178" t="s">
        <v>60</v>
      </c>
      <c r="P399" s="178" t="s">
        <v>79</v>
      </c>
      <c r="Q399" s="179"/>
      <c r="R399" s="179"/>
      <c r="S399" s="180"/>
      <c r="T399" s="179"/>
      <c r="U399" s="179" t="s">
        <v>445</v>
      </c>
      <c r="V399" s="167" t="s">
        <v>62</v>
      </c>
      <c r="W399" s="168">
        <v>12</v>
      </c>
      <c r="X399" s="106"/>
      <c r="Y399" s="167"/>
      <c r="Z399" s="169" t="s">
        <v>63</v>
      </c>
      <c r="AA399" s="166">
        <v>10</v>
      </c>
      <c r="AB399" s="166">
        <v>10</v>
      </c>
      <c r="AC399" s="165">
        <v>31</v>
      </c>
      <c r="AD399" s="165" t="s">
        <v>80</v>
      </c>
      <c r="AE399" s="165" t="s">
        <v>116</v>
      </c>
      <c r="AF399" s="165">
        <v>6</v>
      </c>
      <c r="AG399" s="165" t="s">
        <v>80</v>
      </c>
      <c r="AH399" s="165" t="s">
        <v>117</v>
      </c>
      <c r="AI399" s="165">
        <v>24</v>
      </c>
      <c r="AJ399" s="165">
        <v>44</v>
      </c>
      <c r="AK399" s="166">
        <v>73</v>
      </c>
      <c r="AL399" s="166" t="s">
        <v>81</v>
      </c>
      <c r="AM399" s="166" t="s">
        <v>116</v>
      </c>
      <c r="AN399" s="166">
        <v>17</v>
      </c>
      <c r="AO399" s="166" t="s">
        <v>81</v>
      </c>
      <c r="AP399" s="166" t="s">
        <v>117</v>
      </c>
      <c r="AQ399" s="166">
        <v>61</v>
      </c>
      <c r="AR399" s="166">
        <v>118</v>
      </c>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c r="BR399" s="165"/>
      <c r="BS399" s="124">
        <v>431</v>
      </c>
    </row>
    <row r="400" spans="1:72" s="124" customFormat="1" ht="14.25" hidden="1" customHeight="1" x14ac:dyDescent="0.2">
      <c r="A400" s="91">
        <v>432</v>
      </c>
      <c r="B400" s="231" t="s">
        <v>439</v>
      </c>
      <c r="C400" s="264" t="s">
        <v>440</v>
      </c>
      <c r="D400" s="231" t="s">
        <v>446</v>
      </c>
      <c r="E400" s="125" t="s">
        <v>102</v>
      </c>
      <c r="F400" s="181" t="s">
        <v>71</v>
      </c>
      <c r="G400" s="181" t="s">
        <v>56</v>
      </c>
      <c r="H400" s="181" t="s">
        <v>442</v>
      </c>
      <c r="I400" s="181"/>
      <c r="J400" s="178">
        <v>2</v>
      </c>
      <c r="K400" s="182"/>
      <c r="L400" s="182" t="s">
        <v>58</v>
      </c>
      <c r="M400" s="178" t="s">
        <v>59</v>
      </c>
      <c r="N400" s="178">
        <v>0</v>
      </c>
      <c r="O400" s="178" t="s">
        <v>60</v>
      </c>
      <c r="P400" s="178" t="s">
        <v>79</v>
      </c>
      <c r="Q400" s="179"/>
      <c r="R400" s="179"/>
      <c r="S400" s="180"/>
      <c r="T400" s="179"/>
      <c r="U400" s="179" t="s">
        <v>445</v>
      </c>
      <c r="V400" s="167" t="s">
        <v>62</v>
      </c>
      <c r="W400" s="168">
        <v>12</v>
      </c>
      <c r="X400" s="106"/>
      <c r="Y400" s="167"/>
      <c r="Z400" s="169" t="s">
        <v>63</v>
      </c>
      <c r="AA400" s="166">
        <v>10</v>
      </c>
      <c r="AB400" s="166">
        <v>0</v>
      </c>
      <c r="AC400" s="165">
        <v>32</v>
      </c>
      <c r="AD400" s="165" t="s">
        <v>80</v>
      </c>
      <c r="AE400" s="165" t="s">
        <v>116</v>
      </c>
      <c r="AF400" s="165">
        <v>5</v>
      </c>
      <c r="AG400" s="165" t="s">
        <v>80</v>
      </c>
      <c r="AH400" s="165" t="s">
        <v>117</v>
      </c>
      <c r="AI400" s="165">
        <v>26</v>
      </c>
      <c r="AJ400" s="165">
        <v>42</v>
      </c>
      <c r="AK400" s="166">
        <v>84</v>
      </c>
      <c r="AL400" s="166" t="s">
        <v>81</v>
      </c>
      <c r="AM400" s="166" t="s">
        <v>116</v>
      </c>
      <c r="AN400" s="166">
        <v>9</v>
      </c>
      <c r="AO400" s="166" t="s">
        <v>81</v>
      </c>
      <c r="AP400" s="166" t="s">
        <v>117</v>
      </c>
      <c r="AQ400" s="166">
        <v>75</v>
      </c>
      <c r="AR400" s="166">
        <v>100</v>
      </c>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c r="BR400" s="165"/>
      <c r="BS400" s="124">
        <v>432</v>
      </c>
    </row>
    <row r="401" spans="1:71" s="124" customFormat="1" ht="14.25" customHeight="1" x14ac:dyDescent="0.2">
      <c r="A401" s="92">
        <v>468</v>
      </c>
      <c r="B401" s="231" t="s">
        <v>452</v>
      </c>
      <c r="C401" s="264" t="s">
        <v>453</v>
      </c>
      <c r="D401" s="233" t="s">
        <v>200</v>
      </c>
      <c r="E401" s="125" t="s">
        <v>102</v>
      </c>
      <c r="F401" s="181" t="s">
        <v>103</v>
      </c>
      <c r="G401" s="181" t="s">
        <v>56</v>
      </c>
      <c r="H401" s="181" t="s">
        <v>57</v>
      </c>
      <c r="I401" s="181"/>
      <c r="J401" s="178">
        <v>15</v>
      </c>
      <c r="K401" s="182"/>
      <c r="L401" s="182" t="s">
        <v>58</v>
      </c>
      <c r="M401" s="178" t="s">
        <v>59</v>
      </c>
      <c r="N401" s="178">
        <v>0</v>
      </c>
      <c r="O401" s="178" t="s">
        <v>60</v>
      </c>
      <c r="P401" s="178" t="s">
        <v>79</v>
      </c>
      <c r="Q401" s="179"/>
      <c r="R401" s="179" t="s">
        <v>454</v>
      </c>
      <c r="S401" s="180"/>
      <c r="T401" s="179"/>
      <c r="U401" s="179" t="s">
        <v>455</v>
      </c>
      <c r="V401" s="167" t="s">
        <v>62</v>
      </c>
      <c r="W401" s="168"/>
      <c r="X401" s="106" t="s">
        <v>334</v>
      </c>
      <c r="Y401" s="167"/>
      <c r="Z401" s="169" t="s">
        <v>63</v>
      </c>
      <c r="AA401" s="166">
        <v>12</v>
      </c>
      <c r="AB401" s="166">
        <v>8</v>
      </c>
      <c r="AC401" s="165"/>
      <c r="AD401" s="165" t="s">
        <v>80</v>
      </c>
      <c r="AE401" s="165"/>
      <c r="AF401" s="165"/>
      <c r="AG401" s="165"/>
      <c r="AH401" s="165"/>
      <c r="AI401" s="165">
        <v>24</v>
      </c>
      <c r="AJ401" s="165">
        <v>53</v>
      </c>
      <c r="AK401" s="166"/>
      <c r="AL401" s="166" t="s">
        <v>81</v>
      </c>
      <c r="AM401" s="166"/>
      <c r="AN401" s="166"/>
      <c r="AO401" s="166"/>
      <c r="AP401" s="166"/>
      <c r="AQ401" s="166">
        <v>54</v>
      </c>
      <c r="AR401" s="166">
        <v>96</v>
      </c>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c r="BR401" s="165"/>
      <c r="BS401" s="124">
        <v>468</v>
      </c>
    </row>
    <row r="402" spans="1:71" s="124" customFormat="1" ht="14.25" customHeight="1" x14ac:dyDescent="0.2">
      <c r="A402" s="92">
        <v>469</v>
      </c>
      <c r="B402" s="231" t="s">
        <v>452</v>
      </c>
      <c r="C402" s="261" t="s">
        <v>453</v>
      </c>
      <c r="D402" s="233" t="s">
        <v>395</v>
      </c>
      <c r="E402" s="125" t="s">
        <v>102</v>
      </c>
      <c r="F402" s="181" t="s">
        <v>103</v>
      </c>
      <c r="G402" s="181" t="s">
        <v>56</v>
      </c>
      <c r="H402" s="181" t="s">
        <v>57</v>
      </c>
      <c r="I402" s="181"/>
      <c r="J402" s="178">
        <v>15</v>
      </c>
      <c r="K402" s="182"/>
      <c r="L402" s="182" t="s">
        <v>58</v>
      </c>
      <c r="M402" s="178" t="s">
        <v>59</v>
      </c>
      <c r="N402" s="178">
        <f>96+1.5</f>
        <v>97.5</v>
      </c>
      <c r="O402" s="178" t="s">
        <v>60</v>
      </c>
      <c r="P402" s="178" t="s">
        <v>79</v>
      </c>
      <c r="Q402" s="179"/>
      <c r="R402" s="179" t="s">
        <v>454</v>
      </c>
      <c r="S402" s="180"/>
      <c r="T402" s="179"/>
      <c r="U402" s="179" t="s">
        <v>455</v>
      </c>
      <c r="V402" s="167" t="s">
        <v>62</v>
      </c>
      <c r="W402" s="168"/>
      <c r="X402" s="106" t="s">
        <v>334</v>
      </c>
      <c r="Y402" s="167"/>
      <c r="Z402" s="169" t="s">
        <v>63</v>
      </c>
      <c r="AA402" s="166">
        <v>12</v>
      </c>
      <c r="AB402" s="166">
        <v>8</v>
      </c>
      <c r="AC402" s="165"/>
      <c r="AD402" s="165" t="s">
        <v>80</v>
      </c>
      <c r="AE402" s="165"/>
      <c r="AF402" s="165"/>
      <c r="AG402" s="165"/>
      <c r="AH402" s="165"/>
      <c r="AI402" s="165">
        <v>24</v>
      </c>
      <c r="AJ402" s="165">
        <v>53</v>
      </c>
      <c r="AK402" s="166"/>
      <c r="AL402" s="166" t="s">
        <v>81</v>
      </c>
      <c r="AM402" s="166"/>
      <c r="AN402" s="166"/>
      <c r="AO402" s="166"/>
      <c r="AP402" s="166"/>
      <c r="AQ402" s="166">
        <v>54</v>
      </c>
      <c r="AR402" s="166">
        <v>96</v>
      </c>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c r="BR402" s="165"/>
      <c r="BS402" s="124">
        <v>469</v>
      </c>
    </row>
    <row r="403" spans="1:71" s="124" customFormat="1" ht="14.25" hidden="1" customHeight="1" x14ac:dyDescent="0.2">
      <c r="A403" s="92">
        <v>470</v>
      </c>
      <c r="B403" s="231" t="s">
        <v>456</v>
      </c>
      <c r="C403" s="264" t="s">
        <v>457</v>
      </c>
      <c r="D403" s="233" t="s">
        <v>200</v>
      </c>
      <c r="E403" s="125" t="s">
        <v>102</v>
      </c>
      <c r="F403" s="181" t="s">
        <v>103</v>
      </c>
      <c r="G403" s="181" t="s">
        <v>56</v>
      </c>
      <c r="H403" s="181" t="s">
        <v>157</v>
      </c>
      <c r="I403" s="181"/>
      <c r="J403" s="178">
        <v>15</v>
      </c>
      <c r="K403" s="182"/>
      <c r="L403" s="182" t="s">
        <v>58</v>
      </c>
      <c r="M403" s="178" t="s">
        <v>59</v>
      </c>
      <c r="N403" s="178">
        <v>0</v>
      </c>
      <c r="O403" s="178" t="s">
        <v>60</v>
      </c>
      <c r="P403" s="178"/>
      <c r="Q403" s="179"/>
      <c r="R403" s="179"/>
      <c r="S403" s="180"/>
      <c r="T403" s="179">
        <v>100</v>
      </c>
      <c r="U403" s="179"/>
      <c r="V403" s="167" t="s">
        <v>62</v>
      </c>
      <c r="W403" s="168">
        <v>10</v>
      </c>
      <c r="X403" s="106" t="s">
        <v>334</v>
      </c>
      <c r="Y403" s="167"/>
      <c r="Z403" s="169" t="s">
        <v>63</v>
      </c>
      <c r="AA403" s="166">
        <v>12</v>
      </c>
      <c r="AB403" s="166">
        <v>8</v>
      </c>
      <c r="AC403" s="165"/>
      <c r="AD403" s="165" t="s">
        <v>80</v>
      </c>
      <c r="AE403" s="165"/>
      <c r="AF403" s="165"/>
      <c r="AG403" s="165"/>
      <c r="AH403" s="165"/>
      <c r="AI403" s="165">
        <v>24</v>
      </c>
      <c r="AJ403" s="165">
        <v>53</v>
      </c>
      <c r="AK403" s="166"/>
      <c r="AL403" s="166" t="s">
        <v>81</v>
      </c>
      <c r="AM403" s="166"/>
      <c r="AN403" s="166"/>
      <c r="AO403" s="166"/>
      <c r="AP403" s="166"/>
      <c r="AQ403" s="166">
        <v>49</v>
      </c>
      <c r="AR403" s="166">
        <v>97</v>
      </c>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470</v>
      </c>
    </row>
    <row r="404" spans="1:71" s="124" customFormat="1" ht="14.25" hidden="1" customHeight="1" x14ac:dyDescent="0.2">
      <c r="A404" s="92">
        <v>471</v>
      </c>
      <c r="B404" s="231" t="s">
        <v>456</v>
      </c>
      <c r="C404" s="264" t="s">
        <v>457</v>
      </c>
      <c r="D404" s="233" t="s">
        <v>355</v>
      </c>
      <c r="E404" s="125" t="s">
        <v>102</v>
      </c>
      <c r="F404" s="181" t="s">
        <v>103</v>
      </c>
      <c r="G404" s="181" t="s">
        <v>56</v>
      </c>
      <c r="H404" s="181" t="s">
        <v>157</v>
      </c>
      <c r="I404" s="181"/>
      <c r="J404" s="178">
        <v>15</v>
      </c>
      <c r="K404" s="182"/>
      <c r="L404" s="182" t="s">
        <v>58</v>
      </c>
      <c r="M404" s="178" t="s">
        <v>59</v>
      </c>
      <c r="N404" s="178">
        <v>97.5</v>
      </c>
      <c r="O404" s="178" t="s">
        <v>60</v>
      </c>
      <c r="P404" s="178"/>
      <c r="Q404" s="179"/>
      <c r="R404" s="179"/>
      <c r="S404" s="180"/>
      <c r="T404" s="179">
        <v>100</v>
      </c>
      <c r="U404" s="179"/>
      <c r="V404" s="167" t="s">
        <v>62</v>
      </c>
      <c r="W404" s="168">
        <v>11.5</v>
      </c>
      <c r="X404" s="106" t="s">
        <v>334</v>
      </c>
      <c r="Y404" s="167"/>
      <c r="Z404" s="169" t="s">
        <v>63</v>
      </c>
      <c r="AA404" s="166">
        <v>12</v>
      </c>
      <c r="AB404" s="166">
        <v>8</v>
      </c>
      <c r="AC404" s="165"/>
      <c r="AD404" s="165" t="s">
        <v>80</v>
      </c>
      <c r="AE404" s="165"/>
      <c r="AF404" s="165"/>
      <c r="AG404" s="165"/>
      <c r="AH404" s="165"/>
      <c r="AI404" s="165">
        <v>24</v>
      </c>
      <c r="AJ404" s="165">
        <v>53</v>
      </c>
      <c r="AK404" s="166"/>
      <c r="AL404" s="166" t="s">
        <v>81</v>
      </c>
      <c r="AM404" s="166"/>
      <c r="AN404" s="166"/>
      <c r="AO404" s="166"/>
      <c r="AP404" s="166"/>
      <c r="AQ404" s="166">
        <v>49</v>
      </c>
      <c r="AR404" s="166">
        <v>97</v>
      </c>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471</v>
      </c>
    </row>
    <row r="405" spans="1:71" s="124" customFormat="1" ht="14.25" hidden="1" customHeight="1" x14ac:dyDescent="0.2">
      <c r="A405" s="92">
        <v>472</v>
      </c>
      <c r="B405" s="231" t="s">
        <v>458</v>
      </c>
      <c r="C405" s="264" t="s">
        <v>459</v>
      </c>
      <c r="D405" s="231" t="s">
        <v>460</v>
      </c>
      <c r="E405" s="125" t="s">
        <v>149</v>
      </c>
      <c r="F405" s="181" t="s">
        <v>103</v>
      </c>
      <c r="G405" s="181" t="s">
        <v>56</v>
      </c>
      <c r="H405" s="181" t="s">
        <v>157</v>
      </c>
      <c r="I405" s="181"/>
      <c r="J405" s="178">
        <v>100</v>
      </c>
      <c r="K405" s="182"/>
      <c r="L405" s="182" t="s">
        <v>58</v>
      </c>
      <c r="M405" s="178" t="s">
        <v>59</v>
      </c>
      <c r="N405" s="178">
        <v>0</v>
      </c>
      <c r="O405" s="178" t="s">
        <v>60</v>
      </c>
      <c r="P405" s="178" t="s">
        <v>461</v>
      </c>
      <c r="Q405" s="179"/>
      <c r="R405" s="179" t="s">
        <v>171</v>
      </c>
      <c r="S405" s="180"/>
      <c r="T405" s="179"/>
      <c r="U405" s="179" t="s">
        <v>462</v>
      </c>
      <c r="V405" s="167" t="s">
        <v>62</v>
      </c>
      <c r="W405" s="168">
        <v>12</v>
      </c>
      <c r="X405" s="106" t="s">
        <v>463</v>
      </c>
      <c r="Y405" s="167"/>
      <c r="Z405" s="169" t="s">
        <v>63</v>
      </c>
      <c r="AA405" s="166">
        <v>6</v>
      </c>
      <c r="AB405" s="166">
        <v>4</v>
      </c>
      <c r="AC405" s="165">
        <v>24</v>
      </c>
      <c r="AD405" s="165" t="s">
        <v>80</v>
      </c>
      <c r="AE405" s="165" t="s">
        <v>116</v>
      </c>
      <c r="AF405" s="165"/>
      <c r="AG405" s="165"/>
      <c r="AH405" s="165"/>
      <c r="AI405" s="165">
        <v>19</v>
      </c>
      <c r="AJ405" s="165">
        <v>33</v>
      </c>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row>
    <row r="406" spans="1:71" s="124" customFormat="1" ht="14.25" hidden="1" customHeight="1" x14ac:dyDescent="0.2">
      <c r="A406" s="91">
        <v>473</v>
      </c>
      <c r="B406" s="231" t="s">
        <v>458</v>
      </c>
      <c r="C406" s="264" t="s">
        <v>459</v>
      </c>
      <c r="D406" s="231" t="s">
        <v>464</v>
      </c>
      <c r="E406" s="125" t="s">
        <v>149</v>
      </c>
      <c r="F406" s="181" t="s">
        <v>103</v>
      </c>
      <c r="G406" s="181" t="s">
        <v>56</v>
      </c>
      <c r="H406" s="181" t="s">
        <v>157</v>
      </c>
      <c r="I406" s="181"/>
      <c r="J406" s="178">
        <v>100</v>
      </c>
      <c r="K406" s="182"/>
      <c r="L406" s="182" t="s">
        <v>58</v>
      </c>
      <c r="M406" s="178" t="s">
        <v>59</v>
      </c>
      <c r="N406" s="178" t="s">
        <v>465</v>
      </c>
      <c r="O406" s="178" t="s">
        <v>60</v>
      </c>
      <c r="P406" s="178" t="s">
        <v>461</v>
      </c>
      <c r="Q406" s="179"/>
      <c r="R406" s="179" t="s">
        <v>171</v>
      </c>
      <c r="S406" s="180"/>
      <c r="T406" s="179"/>
      <c r="U406" s="179" t="s">
        <v>462</v>
      </c>
      <c r="V406" s="167" t="s">
        <v>62</v>
      </c>
      <c r="W406" s="168">
        <v>12</v>
      </c>
      <c r="X406" s="106" t="s">
        <v>463</v>
      </c>
      <c r="Y406" s="167"/>
      <c r="Z406" s="169" t="s">
        <v>63</v>
      </c>
      <c r="AA406" s="166">
        <v>6</v>
      </c>
      <c r="AB406" s="166">
        <v>4</v>
      </c>
      <c r="AC406" s="165">
        <v>24</v>
      </c>
      <c r="AD406" s="165" t="s">
        <v>80</v>
      </c>
      <c r="AE406" s="165" t="s">
        <v>116</v>
      </c>
      <c r="AF406" s="165"/>
      <c r="AG406" s="165"/>
      <c r="AH406" s="165"/>
      <c r="AI406" s="165">
        <v>19</v>
      </c>
      <c r="AJ406" s="165">
        <v>33</v>
      </c>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row>
    <row r="407" spans="1:71" s="124" customFormat="1" ht="14.25" hidden="1" customHeight="1" x14ac:dyDescent="0.2">
      <c r="A407" s="91">
        <v>474</v>
      </c>
      <c r="B407" s="231" t="s">
        <v>458</v>
      </c>
      <c r="C407" s="264" t="s">
        <v>459</v>
      </c>
      <c r="D407" s="231" t="s">
        <v>466</v>
      </c>
      <c r="E407" s="125" t="s">
        <v>152</v>
      </c>
      <c r="F407" s="181" t="s">
        <v>103</v>
      </c>
      <c r="G407" s="181" t="s">
        <v>56</v>
      </c>
      <c r="H407" s="181" t="s">
        <v>157</v>
      </c>
      <c r="I407" s="181"/>
      <c r="J407" s="178">
        <v>100</v>
      </c>
      <c r="K407" s="182"/>
      <c r="L407" s="182" t="s">
        <v>58</v>
      </c>
      <c r="M407" s="178" t="s">
        <v>59</v>
      </c>
      <c r="N407" s="178">
        <v>0</v>
      </c>
      <c r="O407" s="178" t="s">
        <v>60</v>
      </c>
      <c r="P407" s="178" t="s">
        <v>461</v>
      </c>
      <c r="Q407" s="179"/>
      <c r="R407" s="179" t="s">
        <v>171</v>
      </c>
      <c r="S407" s="180"/>
      <c r="T407" s="179"/>
      <c r="U407" s="179" t="s">
        <v>462</v>
      </c>
      <c r="V407" s="167" t="s">
        <v>62</v>
      </c>
      <c r="W407" s="168">
        <v>12</v>
      </c>
      <c r="X407" s="106" t="s">
        <v>463</v>
      </c>
      <c r="Y407" s="167"/>
      <c r="Z407" s="169" t="s">
        <v>63</v>
      </c>
      <c r="AA407" s="166">
        <v>6</v>
      </c>
      <c r="AB407" s="166">
        <v>4</v>
      </c>
      <c r="AC407" s="165">
        <v>24</v>
      </c>
      <c r="AD407" s="165" t="s">
        <v>80</v>
      </c>
      <c r="AE407" s="165" t="s">
        <v>116</v>
      </c>
      <c r="AF407" s="165"/>
      <c r="AG407" s="165"/>
      <c r="AH407" s="165"/>
      <c r="AI407" s="165">
        <v>19</v>
      </c>
      <c r="AJ407" s="165">
        <v>33</v>
      </c>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row>
    <row r="408" spans="1:71" s="124" customFormat="1" ht="14.25" hidden="1" customHeight="1" x14ac:dyDescent="0.2">
      <c r="A408" s="91">
        <v>475</v>
      </c>
      <c r="B408" s="231" t="s">
        <v>458</v>
      </c>
      <c r="C408" s="264" t="s">
        <v>459</v>
      </c>
      <c r="D408" s="231" t="s">
        <v>467</v>
      </c>
      <c r="E408" s="125" t="s">
        <v>152</v>
      </c>
      <c r="F408" s="181" t="s">
        <v>103</v>
      </c>
      <c r="G408" s="181" t="s">
        <v>56</v>
      </c>
      <c r="H408" s="181" t="s">
        <v>157</v>
      </c>
      <c r="I408" s="181"/>
      <c r="J408" s="178">
        <v>100</v>
      </c>
      <c r="K408" s="182"/>
      <c r="L408" s="182" t="s">
        <v>58</v>
      </c>
      <c r="M408" s="178" t="s">
        <v>59</v>
      </c>
      <c r="N408" s="178" t="s">
        <v>465</v>
      </c>
      <c r="O408" s="178" t="s">
        <v>60</v>
      </c>
      <c r="P408" s="178" t="s">
        <v>461</v>
      </c>
      <c r="Q408" s="179"/>
      <c r="R408" s="179" t="s">
        <v>171</v>
      </c>
      <c r="S408" s="180"/>
      <c r="T408" s="179"/>
      <c r="U408" s="179" t="s">
        <v>462</v>
      </c>
      <c r="V408" s="167" t="s">
        <v>62</v>
      </c>
      <c r="W408" s="168">
        <v>12</v>
      </c>
      <c r="X408" s="106" t="s">
        <v>463</v>
      </c>
      <c r="Y408" s="167"/>
      <c r="Z408" s="169" t="s">
        <v>63</v>
      </c>
      <c r="AA408" s="166">
        <v>6</v>
      </c>
      <c r="AB408" s="166">
        <v>4</v>
      </c>
      <c r="AC408" s="165">
        <v>24</v>
      </c>
      <c r="AD408" s="165" t="s">
        <v>80</v>
      </c>
      <c r="AE408" s="165" t="s">
        <v>116</v>
      </c>
      <c r="AF408" s="165"/>
      <c r="AG408" s="165"/>
      <c r="AH408" s="165"/>
      <c r="AI408" s="165">
        <v>19</v>
      </c>
      <c r="AJ408" s="165">
        <v>33</v>
      </c>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row>
    <row r="409" spans="1:71" s="124" customFormat="1" ht="14.25" hidden="1" customHeight="1" x14ac:dyDescent="0.2">
      <c r="A409" s="91">
        <v>476</v>
      </c>
      <c r="B409" s="231" t="s">
        <v>458</v>
      </c>
      <c r="C409" s="264" t="s">
        <v>459</v>
      </c>
      <c r="D409" s="231" t="s">
        <v>468</v>
      </c>
      <c r="E409" s="125" t="s">
        <v>469</v>
      </c>
      <c r="F409" s="181" t="s">
        <v>103</v>
      </c>
      <c r="G409" s="181" t="s">
        <v>56</v>
      </c>
      <c r="H409" s="181" t="s">
        <v>157</v>
      </c>
      <c r="I409" s="181"/>
      <c r="J409" s="178">
        <v>100</v>
      </c>
      <c r="K409" s="182"/>
      <c r="L409" s="182" t="s">
        <v>58</v>
      </c>
      <c r="M409" s="178" t="s">
        <v>59</v>
      </c>
      <c r="N409" s="178">
        <v>0</v>
      </c>
      <c r="O409" s="178" t="s">
        <v>60</v>
      </c>
      <c r="P409" s="178" t="s">
        <v>461</v>
      </c>
      <c r="Q409" s="179"/>
      <c r="R409" s="179" t="s">
        <v>171</v>
      </c>
      <c r="S409" s="180"/>
      <c r="T409" s="179"/>
      <c r="U409" s="179" t="s">
        <v>462</v>
      </c>
      <c r="V409" s="167" t="s">
        <v>62</v>
      </c>
      <c r="W409" s="168">
        <v>12</v>
      </c>
      <c r="X409" s="106" t="s">
        <v>463</v>
      </c>
      <c r="Y409" s="167"/>
      <c r="Z409" s="169" t="s">
        <v>63</v>
      </c>
      <c r="AA409" s="166">
        <v>6</v>
      </c>
      <c r="AB409" s="166">
        <v>4</v>
      </c>
      <c r="AC409" s="165">
        <v>24</v>
      </c>
      <c r="AD409" s="165" t="s">
        <v>80</v>
      </c>
      <c r="AE409" s="165" t="s">
        <v>116</v>
      </c>
      <c r="AF409" s="165"/>
      <c r="AG409" s="165"/>
      <c r="AH409" s="165"/>
      <c r="AI409" s="165">
        <v>19</v>
      </c>
      <c r="AJ409" s="165">
        <v>33</v>
      </c>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row>
    <row r="410" spans="1:71" s="124" customFormat="1" ht="14.25" hidden="1" customHeight="1" x14ac:dyDescent="0.2">
      <c r="A410" s="91">
        <v>477</v>
      </c>
      <c r="B410" s="231" t="s">
        <v>458</v>
      </c>
      <c r="C410" s="264" t="s">
        <v>459</v>
      </c>
      <c r="D410" s="231" t="s">
        <v>470</v>
      </c>
      <c r="E410" s="125" t="s">
        <v>469</v>
      </c>
      <c r="F410" s="181" t="s">
        <v>103</v>
      </c>
      <c r="G410" s="181" t="s">
        <v>56</v>
      </c>
      <c r="H410" s="181" t="s">
        <v>157</v>
      </c>
      <c r="I410" s="181"/>
      <c r="J410" s="178">
        <v>100</v>
      </c>
      <c r="K410" s="182"/>
      <c r="L410" s="182" t="s">
        <v>58</v>
      </c>
      <c r="M410" s="178" t="s">
        <v>59</v>
      </c>
      <c r="N410" s="178" t="s">
        <v>465</v>
      </c>
      <c r="O410" s="178" t="s">
        <v>60</v>
      </c>
      <c r="P410" s="178" t="s">
        <v>461</v>
      </c>
      <c r="Q410" s="179"/>
      <c r="R410" s="179" t="s">
        <v>171</v>
      </c>
      <c r="S410" s="180"/>
      <c r="T410" s="179"/>
      <c r="U410" s="179" t="s">
        <v>462</v>
      </c>
      <c r="V410" s="167" t="s">
        <v>62</v>
      </c>
      <c r="W410" s="168">
        <v>12</v>
      </c>
      <c r="X410" s="106" t="s">
        <v>463</v>
      </c>
      <c r="Y410" s="167"/>
      <c r="Z410" s="169" t="s">
        <v>63</v>
      </c>
      <c r="AA410" s="166">
        <v>6</v>
      </c>
      <c r="AB410" s="166">
        <v>4</v>
      </c>
      <c r="AC410" s="165">
        <v>24</v>
      </c>
      <c r="AD410" s="165" t="s">
        <v>80</v>
      </c>
      <c r="AE410" s="165" t="s">
        <v>116</v>
      </c>
      <c r="AF410" s="165"/>
      <c r="AG410" s="165"/>
      <c r="AH410" s="165"/>
      <c r="AI410" s="165">
        <v>19</v>
      </c>
      <c r="AJ410" s="165">
        <v>33</v>
      </c>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row>
    <row r="411" spans="1:71" s="124" customFormat="1" ht="14.25" hidden="1" customHeight="1" x14ac:dyDescent="0.2">
      <c r="A411" s="91">
        <v>478</v>
      </c>
      <c r="B411" s="231" t="s">
        <v>458</v>
      </c>
      <c r="C411" s="264" t="s">
        <v>459</v>
      </c>
      <c r="D411" s="231" t="s">
        <v>471</v>
      </c>
      <c r="E411" s="125" t="s">
        <v>472</v>
      </c>
      <c r="F411" s="181" t="s">
        <v>103</v>
      </c>
      <c r="G411" s="181" t="s">
        <v>56</v>
      </c>
      <c r="H411" s="181" t="s">
        <v>157</v>
      </c>
      <c r="I411" s="181"/>
      <c r="J411" s="178">
        <v>100</v>
      </c>
      <c r="K411" s="182"/>
      <c r="L411" s="182" t="s">
        <v>58</v>
      </c>
      <c r="M411" s="178" t="s">
        <v>59</v>
      </c>
      <c r="N411" s="178">
        <v>0</v>
      </c>
      <c r="O411" s="178" t="s">
        <v>60</v>
      </c>
      <c r="P411" s="178" t="s">
        <v>461</v>
      </c>
      <c r="Q411" s="179"/>
      <c r="R411" s="179" t="s">
        <v>171</v>
      </c>
      <c r="S411" s="180"/>
      <c r="T411" s="179"/>
      <c r="U411" s="179" t="s">
        <v>462</v>
      </c>
      <c r="V411" s="167" t="s">
        <v>62</v>
      </c>
      <c r="W411" s="168">
        <v>12</v>
      </c>
      <c r="X411" s="106" t="s">
        <v>463</v>
      </c>
      <c r="Y411" s="167"/>
      <c r="Z411" s="169" t="s">
        <v>63</v>
      </c>
      <c r="AA411" s="166">
        <v>6</v>
      </c>
      <c r="AB411" s="166">
        <v>4</v>
      </c>
      <c r="AC411" s="165">
        <v>24</v>
      </c>
      <c r="AD411" s="165" t="s">
        <v>80</v>
      </c>
      <c r="AE411" s="165" t="s">
        <v>116</v>
      </c>
      <c r="AF411" s="165"/>
      <c r="AG411" s="165"/>
      <c r="AH411" s="165"/>
      <c r="AI411" s="165">
        <v>19</v>
      </c>
      <c r="AJ411" s="165">
        <v>33</v>
      </c>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row>
    <row r="412" spans="1:71" s="124" customFormat="1" ht="14.25" hidden="1" customHeight="1" x14ac:dyDescent="0.2">
      <c r="A412" s="91">
        <v>479</v>
      </c>
      <c r="B412" s="231" t="s">
        <v>458</v>
      </c>
      <c r="C412" s="264" t="s">
        <v>459</v>
      </c>
      <c r="D412" s="231" t="s">
        <v>473</v>
      </c>
      <c r="E412" s="125" t="s">
        <v>472</v>
      </c>
      <c r="F412" s="181" t="s">
        <v>103</v>
      </c>
      <c r="G412" s="181" t="s">
        <v>56</v>
      </c>
      <c r="H412" s="181" t="s">
        <v>157</v>
      </c>
      <c r="I412" s="181"/>
      <c r="J412" s="178">
        <v>100</v>
      </c>
      <c r="K412" s="182"/>
      <c r="L412" s="182" t="s">
        <v>58</v>
      </c>
      <c r="M412" s="178" t="s">
        <v>59</v>
      </c>
      <c r="N412" s="178" t="s">
        <v>465</v>
      </c>
      <c r="O412" s="178" t="s">
        <v>60</v>
      </c>
      <c r="P412" s="178" t="s">
        <v>461</v>
      </c>
      <c r="Q412" s="179"/>
      <c r="R412" s="179" t="s">
        <v>171</v>
      </c>
      <c r="S412" s="180"/>
      <c r="T412" s="179"/>
      <c r="U412" s="179" t="s">
        <v>462</v>
      </c>
      <c r="V412" s="167" t="s">
        <v>62</v>
      </c>
      <c r="W412" s="168">
        <v>12</v>
      </c>
      <c r="X412" s="106" t="s">
        <v>463</v>
      </c>
      <c r="Y412" s="167"/>
      <c r="Z412" s="169" t="s">
        <v>63</v>
      </c>
      <c r="AA412" s="166">
        <v>6</v>
      </c>
      <c r="AB412" s="166">
        <v>4</v>
      </c>
      <c r="AC412" s="165">
        <v>24</v>
      </c>
      <c r="AD412" s="165" t="s">
        <v>80</v>
      </c>
      <c r="AE412" s="165" t="s">
        <v>116</v>
      </c>
      <c r="AF412" s="165"/>
      <c r="AG412" s="165"/>
      <c r="AH412" s="165"/>
      <c r="AI412" s="165">
        <v>19</v>
      </c>
      <c r="AJ412" s="165">
        <v>33</v>
      </c>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row>
    <row r="413" spans="1:71" s="124" customFormat="1" ht="14.25" hidden="1" customHeight="1" x14ac:dyDescent="0.2">
      <c r="A413" s="91">
        <v>480</v>
      </c>
      <c r="B413" s="233" t="s">
        <v>474</v>
      </c>
      <c r="C413" s="264" t="s">
        <v>475</v>
      </c>
      <c r="D413" s="233" t="s">
        <v>476</v>
      </c>
      <c r="E413" s="125" t="s">
        <v>149</v>
      </c>
      <c r="F413" s="181" t="s">
        <v>103</v>
      </c>
      <c r="G413" s="181" t="s">
        <v>56</v>
      </c>
      <c r="H413" s="181" t="s">
        <v>57</v>
      </c>
      <c r="I413" s="181"/>
      <c r="J413" s="178">
        <v>100</v>
      </c>
      <c r="K413" s="182"/>
      <c r="L413" s="182" t="s">
        <v>58</v>
      </c>
      <c r="M413" s="178" t="s">
        <v>59</v>
      </c>
      <c r="N413" s="178">
        <v>0</v>
      </c>
      <c r="O413" s="178" t="s">
        <v>60</v>
      </c>
      <c r="P413" s="178" t="s">
        <v>79</v>
      </c>
      <c r="Q413" s="179"/>
      <c r="R413" s="179" t="s">
        <v>171</v>
      </c>
      <c r="S413" s="180"/>
      <c r="T413" s="179">
        <v>200</v>
      </c>
      <c r="U413" s="179" t="s">
        <v>477</v>
      </c>
      <c r="V413" s="167" t="s">
        <v>62</v>
      </c>
      <c r="W413" s="168">
        <v>10</v>
      </c>
      <c r="X413" s="106">
        <v>4</v>
      </c>
      <c r="Y413" s="167"/>
      <c r="Z413" s="169" t="s">
        <v>63</v>
      </c>
      <c r="AA413" s="166">
        <v>12</v>
      </c>
      <c r="AB413" s="166">
        <v>6</v>
      </c>
      <c r="AC413" s="165">
        <v>30</v>
      </c>
      <c r="AD413" s="165" t="s">
        <v>80</v>
      </c>
      <c r="AE413" s="165" t="s">
        <v>116</v>
      </c>
      <c r="AF413" s="165"/>
      <c r="AG413" s="165"/>
      <c r="AH413" s="165"/>
      <c r="AI413" s="165">
        <v>21</v>
      </c>
      <c r="AJ413" s="165">
        <v>40</v>
      </c>
      <c r="AK413" s="166">
        <v>70</v>
      </c>
      <c r="AL413" s="166" t="s">
        <v>81</v>
      </c>
      <c r="AM413" s="166" t="s">
        <v>116</v>
      </c>
      <c r="AN413" s="166"/>
      <c r="AO413" s="166"/>
      <c r="AP413" s="166"/>
      <c r="AQ413" s="166">
        <v>54</v>
      </c>
      <c r="AR413" s="166">
        <v>103</v>
      </c>
      <c r="AS413" s="165">
        <v>173</v>
      </c>
      <c r="AT413" s="165" t="s">
        <v>119</v>
      </c>
      <c r="AU413" s="165" t="s">
        <v>116</v>
      </c>
      <c r="AV413" s="165"/>
      <c r="AW413" s="165"/>
      <c r="AX413" s="165"/>
      <c r="AY413" s="165">
        <v>154</v>
      </c>
      <c r="AZ413" s="165">
        <v>189</v>
      </c>
      <c r="BA413" s="166"/>
      <c r="BB413" s="166"/>
      <c r="BC413" s="166"/>
      <c r="BD413" s="166"/>
      <c r="BE413" s="166"/>
      <c r="BF413" s="166"/>
      <c r="BG413" s="166"/>
      <c r="BH413" s="166"/>
      <c r="BI413" s="165"/>
      <c r="BJ413" s="165"/>
      <c r="BK413" s="165"/>
      <c r="BL413" s="165"/>
      <c r="BM413" s="165"/>
      <c r="BN413" s="165"/>
      <c r="BO413" s="165"/>
      <c r="BP413" s="165"/>
      <c r="BQ413" s="166"/>
      <c r="BR413" s="165"/>
    </row>
    <row r="414" spans="1:71" s="124" customFormat="1" ht="14.25" hidden="1" customHeight="1" x14ac:dyDescent="0.2">
      <c r="A414" s="91">
        <v>481</v>
      </c>
      <c r="B414" s="233" t="s">
        <v>474</v>
      </c>
      <c r="C414" s="264" t="s">
        <v>475</v>
      </c>
      <c r="D414" s="233" t="s">
        <v>478</v>
      </c>
      <c r="E414" s="125" t="s">
        <v>152</v>
      </c>
      <c r="F414" s="181" t="s">
        <v>103</v>
      </c>
      <c r="G414" s="181" t="s">
        <v>56</v>
      </c>
      <c r="H414" s="181" t="s">
        <v>66</v>
      </c>
      <c r="I414" s="181"/>
      <c r="J414" s="178">
        <v>100</v>
      </c>
      <c r="K414" s="182"/>
      <c r="L414" s="182" t="s">
        <v>58</v>
      </c>
      <c r="M414" s="178" t="s">
        <v>59</v>
      </c>
      <c r="N414" s="178">
        <v>0</v>
      </c>
      <c r="O414" s="178" t="s">
        <v>60</v>
      </c>
      <c r="P414" s="178" t="s">
        <v>79</v>
      </c>
      <c r="Q414" s="179"/>
      <c r="R414" s="179" t="s">
        <v>171</v>
      </c>
      <c r="S414" s="180"/>
      <c r="T414" s="179">
        <v>200</v>
      </c>
      <c r="U414" s="179" t="s">
        <v>477</v>
      </c>
      <c r="V414" s="167" t="s">
        <v>62</v>
      </c>
      <c r="W414" s="168">
        <v>10</v>
      </c>
      <c r="X414" s="106">
        <v>4</v>
      </c>
      <c r="Y414" s="167"/>
      <c r="Z414" s="169" t="s">
        <v>63</v>
      </c>
      <c r="AA414" s="166">
        <v>12</v>
      </c>
      <c r="AB414" s="166">
        <v>6</v>
      </c>
      <c r="AC414" s="165">
        <v>30</v>
      </c>
      <c r="AD414" s="165" t="s">
        <v>80</v>
      </c>
      <c r="AE414" s="165" t="s">
        <v>116</v>
      </c>
      <c r="AF414" s="165"/>
      <c r="AG414" s="165"/>
      <c r="AH414" s="165"/>
      <c r="AI414" s="165">
        <v>21</v>
      </c>
      <c r="AJ414" s="165">
        <v>40</v>
      </c>
      <c r="AK414" s="166">
        <v>70</v>
      </c>
      <c r="AL414" s="166" t="s">
        <v>81</v>
      </c>
      <c r="AM414" s="166" t="s">
        <v>116</v>
      </c>
      <c r="AN414" s="166"/>
      <c r="AO414" s="166"/>
      <c r="AP414" s="166"/>
      <c r="AQ414" s="166">
        <v>54</v>
      </c>
      <c r="AR414" s="166">
        <v>103</v>
      </c>
      <c r="AS414" s="165">
        <v>173</v>
      </c>
      <c r="AT414" s="165" t="s">
        <v>119</v>
      </c>
      <c r="AU414" s="165" t="s">
        <v>116</v>
      </c>
      <c r="AV414" s="165"/>
      <c r="AW414" s="165"/>
      <c r="AX414" s="165"/>
      <c r="AY414" s="165">
        <v>154</v>
      </c>
      <c r="AZ414" s="165">
        <v>189</v>
      </c>
      <c r="BA414" s="166"/>
      <c r="BB414" s="166"/>
      <c r="BC414" s="166"/>
      <c r="BD414" s="166"/>
      <c r="BE414" s="166"/>
      <c r="BF414" s="166"/>
      <c r="BG414" s="166"/>
      <c r="BH414" s="166"/>
      <c r="BI414" s="165"/>
      <c r="BJ414" s="165"/>
      <c r="BK414" s="165"/>
      <c r="BL414" s="165"/>
      <c r="BM414" s="165"/>
      <c r="BN414" s="165"/>
      <c r="BO414" s="165"/>
      <c r="BP414" s="165"/>
      <c r="BQ414" s="166"/>
      <c r="BR414" s="165"/>
    </row>
    <row r="415" spans="1:71" s="124" customFormat="1" ht="14.25" hidden="1" customHeight="1" x14ac:dyDescent="0.2">
      <c r="A415" s="91">
        <v>482</v>
      </c>
      <c r="B415" s="233" t="s">
        <v>474</v>
      </c>
      <c r="C415" s="264" t="s">
        <v>475</v>
      </c>
      <c r="D415" s="233" t="s">
        <v>479</v>
      </c>
      <c r="E415" s="125" t="s">
        <v>149</v>
      </c>
      <c r="F415" s="181" t="s">
        <v>103</v>
      </c>
      <c r="G415" s="181" t="s">
        <v>56</v>
      </c>
      <c r="H415" s="181" t="s">
        <v>57</v>
      </c>
      <c r="I415" s="181"/>
      <c r="J415" s="178">
        <v>100</v>
      </c>
      <c r="K415" s="182"/>
      <c r="L415" s="182" t="s">
        <v>58</v>
      </c>
      <c r="M415" s="178" t="s">
        <v>59</v>
      </c>
      <c r="N415" s="178">
        <v>0</v>
      </c>
      <c r="O415" s="178" t="s">
        <v>60</v>
      </c>
      <c r="P415" s="178" t="s">
        <v>79</v>
      </c>
      <c r="Q415" s="179"/>
      <c r="R415" s="179" t="s">
        <v>171</v>
      </c>
      <c r="S415" s="180"/>
      <c r="T415" s="179">
        <v>200</v>
      </c>
      <c r="U415" s="179" t="s">
        <v>477</v>
      </c>
      <c r="V415" s="167" t="s">
        <v>154</v>
      </c>
      <c r="W415" s="168">
        <v>0</v>
      </c>
      <c r="X415" s="106"/>
      <c r="Y415" s="167" t="s">
        <v>480</v>
      </c>
      <c r="Z415" s="169" t="s">
        <v>63</v>
      </c>
      <c r="AA415" s="166">
        <v>12</v>
      </c>
      <c r="AB415" s="166">
        <v>6</v>
      </c>
      <c r="AC415" s="165">
        <v>30</v>
      </c>
      <c r="AD415" s="165" t="s">
        <v>80</v>
      </c>
      <c r="AE415" s="165" t="s">
        <v>116</v>
      </c>
      <c r="AF415" s="165"/>
      <c r="AG415" s="165"/>
      <c r="AH415" s="165"/>
      <c r="AI415" s="165">
        <v>21</v>
      </c>
      <c r="AJ415" s="165">
        <v>40</v>
      </c>
      <c r="AK415" s="166">
        <v>70</v>
      </c>
      <c r="AL415" s="166" t="s">
        <v>81</v>
      </c>
      <c r="AM415" s="166" t="s">
        <v>116</v>
      </c>
      <c r="AN415" s="166"/>
      <c r="AO415" s="166"/>
      <c r="AP415" s="166"/>
      <c r="AQ415" s="166">
        <v>54</v>
      </c>
      <c r="AR415" s="166">
        <v>103</v>
      </c>
      <c r="AS415" s="165">
        <v>173</v>
      </c>
      <c r="AT415" s="165" t="s">
        <v>119</v>
      </c>
      <c r="AU415" s="165" t="s">
        <v>116</v>
      </c>
      <c r="AV415" s="165"/>
      <c r="AW415" s="165"/>
      <c r="AX415" s="165"/>
      <c r="AY415" s="165">
        <v>154</v>
      </c>
      <c r="AZ415" s="165">
        <v>189</v>
      </c>
      <c r="BA415" s="166"/>
      <c r="BB415" s="166"/>
      <c r="BC415" s="166"/>
      <c r="BD415" s="166"/>
      <c r="BE415" s="166"/>
      <c r="BF415" s="166"/>
      <c r="BG415" s="166"/>
      <c r="BH415" s="166"/>
      <c r="BI415" s="165"/>
      <c r="BJ415" s="165"/>
      <c r="BK415" s="165"/>
      <c r="BL415" s="165"/>
      <c r="BM415" s="165"/>
      <c r="BN415" s="165"/>
      <c r="BO415" s="165"/>
      <c r="BP415" s="165"/>
      <c r="BQ415" s="166"/>
      <c r="BR415" s="165"/>
    </row>
    <row r="416" spans="1:71" s="124" customFormat="1" ht="14.25" hidden="1" customHeight="1" x14ac:dyDescent="0.2">
      <c r="A416" s="91">
        <v>483</v>
      </c>
      <c r="B416" s="233" t="s">
        <v>474</v>
      </c>
      <c r="C416" s="264" t="s">
        <v>475</v>
      </c>
      <c r="D416" s="233" t="s">
        <v>481</v>
      </c>
      <c r="E416" s="125" t="s">
        <v>152</v>
      </c>
      <c r="F416" s="181" t="s">
        <v>103</v>
      </c>
      <c r="G416" s="181" t="s">
        <v>56</v>
      </c>
      <c r="H416" s="181" t="s">
        <v>66</v>
      </c>
      <c r="I416" s="181"/>
      <c r="J416" s="178">
        <v>100</v>
      </c>
      <c r="K416" s="182"/>
      <c r="L416" s="182" t="s">
        <v>58</v>
      </c>
      <c r="M416" s="178" t="s">
        <v>59</v>
      </c>
      <c r="N416" s="178">
        <v>0</v>
      </c>
      <c r="O416" s="178" t="s">
        <v>60</v>
      </c>
      <c r="P416" s="178" t="s">
        <v>79</v>
      </c>
      <c r="Q416" s="179"/>
      <c r="R416" s="179" t="s">
        <v>171</v>
      </c>
      <c r="S416" s="180"/>
      <c r="T416" s="179">
        <v>200</v>
      </c>
      <c r="U416" s="179" t="s">
        <v>477</v>
      </c>
      <c r="V416" s="167" t="s">
        <v>154</v>
      </c>
      <c r="W416" s="168">
        <v>0</v>
      </c>
      <c r="X416" s="106"/>
      <c r="Y416" s="167" t="s">
        <v>480</v>
      </c>
      <c r="Z416" s="169" t="s">
        <v>63</v>
      </c>
      <c r="AA416" s="166">
        <v>12</v>
      </c>
      <c r="AB416" s="166">
        <v>6</v>
      </c>
      <c r="AC416" s="165">
        <v>30</v>
      </c>
      <c r="AD416" s="165" t="s">
        <v>80</v>
      </c>
      <c r="AE416" s="165" t="s">
        <v>116</v>
      </c>
      <c r="AF416" s="165"/>
      <c r="AG416" s="165"/>
      <c r="AH416" s="165"/>
      <c r="AI416" s="165">
        <v>21</v>
      </c>
      <c r="AJ416" s="165">
        <v>40</v>
      </c>
      <c r="AK416" s="166">
        <v>70</v>
      </c>
      <c r="AL416" s="166" t="s">
        <v>81</v>
      </c>
      <c r="AM416" s="166" t="s">
        <v>116</v>
      </c>
      <c r="AN416" s="166"/>
      <c r="AO416" s="166"/>
      <c r="AP416" s="166"/>
      <c r="AQ416" s="166">
        <v>54</v>
      </c>
      <c r="AR416" s="166">
        <v>103</v>
      </c>
      <c r="AS416" s="165">
        <v>173</v>
      </c>
      <c r="AT416" s="165" t="s">
        <v>119</v>
      </c>
      <c r="AU416" s="165" t="s">
        <v>116</v>
      </c>
      <c r="AV416" s="165"/>
      <c r="AW416" s="165"/>
      <c r="AX416" s="165"/>
      <c r="AY416" s="165">
        <v>154</v>
      </c>
      <c r="AZ416" s="165">
        <v>189</v>
      </c>
      <c r="BA416" s="166"/>
      <c r="BB416" s="166"/>
      <c r="BC416" s="166"/>
      <c r="BD416" s="166"/>
      <c r="BE416" s="166"/>
      <c r="BF416" s="166"/>
      <c r="BG416" s="166"/>
      <c r="BH416" s="166"/>
      <c r="BI416" s="165"/>
      <c r="BJ416" s="165"/>
      <c r="BK416" s="165"/>
      <c r="BL416" s="165"/>
      <c r="BM416" s="165"/>
      <c r="BN416" s="165"/>
      <c r="BO416" s="165"/>
      <c r="BP416" s="165"/>
      <c r="BQ416" s="166"/>
      <c r="BR416" s="165"/>
    </row>
    <row r="417" spans="1:72" s="124" customFormat="1" ht="14.25" hidden="1" customHeight="1" x14ac:dyDescent="0.2">
      <c r="A417" s="91">
        <v>484</v>
      </c>
      <c r="B417" s="233" t="s">
        <v>482</v>
      </c>
      <c r="C417" s="264" t="s">
        <v>483</v>
      </c>
      <c r="D417" s="233" t="s">
        <v>484</v>
      </c>
      <c r="E417" s="125" t="s">
        <v>149</v>
      </c>
      <c r="F417" s="181" t="s">
        <v>103</v>
      </c>
      <c r="G417" s="181" t="s">
        <v>56</v>
      </c>
      <c r="H417" s="181" t="s">
        <v>407</v>
      </c>
      <c r="I417" s="181"/>
      <c r="J417" s="178">
        <v>100</v>
      </c>
      <c r="K417" s="182"/>
      <c r="L417" s="182" t="s">
        <v>58</v>
      </c>
      <c r="M417" s="178" t="s">
        <v>59</v>
      </c>
      <c r="N417" s="178">
        <v>0</v>
      </c>
      <c r="O417" s="178" t="s">
        <v>60</v>
      </c>
      <c r="P417" s="178" t="s">
        <v>79</v>
      </c>
      <c r="Q417" s="179"/>
      <c r="R417" s="179" t="s">
        <v>171</v>
      </c>
      <c r="S417" s="180"/>
      <c r="T417" s="179">
        <v>200</v>
      </c>
      <c r="U417" s="179" t="s">
        <v>485</v>
      </c>
      <c r="V417" s="167" t="s">
        <v>62</v>
      </c>
      <c r="W417" s="168">
        <v>12</v>
      </c>
      <c r="X417" s="106" t="s">
        <v>486</v>
      </c>
      <c r="Y417" s="167"/>
      <c r="Z417" s="169" t="s">
        <v>63</v>
      </c>
      <c r="AA417" s="166">
        <v>6</v>
      </c>
      <c r="AB417" s="166">
        <v>0</v>
      </c>
      <c r="AC417" s="165">
        <v>30</v>
      </c>
      <c r="AD417" s="165" t="s">
        <v>80</v>
      </c>
      <c r="AE417" s="165" t="s">
        <v>116</v>
      </c>
      <c r="AF417" s="165"/>
      <c r="AG417" s="165"/>
      <c r="AH417" s="165"/>
      <c r="AI417" s="165">
        <v>24</v>
      </c>
      <c r="AJ417" s="165">
        <v>34</v>
      </c>
      <c r="AK417" s="166">
        <v>71</v>
      </c>
      <c r="AL417" s="166" t="s">
        <v>81</v>
      </c>
      <c r="AM417" s="166" t="s">
        <v>116</v>
      </c>
      <c r="AN417" s="166"/>
      <c r="AO417" s="166"/>
      <c r="AP417" s="166"/>
      <c r="AQ417" s="166">
        <v>63</v>
      </c>
      <c r="AR417" s="166">
        <v>80</v>
      </c>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c r="BR417" s="165"/>
    </row>
    <row r="418" spans="1:72" s="124" customFormat="1" ht="14.25" hidden="1" customHeight="1" x14ac:dyDescent="0.2">
      <c r="A418" s="91">
        <v>485</v>
      </c>
      <c r="B418" s="233" t="s">
        <v>482</v>
      </c>
      <c r="C418" s="264" t="s">
        <v>483</v>
      </c>
      <c r="D418" s="233" t="s">
        <v>487</v>
      </c>
      <c r="E418" s="125" t="s">
        <v>149</v>
      </c>
      <c r="F418" s="181" t="s">
        <v>103</v>
      </c>
      <c r="G418" s="181" t="s">
        <v>56</v>
      </c>
      <c r="H418" s="181" t="s">
        <v>407</v>
      </c>
      <c r="I418" s="181"/>
      <c r="J418" s="178">
        <v>100</v>
      </c>
      <c r="K418" s="182"/>
      <c r="L418" s="182" t="s">
        <v>58</v>
      </c>
      <c r="M418" s="178" t="s">
        <v>59</v>
      </c>
      <c r="N418" s="178">
        <v>0</v>
      </c>
      <c r="O418" s="178" t="s">
        <v>60</v>
      </c>
      <c r="P418" s="178" t="s">
        <v>79</v>
      </c>
      <c r="Q418" s="179"/>
      <c r="R418" s="179" t="s">
        <v>150</v>
      </c>
      <c r="S418" s="180"/>
      <c r="T418" s="179">
        <v>200</v>
      </c>
      <c r="U418" s="179" t="s">
        <v>488</v>
      </c>
      <c r="V418" s="167" t="s">
        <v>154</v>
      </c>
      <c r="W418" s="168"/>
      <c r="X418" s="106"/>
      <c r="Y418" s="167" t="s">
        <v>489</v>
      </c>
      <c r="Z418" s="169" t="s">
        <v>63</v>
      </c>
      <c r="AA418" s="166">
        <v>6</v>
      </c>
      <c r="AB418" s="166">
        <v>0</v>
      </c>
      <c r="AC418" s="165">
        <v>30</v>
      </c>
      <c r="AD418" s="165" t="s">
        <v>80</v>
      </c>
      <c r="AE418" s="165" t="s">
        <v>116</v>
      </c>
      <c r="AF418" s="165"/>
      <c r="AG418" s="165"/>
      <c r="AH418" s="165"/>
      <c r="AI418" s="165">
        <v>24</v>
      </c>
      <c r="AJ418" s="165">
        <v>34</v>
      </c>
      <c r="AK418" s="166">
        <v>71</v>
      </c>
      <c r="AL418" s="166" t="s">
        <v>81</v>
      </c>
      <c r="AM418" s="166" t="s">
        <v>116</v>
      </c>
      <c r="AN418" s="166"/>
      <c r="AO418" s="166"/>
      <c r="AP418" s="166"/>
      <c r="AQ418" s="166">
        <v>63</v>
      </c>
      <c r="AR418" s="166">
        <v>80</v>
      </c>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c r="BR418" s="165"/>
    </row>
    <row r="419" spans="1:72" s="124" customFormat="1" ht="14.25" hidden="1" customHeight="1" x14ac:dyDescent="0.2">
      <c r="A419" s="91">
        <v>486</v>
      </c>
      <c r="B419" s="233" t="s">
        <v>482</v>
      </c>
      <c r="C419" s="264" t="s">
        <v>483</v>
      </c>
      <c r="D419" s="233" t="s">
        <v>490</v>
      </c>
      <c r="E419" s="125" t="s">
        <v>149</v>
      </c>
      <c r="F419" s="181" t="s">
        <v>103</v>
      </c>
      <c r="G419" s="181" t="s">
        <v>56</v>
      </c>
      <c r="H419" s="181" t="s">
        <v>407</v>
      </c>
      <c r="I419" s="181"/>
      <c r="J419" s="178">
        <v>100</v>
      </c>
      <c r="K419" s="182"/>
      <c r="L419" s="182" t="s">
        <v>58</v>
      </c>
      <c r="M419" s="178" t="s">
        <v>59</v>
      </c>
      <c r="N419" s="178">
        <v>0</v>
      </c>
      <c r="O419" s="178" t="s">
        <v>60</v>
      </c>
      <c r="P419" s="178" t="s">
        <v>79</v>
      </c>
      <c r="Q419" s="179"/>
      <c r="R419" s="179" t="s">
        <v>150</v>
      </c>
      <c r="S419" s="180"/>
      <c r="T419" s="179">
        <v>200</v>
      </c>
      <c r="U419" s="179" t="s">
        <v>488</v>
      </c>
      <c r="V419" s="167" t="s">
        <v>154</v>
      </c>
      <c r="W419" s="168"/>
      <c r="X419" s="106"/>
      <c r="Y419" s="167" t="s">
        <v>489</v>
      </c>
      <c r="Z419" s="169" t="s">
        <v>63</v>
      </c>
      <c r="AA419" s="166">
        <v>6</v>
      </c>
      <c r="AB419" s="166">
        <v>0</v>
      </c>
      <c r="AC419" s="165">
        <v>30</v>
      </c>
      <c r="AD419" s="165" t="s">
        <v>80</v>
      </c>
      <c r="AE419" s="165" t="s">
        <v>116</v>
      </c>
      <c r="AF419" s="165"/>
      <c r="AG419" s="165"/>
      <c r="AH419" s="165"/>
      <c r="AI419" s="165">
        <v>24</v>
      </c>
      <c r="AJ419" s="165">
        <v>34</v>
      </c>
      <c r="AK419" s="166">
        <v>71</v>
      </c>
      <c r="AL419" s="166" t="s">
        <v>81</v>
      </c>
      <c r="AM419" s="166" t="s">
        <v>116</v>
      </c>
      <c r="AN419" s="166"/>
      <c r="AO419" s="166"/>
      <c r="AP419" s="166"/>
      <c r="AQ419" s="166">
        <v>63</v>
      </c>
      <c r="AR419" s="166">
        <v>80</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c r="BR419" s="165"/>
    </row>
    <row r="420" spans="1:72" s="124" customFormat="1" ht="14.25" hidden="1" customHeight="1" x14ac:dyDescent="0.2">
      <c r="A420" s="91">
        <v>487</v>
      </c>
      <c r="B420" s="233" t="s">
        <v>482</v>
      </c>
      <c r="C420" s="264" t="s">
        <v>483</v>
      </c>
      <c r="D420" s="233" t="s">
        <v>491</v>
      </c>
      <c r="E420" s="125" t="s">
        <v>149</v>
      </c>
      <c r="F420" s="181" t="s">
        <v>103</v>
      </c>
      <c r="G420" s="181" t="s">
        <v>56</v>
      </c>
      <c r="H420" s="181" t="s">
        <v>492</v>
      </c>
      <c r="I420" s="181"/>
      <c r="J420" s="178">
        <v>100</v>
      </c>
      <c r="K420" s="182"/>
      <c r="L420" s="182" t="s">
        <v>58</v>
      </c>
      <c r="M420" s="178" t="s">
        <v>59</v>
      </c>
      <c r="N420" s="178" t="s">
        <v>493</v>
      </c>
      <c r="O420" s="178" t="s">
        <v>60</v>
      </c>
      <c r="P420" s="178" t="s">
        <v>461</v>
      </c>
      <c r="Q420" s="179"/>
      <c r="R420" s="179" t="s">
        <v>150</v>
      </c>
      <c r="S420" s="180"/>
      <c r="T420" s="179">
        <v>200</v>
      </c>
      <c r="U420" s="179" t="s">
        <v>488</v>
      </c>
      <c r="V420" s="167" t="s">
        <v>154</v>
      </c>
      <c r="W420" s="168"/>
      <c r="X420" s="106"/>
      <c r="Y420" s="167" t="s">
        <v>489</v>
      </c>
      <c r="Z420" s="169" t="s">
        <v>63</v>
      </c>
      <c r="AA420" s="166">
        <v>6</v>
      </c>
      <c r="AB420" s="166">
        <v>0</v>
      </c>
      <c r="AC420" s="165">
        <v>30</v>
      </c>
      <c r="AD420" s="165" t="s">
        <v>80</v>
      </c>
      <c r="AE420" s="165" t="s">
        <v>116</v>
      </c>
      <c r="AF420" s="165"/>
      <c r="AG420" s="165"/>
      <c r="AH420" s="165"/>
      <c r="AI420" s="165">
        <v>24</v>
      </c>
      <c r="AJ420" s="165">
        <v>34</v>
      </c>
      <c r="AK420" s="166">
        <v>71</v>
      </c>
      <c r="AL420" s="166" t="s">
        <v>81</v>
      </c>
      <c r="AM420" s="166" t="s">
        <v>116</v>
      </c>
      <c r="AN420" s="166"/>
      <c r="AO420" s="166"/>
      <c r="AP420" s="166"/>
      <c r="AQ420" s="166">
        <v>63</v>
      </c>
      <c r="AR420" s="166">
        <v>80</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c r="BR420" s="165"/>
    </row>
    <row r="421" spans="1:72" s="124" customFormat="1" ht="14.25" hidden="1" customHeight="1" x14ac:dyDescent="0.2">
      <c r="A421" s="91">
        <v>488</v>
      </c>
      <c r="B421" s="233" t="s">
        <v>482</v>
      </c>
      <c r="C421" s="264" t="s">
        <v>483</v>
      </c>
      <c r="D421" s="233" t="s">
        <v>494</v>
      </c>
      <c r="E421" s="125" t="s">
        <v>149</v>
      </c>
      <c r="F421" s="181" t="s">
        <v>103</v>
      </c>
      <c r="G421" s="181" t="s">
        <v>56</v>
      </c>
      <c r="H421" s="181" t="s">
        <v>300</v>
      </c>
      <c r="I421" s="181" t="s">
        <v>495</v>
      </c>
      <c r="J421" s="178">
        <v>50</v>
      </c>
      <c r="K421" s="182"/>
      <c r="L421" s="182" t="s">
        <v>58</v>
      </c>
      <c r="M421" s="178" t="s">
        <v>59</v>
      </c>
      <c r="N421" s="178">
        <v>0</v>
      </c>
      <c r="O421" s="178" t="s">
        <v>60</v>
      </c>
      <c r="P421" s="178" t="s">
        <v>79</v>
      </c>
      <c r="Q421" s="179"/>
      <c r="R421" s="179" t="s">
        <v>150</v>
      </c>
      <c r="S421" s="180"/>
      <c r="T421" s="179">
        <v>200</v>
      </c>
      <c r="U421" s="179" t="s">
        <v>496</v>
      </c>
      <c r="V421" s="167" t="s">
        <v>154</v>
      </c>
      <c r="W421" s="168"/>
      <c r="X421" s="106"/>
      <c r="Y421" s="167" t="s">
        <v>489</v>
      </c>
      <c r="Z421" s="169" t="s">
        <v>63</v>
      </c>
      <c r="AA421" s="166">
        <v>6</v>
      </c>
      <c r="AB421" s="166">
        <v>0</v>
      </c>
      <c r="AC421" s="165">
        <v>30</v>
      </c>
      <c r="AD421" s="165" t="s">
        <v>80</v>
      </c>
      <c r="AE421" s="165" t="s">
        <v>116</v>
      </c>
      <c r="AF421" s="165"/>
      <c r="AG421" s="165"/>
      <c r="AH421" s="165"/>
      <c r="AI421" s="165">
        <v>24</v>
      </c>
      <c r="AJ421" s="165">
        <v>34</v>
      </c>
      <c r="AK421" s="166">
        <v>71</v>
      </c>
      <c r="AL421" s="166" t="s">
        <v>81</v>
      </c>
      <c r="AM421" s="166" t="s">
        <v>116</v>
      </c>
      <c r="AN421" s="166"/>
      <c r="AO421" s="166"/>
      <c r="AP421" s="166"/>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c r="BR421" s="165"/>
    </row>
    <row r="422" spans="1:72" s="124" customFormat="1" ht="14.25" hidden="1" customHeight="1" x14ac:dyDescent="0.2">
      <c r="A422" s="91">
        <v>489</v>
      </c>
      <c r="B422" s="233" t="s">
        <v>482</v>
      </c>
      <c r="C422" s="264" t="s">
        <v>483</v>
      </c>
      <c r="D422" s="233" t="s">
        <v>497</v>
      </c>
      <c r="E422" s="125" t="s">
        <v>149</v>
      </c>
      <c r="F422" s="181" t="s">
        <v>103</v>
      </c>
      <c r="G422" s="181" t="s">
        <v>56</v>
      </c>
      <c r="H422" s="181" t="s">
        <v>300</v>
      </c>
      <c r="I422" s="181" t="s">
        <v>495</v>
      </c>
      <c r="J422" s="178">
        <v>200</v>
      </c>
      <c r="K422" s="182"/>
      <c r="L422" s="182" t="s">
        <v>58</v>
      </c>
      <c r="M422" s="178" t="s">
        <v>59</v>
      </c>
      <c r="N422" s="178">
        <v>0</v>
      </c>
      <c r="O422" s="178" t="s">
        <v>60</v>
      </c>
      <c r="P422" s="178" t="s">
        <v>79</v>
      </c>
      <c r="Q422" s="179"/>
      <c r="R422" s="179" t="s">
        <v>150</v>
      </c>
      <c r="S422" s="180"/>
      <c r="T422" s="179">
        <v>200</v>
      </c>
      <c r="U422" s="179" t="s">
        <v>498</v>
      </c>
      <c r="V422" s="167" t="s">
        <v>154</v>
      </c>
      <c r="W422" s="168"/>
      <c r="X422" s="106"/>
      <c r="Y422" s="167" t="s">
        <v>489</v>
      </c>
      <c r="Z422" s="169" t="s">
        <v>63</v>
      </c>
      <c r="AA422" s="166">
        <v>6</v>
      </c>
      <c r="AB422" s="166">
        <v>0</v>
      </c>
      <c r="AC422" s="165">
        <v>30</v>
      </c>
      <c r="AD422" s="165" t="s">
        <v>80</v>
      </c>
      <c r="AE422" s="165" t="s">
        <v>116</v>
      </c>
      <c r="AF422" s="165"/>
      <c r="AG422" s="165"/>
      <c r="AH422" s="165"/>
      <c r="AI422" s="165">
        <v>24</v>
      </c>
      <c r="AJ422" s="165">
        <v>34</v>
      </c>
      <c r="AK422" s="166">
        <v>71</v>
      </c>
      <c r="AL422" s="166" t="s">
        <v>81</v>
      </c>
      <c r="AM422" s="166" t="s">
        <v>116</v>
      </c>
      <c r="AN422" s="166"/>
      <c r="AO422" s="166"/>
      <c r="AP422" s="166"/>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c r="BR422" s="165"/>
    </row>
    <row r="423" spans="1:72" s="124" customFormat="1" ht="14.25" hidden="1" customHeight="1" x14ac:dyDescent="0.2">
      <c r="A423" s="91">
        <v>490</v>
      </c>
      <c r="B423" s="233" t="s">
        <v>499</v>
      </c>
      <c r="C423" s="264" t="s">
        <v>500</v>
      </c>
      <c r="D423" s="233" t="s">
        <v>501</v>
      </c>
      <c r="E423" s="125" t="s">
        <v>149</v>
      </c>
      <c r="F423" s="181" t="s">
        <v>103</v>
      </c>
      <c r="G423" s="181" t="s">
        <v>56</v>
      </c>
      <c r="H423" s="181" t="s">
        <v>66</v>
      </c>
      <c r="I423" s="181"/>
      <c r="J423" s="178">
        <v>100</v>
      </c>
      <c r="K423" s="182"/>
      <c r="L423" s="182" t="s">
        <v>58</v>
      </c>
      <c r="M423" s="178" t="s">
        <v>78</v>
      </c>
      <c r="N423" s="178">
        <v>0</v>
      </c>
      <c r="O423" s="178" t="s">
        <v>60</v>
      </c>
      <c r="P423" s="178" t="s">
        <v>79</v>
      </c>
      <c r="Q423" s="179"/>
      <c r="R423" s="179"/>
      <c r="S423" s="180">
        <v>60</v>
      </c>
      <c r="T423" s="179"/>
      <c r="U423" s="179"/>
      <c r="V423" s="167" t="s">
        <v>154</v>
      </c>
      <c r="W423" s="168"/>
      <c r="X423" s="106"/>
      <c r="Y423" s="167"/>
      <c r="Z423" s="169" t="s">
        <v>63</v>
      </c>
      <c r="AA423" s="166">
        <v>6</v>
      </c>
      <c r="AB423" s="166">
        <v>0</v>
      </c>
      <c r="AC423" s="165"/>
      <c r="AD423" s="165"/>
      <c r="AE423" s="165"/>
      <c r="AF423" s="165"/>
      <c r="AG423" s="165"/>
      <c r="AH423" s="165"/>
      <c r="AI423" s="165"/>
      <c r="AJ423" s="165"/>
      <c r="AK423" s="166"/>
      <c r="AL423" s="166"/>
      <c r="AM423" s="166"/>
      <c r="AN423" s="166"/>
      <c r="AO423" s="166"/>
      <c r="AP423" s="166"/>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c r="BR423" s="165"/>
    </row>
    <row r="424" spans="1:72" s="124" customFormat="1" ht="14.25" hidden="1" customHeight="1" x14ac:dyDescent="0.2">
      <c r="A424" s="91">
        <v>491</v>
      </c>
      <c r="B424" s="233" t="s">
        <v>499</v>
      </c>
      <c r="C424" s="264" t="s">
        <v>500</v>
      </c>
      <c r="D424" s="233" t="s">
        <v>502</v>
      </c>
      <c r="E424" s="125" t="s">
        <v>149</v>
      </c>
      <c r="F424" s="181" t="s">
        <v>103</v>
      </c>
      <c r="G424" s="181" t="s">
        <v>56</v>
      </c>
      <c r="H424" s="181" t="s">
        <v>66</v>
      </c>
      <c r="I424" s="181"/>
      <c r="J424" s="178">
        <v>100</v>
      </c>
      <c r="K424" s="182"/>
      <c r="L424" s="182" t="s">
        <v>58</v>
      </c>
      <c r="M424" s="178" t="s">
        <v>59</v>
      </c>
      <c r="N424" s="178">
        <v>0</v>
      </c>
      <c r="O424" s="178" t="s">
        <v>60</v>
      </c>
      <c r="P424" s="178" t="s">
        <v>79</v>
      </c>
      <c r="Q424" s="179"/>
      <c r="R424" s="179" t="s">
        <v>171</v>
      </c>
      <c r="S424" s="180"/>
      <c r="T424" s="179"/>
      <c r="U424" s="179" t="s">
        <v>477</v>
      </c>
      <c r="V424" s="167" t="s">
        <v>154</v>
      </c>
      <c r="W424" s="168"/>
      <c r="X424" s="106"/>
      <c r="Y424" s="167"/>
      <c r="Z424" s="169" t="s">
        <v>63</v>
      </c>
      <c r="AA424" s="166">
        <v>6</v>
      </c>
      <c r="AB424" s="166">
        <v>0</v>
      </c>
      <c r="AC424" s="165"/>
      <c r="AD424" s="165"/>
      <c r="AE424" s="165"/>
      <c r="AF424" s="165"/>
      <c r="AG424" s="165"/>
      <c r="AH424" s="165"/>
      <c r="AI424" s="165"/>
      <c r="AJ424" s="165"/>
      <c r="AK424" s="166"/>
      <c r="AL424" s="166"/>
      <c r="AM424" s="166"/>
      <c r="AN424" s="166"/>
      <c r="AO424" s="166"/>
      <c r="AP424" s="166"/>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c r="BR424" s="165"/>
    </row>
    <row r="425" spans="1:72" s="124" customFormat="1" ht="14.25" hidden="1" customHeight="1" x14ac:dyDescent="0.2">
      <c r="A425" s="91">
        <v>492</v>
      </c>
      <c r="B425" s="233" t="s">
        <v>499</v>
      </c>
      <c r="C425" s="264" t="s">
        <v>500</v>
      </c>
      <c r="D425" s="233" t="s">
        <v>503</v>
      </c>
      <c r="E425" s="125" t="s">
        <v>149</v>
      </c>
      <c r="F425" s="181" t="s">
        <v>103</v>
      </c>
      <c r="G425" s="181" t="s">
        <v>56</v>
      </c>
      <c r="H425" s="181" t="s">
        <v>168</v>
      </c>
      <c r="I425" s="181"/>
      <c r="J425" s="178">
        <v>100</v>
      </c>
      <c r="K425" s="182"/>
      <c r="L425" s="182" t="s">
        <v>58</v>
      </c>
      <c r="M425" s="178" t="s">
        <v>59</v>
      </c>
      <c r="N425" s="178">
        <v>0</v>
      </c>
      <c r="O425" s="178" t="s">
        <v>60</v>
      </c>
      <c r="P425" s="178" t="s">
        <v>79</v>
      </c>
      <c r="Q425" s="179"/>
      <c r="R425" s="179" t="s">
        <v>105</v>
      </c>
      <c r="S425" s="180"/>
      <c r="T425" s="179"/>
      <c r="U425" s="179"/>
      <c r="V425" s="167" t="s">
        <v>105</v>
      </c>
      <c r="W425" s="168"/>
      <c r="X425" s="106"/>
      <c r="Y425" s="167"/>
      <c r="Z425" s="169" t="s">
        <v>63</v>
      </c>
      <c r="AA425" s="166">
        <v>24</v>
      </c>
      <c r="AB425" s="166">
        <v>0</v>
      </c>
      <c r="AC425" s="165"/>
      <c r="AD425" s="165"/>
      <c r="AE425" s="165"/>
      <c r="AF425" s="165"/>
      <c r="AG425" s="165"/>
      <c r="AH425" s="165"/>
      <c r="AI425" s="165"/>
      <c r="AJ425" s="165"/>
      <c r="AK425" s="166"/>
      <c r="AL425" s="166"/>
      <c r="AM425" s="166"/>
      <c r="AN425" s="166"/>
      <c r="AO425" s="166"/>
      <c r="AP425" s="166"/>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c r="BR425" s="165"/>
    </row>
    <row r="426" spans="1:72" s="124" customFormat="1" ht="14.25" hidden="1" customHeight="1" x14ac:dyDescent="0.2">
      <c r="A426" s="91">
        <v>493</v>
      </c>
      <c r="B426" s="233" t="s">
        <v>499</v>
      </c>
      <c r="C426" s="264" t="s">
        <v>500</v>
      </c>
      <c r="D426" s="233" t="s">
        <v>503</v>
      </c>
      <c r="E426" s="125" t="s">
        <v>152</v>
      </c>
      <c r="F426" s="181" t="s">
        <v>103</v>
      </c>
      <c r="G426" s="181" t="s">
        <v>56</v>
      </c>
      <c r="H426" s="181" t="s">
        <v>168</v>
      </c>
      <c r="I426" s="181"/>
      <c r="J426" s="178">
        <v>100</v>
      </c>
      <c r="K426" s="182"/>
      <c r="L426" s="182" t="s">
        <v>58</v>
      </c>
      <c r="M426" s="178" t="s">
        <v>59</v>
      </c>
      <c r="N426" s="178">
        <v>0</v>
      </c>
      <c r="O426" s="178" t="s">
        <v>60</v>
      </c>
      <c r="P426" s="178" t="s">
        <v>79</v>
      </c>
      <c r="Q426" s="179"/>
      <c r="R426" s="179" t="s">
        <v>105</v>
      </c>
      <c r="S426" s="180"/>
      <c r="T426" s="179"/>
      <c r="U426" s="179"/>
      <c r="V426" s="167" t="s">
        <v>105</v>
      </c>
      <c r="W426" s="168"/>
      <c r="X426" s="106"/>
      <c r="Y426" s="167"/>
      <c r="Z426" s="169" t="s">
        <v>63</v>
      </c>
      <c r="AA426" s="166">
        <v>24</v>
      </c>
      <c r="AB426" s="166">
        <v>0</v>
      </c>
      <c r="AC426" s="165"/>
      <c r="AD426" s="165"/>
      <c r="AE426" s="165"/>
      <c r="AF426" s="165"/>
      <c r="AG426" s="165"/>
      <c r="AH426" s="165"/>
      <c r="AI426" s="165"/>
      <c r="AJ426" s="165"/>
      <c r="AK426" s="166"/>
      <c r="AL426" s="166"/>
      <c r="AM426" s="166"/>
      <c r="AN426" s="166"/>
      <c r="AO426" s="166"/>
      <c r="AP426" s="166"/>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c r="BR426" s="165"/>
    </row>
    <row r="427" spans="1:72" s="124" customFormat="1" ht="14.25" hidden="1" customHeight="1" x14ac:dyDescent="0.2">
      <c r="A427" s="91">
        <v>494</v>
      </c>
      <c r="B427" s="233" t="s">
        <v>499</v>
      </c>
      <c r="C427" s="264" t="s">
        <v>500</v>
      </c>
      <c r="D427" s="233" t="s">
        <v>504</v>
      </c>
      <c r="E427" s="125" t="s">
        <v>149</v>
      </c>
      <c r="F427" s="181" t="s">
        <v>103</v>
      </c>
      <c r="G427" s="181" t="s">
        <v>56</v>
      </c>
      <c r="H427" s="181" t="s">
        <v>430</v>
      </c>
      <c r="I427" s="181"/>
      <c r="J427" s="178">
        <v>100</v>
      </c>
      <c r="K427" s="182"/>
      <c r="L427" s="182" t="s">
        <v>58</v>
      </c>
      <c r="M427" s="178" t="s">
        <v>59</v>
      </c>
      <c r="N427" s="178" t="s">
        <v>505</v>
      </c>
      <c r="O427" s="178" t="s">
        <v>60</v>
      </c>
      <c r="P427" s="178" t="s">
        <v>461</v>
      </c>
      <c r="Q427" s="179"/>
      <c r="R427" s="179" t="s">
        <v>105</v>
      </c>
      <c r="S427" s="180"/>
      <c r="T427" s="179"/>
      <c r="U427" s="179"/>
      <c r="V427" s="167" t="s">
        <v>105</v>
      </c>
      <c r="W427" s="168"/>
      <c r="X427" s="106"/>
      <c r="Y427" s="167"/>
      <c r="Z427" s="169" t="s">
        <v>63</v>
      </c>
      <c r="AA427" s="166">
        <v>10</v>
      </c>
      <c r="AB427" s="166">
        <v>0</v>
      </c>
      <c r="AC427" s="165"/>
      <c r="AD427" s="165" t="s">
        <v>80</v>
      </c>
      <c r="AE427" s="165"/>
      <c r="AF427" s="165"/>
      <c r="AG427" s="165"/>
      <c r="AH427" s="165"/>
      <c r="AI427" s="165">
        <v>27</v>
      </c>
      <c r="AJ427" s="165">
        <v>54</v>
      </c>
      <c r="AK427" s="166"/>
      <c r="AL427" s="166"/>
      <c r="AM427" s="166"/>
      <c r="AN427" s="166"/>
      <c r="AO427" s="166"/>
      <c r="AP427" s="166"/>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c r="BR427" s="165"/>
    </row>
    <row r="428" spans="1:72" s="124" customFormat="1" ht="14.25" hidden="1" customHeight="1" x14ac:dyDescent="0.2">
      <c r="A428" s="91">
        <v>495</v>
      </c>
      <c r="B428" s="233" t="s">
        <v>499</v>
      </c>
      <c r="C428" s="264" t="s">
        <v>500</v>
      </c>
      <c r="D428" s="233" t="s">
        <v>504</v>
      </c>
      <c r="E428" s="125" t="s">
        <v>152</v>
      </c>
      <c r="F428" s="181" t="s">
        <v>103</v>
      </c>
      <c r="G428" s="181" t="s">
        <v>56</v>
      </c>
      <c r="H428" s="181" t="s">
        <v>430</v>
      </c>
      <c r="I428" s="181"/>
      <c r="J428" s="178">
        <v>100</v>
      </c>
      <c r="K428" s="182"/>
      <c r="L428" s="182" t="s">
        <v>58</v>
      </c>
      <c r="M428" s="178" t="s">
        <v>59</v>
      </c>
      <c r="N428" s="178" t="s">
        <v>505</v>
      </c>
      <c r="O428" s="178" t="s">
        <v>60</v>
      </c>
      <c r="P428" s="178" t="s">
        <v>461</v>
      </c>
      <c r="Q428" s="179"/>
      <c r="R428" s="179" t="s">
        <v>105</v>
      </c>
      <c r="S428" s="180"/>
      <c r="T428" s="179"/>
      <c r="U428" s="179"/>
      <c r="V428" s="167" t="s">
        <v>105</v>
      </c>
      <c r="W428" s="168"/>
      <c r="X428" s="106"/>
      <c r="Y428" s="167"/>
      <c r="Z428" s="169" t="s">
        <v>63</v>
      </c>
      <c r="AA428" s="166">
        <v>10</v>
      </c>
      <c r="AB428" s="166">
        <v>0</v>
      </c>
      <c r="AC428" s="165"/>
      <c r="AD428" s="165" t="s">
        <v>80</v>
      </c>
      <c r="AE428" s="165"/>
      <c r="AF428" s="165"/>
      <c r="AG428" s="165"/>
      <c r="AH428" s="165"/>
      <c r="AI428" s="165">
        <v>27</v>
      </c>
      <c r="AJ428" s="165">
        <v>54</v>
      </c>
      <c r="AK428" s="166"/>
      <c r="AL428" s="166"/>
      <c r="AM428" s="166"/>
      <c r="AN428" s="166"/>
      <c r="AO428" s="166"/>
      <c r="AP428" s="166"/>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c r="BR428" s="165"/>
      <c r="BT428" s="174"/>
    </row>
    <row r="429" spans="1:72" s="124" customFormat="1" ht="14.25" hidden="1" customHeight="1" x14ac:dyDescent="0.2">
      <c r="A429" s="93">
        <v>496</v>
      </c>
      <c r="B429" s="233" t="s">
        <v>506</v>
      </c>
      <c r="C429" s="264" t="s">
        <v>507</v>
      </c>
      <c r="D429" s="233" t="s">
        <v>508</v>
      </c>
      <c r="E429" s="125" t="s">
        <v>149</v>
      </c>
      <c r="F429" s="181" t="s">
        <v>103</v>
      </c>
      <c r="G429" s="181" t="s">
        <v>56</v>
      </c>
      <c r="H429" s="181" t="s">
        <v>168</v>
      </c>
      <c r="I429" s="181"/>
      <c r="J429" s="178">
        <v>200</v>
      </c>
      <c r="K429" s="182"/>
      <c r="L429" s="182" t="s">
        <v>58</v>
      </c>
      <c r="M429" s="178" t="s">
        <v>59</v>
      </c>
      <c r="N429" s="178" t="s">
        <v>509</v>
      </c>
      <c r="O429" s="178" t="s">
        <v>60</v>
      </c>
      <c r="P429" s="178" t="s">
        <v>461</v>
      </c>
      <c r="Q429" s="179"/>
      <c r="R429" s="179" t="s">
        <v>510</v>
      </c>
      <c r="S429" s="180"/>
      <c r="T429" s="179"/>
      <c r="U429" s="179" t="s">
        <v>511</v>
      </c>
      <c r="V429" s="167" t="s">
        <v>62</v>
      </c>
      <c r="W429" s="168">
        <v>10</v>
      </c>
      <c r="X429" s="106" t="s">
        <v>203</v>
      </c>
      <c r="Y429" s="167"/>
      <c r="Z429" s="169" t="s">
        <v>63</v>
      </c>
      <c r="AA429" s="166">
        <v>6</v>
      </c>
      <c r="AB429" s="166">
        <v>0</v>
      </c>
      <c r="AC429" s="165"/>
      <c r="AD429" s="165"/>
      <c r="AE429" s="165"/>
      <c r="AF429" s="165"/>
      <c r="AG429" s="165"/>
      <c r="AH429" s="165"/>
      <c r="AI429" s="165"/>
      <c r="AJ429" s="165"/>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512</v>
      </c>
      <c r="BR429" s="165"/>
      <c r="BT429" s="174"/>
    </row>
    <row r="430" spans="1:72" s="124" customFormat="1" ht="14.25" hidden="1" customHeight="1" x14ac:dyDescent="0.2">
      <c r="A430" s="93">
        <v>497</v>
      </c>
      <c r="B430" s="233" t="s">
        <v>506</v>
      </c>
      <c r="C430" s="264" t="s">
        <v>507</v>
      </c>
      <c r="D430" s="233" t="s">
        <v>508</v>
      </c>
      <c r="E430" s="125" t="s">
        <v>152</v>
      </c>
      <c r="F430" s="181" t="s">
        <v>103</v>
      </c>
      <c r="G430" s="181" t="s">
        <v>56</v>
      </c>
      <c r="H430" s="181" t="s">
        <v>168</v>
      </c>
      <c r="I430" s="181"/>
      <c r="J430" s="178">
        <v>200</v>
      </c>
      <c r="K430" s="182"/>
      <c r="L430" s="182" t="s">
        <v>58</v>
      </c>
      <c r="M430" s="178" t="s">
        <v>59</v>
      </c>
      <c r="N430" s="178" t="s">
        <v>509</v>
      </c>
      <c r="O430" s="178" t="s">
        <v>60</v>
      </c>
      <c r="P430" s="178" t="s">
        <v>461</v>
      </c>
      <c r="Q430" s="179"/>
      <c r="R430" s="179" t="s">
        <v>510</v>
      </c>
      <c r="S430" s="180"/>
      <c r="T430" s="179"/>
      <c r="U430" s="179" t="s">
        <v>511</v>
      </c>
      <c r="V430" s="167" t="s">
        <v>62</v>
      </c>
      <c r="W430" s="168">
        <v>10</v>
      </c>
      <c r="X430" s="106" t="s">
        <v>203</v>
      </c>
      <c r="Y430" s="167"/>
      <c r="Z430" s="169" t="s">
        <v>63</v>
      </c>
      <c r="AA430" s="166">
        <v>6</v>
      </c>
      <c r="AB430" s="166">
        <v>0</v>
      </c>
      <c r="AC430" s="165"/>
      <c r="AD430" s="165"/>
      <c r="AE430" s="165"/>
      <c r="AF430" s="165"/>
      <c r="AG430" s="165"/>
      <c r="AH430" s="165"/>
      <c r="AI430" s="165"/>
      <c r="AJ430" s="165"/>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512</v>
      </c>
      <c r="BR430" s="165"/>
      <c r="BT430" s="174"/>
    </row>
    <row r="431" spans="1:72" s="124" customFormat="1" ht="14.25" hidden="1" customHeight="1" x14ac:dyDescent="0.2">
      <c r="A431" s="93">
        <v>498</v>
      </c>
      <c r="B431" s="233" t="s">
        <v>513</v>
      </c>
      <c r="C431" s="264" t="s">
        <v>514</v>
      </c>
      <c r="D431" s="233" t="s">
        <v>515</v>
      </c>
      <c r="E431" s="125" t="s">
        <v>149</v>
      </c>
      <c r="F431" s="181" t="s">
        <v>103</v>
      </c>
      <c r="G431" s="181" t="s">
        <v>56</v>
      </c>
      <c r="H431" s="181" t="s">
        <v>57</v>
      </c>
      <c r="I431" s="181"/>
      <c r="J431" s="178">
        <v>200</v>
      </c>
      <c r="K431" s="182"/>
      <c r="L431" s="182" t="s">
        <v>58</v>
      </c>
      <c r="M431" s="178" t="s">
        <v>59</v>
      </c>
      <c r="N431" s="178">
        <v>0</v>
      </c>
      <c r="O431" s="178" t="s">
        <v>60</v>
      </c>
      <c r="P431" s="178" t="s">
        <v>79</v>
      </c>
      <c r="Q431" s="179"/>
      <c r="R431" s="179" t="s">
        <v>171</v>
      </c>
      <c r="S431" s="180"/>
      <c r="T431" s="179">
        <v>240</v>
      </c>
      <c r="U431" s="179" t="s">
        <v>516</v>
      </c>
      <c r="V431" s="167" t="s">
        <v>517</v>
      </c>
      <c r="W431" s="168"/>
      <c r="X431" s="106"/>
      <c r="Y431" s="167" t="s">
        <v>518</v>
      </c>
      <c r="Z431" s="169" t="s">
        <v>63</v>
      </c>
      <c r="AA431" s="166">
        <v>20</v>
      </c>
      <c r="AB431" s="166">
        <v>10</v>
      </c>
      <c r="AC431" s="165">
        <v>25.9</v>
      </c>
      <c r="AD431" s="165" t="s">
        <v>80</v>
      </c>
      <c r="AE431" s="165" t="s">
        <v>116</v>
      </c>
      <c r="AF431" s="165">
        <v>4.5</v>
      </c>
      <c r="AG431" s="165" t="s">
        <v>80</v>
      </c>
      <c r="AH431" s="165" t="s">
        <v>117</v>
      </c>
      <c r="AI431" s="165">
        <v>22</v>
      </c>
      <c r="AJ431" s="165">
        <v>39</v>
      </c>
      <c r="AK431" s="166">
        <v>74.7</v>
      </c>
      <c r="AL431" s="166" t="s">
        <v>81</v>
      </c>
      <c r="AM431" s="166" t="s">
        <v>116</v>
      </c>
      <c r="AN431" s="166">
        <v>18.5</v>
      </c>
      <c r="AO431" s="166" t="s">
        <v>81</v>
      </c>
      <c r="AP431" s="166" t="s">
        <v>117</v>
      </c>
      <c r="AQ431" s="166">
        <v>49.4</v>
      </c>
      <c r="AR431" s="166">
        <v>105.2</v>
      </c>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c r="BR431" s="165"/>
      <c r="BT431" s="174"/>
    </row>
    <row r="432" spans="1:72" s="124" customFormat="1" ht="14.25" hidden="1" customHeight="1" x14ac:dyDescent="0.2">
      <c r="A432" s="93">
        <v>499</v>
      </c>
      <c r="B432" s="233" t="s">
        <v>513</v>
      </c>
      <c r="C432" s="264" t="s">
        <v>514</v>
      </c>
      <c r="D432" s="233" t="s">
        <v>515</v>
      </c>
      <c r="E432" s="125" t="s">
        <v>152</v>
      </c>
      <c r="F432" s="181" t="s">
        <v>103</v>
      </c>
      <c r="G432" s="181" t="s">
        <v>56</v>
      </c>
      <c r="H432" s="181" t="s">
        <v>66</v>
      </c>
      <c r="I432" s="181"/>
      <c r="J432" s="178">
        <v>200</v>
      </c>
      <c r="K432" s="182"/>
      <c r="L432" s="182" t="s">
        <v>58</v>
      </c>
      <c r="M432" s="178" t="s">
        <v>59</v>
      </c>
      <c r="N432" s="178">
        <v>0</v>
      </c>
      <c r="O432" s="178" t="s">
        <v>60</v>
      </c>
      <c r="P432" s="178" t="s">
        <v>79</v>
      </c>
      <c r="Q432" s="179"/>
      <c r="R432" s="179" t="s">
        <v>171</v>
      </c>
      <c r="S432" s="180"/>
      <c r="T432" s="179"/>
      <c r="U432" s="179" t="s">
        <v>516</v>
      </c>
      <c r="V432" s="167" t="s">
        <v>517</v>
      </c>
      <c r="W432" s="168"/>
      <c r="X432" s="106"/>
      <c r="Y432" s="167" t="s">
        <v>518</v>
      </c>
      <c r="Z432" s="169" t="s">
        <v>63</v>
      </c>
      <c r="AA432" s="166">
        <v>20</v>
      </c>
      <c r="AB432" s="166">
        <v>10</v>
      </c>
      <c r="AC432" s="165">
        <v>25.9</v>
      </c>
      <c r="AD432" s="165" t="s">
        <v>80</v>
      </c>
      <c r="AE432" s="165" t="s">
        <v>116</v>
      </c>
      <c r="AF432" s="165">
        <v>4.5</v>
      </c>
      <c r="AG432" s="165" t="s">
        <v>80</v>
      </c>
      <c r="AH432" s="165" t="s">
        <v>117</v>
      </c>
      <c r="AI432" s="165">
        <v>22</v>
      </c>
      <c r="AJ432" s="165">
        <v>39</v>
      </c>
      <c r="AK432" s="166">
        <v>74.7</v>
      </c>
      <c r="AL432" s="166" t="s">
        <v>81</v>
      </c>
      <c r="AM432" s="166" t="s">
        <v>116</v>
      </c>
      <c r="AN432" s="166">
        <v>18.5</v>
      </c>
      <c r="AO432" s="166" t="s">
        <v>81</v>
      </c>
      <c r="AP432" s="166" t="s">
        <v>117</v>
      </c>
      <c r="AQ432" s="166">
        <v>49.4</v>
      </c>
      <c r="AR432" s="166">
        <v>105.2</v>
      </c>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c r="BR432" s="165"/>
      <c r="BT432" s="174"/>
    </row>
    <row r="433" spans="1:72" s="124" customFormat="1" ht="14.25" hidden="1" customHeight="1" x14ac:dyDescent="0.2">
      <c r="A433" s="118">
        <v>500</v>
      </c>
      <c r="B433" s="233" t="s">
        <v>513</v>
      </c>
      <c r="C433" s="264" t="s">
        <v>514</v>
      </c>
      <c r="D433" s="233" t="s">
        <v>519</v>
      </c>
      <c r="E433" s="125" t="s">
        <v>149</v>
      </c>
      <c r="F433" s="181" t="s">
        <v>103</v>
      </c>
      <c r="G433" s="181" t="s">
        <v>56</v>
      </c>
      <c r="H433" s="181" t="s">
        <v>57</v>
      </c>
      <c r="I433" s="181"/>
      <c r="J433" s="178">
        <v>200</v>
      </c>
      <c r="K433" s="182"/>
      <c r="L433" s="182" t="s">
        <v>58</v>
      </c>
      <c r="M433" s="178" t="s">
        <v>59</v>
      </c>
      <c r="N433" s="178">
        <v>0</v>
      </c>
      <c r="O433" s="178" t="s">
        <v>60</v>
      </c>
      <c r="P433" s="178" t="s">
        <v>79</v>
      </c>
      <c r="Q433" s="179"/>
      <c r="R433" s="179" t="s">
        <v>171</v>
      </c>
      <c r="S433" s="180"/>
      <c r="T433" s="179">
        <v>240</v>
      </c>
      <c r="U433" s="179" t="s">
        <v>516</v>
      </c>
      <c r="V433" s="167" t="s">
        <v>517</v>
      </c>
      <c r="W433" s="168"/>
      <c r="X433" s="106"/>
      <c r="Y433" s="167" t="s">
        <v>518</v>
      </c>
      <c r="Z433" s="169" t="s">
        <v>63</v>
      </c>
      <c r="AA433" s="166">
        <v>20</v>
      </c>
      <c r="AB433" s="166">
        <v>10</v>
      </c>
      <c r="AC433" s="165">
        <v>25.9</v>
      </c>
      <c r="AD433" s="165" t="s">
        <v>80</v>
      </c>
      <c r="AE433" s="165" t="s">
        <v>116</v>
      </c>
      <c r="AF433" s="165">
        <v>4.5</v>
      </c>
      <c r="AG433" s="165" t="s">
        <v>80</v>
      </c>
      <c r="AH433" s="165" t="s">
        <v>117</v>
      </c>
      <c r="AI433" s="165">
        <v>22</v>
      </c>
      <c r="AJ433" s="165">
        <v>39</v>
      </c>
      <c r="AK433" s="166">
        <v>74.7</v>
      </c>
      <c r="AL433" s="166" t="s">
        <v>81</v>
      </c>
      <c r="AM433" s="166" t="s">
        <v>116</v>
      </c>
      <c r="AN433" s="166">
        <v>18.5</v>
      </c>
      <c r="AO433" s="166" t="s">
        <v>81</v>
      </c>
      <c r="AP433" s="166" t="s">
        <v>117</v>
      </c>
      <c r="AQ433" s="166">
        <v>49.4</v>
      </c>
      <c r="AR433" s="166">
        <v>105.2</v>
      </c>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c r="BR433" s="165"/>
    </row>
    <row r="434" spans="1:72" s="124" customFormat="1" ht="14.25" hidden="1" customHeight="1" x14ac:dyDescent="0.2">
      <c r="A434" s="118">
        <v>501</v>
      </c>
      <c r="B434" s="233" t="s">
        <v>513</v>
      </c>
      <c r="C434" s="264" t="s">
        <v>514</v>
      </c>
      <c r="D434" s="233" t="s">
        <v>519</v>
      </c>
      <c r="E434" s="125" t="s">
        <v>152</v>
      </c>
      <c r="F434" s="181" t="s">
        <v>103</v>
      </c>
      <c r="G434" s="181" t="s">
        <v>56</v>
      </c>
      <c r="H434" s="181" t="s">
        <v>66</v>
      </c>
      <c r="I434" s="181"/>
      <c r="J434" s="178">
        <v>200</v>
      </c>
      <c r="K434" s="182"/>
      <c r="L434" s="182" t="s">
        <v>58</v>
      </c>
      <c r="M434" s="178" t="s">
        <v>59</v>
      </c>
      <c r="N434" s="178">
        <v>0</v>
      </c>
      <c r="O434" s="178" t="s">
        <v>60</v>
      </c>
      <c r="P434" s="178" t="s">
        <v>79</v>
      </c>
      <c r="Q434" s="179"/>
      <c r="R434" s="179" t="s">
        <v>171</v>
      </c>
      <c r="S434" s="180"/>
      <c r="T434" s="179"/>
      <c r="U434" s="179" t="s">
        <v>516</v>
      </c>
      <c r="V434" s="167" t="s">
        <v>517</v>
      </c>
      <c r="W434" s="168"/>
      <c r="X434" s="106"/>
      <c r="Y434" s="167" t="s">
        <v>518</v>
      </c>
      <c r="Z434" s="169" t="s">
        <v>63</v>
      </c>
      <c r="AA434" s="166">
        <v>20</v>
      </c>
      <c r="AB434" s="166">
        <v>10</v>
      </c>
      <c r="AC434" s="165">
        <v>25.9</v>
      </c>
      <c r="AD434" s="165" t="s">
        <v>80</v>
      </c>
      <c r="AE434" s="165" t="s">
        <v>116</v>
      </c>
      <c r="AF434" s="165">
        <v>4.5</v>
      </c>
      <c r="AG434" s="165" t="s">
        <v>80</v>
      </c>
      <c r="AH434" s="165" t="s">
        <v>117</v>
      </c>
      <c r="AI434" s="165">
        <v>22</v>
      </c>
      <c r="AJ434" s="165">
        <v>39</v>
      </c>
      <c r="AK434" s="166">
        <v>74.7</v>
      </c>
      <c r="AL434" s="166" t="s">
        <v>81</v>
      </c>
      <c r="AM434" s="166" t="s">
        <v>116</v>
      </c>
      <c r="AN434" s="166">
        <v>18.5</v>
      </c>
      <c r="AO434" s="166" t="s">
        <v>81</v>
      </c>
      <c r="AP434" s="166" t="s">
        <v>117</v>
      </c>
      <c r="AQ434" s="166">
        <v>49.4</v>
      </c>
      <c r="AR434" s="166">
        <v>105.2</v>
      </c>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c r="BR434" s="165"/>
    </row>
    <row r="435" spans="1:72" s="124" customFormat="1" ht="14.25" hidden="1" customHeight="1" x14ac:dyDescent="0.2">
      <c r="A435" s="93">
        <v>502</v>
      </c>
      <c r="B435" s="233" t="s">
        <v>520</v>
      </c>
      <c r="C435" s="264" t="s">
        <v>521</v>
      </c>
      <c r="D435" s="233" t="s">
        <v>522</v>
      </c>
      <c r="E435" s="125" t="s">
        <v>149</v>
      </c>
      <c r="F435" s="181" t="s">
        <v>103</v>
      </c>
      <c r="G435" s="181" t="s">
        <v>56</v>
      </c>
      <c r="H435" s="181" t="s">
        <v>66</v>
      </c>
      <c r="I435" s="181"/>
      <c r="J435" s="178">
        <v>200</v>
      </c>
      <c r="K435" s="182"/>
      <c r="L435" s="182" t="s">
        <v>58</v>
      </c>
      <c r="M435" s="178" t="s">
        <v>59</v>
      </c>
      <c r="N435" s="178">
        <v>0</v>
      </c>
      <c r="O435" s="178" t="s">
        <v>60</v>
      </c>
      <c r="P435" s="178" t="s">
        <v>79</v>
      </c>
      <c r="Q435" s="179"/>
      <c r="R435" s="179" t="s">
        <v>171</v>
      </c>
      <c r="S435" s="180"/>
      <c r="T435" s="179"/>
      <c r="U435" s="179" t="s">
        <v>516</v>
      </c>
      <c r="V435" s="167" t="s">
        <v>517</v>
      </c>
      <c r="W435" s="168"/>
      <c r="X435" s="106"/>
      <c r="Y435" s="167" t="s">
        <v>518</v>
      </c>
      <c r="Z435" s="169" t="s">
        <v>63</v>
      </c>
      <c r="AA435" s="166">
        <v>10</v>
      </c>
      <c r="AB435" s="166">
        <v>10</v>
      </c>
      <c r="AC435" s="165">
        <v>24.5</v>
      </c>
      <c r="AD435" s="165" t="s">
        <v>80</v>
      </c>
      <c r="AE435" s="165" t="s">
        <v>116</v>
      </c>
      <c r="AF435" s="165">
        <v>2.2999999999999998</v>
      </c>
      <c r="AG435" s="165" t="s">
        <v>80</v>
      </c>
      <c r="AH435" s="165" t="s">
        <v>117</v>
      </c>
      <c r="AI435" s="165">
        <v>22</v>
      </c>
      <c r="AJ435" s="165">
        <v>30</v>
      </c>
      <c r="AK435" s="166">
        <v>64.3</v>
      </c>
      <c r="AL435" s="166" t="s">
        <v>81</v>
      </c>
      <c r="AM435" s="166" t="s">
        <v>116</v>
      </c>
      <c r="AN435" s="166">
        <v>19.600000000000001</v>
      </c>
      <c r="AO435" s="166" t="s">
        <v>81</v>
      </c>
      <c r="AP435" s="166" t="s">
        <v>117</v>
      </c>
      <c r="AQ435" s="166">
        <v>49.4</v>
      </c>
      <c r="AR435" s="166">
        <v>105.2</v>
      </c>
      <c r="AS435" s="165"/>
      <c r="AT435" s="165"/>
      <c r="AU435" s="165"/>
      <c r="AV435" s="165"/>
      <c r="AW435" s="165"/>
      <c r="AX435" s="165"/>
      <c r="AY435" s="165"/>
      <c r="AZ435" s="165"/>
      <c r="BA435" s="166"/>
      <c r="BB435" s="166"/>
      <c r="BC435" s="166"/>
      <c r="BD435" s="166"/>
      <c r="BE435" s="166"/>
      <c r="BF435" s="166"/>
      <c r="BG435" s="166"/>
      <c r="BH435" s="166"/>
      <c r="BI435" s="165"/>
      <c r="BJ435" s="165"/>
      <c r="BK435" s="165"/>
      <c r="BL435" s="165"/>
      <c r="BM435" s="165"/>
      <c r="BN435" s="165"/>
      <c r="BO435" s="165"/>
      <c r="BP435" s="165"/>
      <c r="BQ435" s="166"/>
      <c r="BR435" s="165"/>
      <c r="BT435" s="174"/>
    </row>
    <row r="436" spans="1:72" s="124" customFormat="1" ht="14.25" hidden="1" customHeight="1" x14ac:dyDescent="0.2">
      <c r="A436" s="93">
        <v>503</v>
      </c>
      <c r="B436" s="233" t="s">
        <v>520</v>
      </c>
      <c r="C436" s="264" t="s">
        <v>521</v>
      </c>
      <c r="D436" s="233" t="s">
        <v>522</v>
      </c>
      <c r="E436" s="125" t="s">
        <v>152</v>
      </c>
      <c r="F436" s="181" t="s">
        <v>103</v>
      </c>
      <c r="G436" s="181" t="s">
        <v>56</v>
      </c>
      <c r="H436" s="181" t="s">
        <v>168</v>
      </c>
      <c r="I436" s="181"/>
      <c r="J436" s="178">
        <v>200</v>
      </c>
      <c r="K436" s="182"/>
      <c r="L436" s="182" t="s">
        <v>58</v>
      </c>
      <c r="M436" s="178" t="s">
        <v>59</v>
      </c>
      <c r="N436" s="178">
        <v>0</v>
      </c>
      <c r="O436" s="178" t="s">
        <v>60</v>
      </c>
      <c r="P436" s="178" t="s">
        <v>79</v>
      </c>
      <c r="Q436" s="179"/>
      <c r="R436" s="179" t="s">
        <v>171</v>
      </c>
      <c r="S436" s="180"/>
      <c r="T436" s="179"/>
      <c r="U436" s="179" t="s">
        <v>516</v>
      </c>
      <c r="V436" s="167" t="s">
        <v>517</v>
      </c>
      <c r="W436" s="168"/>
      <c r="X436" s="106"/>
      <c r="Y436" s="167" t="s">
        <v>518</v>
      </c>
      <c r="Z436" s="169" t="s">
        <v>63</v>
      </c>
      <c r="AA436" s="166">
        <v>10</v>
      </c>
      <c r="AB436" s="166">
        <v>10</v>
      </c>
      <c r="AC436" s="165">
        <v>24.5</v>
      </c>
      <c r="AD436" s="165" t="s">
        <v>80</v>
      </c>
      <c r="AE436" s="165" t="s">
        <v>116</v>
      </c>
      <c r="AF436" s="165">
        <v>2.2999999999999998</v>
      </c>
      <c r="AG436" s="165" t="s">
        <v>80</v>
      </c>
      <c r="AH436" s="165" t="s">
        <v>117</v>
      </c>
      <c r="AI436" s="165">
        <v>22</v>
      </c>
      <c r="AJ436" s="165">
        <v>30</v>
      </c>
      <c r="AK436" s="166">
        <v>64.3</v>
      </c>
      <c r="AL436" s="166" t="s">
        <v>81</v>
      </c>
      <c r="AM436" s="166" t="s">
        <v>116</v>
      </c>
      <c r="AN436" s="166">
        <v>19.600000000000001</v>
      </c>
      <c r="AO436" s="166" t="s">
        <v>81</v>
      </c>
      <c r="AP436" s="166" t="s">
        <v>117</v>
      </c>
      <c r="AQ436" s="166">
        <v>49.4</v>
      </c>
      <c r="AR436" s="166">
        <v>105.2</v>
      </c>
      <c r="AS436" s="165"/>
      <c r="AT436" s="165"/>
      <c r="AU436" s="165"/>
      <c r="AV436" s="165"/>
      <c r="AW436" s="165"/>
      <c r="AX436" s="165"/>
      <c r="AY436" s="165"/>
      <c r="AZ436" s="165"/>
      <c r="BA436" s="166"/>
      <c r="BB436" s="166"/>
      <c r="BC436" s="166"/>
      <c r="BD436" s="166"/>
      <c r="BE436" s="166"/>
      <c r="BF436" s="166"/>
      <c r="BG436" s="166"/>
      <c r="BH436" s="166"/>
      <c r="BI436" s="165"/>
      <c r="BJ436" s="165"/>
      <c r="BK436" s="165"/>
      <c r="BL436" s="165"/>
      <c r="BM436" s="165"/>
      <c r="BN436" s="165"/>
      <c r="BO436" s="165"/>
      <c r="BP436" s="165"/>
      <c r="BQ436" s="166"/>
      <c r="BR436" s="165"/>
      <c r="BT436" s="174"/>
    </row>
    <row r="437" spans="1:72" s="124" customFormat="1" ht="14.25" hidden="1" customHeight="1" x14ac:dyDescent="0.2">
      <c r="A437" s="93">
        <v>504</v>
      </c>
      <c r="B437" s="233" t="s">
        <v>520</v>
      </c>
      <c r="C437" s="264" t="s">
        <v>521</v>
      </c>
      <c r="D437" s="233" t="s">
        <v>523</v>
      </c>
      <c r="E437" s="125" t="s">
        <v>149</v>
      </c>
      <c r="F437" s="181" t="s">
        <v>103</v>
      </c>
      <c r="G437" s="181" t="s">
        <v>56</v>
      </c>
      <c r="H437" s="181" t="s">
        <v>157</v>
      </c>
      <c r="I437" s="181"/>
      <c r="J437" s="178">
        <v>200</v>
      </c>
      <c r="K437" s="182"/>
      <c r="L437" s="182" t="s">
        <v>58</v>
      </c>
      <c r="M437" s="178" t="s">
        <v>59</v>
      </c>
      <c r="N437" s="178">
        <v>0</v>
      </c>
      <c r="O437" s="178" t="s">
        <v>60</v>
      </c>
      <c r="P437" s="178" t="s">
        <v>79</v>
      </c>
      <c r="Q437" s="179"/>
      <c r="R437" s="179" t="s">
        <v>171</v>
      </c>
      <c r="S437" s="180"/>
      <c r="T437" s="179"/>
      <c r="U437" s="179" t="s">
        <v>516</v>
      </c>
      <c r="V437" s="167" t="s">
        <v>517</v>
      </c>
      <c r="W437" s="168"/>
      <c r="X437" s="106"/>
      <c r="Y437" s="167" t="s">
        <v>518</v>
      </c>
      <c r="Z437" s="169" t="s">
        <v>63</v>
      </c>
      <c r="AA437" s="166">
        <v>10</v>
      </c>
      <c r="AB437" s="166">
        <v>0</v>
      </c>
      <c r="AC437" s="165">
        <v>27.2</v>
      </c>
      <c r="AD437" s="165" t="s">
        <v>80</v>
      </c>
      <c r="AE437" s="165" t="s">
        <v>116</v>
      </c>
      <c r="AF437" s="165">
        <v>5.7</v>
      </c>
      <c r="AG437" s="165" t="s">
        <v>80</v>
      </c>
      <c r="AH437" s="165" t="s">
        <v>117</v>
      </c>
      <c r="AI437" s="165">
        <v>22</v>
      </c>
      <c r="AJ437" s="165">
        <v>39</v>
      </c>
      <c r="AK437" s="166">
        <v>85.1</v>
      </c>
      <c r="AL437" s="166" t="s">
        <v>81</v>
      </c>
      <c r="AM437" s="166" t="s">
        <v>116</v>
      </c>
      <c r="AN437" s="166">
        <v>10</v>
      </c>
      <c r="AO437" s="166" t="s">
        <v>81</v>
      </c>
      <c r="AP437" s="166" t="s">
        <v>117</v>
      </c>
      <c r="AQ437" s="166">
        <v>71.2</v>
      </c>
      <c r="AR437" s="166">
        <v>102.1</v>
      </c>
      <c r="AS437" s="165"/>
      <c r="AT437" s="165"/>
      <c r="AU437" s="165"/>
      <c r="AV437" s="165"/>
      <c r="AW437" s="165"/>
      <c r="AX437" s="165"/>
      <c r="AY437" s="165"/>
      <c r="AZ437" s="165"/>
      <c r="BA437" s="166"/>
      <c r="BB437" s="166"/>
      <c r="BC437" s="166"/>
      <c r="BD437" s="166"/>
      <c r="BE437" s="166"/>
      <c r="BF437" s="166"/>
      <c r="BG437" s="166"/>
      <c r="BH437" s="166"/>
      <c r="BI437" s="165"/>
      <c r="BJ437" s="165"/>
      <c r="BK437" s="165"/>
      <c r="BL437" s="165"/>
      <c r="BM437" s="165"/>
      <c r="BN437" s="165"/>
      <c r="BO437" s="165"/>
      <c r="BP437" s="165"/>
      <c r="BQ437" s="166"/>
      <c r="BR437" s="165"/>
      <c r="BT437" s="174"/>
    </row>
    <row r="438" spans="1:72" s="124" customFormat="1" ht="14.25" hidden="1" customHeight="1" x14ac:dyDescent="0.2">
      <c r="A438" s="93">
        <v>505</v>
      </c>
      <c r="B438" s="233" t="s">
        <v>520</v>
      </c>
      <c r="C438" s="264" t="s">
        <v>521</v>
      </c>
      <c r="D438" s="233" t="s">
        <v>523</v>
      </c>
      <c r="E438" s="125" t="s">
        <v>152</v>
      </c>
      <c r="F438" s="181" t="s">
        <v>103</v>
      </c>
      <c r="G438" s="181" t="s">
        <v>56</v>
      </c>
      <c r="H438" s="181" t="s">
        <v>430</v>
      </c>
      <c r="I438" s="181"/>
      <c r="J438" s="178">
        <v>200</v>
      </c>
      <c r="K438" s="182"/>
      <c r="L438" s="182" t="s">
        <v>58</v>
      </c>
      <c r="M438" s="178" t="s">
        <v>59</v>
      </c>
      <c r="N438" s="178">
        <v>0</v>
      </c>
      <c r="O438" s="178" t="s">
        <v>60</v>
      </c>
      <c r="P438" s="178" t="s">
        <v>79</v>
      </c>
      <c r="Q438" s="179"/>
      <c r="R438" s="179" t="s">
        <v>171</v>
      </c>
      <c r="S438" s="180"/>
      <c r="T438" s="179"/>
      <c r="U438" s="179" t="s">
        <v>516</v>
      </c>
      <c r="V438" s="167" t="s">
        <v>517</v>
      </c>
      <c r="W438" s="168"/>
      <c r="X438" s="106"/>
      <c r="Y438" s="167" t="s">
        <v>518</v>
      </c>
      <c r="Z438" s="169" t="s">
        <v>63</v>
      </c>
      <c r="AA438" s="166">
        <v>10</v>
      </c>
      <c r="AB438" s="166">
        <v>0</v>
      </c>
      <c r="AC438" s="165">
        <v>27.2</v>
      </c>
      <c r="AD438" s="165" t="s">
        <v>80</v>
      </c>
      <c r="AE438" s="165" t="s">
        <v>116</v>
      </c>
      <c r="AF438" s="165">
        <v>5.7</v>
      </c>
      <c r="AG438" s="165" t="s">
        <v>80</v>
      </c>
      <c r="AH438" s="165" t="s">
        <v>117</v>
      </c>
      <c r="AI438" s="165">
        <v>22</v>
      </c>
      <c r="AJ438" s="165">
        <v>39</v>
      </c>
      <c r="AK438" s="166">
        <v>85.1</v>
      </c>
      <c r="AL438" s="166" t="s">
        <v>81</v>
      </c>
      <c r="AM438" s="166" t="s">
        <v>116</v>
      </c>
      <c r="AN438" s="166">
        <v>10</v>
      </c>
      <c r="AO438" s="166" t="s">
        <v>81</v>
      </c>
      <c r="AP438" s="166" t="s">
        <v>117</v>
      </c>
      <c r="AQ438" s="166">
        <v>71.2</v>
      </c>
      <c r="AR438" s="166">
        <v>102.1</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c r="BR438" s="165"/>
      <c r="BT438" s="174"/>
    </row>
    <row r="439" spans="1:72" s="124" customFormat="1" ht="14.25" hidden="1" customHeight="1" x14ac:dyDescent="0.2">
      <c r="A439" s="118">
        <v>506</v>
      </c>
      <c r="B439" s="233" t="s">
        <v>520</v>
      </c>
      <c r="C439" s="264" t="s">
        <v>521</v>
      </c>
      <c r="D439" s="233" t="s">
        <v>524</v>
      </c>
      <c r="E439" s="125" t="s">
        <v>149</v>
      </c>
      <c r="F439" s="181" t="s">
        <v>103</v>
      </c>
      <c r="G439" s="181" t="s">
        <v>56</v>
      </c>
      <c r="H439" s="181" t="s">
        <v>66</v>
      </c>
      <c r="I439" s="181"/>
      <c r="J439" s="178">
        <v>200</v>
      </c>
      <c r="K439" s="182"/>
      <c r="L439" s="182" t="s">
        <v>58</v>
      </c>
      <c r="M439" s="178" t="s">
        <v>59</v>
      </c>
      <c r="N439" s="178">
        <v>0</v>
      </c>
      <c r="O439" s="178" t="s">
        <v>60</v>
      </c>
      <c r="P439" s="178" t="s">
        <v>79</v>
      </c>
      <c r="Q439" s="179"/>
      <c r="R439" s="179" t="s">
        <v>171</v>
      </c>
      <c r="S439" s="180"/>
      <c r="T439" s="179"/>
      <c r="U439" s="179" t="s">
        <v>516</v>
      </c>
      <c r="V439" s="167" t="s">
        <v>517</v>
      </c>
      <c r="W439" s="168"/>
      <c r="X439" s="106"/>
      <c r="Y439" s="167" t="s">
        <v>518</v>
      </c>
      <c r="Z439" s="169" t="s">
        <v>63</v>
      </c>
      <c r="AA439" s="166">
        <v>10</v>
      </c>
      <c r="AB439" s="166">
        <v>10</v>
      </c>
      <c r="AC439" s="165">
        <v>24.5</v>
      </c>
      <c r="AD439" s="165" t="s">
        <v>80</v>
      </c>
      <c r="AE439" s="165" t="s">
        <v>116</v>
      </c>
      <c r="AF439" s="165">
        <v>2.2999999999999998</v>
      </c>
      <c r="AG439" s="165" t="s">
        <v>80</v>
      </c>
      <c r="AH439" s="165" t="s">
        <v>117</v>
      </c>
      <c r="AI439" s="165">
        <v>22</v>
      </c>
      <c r="AJ439" s="165">
        <v>30</v>
      </c>
      <c r="AK439" s="166">
        <v>64.3</v>
      </c>
      <c r="AL439" s="166" t="s">
        <v>81</v>
      </c>
      <c r="AM439" s="166" t="s">
        <v>116</v>
      </c>
      <c r="AN439" s="166">
        <v>19.600000000000001</v>
      </c>
      <c r="AO439" s="166" t="s">
        <v>81</v>
      </c>
      <c r="AP439" s="166" t="s">
        <v>117</v>
      </c>
      <c r="AQ439" s="166">
        <v>49.4</v>
      </c>
      <c r="AR439" s="166">
        <v>105.2</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c r="BR439" s="165"/>
    </row>
    <row r="440" spans="1:72" s="124" customFormat="1" ht="14.25" hidden="1" customHeight="1" x14ac:dyDescent="0.2">
      <c r="A440" s="118">
        <v>507</v>
      </c>
      <c r="B440" s="233" t="s">
        <v>520</v>
      </c>
      <c r="C440" s="264" t="s">
        <v>521</v>
      </c>
      <c r="D440" s="233" t="s">
        <v>524</v>
      </c>
      <c r="E440" s="125" t="s">
        <v>152</v>
      </c>
      <c r="F440" s="181" t="s">
        <v>103</v>
      </c>
      <c r="G440" s="181" t="s">
        <v>56</v>
      </c>
      <c r="H440" s="181" t="s">
        <v>168</v>
      </c>
      <c r="I440" s="181"/>
      <c r="J440" s="178">
        <v>200</v>
      </c>
      <c r="K440" s="182"/>
      <c r="L440" s="182" t="s">
        <v>58</v>
      </c>
      <c r="M440" s="178" t="s">
        <v>59</v>
      </c>
      <c r="N440" s="178">
        <v>0</v>
      </c>
      <c r="O440" s="178" t="s">
        <v>60</v>
      </c>
      <c r="P440" s="178" t="s">
        <v>79</v>
      </c>
      <c r="Q440" s="179"/>
      <c r="R440" s="179" t="s">
        <v>171</v>
      </c>
      <c r="S440" s="180"/>
      <c r="T440" s="179"/>
      <c r="U440" s="179" t="s">
        <v>516</v>
      </c>
      <c r="V440" s="167" t="s">
        <v>517</v>
      </c>
      <c r="W440" s="168"/>
      <c r="X440" s="106"/>
      <c r="Y440" s="167" t="s">
        <v>518</v>
      </c>
      <c r="Z440" s="169" t="s">
        <v>63</v>
      </c>
      <c r="AA440" s="166">
        <v>10</v>
      </c>
      <c r="AB440" s="166">
        <v>10</v>
      </c>
      <c r="AC440" s="165">
        <v>24.5</v>
      </c>
      <c r="AD440" s="165" t="s">
        <v>80</v>
      </c>
      <c r="AE440" s="165" t="s">
        <v>116</v>
      </c>
      <c r="AF440" s="165">
        <v>2.2999999999999998</v>
      </c>
      <c r="AG440" s="165" t="s">
        <v>80</v>
      </c>
      <c r="AH440" s="165" t="s">
        <v>117</v>
      </c>
      <c r="AI440" s="165">
        <v>22</v>
      </c>
      <c r="AJ440" s="165">
        <v>30</v>
      </c>
      <c r="AK440" s="166">
        <v>64.3</v>
      </c>
      <c r="AL440" s="166" t="s">
        <v>81</v>
      </c>
      <c r="AM440" s="166" t="s">
        <v>116</v>
      </c>
      <c r="AN440" s="166">
        <v>19.600000000000001</v>
      </c>
      <c r="AO440" s="166" t="s">
        <v>81</v>
      </c>
      <c r="AP440" s="166" t="s">
        <v>117</v>
      </c>
      <c r="AQ440" s="166">
        <v>49.4</v>
      </c>
      <c r="AR440" s="166">
        <v>105.2</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c r="BR440" s="165"/>
    </row>
    <row r="441" spans="1:72" s="124" customFormat="1" ht="14.25" hidden="1" customHeight="1" x14ac:dyDescent="0.2">
      <c r="A441" s="118">
        <v>508</v>
      </c>
      <c r="B441" s="233" t="s">
        <v>520</v>
      </c>
      <c r="C441" s="264" t="s">
        <v>521</v>
      </c>
      <c r="D441" s="233" t="s">
        <v>525</v>
      </c>
      <c r="E441" s="125" t="s">
        <v>149</v>
      </c>
      <c r="F441" s="181" t="s">
        <v>103</v>
      </c>
      <c r="G441" s="181" t="s">
        <v>56</v>
      </c>
      <c r="H441" s="181" t="s">
        <v>157</v>
      </c>
      <c r="I441" s="181"/>
      <c r="J441" s="178">
        <v>200</v>
      </c>
      <c r="K441" s="182"/>
      <c r="L441" s="182" t="s">
        <v>58</v>
      </c>
      <c r="M441" s="178" t="s">
        <v>59</v>
      </c>
      <c r="N441" s="178">
        <v>0</v>
      </c>
      <c r="O441" s="178" t="s">
        <v>60</v>
      </c>
      <c r="P441" s="178" t="s">
        <v>79</v>
      </c>
      <c r="Q441" s="179"/>
      <c r="R441" s="179" t="s">
        <v>171</v>
      </c>
      <c r="S441" s="180"/>
      <c r="T441" s="179"/>
      <c r="U441" s="179" t="s">
        <v>516</v>
      </c>
      <c r="V441" s="167" t="s">
        <v>517</v>
      </c>
      <c r="W441" s="168"/>
      <c r="X441" s="106"/>
      <c r="Y441" s="167" t="s">
        <v>518</v>
      </c>
      <c r="Z441" s="169" t="s">
        <v>63</v>
      </c>
      <c r="AA441" s="166">
        <v>10</v>
      </c>
      <c r="AB441" s="166">
        <v>0</v>
      </c>
      <c r="AC441" s="165">
        <v>27.2</v>
      </c>
      <c r="AD441" s="165" t="s">
        <v>80</v>
      </c>
      <c r="AE441" s="165" t="s">
        <v>116</v>
      </c>
      <c r="AF441" s="165">
        <v>5.7</v>
      </c>
      <c r="AG441" s="165" t="s">
        <v>80</v>
      </c>
      <c r="AH441" s="165" t="s">
        <v>117</v>
      </c>
      <c r="AI441" s="165">
        <v>22</v>
      </c>
      <c r="AJ441" s="165">
        <v>39</v>
      </c>
      <c r="AK441" s="166">
        <v>85.1</v>
      </c>
      <c r="AL441" s="166" t="s">
        <v>81</v>
      </c>
      <c r="AM441" s="166" t="s">
        <v>116</v>
      </c>
      <c r="AN441" s="166">
        <v>10</v>
      </c>
      <c r="AO441" s="166" t="s">
        <v>81</v>
      </c>
      <c r="AP441" s="166" t="s">
        <v>117</v>
      </c>
      <c r="AQ441" s="166">
        <v>71.2</v>
      </c>
      <c r="AR441" s="166">
        <v>102.1</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c r="BR441" s="165"/>
    </row>
    <row r="442" spans="1:72" s="124" customFormat="1" ht="14.25" hidden="1" customHeight="1" x14ac:dyDescent="0.2">
      <c r="A442" s="118">
        <v>509</v>
      </c>
      <c r="B442" s="233" t="s">
        <v>520</v>
      </c>
      <c r="C442" s="264" t="s">
        <v>521</v>
      </c>
      <c r="D442" s="233" t="s">
        <v>525</v>
      </c>
      <c r="E442" s="125" t="s">
        <v>152</v>
      </c>
      <c r="F442" s="181" t="s">
        <v>103</v>
      </c>
      <c r="G442" s="181" t="s">
        <v>56</v>
      </c>
      <c r="H442" s="181" t="s">
        <v>430</v>
      </c>
      <c r="I442" s="181"/>
      <c r="J442" s="178">
        <v>200</v>
      </c>
      <c r="K442" s="182"/>
      <c r="L442" s="182" t="s">
        <v>58</v>
      </c>
      <c r="M442" s="178" t="s">
        <v>59</v>
      </c>
      <c r="N442" s="178">
        <v>0</v>
      </c>
      <c r="O442" s="178" t="s">
        <v>60</v>
      </c>
      <c r="P442" s="178" t="s">
        <v>79</v>
      </c>
      <c r="Q442" s="179"/>
      <c r="R442" s="179" t="s">
        <v>171</v>
      </c>
      <c r="S442" s="180"/>
      <c r="T442" s="179"/>
      <c r="U442" s="179" t="s">
        <v>516</v>
      </c>
      <c r="V442" s="167" t="s">
        <v>517</v>
      </c>
      <c r="W442" s="168"/>
      <c r="X442" s="106"/>
      <c r="Y442" s="167" t="s">
        <v>518</v>
      </c>
      <c r="Z442" s="169" t="s">
        <v>63</v>
      </c>
      <c r="AA442" s="166">
        <v>10</v>
      </c>
      <c r="AB442" s="166">
        <v>0</v>
      </c>
      <c r="AC442" s="165">
        <v>27.2</v>
      </c>
      <c r="AD442" s="165" t="s">
        <v>80</v>
      </c>
      <c r="AE442" s="165" t="s">
        <v>116</v>
      </c>
      <c r="AF442" s="165">
        <v>5.7</v>
      </c>
      <c r="AG442" s="165" t="s">
        <v>80</v>
      </c>
      <c r="AH442" s="165" t="s">
        <v>117</v>
      </c>
      <c r="AI442" s="165">
        <v>22</v>
      </c>
      <c r="AJ442" s="165">
        <v>39</v>
      </c>
      <c r="AK442" s="166">
        <v>85.1</v>
      </c>
      <c r="AL442" s="166" t="s">
        <v>81</v>
      </c>
      <c r="AM442" s="166" t="s">
        <v>116</v>
      </c>
      <c r="AN442" s="166">
        <v>10</v>
      </c>
      <c r="AO442" s="166" t="s">
        <v>81</v>
      </c>
      <c r="AP442" s="166" t="s">
        <v>117</v>
      </c>
      <c r="AQ442" s="166">
        <v>71.2</v>
      </c>
      <c r="AR442" s="166">
        <v>102.1</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c r="BR442" s="165"/>
    </row>
    <row r="443" spans="1:72" s="124" customFormat="1" ht="14.25" hidden="1" customHeight="1" x14ac:dyDescent="0.2">
      <c r="A443" s="91">
        <v>510</v>
      </c>
      <c r="B443" s="231" t="s">
        <v>526</v>
      </c>
      <c r="C443" s="264" t="s">
        <v>527</v>
      </c>
      <c r="D443" s="231" t="s">
        <v>528</v>
      </c>
      <c r="E443" s="125" t="s">
        <v>149</v>
      </c>
      <c r="F443" s="181" t="s">
        <v>103</v>
      </c>
      <c r="G443" s="181" t="s">
        <v>56</v>
      </c>
      <c r="H443" s="181" t="s">
        <v>66</v>
      </c>
      <c r="I443" s="181"/>
      <c r="J443" s="178">
        <v>200</v>
      </c>
      <c r="K443" s="182"/>
      <c r="L443" s="182" t="s">
        <v>58</v>
      </c>
      <c r="M443" s="178" t="s">
        <v>59</v>
      </c>
      <c r="N443" s="178">
        <v>0</v>
      </c>
      <c r="O443" s="178" t="s">
        <v>60</v>
      </c>
      <c r="P443" s="178" t="s">
        <v>79</v>
      </c>
      <c r="Q443" s="179"/>
      <c r="R443" s="179" t="s">
        <v>510</v>
      </c>
      <c r="S443" s="180"/>
      <c r="T443" s="179">
        <v>240</v>
      </c>
      <c r="U443" s="179" t="s">
        <v>529</v>
      </c>
      <c r="V443" s="167" t="s">
        <v>62</v>
      </c>
      <c r="W443" s="168">
        <v>12</v>
      </c>
      <c r="X443" s="106"/>
      <c r="Y443" s="167"/>
      <c r="Z443" s="169" t="s">
        <v>63</v>
      </c>
      <c r="AA443" s="166">
        <v>8</v>
      </c>
      <c r="AB443" s="166">
        <v>0</v>
      </c>
      <c r="AC443" s="165">
        <v>25.5</v>
      </c>
      <c r="AD443" s="165" t="s">
        <v>80</v>
      </c>
      <c r="AE443" s="165" t="s">
        <v>116</v>
      </c>
      <c r="AF443" s="165">
        <v>5.3</v>
      </c>
      <c r="AG443" s="165" t="s">
        <v>80</v>
      </c>
      <c r="AH443" s="165" t="s">
        <v>117</v>
      </c>
      <c r="AI443" s="165">
        <v>22</v>
      </c>
      <c r="AJ443" s="165">
        <v>34</v>
      </c>
      <c r="AK443" s="166">
        <v>62.3</v>
      </c>
      <c r="AL443" s="166" t="s">
        <v>81</v>
      </c>
      <c r="AM443" s="166" t="s">
        <v>116</v>
      </c>
      <c r="AN443" s="166">
        <v>8.6</v>
      </c>
      <c r="AO443" s="166" t="s">
        <v>81</v>
      </c>
      <c r="AP443" s="166" t="s">
        <v>117</v>
      </c>
      <c r="AQ443" s="166">
        <v>53</v>
      </c>
      <c r="AR443" s="166">
        <v>73</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512</v>
      </c>
      <c r="BR443" s="165"/>
      <c r="BT443" s="174"/>
    </row>
    <row r="444" spans="1:72" s="124" customFormat="1" ht="14.25" hidden="1" customHeight="1" x14ac:dyDescent="0.2">
      <c r="A444" s="91">
        <v>511</v>
      </c>
      <c r="B444" s="231" t="s">
        <v>526</v>
      </c>
      <c r="C444" s="264" t="s">
        <v>527</v>
      </c>
      <c r="D444" s="231" t="s">
        <v>528</v>
      </c>
      <c r="E444" s="125" t="s">
        <v>152</v>
      </c>
      <c r="F444" s="181" t="s">
        <v>103</v>
      </c>
      <c r="G444" s="181" t="s">
        <v>56</v>
      </c>
      <c r="H444" s="181" t="s">
        <v>66</v>
      </c>
      <c r="I444" s="181"/>
      <c r="J444" s="178">
        <v>200</v>
      </c>
      <c r="K444" s="182"/>
      <c r="L444" s="182" t="s">
        <v>58</v>
      </c>
      <c r="M444" s="178" t="s">
        <v>59</v>
      </c>
      <c r="N444" s="178">
        <v>0</v>
      </c>
      <c r="O444" s="178" t="s">
        <v>60</v>
      </c>
      <c r="P444" s="178" t="s">
        <v>79</v>
      </c>
      <c r="Q444" s="179"/>
      <c r="R444" s="179" t="s">
        <v>510</v>
      </c>
      <c r="S444" s="180"/>
      <c r="T444" s="179">
        <v>240</v>
      </c>
      <c r="U444" s="179" t="s">
        <v>529</v>
      </c>
      <c r="V444" s="167" t="s">
        <v>62</v>
      </c>
      <c r="W444" s="168">
        <v>12</v>
      </c>
      <c r="X444" s="106"/>
      <c r="Y444" s="167"/>
      <c r="Z444" s="169" t="s">
        <v>63</v>
      </c>
      <c r="AA444" s="166">
        <v>8</v>
      </c>
      <c r="AB444" s="166">
        <v>0</v>
      </c>
      <c r="AC444" s="165">
        <v>25.5</v>
      </c>
      <c r="AD444" s="165" t="s">
        <v>80</v>
      </c>
      <c r="AE444" s="165" t="s">
        <v>116</v>
      </c>
      <c r="AF444" s="165">
        <v>5.3</v>
      </c>
      <c r="AG444" s="165" t="s">
        <v>80</v>
      </c>
      <c r="AH444" s="165" t="s">
        <v>117</v>
      </c>
      <c r="AI444" s="165">
        <v>22</v>
      </c>
      <c r="AJ444" s="165">
        <v>34</v>
      </c>
      <c r="AK444" s="166">
        <v>62.3</v>
      </c>
      <c r="AL444" s="166" t="s">
        <v>81</v>
      </c>
      <c r="AM444" s="166" t="s">
        <v>116</v>
      </c>
      <c r="AN444" s="166">
        <v>8.6</v>
      </c>
      <c r="AO444" s="166" t="s">
        <v>81</v>
      </c>
      <c r="AP444" s="166" t="s">
        <v>117</v>
      </c>
      <c r="AQ444" s="166">
        <v>53</v>
      </c>
      <c r="AR444" s="166">
        <v>73</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512</v>
      </c>
      <c r="BR444" s="165"/>
    </row>
    <row r="445" spans="1:72" s="124" customFormat="1" ht="12.75" hidden="1" customHeight="1" x14ac:dyDescent="0.2">
      <c r="A445" s="91">
        <v>512</v>
      </c>
      <c r="B445" s="231" t="s">
        <v>526</v>
      </c>
      <c r="C445" s="264" t="s">
        <v>527</v>
      </c>
      <c r="D445" s="231" t="s">
        <v>530</v>
      </c>
      <c r="E445" s="125" t="s">
        <v>149</v>
      </c>
      <c r="F445" s="181" t="s">
        <v>103</v>
      </c>
      <c r="G445" s="181" t="s">
        <v>56</v>
      </c>
      <c r="H445" s="181" t="s">
        <v>66</v>
      </c>
      <c r="I445" s="181"/>
      <c r="J445" s="178">
        <v>200</v>
      </c>
      <c r="K445" s="182"/>
      <c r="L445" s="182" t="s">
        <v>58</v>
      </c>
      <c r="M445" s="178" t="s">
        <v>59</v>
      </c>
      <c r="N445" s="178" t="s">
        <v>531</v>
      </c>
      <c r="O445" s="178" t="s">
        <v>60</v>
      </c>
      <c r="P445" s="178" t="s">
        <v>79</v>
      </c>
      <c r="Q445" s="179"/>
      <c r="R445" s="179" t="s">
        <v>510</v>
      </c>
      <c r="S445" s="180"/>
      <c r="T445" s="179">
        <v>240</v>
      </c>
      <c r="U445" s="179" t="s">
        <v>529</v>
      </c>
      <c r="V445" s="167" t="s">
        <v>62</v>
      </c>
      <c r="W445" s="168">
        <v>12</v>
      </c>
      <c r="X445" s="106"/>
      <c r="Y445" s="167"/>
      <c r="Z445" s="169" t="s">
        <v>63</v>
      </c>
      <c r="AA445" s="166">
        <v>8</v>
      </c>
      <c r="AB445" s="166">
        <v>0</v>
      </c>
      <c r="AC445" s="165">
        <v>25.5</v>
      </c>
      <c r="AD445" s="165" t="s">
        <v>80</v>
      </c>
      <c r="AE445" s="165" t="s">
        <v>116</v>
      </c>
      <c r="AF445" s="165">
        <v>5.3</v>
      </c>
      <c r="AG445" s="165" t="s">
        <v>80</v>
      </c>
      <c r="AH445" s="165" t="s">
        <v>117</v>
      </c>
      <c r="AI445" s="165">
        <v>22</v>
      </c>
      <c r="AJ445" s="165">
        <v>34</v>
      </c>
      <c r="AK445" s="166">
        <v>62.3</v>
      </c>
      <c r="AL445" s="166" t="s">
        <v>81</v>
      </c>
      <c r="AM445" s="166" t="s">
        <v>116</v>
      </c>
      <c r="AN445" s="166">
        <v>8.6</v>
      </c>
      <c r="AO445" s="166" t="s">
        <v>81</v>
      </c>
      <c r="AP445" s="166" t="s">
        <v>117</v>
      </c>
      <c r="AQ445" s="166">
        <v>53</v>
      </c>
      <c r="AR445" s="166">
        <v>73</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512</v>
      </c>
      <c r="BR445" s="165"/>
    </row>
    <row r="446" spans="1:72" s="124" customFormat="1" ht="12.75" hidden="1" customHeight="1" x14ac:dyDescent="0.2">
      <c r="A446" s="91">
        <v>513</v>
      </c>
      <c r="B446" s="231" t="s">
        <v>526</v>
      </c>
      <c r="C446" s="264" t="s">
        <v>527</v>
      </c>
      <c r="D446" s="231" t="s">
        <v>530</v>
      </c>
      <c r="E446" s="125" t="s">
        <v>152</v>
      </c>
      <c r="F446" s="181" t="s">
        <v>103</v>
      </c>
      <c r="G446" s="181" t="s">
        <v>56</v>
      </c>
      <c r="H446" s="181" t="s">
        <v>66</v>
      </c>
      <c r="I446" s="181"/>
      <c r="J446" s="178">
        <v>200</v>
      </c>
      <c r="K446" s="182"/>
      <c r="L446" s="182" t="s">
        <v>58</v>
      </c>
      <c r="M446" s="178" t="s">
        <v>59</v>
      </c>
      <c r="N446" s="178" t="s">
        <v>531</v>
      </c>
      <c r="O446" s="178" t="s">
        <v>60</v>
      </c>
      <c r="P446" s="178" t="s">
        <v>79</v>
      </c>
      <c r="Q446" s="179"/>
      <c r="R446" s="179" t="s">
        <v>510</v>
      </c>
      <c r="S446" s="180"/>
      <c r="T446" s="179">
        <v>240</v>
      </c>
      <c r="U446" s="179" t="s">
        <v>529</v>
      </c>
      <c r="V446" s="167" t="s">
        <v>62</v>
      </c>
      <c r="W446" s="168">
        <v>12</v>
      </c>
      <c r="X446" s="106" t="s">
        <v>203</v>
      </c>
      <c r="Y446" s="167"/>
      <c r="Z446" s="169" t="s">
        <v>63</v>
      </c>
      <c r="AA446" s="166">
        <v>8</v>
      </c>
      <c r="AB446" s="166">
        <v>0</v>
      </c>
      <c r="AC446" s="165">
        <v>25.5</v>
      </c>
      <c r="AD446" s="165" t="s">
        <v>80</v>
      </c>
      <c r="AE446" s="165" t="s">
        <v>116</v>
      </c>
      <c r="AF446" s="165">
        <v>5.3</v>
      </c>
      <c r="AG446" s="165" t="s">
        <v>80</v>
      </c>
      <c r="AH446" s="165" t="s">
        <v>117</v>
      </c>
      <c r="AI446" s="165">
        <v>22</v>
      </c>
      <c r="AJ446" s="165">
        <v>34</v>
      </c>
      <c r="AK446" s="166">
        <v>62.3</v>
      </c>
      <c r="AL446" s="166" t="s">
        <v>81</v>
      </c>
      <c r="AM446" s="166" t="s">
        <v>116</v>
      </c>
      <c r="AN446" s="166">
        <v>8.6</v>
      </c>
      <c r="AO446" s="166" t="s">
        <v>81</v>
      </c>
      <c r="AP446" s="166" t="s">
        <v>117</v>
      </c>
      <c r="AQ446" s="166">
        <v>53</v>
      </c>
      <c r="AR446" s="166">
        <v>73</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512</v>
      </c>
      <c r="BR446" s="165"/>
    </row>
    <row r="447" spans="1:72" s="124" customFormat="1" ht="14.25" hidden="1" customHeight="1" x14ac:dyDescent="0.2">
      <c r="A447" s="91">
        <v>514</v>
      </c>
      <c r="B447" s="231" t="s">
        <v>532</v>
      </c>
      <c r="C447" s="264" t="s">
        <v>533</v>
      </c>
      <c r="D447" s="231" t="s">
        <v>534</v>
      </c>
      <c r="E447" s="125" t="s">
        <v>149</v>
      </c>
      <c r="F447" s="181" t="s">
        <v>103</v>
      </c>
      <c r="G447" s="181" t="s">
        <v>56</v>
      </c>
      <c r="H447" s="181" t="s">
        <v>535</v>
      </c>
      <c r="I447" s="181"/>
      <c r="J447" s="178">
        <v>200</v>
      </c>
      <c r="K447" s="182"/>
      <c r="L447" s="182" t="s">
        <v>58</v>
      </c>
      <c r="M447" s="178" t="s">
        <v>59</v>
      </c>
      <c r="N447" s="178">
        <v>0</v>
      </c>
      <c r="O447" s="178" t="s">
        <v>60</v>
      </c>
      <c r="P447" s="178" t="s">
        <v>79</v>
      </c>
      <c r="Q447" s="179"/>
      <c r="R447" s="179" t="s">
        <v>536</v>
      </c>
      <c r="S447" s="180"/>
      <c r="T447" s="179">
        <v>240</v>
      </c>
      <c r="U447" s="179" t="s">
        <v>537</v>
      </c>
      <c r="V447" s="167" t="s">
        <v>62</v>
      </c>
      <c r="W447" s="168">
        <v>12</v>
      </c>
      <c r="X447" s="106" t="s">
        <v>203</v>
      </c>
      <c r="Y447" s="167"/>
      <c r="Z447" s="169" t="s">
        <v>63</v>
      </c>
      <c r="AA447" s="166">
        <v>12</v>
      </c>
      <c r="AB447" s="166">
        <v>6</v>
      </c>
      <c r="AC447" s="165">
        <v>24</v>
      </c>
      <c r="AD447" s="165" t="s">
        <v>80</v>
      </c>
      <c r="AE447" s="165" t="s">
        <v>538</v>
      </c>
      <c r="AF447" s="165"/>
      <c r="AG447" s="165"/>
      <c r="AH447" s="165"/>
      <c r="AI447" s="165">
        <v>23</v>
      </c>
      <c r="AJ447" s="165">
        <v>29</v>
      </c>
      <c r="AK447" s="166">
        <v>64.2</v>
      </c>
      <c r="AL447" s="166" t="s">
        <v>81</v>
      </c>
      <c r="AM447" s="166" t="s">
        <v>116</v>
      </c>
      <c r="AN447" s="166">
        <v>14.9</v>
      </c>
      <c r="AO447" s="166" t="s">
        <v>81</v>
      </c>
      <c r="AP447" s="166" t="s">
        <v>117</v>
      </c>
      <c r="AQ447" s="166">
        <v>52.5</v>
      </c>
      <c r="AR447" s="166">
        <v>86.4</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539</v>
      </c>
      <c r="BR447" s="165"/>
    </row>
    <row r="448" spans="1:72" s="124" customFormat="1" ht="14.25" hidden="1" customHeight="1" x14ac:dyDescent="0.2">
      <c r="A448" s="91">
        <v>515</v>
      </c>
      <c r="B448" s="231" t="s">
        <v>532</v>
      </c>
      <c r="C448" s="264" t="s">
        <v>533</v>
      </c>
      <c r="D448" s="231" t="s">
        <v>534</v>
      </c>
      <c r="E448" s="125" t="s">
        <v>152</v>
      </c>
      <c r="F448" s="181" t="s">
        <v>103</v>
      </c>
      <c r="G448" s="181" t="s">
        <v>56</v>
      </c>
      <c r="H448" s="181" t="s">
        <v>540</v>
      </c>
      <c r="I448" s="181"/>
      <c r="J448" s="178">
        <v>200</v>
      </c>
      <c r="K448" s="182"/>
      <c r="L448" s="182" t="s">
        <v>58</v>
      </c>
      <c r="M448" s="178" t="s">
        <v>59</v>
      </c>
      <c r="N448" s="178">
        <v>0</v>
      </c>
      <c r="O448" s="178" t="s">
        <v>60</v>
      </c>
      <c r="P448" s="178" t="s">
        <v>79</v>
      </c>
      <c r="Q448" s="179"/>
      <c r="R448" s="179" t="s">
        <v>536</v>
      </c>
      <c r="S448" s="180"/>
      <c r="T448" s="179">
        <v>240</v>
      </c>
      <c r="U448" s="179" t="s">
        <v>537</v>
      </c>
      <c r="V448" s="167" t="s">
        <v>62</v>
      </c>
      <c r="W448" s="168">
        <v>12</v>
      </c>
      <c r="X448" s="106" t="s">
        <v>203</v>
      </c>
      <c r="Y448" s="167"/>
      <c r="Z448" s="169" t="s">
        <v>63</v>
      </c>
      <c r="AA448" s="166">
        <v>12</v>
      </c>
      <c r="AB448" s="166">
        <v>6</v>
      </c>
      <c r="AC448" s="165">
        <v>24</v>
      </c>
      <c r="AD448" s="165" t="s">
        <v>80</v>
      </c>
      <c r="AE448" s="165" t="s">
        <v>538</v>
      </c>
      <c r="AF448" s="165"/>
      <c r="AG448" s="165"/>
      <c r="AH448" s="165"/>
      <c r="AI448" s="165">
        <v>23</v>
      </c>
      <c r="AJ448" s="165">
        <v>29</v>
      </c>
      <c r="AK448" s="166">
        <v>64.2</v>
      </c>
      <c r="AL448" s="166" t="s">
        <v>81</v>
      </c>
      <c r="AM448" s="166" t="s">
        <v>116</v>
      </c>
      <c r="AN448" s="166">
        <v>14.9</v>
      </c>
      <c r="AO448" s="166" t="s">
        <v>81</v>
      </c>
      <c r="AP448" s="166" t="s">
        <v>117</v>
      </c>
      <c r="AQ448" s="166">
        <v>52.5</v>
      </c>
      <c r="AR448" s="166">
        <v>86.4</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539</v>
      </c>
      <c r="BR448" s="165"/>
    </row>
    <row r="449" spans="1:70" s="124" customFormat="1" ht="14.25" hidden="1" customHeight="1" x14ac:dyDescent="0.2">
      <c r="A449" s="91">
        <v>516</v>
      </c>
      <c r="B449" s="231" t="s">
        <v>532</v>
      </c>
      <c r="C449" s="264" t="s">
        <v>533</v>
      </c>
      <c r="D449" s="231" t="s">
        <v>541</v>
      </c>
      <c r="E449" s="125" t="s">
        <v>149</v>
      </c>
      <c r="F449" s="181" t="s">
        <v>103</v>
      </c>
      <c r="G449" s="181" t="s">
        <v>56</v>
      </c>
      <c r="H449" s="181" t="s">
        <v>535</v>
      </c>
      <c r="I449" s="181"/>
      <c r="J449" s="178">
        <v>200</v>
      </c>
      <c r="K449" s="182"/>
      <c r="L449" s="182" t="s">
        <v>58</v>
      </c>
      <c r="M449" s="178" t="s">
        <v>59</v>
      </c>
      <c r="N449" s="178">
        <v>0</v>
      </c>
      <c r="O449" s="178" t="s">
        <v>60</v>
      </c>
      <c r="P449" s="178" t="s">
        <v>79</v>
      </c>
      <c r="Q449" s="179"/>
      <c r="R449" s="179" t="s">
        <v>536</v>
      </c>
      <c r="S449" s="180"/>
      <c r="T449" s="179">
        <v>240</v>
      </c>
      <c r="U449" s="179" t="s">
        <v>537</v>
      </c>
      <c r="V449" s="167" t="s">
        <v>62</v>
      </c>
      <c r="W449" s="168">
        <v>12</v>
      </c>
      <c r="X449" s="106" t="s">
        <v>203</v>
      </c>
      <c r="Y449" s="167"/>
      <c r="Z449" s="169" t="s">
        <v>63</v>
      </c>
      <c r="AA449" s="166">
        <v>12</v>
      </c>
      <c r="AB449" s="166">
        <v>6</v>
      </c>
      <c r="AC449" s="165">
        <v>24</v>
      </c>
      <c r="AD449" s="165" t="s">
        <v>80</v>
      </c>
      <c r="AE449" s="165" t="s">
        <v>538</v>
      </c>
      <c r="AF449" s="165"/>
      <c r="AG449" s="165"/>
      <c r="AH449" s="165"/>
      <c r="AI449" s="165">
        <v>23</v>
      </c>
      <c r="AJ449" s="165">
        <v>29</v>
      </c>
      <c r="AK449" s="166">
        <v>64.2</v>
      </c>
      <c r="AL449" s="166" t="s">
        <v>81</v>
      </c>
      <c r="AM449" s="166" t="s">
        <v>116</v>
      </c>
      <c r="AN449" s="166">
        <v>14.9</v>
      </c>
      <c r="AO449" s="166" t="s">
        <v>81</v>
      </c>
      <c r="AP449" s="166" t="s">
        <v>117</v>
      </c>
      <c r="AQ449" s="166">
        <v>52.5</v>
      </c>
      <c r="AR449" s="166">
        <v>86.4</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539</v>
      </c>
      <c r="BR449" s="165"/>
    </row>
    <row r="450" spans="1:70" s="124" customFormat="1" ht="14.25" hidden="1" customHeight="1" x14ac:dyDescent="0.2">
      <c r="A450" s="91">
        <v>517</v>
      </c>
      <c r="B450" s="231" t="s">
        <v>532</v>
      </c>
      <c r="C450" s="264" t="s">
        <v>533</v>
      </c>
      <c r="D450" s="231" t="s">
        <v>541</v>
      </c>
      <c r="E450" s="125" t="s">
        <v>152</v>
      </c>
      <c r="F450" s="181" t="s">
        <v>103</v>
      </c>
      <c r="G450" s="181" t="s">
        <v>56</v>
      </c>
      <c r="H450" s="181" t="s">
        <v>540</v>
      </c>
      <c r="I450" s="181"/>
      <c r="J450" s="178">
        <v>200</v>
      </c>
      <c r="K450" s="182"/>
      <c r="L450" s="182" t="s">
        <v>58</v>
      </c>
      <c r="M450" s="178" t="s">
        <v>59</v>
      </c>
      <c r="N450" s="178">
        <v>0</v>
      </c>
      <c r="O450" s="178" t="s">
        <v>60</v>
      </c>
      <c r="P450" s="178" t="s">
        <v>79</v>
      </c>
      <c r="Q450" s="179"/>
      <c r="R450" s="179" t="s">
        <v>536</v>
      </c>
      <c r="S450" s="180"/>
      <c r="T450" s="179">
        <v>240</v>
      </c>
      <c r="U450" s="179" t="s">
        <v>537</v>
      </c>
      <c r="V450" s="167" t="s">
        <v>62</v>
      </c>
      <c r="W450" s="168">
        <v>12</v>
      </c>
      <c r="X450" s="106" t="s">
        <v>203</v>
      </c>
      <c r="Y450" s="167"/>
      <c r="Z450" s="169" t="s">
        <v>63</v>
      </c>
      <c r="AA450" s="166">
        <v>12</v>
      </c>
      <c r="AB450" s="166">
        <v>6</v>
      </c>
      <c r="AC450" s="165">
        <v>24</v>
      </c>
      <c r="AD450" s="165" t="s">
        <v>80</v>
      </c>
      <c r="AE450" s="165" t="s">
        <v>538</v>
      </c>
      <c r="AF450" s="165"/>
      <c r="AG450" s="165"/>
      <c r="AH450" s="165"/>
      <c r="AI450" s="165">
        <v>23</v>
      </c>
      <c r="AJ450" s="165">
        <v>29</v>
      </c>
      <c r="AK450" s="166">
        <v>64.2</v>
      </c>
      <c r="AL450" s="166" t="s">
        <v>81</v>
      </c>
      <c r="AM450" s="166" t="s">
        <v>116</v>
      </c>
      <c r="AN450" s="166">
        <v>14.9</v>
      </c>
      <c r="AO450" s="166" t="s">
        <v>81</v>
      </c>
      <c r="AP450" s="166" t="s">
        <v>117</v>
      </c>
      <c r="AQ450" s="166">
        <v>52.5</v>
      </c>
      <c r="AR450" s="166">
        <v>86.4</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539</v>
      </c>
      <c r="BR450" s="165"/>
    </row>
    <row r="451" spans="1:70" s="124" customFormat="1" ht="14.25" hidden="1" customHeight="1" x14ac:dyDescent="0.2">
      <c r="A451" s="91">
        <v>518</v>
      </c>
      <c r="B451" s="231" t="s">
        <v>532</v>
      </c>
      <c r="C451" s="264" t="s">
        <v>533</v>
      </c>
      <c r="D451" s="231" t="s">
        <v>542</v>
      </c>
      <c r="E451" s="125" t="s">
        <v>149</v>
      </c>
      <c r="F451" s="181" t="s">
        <v>103</v>
      </c>
      <c r="G451" s="181" t="s">
        <v>56</v>
      </c>
      <c r="H451" s="181" t="s">
        <v>535</v>
      </c>
      <c r="I451" s="181"/>
      <c r="J451" s="178">
        <v>200</v>
      </c>
      <c r="K451" s="182"/>
      <c r="L451" s="182" t="s">
        <v>58</v>
      </c>
      <c r="M451" s="178" t="s">
        <v>59</v>
      </c>
      <c r="N451" s="178">
        <v>0</v>
      </c>
      <c r="O451" s="178" t="s">
        <v>60</v>
      </c>
      <c r="P451" s="178" t="s">
        <v>79</v>
      </c>
      <c r="Q451" s="179"/>
      <c r="R451" s="179" t="s">
        <v>536</v>
      </c>
      <c r="S451" s="180"/>
      <c r="T451" s="179">
        <v>240</v>
      </c>
      <c r="U451" s="179" t="s">
        <v>537</v>
      </c>
      <c r="V451" s="167" t="s">
        <v>62</v>
      </c>
      <c r="W451" s="168">
        <v>12</v>
      </c>
      <c r="X451" s="106" t="s">
        <v>203</v>
      </c>
      <c r="Y451" s="167"/>
      <c r="Z451" s="169" t="s">
        <v>63</v>
      </c>
      <c r="AA451" s="166">
        <v>12</v>
      </c>
      <c r="AB451" s="166">
        <v>6</v>
      </c>
      <c r="AC451" s="165">
        <v>24</v>
      </c>
      <c r="AD451" s="165" t="s">
        <v>80</v>
      </c>
      <c r="AE451" s="165" t="s">
        <v>538</v>
      </c>
      <c r="AF451" s="165"/>
      <c r="AG451" s="165"/>
      <c r="AH451" s="165"/>
      <c r="AI451" s="165">
        <v>23</v>
      </c>
      <c r="AJ451" s="165">
        <v>29</v>
      </c>
      <c r="AK451" s="166">
        <v>64.2</v>
      </c>
      <c r="AL451" s="166" t="s">
        <v>81</v>
      </c>
      <c r="AM451" s="166" t="s">
        <v>116</v>
      </c>
      <c r="AN451" s="166">
        <v>14.9</v>
      </c>
      <c r="AO451" s="166" t="s">
        <v>81</v>
      </c>
      <c r="AP451" s="166" t="s">
        <v>117</v>
      </c>
      <c r="AQ451" s="166">
        <v>52.5</v>
      </c>
      <c r="AR451" s="166">
        <v>86.4</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539</v>
      </c>
      <c r="BR451" s="165"/>
    </row>
    <row r="452" spans="1:70" s="124" customFormat="1" ht="14.25" hidden="1" customHeight="1" x14ac:dyDescent="0.2">
      <c r="A452" s="91">
        <v>519</v>
      </c>
      <c r="B452" s="231" t="s">
        <v>532</v>
      </c>
      <c r="C452" s="264" t="s">
        <v>533</v>
      </c>
      <c r="D452" s="231" t="s">
        <v>542</v>
      </c>
      <c r="E452" s="125" t="s">
        <v>152</v>
      </c>
      <c r="F452" s="181" t="s">
        <v>103</v>
      </c>
      <c r="G452" s="181" t="s">
        <v>56</v>
      </c>
      <c r="H452" s="181" t="s">
        <v>540</v>
      </c>
      <c r="I452" s="181"/>
      <c r="J452" s="178">
        <v>200</v>
      </c>
      <c r="K452" s="182"/>
      <c r="L452" s="182" t="s">
        <v>58</v>
      </c>
      <c r="M452" s="178" t="s">
        <v>59</v>
      </c>
      <c r="N452" s="178">
        <v>0</v>
      </c>
      <c r="O452" s="178" t="s">
        <v>60</v>
      </c>
      <c r="P452" s="178" t="s">
        <v>79</v>
      </c>
      <c r="Q452" s="179"/>
      <c r="R452" s="179" t="s">
        <v>536</v>
      </c>
      <c r="S452" s="180"/>
      <c r="T452" s="179">
        <v>240</v>
      </c>
      <c r="U452" s="179" t="s">
        <v>537</v>
      </c>
      <c r="V452" s="167" t="s">
        <v>62</v>
      </c>
      <c r="W452" s="168">
        <v>12</v>
      </c>
      <c r="X452" s="106" t="s">
        <v>203</v>
      </c>
      <c r="Y452" s="167"/>
      <c r="Z452" s="169" t="s">
        <v>63</v>
      </c>
      <c r="AA452" s="166">
        <v>12</v>
      </c>
      <c r="AB452" s="166">
        <v>6</v>
      </c>
      <c r="AC452" s="165">
        <v>24</v>
      </c>
      <c r="AD452" s="165" t="s">
        <v>80</v>
      </c>
      <c r="AE452" s="165" t="s">
        <v>538</v>
      </c>
      <c r="AF452" s="165"/>
      <c r="AG452" s="165"/>
      <c r="AH452" s="165"/>
      <c r="AI452" s="165">
        <v>23</v>
      </c>
      <c r="AJ452" s="165">
        <v>29</v>
      </c>
      <c r="AK452" s="166">
        <v>64.2</v>
      </c>
      <c r="AL452" s="166" t="s">
        <v>81</v>
      </c>
      <c r="AM452" s="166" t="s">
        <v>116</v>
      </c>
      <c r="AN452" s="166">
        <v>14.9</v>
      </c>
      <c r="AO452" s="166" t="s">
        <v>81</v>
      </c>
      <c r="AP452" s="166" t="s">
        <v>117</v>
      </c>
      <c r="AQ452" s="166">
        <v>52.5</v>
      </c>
      <c r="AR452" s="166">
        <v>86.4</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539</v>
      </c>
      <c r="BR452" s="165"/>
    </row>
    <row r="453" spans="1:70" s="124" customFormat="1" ht="14.25" hidden="1" customHeight="1" x14ac:dyDescent="0.2">
      <c r="A453" s="91">
        <v>520</v>
      </c>
      <c r="B453" s="231" t="s">
        <v>543</v>
      </c>
      <c r="C453" s="264" t="s">
        <v>544</v>
      </c>
      <c r="D453" s="231" t="s">
        <v>545</v>
      </c>
      <c r="E453" s="125" t="s">
        <v>149</v>
      </c>
      <c r="F453" s="181" t="s">
        <v>103</v>
      </c>
      <c r="G453" s="181" t="s">
        <v>56</v>
      </c>
      <c r="H453" s="181" t="s">
        <v>57</v>
      </c>
      <c r="I453" s="181"/>
      <c r="J453" s="178">
        <v>50</v>
      </c>
      <c r="K453" s="182"/>
      <c r="L453" s="182" t="s">
        <v>58</v>
      </c>
      <c r="M453" s="178" t="s">
        <v>78</v>
      </c>
      <c r="N453" s="178">
        <v>0</v>
      </c>
      <c r="O453" s="178" t="s">
        <v>60</v>
      </c>
      <c r="P453" s="178" t="s">
        <v>79</v>
      </c>
      <c r="Q453" s="179"/>
      <c r="R453" s="179" t="s">
        <v>546</v>
      </c>
      <c r="S453" s="180">
        <v>60</v>
      </c>
      <c r="T453" s="179"/>
      <c r="U453" s="179" t="s">
        <v>547</v>
      </c>
      <c r="V453" s="167" t="s">
        <v>62</v>
      </c>
      <c r="W453" s="168">
        <v>10</v>
      </c>
      <c r="X453" s="106" t="s">
        <v>334</v>
      </c>
      <c r="Y453" s="167"/>
      <c r="Z453" s="169" t="s">
        <v>63</v>
      </c>
      <c r="AA453" s="166">
        <v>6</v>
      </c>
      <c r="AB453" s="166">
        <v>1</v>
      </c>
      <c r="AC453" s="165">
        <v>43.2</v>
      </c>
      <c r="AD453" s="165" t="s">
        <v>80</v>
      </c>
      <c r="AE453" s="165" t="s">
        <v>116</v>
      </c>
      <c r="AF453" s="165">
        <v>6.7</v>
      </c>
      <c r="AG453" s="165" t="s">
        <v>80</v>
      </c>
      <c r="AH453" s="165" t="s">
        <v>117</v>
      </c>
      <c r="AI453" s="165"/>
      <c r="AJ453" s="165"/>
      <c r="AK453" s="166">
        <v>77.8</v>
      </c>
      <c r="AL453" s="166" t="s">
        <v>81</v>
      </c>
      <c r="AM453" s="166" t="s">
        <v>116</v>
      </c>
      <c r="AN453" s="166">
        <v>3.9</v>
      </c>
      <c r="AO453" s="166" t="s">
        <v>81</v>
      </c>
      <c r="AP453" s="166" t="s">
        <v>117</v>
      </c>
      <c r="AQ453" s="166"/>
      <c r="AR453" s="166"/>
      <c r="AS453" s="165">
        <v>177.5</v>
      </c>
      <c r="AT453" s="165" t="s">
        <v>119</v>
      </c>
      <c r="AU453" s="165" t="s">
        <v>116</v>
      </c>
      <c r="AV453" s="165">
        <v>7.5</v>
      </c>
      <c r="AW453" s="165" t="s">
        <v>119</v>
      </c>
      <c r="AX453" s="165" t="s">
        <v>117</v>
      </c>
      <c r="AY453" s="165"/>
      <c r="AZ453" s="165"/>
      <c r="BA453" s="166"/>
      <c r="BB453" s="166"/>
      <c r="BC453" s="166"/>
      <c r="BD453" s="166"/>
      <c r="BE453" s="166"/>
      <c r="BF453" s="166"/>
      <c r="BG453" s="166"/>
      <c r="BH453" s="166"/>
      <c r="BI453" s="165"/>
      <c r="BJ453" s="165"/>
      <c r="BK453" s="165"/>
      <c r="BL453" s="165"/>
      <c r="BM453" s="165"/>
      <c r="BN453" s="165"/>
      <c r="BO453" s="165"/>
      <c r="BP453" s="165"/>
      <c r="BQ453" s="166"/>
      <c r="BR453" s="165"/>
    </row>
    <row r="454" spans="1:70" s="124" customFormat="1" ht="14.25" hidden="1" customHeight="1" x14ac:dyDescent="0.2">
      <c r="A454" s="91">
        <v>521</v>
      </c>
      <c r="B454" s="231" t="s">
        <v>543</v>
      </c>
      <c r="C454" s="264" t="s">
        <v>544</v>
      </c>
      <c r="D454" s="231" t="s">
        <v>549</v>
      </c>
      <c r="E454" s="125" t="s">
        <v>149</v>
      </c>
      <c r="F454" s="181" t="s">
        <v>103</v>
      </c>
      <c r="G454" s="181" t="s">
        <v>56</v>
      </c>
      <c r="H454" s="181" t="s">
        <v>57</v>
      </c>
      <c r="I454" s="181"/>
      <c r="J454" s="178">
        <v>100</v>
      </c>
      <c r="K454" s="182"/>
      <c r="L454" s="182" t="s">
        <v>58</v>
      </c>
      <c r="M454" s="178" t="s">
        <v>78</v>
      </c>
      <c r="N454" s="178">
        <v>0</v>
      </c>
      <c r="O454" s="178" t="s">
        <v>60</v>
      </c>
      <c r="P454" s="178" t="s">
        <v>79</v>
      </c>
      <c r="Q454" s="179"/>
      <c r="R454" s="179" t="s">
        <v>546</v>
      </c>
      <c r="S454" s="180">
        <v>60</v>
      </c>
      <c r="T454" s="179"/>
      <c r="U454" s="179" t="s">
        <v>547</v>
      </c>
      <c r="V454" s="167" t="s">
        <v>62</v>
      </c>
      <c r="W454" s="168">
        <v>10</v>
      </c>
      <c r="X454" s="106" t="s">
        <v>334</v>
      </c>
      <c r="Y454" s="167"/>
      <c r="Z454" s="169" t="s">
        <v>63</v>
      </c>
      <c r="AA454" s="166">
        <v>6</v>
      </c>
      <c r="AB454" s="166">
        <v>1</v>
      </c>
      <c r="AC454" s="165">
        <v>40.700000000000003</v>
      </c>
      <c r="AD454" s="165" t="s">
        <v>80</v>
      </c>
      <c r="AE454" s="165" t="s">
        <v>116</v>
      </c>
      <c r="AF454" s="165">
        <v>5.6</v>
      </c>
      <c r="AG454" s="165" t="s">
        <v>80</v>
      </c>
      <c r="AH454" s="165" t="s">
        <v>117</v>
      </c>
      <c r="AI454" s="165"/>
      <c r="AJ454" s="165"/>
      <c r="AK454" s="166">
        <v>75.7</v>
      </c>
      <c r="AL454" s="166" t="s">
        <v>81</v>
      </c>
      <c r="AM454" s="166" t="s">
        <v>116</v>
      </c>
      <c r="AN454" s="166">
        <v>11.8</v>
      </c>
      <c r="AO454" s="166" t="s">
        <v>81</v>
      </c>
      <c r="AP454" s="166" t="s">
        <v>117</v>
      </c>
      <c r="AQ454" s="166"/>
      <c r="AR454" s="166"/>
      <c r="AS454" s="165">
        <v>176.3</v>
      </c>
      <c r="AT454" s="165" t="s">
        <v>119</v>
      </c>
      <c r="AU454" s="165" t="s">
        <v>116</v>
      </c>
      <c r="AV454" s="165">
        <v>6.4</v>
      </c>
      <c r="AW454" s="165" t="s">
        <v>119</v>
      </c>
      <c r="AX454" s="165" t="s">
        <v>117</v>
      </c>
      <c r="AY454" s="165"/>
      <c r="AZ454" s="165"/>
      <c r="BA454" s="166"/>
      <c r="BB454" s="166"/>
      <c r="BC454" s="166"/>
      <c r="BD454" s="166"/>
      <c r="BE454" s="166"/>
      <c r="BF454" s="166"/>
      <c r="BG454" s="166"/>
      <c r="BH454" s="166"/>
      <c r="BI454" s="165"/>
      <c r="BJ454" s="165"/>
      <c r="BK454" s="165"/>
      <c r="BL454" s="165"/>
      <c r="BM454" s="165"/>
      <c r="BN454" s="165"/>
      <c r="BO454" s="165"/>
      <c r="BP454" s="165"/>
      <c r="BQ454" s="166"/>
      <c r="BR454" s="165"/>
    </row>
    <row r="455" spans="1:70" s="124" customFormat="1" ht="14.25" hidden="1" customHeight="1" x14ac:dyDescent="0.2">
      <c r="A455" s="91">
        <v>522</v>
      </c>
      <c r="B455" s="231" t="s">
        <v>543</v>
      </c>
      <c r="C455" s="264" t="s">
        <v>544</v>
      </c>
      <c r="D455" s="231" t="s">
        <v>548</v>
      </c>
      <c r="E455" s="125" t="s">
        <v>149</v>
      </c>
      <c r="F455" s="181" t="s">
        <v>103</v>
      </c>
      <c r="G455" s="181" t="s">
        <v>56</v>
      </c>
      <c r="H455" s="181" t="s">
        <v>57</v>
      </c>
      <c r="I455" s="181"/>
      <c r="J455" s="178">
        <v>200</v>
      </c>
      <c r="K455" s="182"/>
      <c r="L455" s="182" t="s">
        <v>58</v>
      </c>
      <c r="M455" s="178" t="s">
        <v>78</v>
      </c>
      <c r="N455" s="178">
        <v>0</v>
      </c>
      <c r="O455" s="178" t="s">
        <v>60</v>
      </c>
      <c r="P455" s="178" t="s">
        <v>79</v>
      </c>
      <c r="Q455" s="179"/>
      <c r="R455" s="179" t="s">
        <v>546</v>
      </c>
      <c r="S455" s="180">
        <v>60</v>
      </c>
      <c r="T455" s="179"/>
      <c r="U455" s="179" t="s">
        <v>547</v>
      </c>
      <c r="V455" s="167" t="s">
        <v>62</v>
      </c>
      <c r="W455" s="168">
        <v>10</v>
      </c>
      <c r="X455" s="106" t="s">
        <v>334</v>
      </c>
      <c r="Y455" s="167"/>
      <c r="Z455" s="169" t="s">
        <v>63</v>
      </c>
      <c r="AA455" s="166">
        <v>6</v>
      </c>
      <c r="AB455" s="166">
        <v>1</v>
      </c>
      <c r="AC455" s="165">
        <v>43.2</v>
      </c>
      <c r="AD455" s="165" t="s">
        <v>80</v>
      </c>
      <c r="AE455" s="165" t="s">
        <v>116</v>
      </c>
      <c r="AF455" s="165">
        <v>6.7</v>
      </c>
      <c r="AG455" s="165" t="s">
        <v>80</v>
      </c>
      <c r="AH455" s="165" t="s">
        <v>117</v>
      </c>
      <c r="AI455" s="165"/>
      <c r="AJ455" s="165"/>
      <c r="AK455" s="166">
        <v>77.8</v>
      </c>
      <c r="AL455" s="166" t="s">
        <v>81</v>
      </c>
      <c r="AM455" s="166" t="s">
        <v>116</v>
      </c>
      <c r="AN455" s="166">
        <v>3.9</v>
      </c>
      <c r="AO455" s="166" t="s">
        <v>81</v>
      </c>
      <c r="AP455" s="166" t="s">
        <v>117</v>
      </c>
      <c r="AQ455" s="166"/>
      <c r="AR455" s="166"/>
      <c r="AS455" s="165">
        <v>177.5</v>
      </c>
      <c r="AT455" s="165" t="s">
        <v>119</v>
      </c>
      <c r="AU455" s="165" t="s">
        <v>116</v>
      </c>
      <c r="AV455" s="165">
        <v>7.5</v>
      </c>
      <c r="AW455" s="165" t="s">
        <v>119</v>
      </c>
      <c r="AX455" s="165" t="s">
        <v>117</v>
      </c>
      <c r="AY455" s="165"/>
      <c r="AZ455" s="165"/>
      <c r="BA455" s="166"/>
      <c r="BB455" s="166"/>
      <c r="BC455" s="166"/>
      <c r="BD455" s="166"/>
      <c r="BE455" s="166"/>
      <c r="BF455" s="166"/>
      <c r="BG455" s="166"/>
      <c r="BH455" s="166"/>
      <c r="BI455" s="165"/>
      <c r="BJ455" s="165"/>
      <c r="BK455" s="165"/>
      <c r="BL455" s="165"/>
      <c r="BM455" s="165"/>
      <c r="BN455" s="165"/>
      <c r="BO455" s="165"/>
      <c r="BP455" s="165"/>
      <c r="BQ455" s="166"/>
      <c r="BR455" s="165"/>
    </row>
    <row r="456" spans="1:70" s="124" customFormat="1" ht="14.25" hidden="1" customHeight="1" x14ac:dyDescent="0.2">
      <c r="A456" s="91">
        <v>523</v>
      </c>
      <c r="B456" s="231" t="s">
        <v>543</v>
      </c>
      <c r="C456" s="264" t="s">
        <v>544</v>
      </c>
      <c r="D456" s="231" t="s">
        <v>550</v>
      </c>
      <c r="E456" s="125" t="s">
        <v>149</v>
      </c>
      <c r="F456" s="181" t="s">
        <v>103</v>
      </c>
      <c r="G456" s="181" t="s">
        <v>56</v>
      </c>
      <c r="H456" s="181" t="s">
        <v>57</v>
      </c>
      <c r="I456" s="181"/>
      <c r="J456" s="178">
        <v>300</v>
      </c>
      <c r="K456" s="182"/>
      <c r="L456" s="182" t="s">
        <v>58</v>
      </c>
      <c r="M456" s="178" t="s">
        <v>78</v>
      </c>
      <c r="N456" s="178">
        <v>0</v>
      </c>
      <c r="O456" s="178" t="s">
        <v>60</v>
      </c>
      <c r="P456" s="178" t="s">
        <v>79</v>
      </c>
      <c r="Q456" s="179"/>
      <c r="R456" s="179" t="s">
        <v>546</v>
      </c>
      <c r="S456" s="180">
        <v>60</v>
      </c>
      <c r="T456" s="179"/>
      <c r="U456" s="179" t="s">
        <v>547</v>
      </c>
      <c r="V456" s="167" t="s">
        <v>62</v>
      </c>
      <c r="W456" s="168">
        <v>10</v>
      </c>
      <c r="X456" s="106" t="s">
        <v>334</v>
      </c>
      <c r="Y456" s="167"/>
      <c r="Z456" s="169" t="s">
        <v>63</v>
      </c>
      <c r="AA456" s="166">
        <v>2</v>
      </c>
      <c r="AB456" s="166"/>
      <c r="AC456" s="165"/>
      <c r="AD456" s="165"/>
      <c r="AE456" s="165"/>
      <c r="AF456" s="165"/>
      <c r="AG456" s="165"/>
      <c r="AH456" s="165"/>
      <c r="AI456" s="165"/>
      <c r="AJ456" s="165"/>
      <c r="AK456" s="166"/>
      <c r="AL456" s="166"/>
      <c r="AM456" s="166"/>
      <c r="AN456" s="166"/>
      <c r="AO456" s="166"/>
      <c r="AP456" s="166"/>
      <c r="AQ456" s="166"/>
      <c r="AR456" s="166"/>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c r="BR456" s="165"/>
    </row>
    <row r="457" spans="1:70" s="124" customFormat="1" ht="14.25" hidden="1" customHeight="1" x14ac:dyDescent="0.2">
      <c r="A457" s="91">
        <v>524</v>
      </c>
      <c r="B457" s="231" t="s">
        <v>543</v>
      </c>
      <c r="C457" s="264" t="s">
        <v>544</v>
      </c>
      <c r="D457" s="231" t="s">
        <v>551</v>
      </c>
      <c r="E457" s="125" t="s">
        <v>149</v>
      </c>
      <c r="F457" s="181" t="s">
        <v>103</v>
      </c>
      <c r="G457" s="181" t="s">
        <v>56</v>
      </c>
      <c r="H457" s="181" t="s">
        <v>157</v>
      </c>
      <c r="I457" s="181"/>
      <c r="J457" s="178">
        <v>100</v>
      </c>
      <c r="K457" s="182"/>
      <c r="L457" s="182" t="s">
        <v>58</v>
      </c>
      <c r="M457" s="178" t="s">
        <v>78</v>
      </c>
      <c r="N457" s="178" t="s">
        <v>552</v>
      </c>
      <c r="O457" s="178" t="s">
        <v>60</v>
      </c>
      <c r="P457" s="178" t="s">
        <v>92</v>
      </c>
      <c r="Q457" s="179"/>
      <c r="R457" s="179" t="s">
        <v>546</v>
      </c>
      <c r="S457" s="180">
        <v>60</v>
      </c>
      <c r="T457" s="179"/>
      <c r="U457" s="179" t="s">
        <v>547</v>
      </c>
      <c r="V457" s="167" t="s">
        <v>62</v>
      </c>
      <c r="W457" s="168">
        <v>10</v>
      </c>
      <c r="X457" s="106" t="s">
        <v>334</v>
      </c>
      <c r="Y457" s="167"/>
      <c r="Z457" s="169" t="s">
        <v>63</v>
      </c>
      <c r="AA457" s="166">
        <v>4</v>
      </c>
      <c r="AB457" s="166">
        <v>2</v>
      </c>
      <c r="AC457" s="165">
        <v>23</v>
      </c>
      <c r="AD457" s="165" t="s">
        <v>80</v>
      </c>
      <c r="AE457" s="165" t="s">
        <v>116</v>
      </c>
      <c r="AF457" s="165">
        <v>6.1</v>
      </c>
      <c r="AG457" s="165" t="s">
        <v>80</v>
      </c>
      <c r="AH457" s="165" t="s">
        <v>117</v>
      </c>
      <c r="AI457" s="165"/>
      <c r="AJ457" s="165"/>
      <c r="AK457" s="166">
        <v>71.3</v>
      </c>
      <c r="AL457" s="166" t="s">
        <v>81</v>
      </c>
      <c r="AM457" s="166" t="s">
        <v>116</v>
      </c>
      <c r="AN457" s="166">
        <v>12.4</v>
      </c>
      <c r="AO457" s="166" t="s">
        <v>81</v>
      </c>
      <c r="AP457" s="166" t="s">
        <v>117</v>
      </c>
      <c r="AQ457" s="166"/>
      <c r="AR457" s="166"/>
      <c r="AS457" s="165">
        <v>174</v>
      </c>
      <c r="AT457" s="165" t="s">
        <v>119</v>
      </c>
      <c r="AU457" s="165" t="s">
        <v>116</v>
      </c>
      <c r="AV457" s="165">
        <v>7.9</v>
      </c>
      <c r="AW457" s="165" t="s">
        <v>119</v>
      </c>
      <c r="AX457" s="165" t="s">
        <v>117</v>
      </c>
      <c r="AY457" s="165"/>
      <c r="AZ457" s="165"/>
      <c r="BA457" s="166"/>
      <c r="BB457" s="166"/>
      <c r="BC457" s="166"/>
      <c r="BD457" s="166"/>
      <c r="BE457" s="166"/>
      <c r="BF457" s="166"/>
      <c r="BG457" s="166"/>
      <c r="BH457" s="166"/>
      <c r="BI457" s="165"/>
      <c r="BJ457" s="165"/>
      <c r="BK457" s="165"/>
      <c r="BL457" s="165"/>
      <c r="BM457" s="165"/>
      <c r="BN457" s="165"/>
      <c r="BO457" s="165"/>
      <c r="BP457" s="165"/>
      <c r="BQ457" s="166"/>
      <c r="BR457" s="165"/>
    </row>
    <row r="458" spans="1:70" s="124" customFormat="1" ht="14.25" hidden="1" customHeight="1" x14ac:dyDescent="0.2">
      <c r="A458" s="91">
        <v>525</v>
      </c>
      <c r="B458" s="231" t="s">
        <v>543</v>
      </c>
      <c r="C458" s="264" t="s">
        <v>544</v>
      </c>
      <c r="D458" s="231" t="s">
        <v>553</v>
      </c>
      <c r="E458" s="125" t="s">
        <v>149</v>
      </c>
      <c r="F458" s="181" t="s">
        <v>103</v>
      </c>
      <c r="G458" s="181" t="s">
        <v>56</v>
      </c>
      <c r="H458" s="181" t="s">
        <v>430</v>
      </c>
      <c r="I458" s="181"/>
      <c r="J458" s="178">
        <v>200</v>
      </c>
      <c r="K458" s="182"/>
      <c r="L458" s="182" t="s">
        <v>58</v>
      </c>
      <c r="M458" s="178" t="s">
        <v>78</v>
      </c>
      <c r="N458" s="178" t="s">
        <v>552</v>
      </c>
      <c r="O458" s="178" t="s">
        <v>60</v>
      </c>
      <c r="P458" s="178" t="s">
        <v>92</v>
      </c>
      <c r="Q458" s="179"/>
      <c r="R458" s="179" t="s">
        <v>546</v>
      </c>
      <c r="S458" s="180">
        <v>120</v>
      </c>
      <c r="T458" s="179"/>
      <c r="U458" s="179" t="s">
        <v>547</v>
      </c>
      <c r="V458" s="167" t="s">
        <v>62</v>
      </c>
      <c r="W458" s="168">
        <v>10</v>
      </c>
      <c r="X458" s="106" t="s">
        <v>334</v>
      </c>
      <c r="Y458" s="167"/>
      <c r="Z458" s="169" t="s">
        <v>63</v>
      </c>
      <c r="AA458" s="166">
        <v>4</v>
      </c>
      <c r="AB458" s="166">
        <v>2</v>
      </c>
      <c r="AC458" s="165">
        <v>22.3</v>
      </c>
      <c r="AD458" s="165" t="s">
        <v>80</v>
      </c>
      <c r="AE458" s="165" t="s">
        <v>116</v>
      </c>
      <c r="AF458" s="165">
        <v>4</v>
      </c>
      <c r="AG458" s="165" t="s">
        <v>80</v>
      </c>
      <c r="AH458" s="165" t="s">
        <v>117</v>
      </c>
      <c r="AI458" s="165"/>
      <c r="AJ458" s="165"/>
      <c r="AK458" s="166">
        <v>66</v>
      </c>
      <c r="AL458" s="166" t="s">
        <v>81</v>
      </c>
      <c r="AM458" s="166" t="s">
        <v>116</v>
      </c>
      <c r="AN458" s="166">
        <v>9.1</v>
      </c>
      <c r="AO458" s="166" t="s">
        <v>81</v>
      </c>
      <c r="AP458" s="166" t="s">
        <v>117</v>
      </c>
      <c r="AQ458" s="166"/>
      <c r="AR458" s="166"/>
      <c r="AS458" s="165">
        <v>173.5</v>
      </c>
      <c r="AT458" s="165" t="s">
        <v>119</v>
      </c>
      <c r="AU458" s="165" t="s">
        <v>116</v>
      </c>
      <c r="AV458" s="165">
        <v>6.5</v>
      </c>
      <c r="AW458" s="165" t="s">
        <v>119</v>
      </c>
      <c r="AX458" s="165" t="s">
        <v>117</v>
      </c>
      <c r="AY458" s="165"/>
      <c r="AZ458" s="165"/>
      <c r="BA458" s="166"/>
      <c r="BB458" s="166"/>
      <c r="BC458" s="166"/>
      <c r="BD458" s="166"/>
      <c r="BE458" s="166"/>
      <c r="BF458" s="166"/>
      <c r="BG458" s="166"/>
      <c r="BH458" s="166"/>
      <c r="BI458" s="165"/>
      <c r="BJ458" s="165"/>
      <c r="BK458" s="165"/>
      <c r="BL458" s="165"/>
      <c r="BM458" s="165"/>
      <c r="BN458" s="165"/>
      <c r="BO458" s="165"/>
      <c r="BP458" s="165"/>
      <c r="BQ458" s="166"/>
      <c r="BR458" s="165"/>
    </row>
    <row r="459" spans="1:70" s="124" customFormat="1" ht="14.25" hidden="1" customHeight="1" x14ac:dyDescent="0.2">
      <c r="A459" s="91">
        <v>526</v>
      </c>
      <c r="B459" s="231" t="s">
        <v>543</v>
      </c>
      <c r="C459" s="264" t="s">
        <v>544</v>
      </c>
      <c r="D459" s="231" t="s">
        <v>554</v>
      </c>
      <c r="E459" s="125" t="s">
        <v>149</v>
      </c>
      <c r="F459" s="181" t="s">
        <v>103</v>
      </c>
      <c r="G459" s="181" t="s">
        <v>56</v>
      </c>
      <c r="H459" s="181" t="s">
        <v>157</v>
      </c>
      <c r="I459" s="181"/>
      <c r="J459" s="178">
        <v>300</v>
      </c>
      <c r="K459" s="182"/>
      <c r="L459" s="182" t="s">
        <v>58</v>
      </c>
      <c r="M459" s="178" t="s">
        <v>78</v>
      </c>
      <c r="N459" s="178" t="s">
        <v>552</v>
      </c>
      <c r="O459" s="178" t="s">
        <v>60</v>
      </c>
      <c r="P459" s="178" t="s">
        <v>92</v>
      </c>
      <c r="Q459" s="179"/>
      <c r="R459" s="179" t="s">
        <v>546</v>
      </c>
      <c r="S459" s="180">
        <v>180</v>
      </c>
      <c r="T459" s="179"/>
      <c r="U459" s="179" t="s">
        <v>547</v>
      </c>
      <c r="V459" s="167" t="s">
        <v>62</v>
      </c>
      <c r="W459" s="168">
        <v>10</v>
      </c>
      <c r="X459" s="106" t="s">
        <v>334</v>
      </c>
      <c r="Y459" s="167"/>
      <c r="Z459" s="169" t="s">
        <v>63</v>
      </c>
      <c r="AA459" s="166">
        <v>4</v>
      </c>
      <c r="AB459" s="166">
        <v>2</v>
      </c>
      <c r="AC459" s="165">
        <v>24</v>
      </c>
      <c r="AD459" s="165" t="s">
        <v>80</v>
      </c>
      <c r="AE459" s="165" t="s">
        <v>116</v>
      </c>
      <c r="AF459" s="165">
        <v>5</v>
      </c>
      <c r="AG459" s="165" t="s">
        <v>80</v>
      </c>
      <c r="AH459" s="165" t="s">
        <v>117</v>
      </c>
      <c r="AI459" s="165"/>
      <c r="AJ459" s="165"/>
      <c r="AK459" s="166">
        <v>70.8</v>
      </c>
      <c r="AL459" s="166" t="s">
        <v>81</v>
      </c>
      <c r="AM459" s="166" t="s">
        <v>116</v>
      </c>
      <c r="AN459" s="166">
        <v>15.3</v>
      </c>
      <c r="AO459" s="166" t="s">
        <v>81</v>
      </c>
      <c r="AP459" s="166" t="s">
        <v>117</v>
      </c>
      <c r="AQ459" s="166"/>
      <c r="AR459" s="166"/>
      <c r="AS459" s="165">
        <v>174</v>
      </c>
      <c r="AT459" s="165" t="s">
        <v>119</v>
      </c>
      <c r="AU459" s="165" t="s">
        <v>116</v>
      </c>
      <c r="AV459" s="165">
        <v>9.5</v>
      </c>
      <c r="AW459" s="165" t="s">
        <v>119</v>
      </c>
      <c r="AX459" s="165" t="s">
        <v>117</v>
      </c>
      <c r="AY459" s="165"/>
      <c r="AZ459" s="165"/>
      <c r="BA459" s="166"/>
      <c r="BB459" s="166"/>
      <c r="BC459" s="166"/>
      <c r="BD459" s="166"/>
      <c r="BE459" s="166"/>
      <c r="BF459" s="166"/>
      <c r="BG459" s="166"/>
      <c r="BH459" s="166"/>
      <c r="BI459" s="165"/>
      <c r="BJ459" s="165"/>
      <c r="BK459" s="165"/>
      <c r="BL459" s="165"/>
      <c r="BM459" s="165"/>
      <c r="BN459" s="165"/>
      <c r="BO459" s="165"/>
      <c r="BP459" s="165"/>
      <c r="BQ459" s="166"/>
      <c r="BR459" s="165"/>
    </row>
    <row r="460" spans="1:70" s="124" customFormat="1" ht="14.25" hidden="1" customHeight="1" x14ac:dyDescent="0.2">
      <c r="A460" s="91">
        <v>527</v>
      </c>
      <c r="B460" s="231" t="s">
        <v>543</v>
      </c>
      <c r="C460" s="264" t="s">
        <v>544</v>
      </c>
      <c r="D460" s="231" t="s">
        <v>555</v>
      </c>
      <c r="E460" s="125" t="s">
        <v>149</v>
      </c>
      <c r="F460" s="181" t="s">
        <v>103</v>
      </c>
      <c r="G460" s="181" t="s">
        <v>56</v>
      </c>
      <c r="H460" s="181" t="s">
        <v>430</v>
      </c>
      <c r="I460" s="181"/>
      <c r="J460" s="178">
        <v>200</v>
      </c>
      <c r="K460" s="182"/>
      <c r="L460" s="182" t="s">
        <v>58</v>
      </c>
      <c r="M460" s="178" t="s">
        <v>78</v>
      </c>
      <c r="N460" s="178" t="s">
        <v>552</v>
      </c>
      <c r="O460" s="178" t="s">
        <v>60</v>
      </c>
      <c r="P460" s="178" t="s">
        <v>92</v>
      </c>
      <c r="Q460" s="179"/>
      <c r="R460" s="179" t="s">
        <v>556</v>
      </c>
      <c r="S460" s="180">
        <v>120</v>
      </c>
      <c r="T460" s="179"/>
      <c r="U460" s="179" t="s">
        <v>557</v>
      </c>
      <c r="V460" s="167" t="s">
        <v>62</v>
      </c>
      <c r="W460" s="168">
        <v>10</v>
      </c>
      <c r="X460" s="106" t="s">
        <v>334</v>
      </c>
      <c r="Y460" s="167"/>
      <c r="Z460" s="169" t="s">
        <v>63</v>
      </c>
      <c r="AA460" s="166">
        <v>4</v>
      </c>
      <c r="AB460" s="166">
        <v>2</v>
      </c>
      <c r="AC460" s="165">
        <v>28</v>
      </c>
      <c r="AD460" s="165" t="s">
        <v>80</v>
      </c>
      <c r="AE460" s="165" t="s">
        <v>116</v>
      </c>
      <c r="AF460" s="165">
        <v>8.1</v>
      </c>
      <c r="AG460" s="165" t="s">
        <v>80</v>
      </c>
      <c r="AH460" s="165" t="s">
        <v>117</v>
      </c>
      <c r="AI460" s="165"/>
      <c r="AJ460" s="165"/>
      <c r="AK460" s="166">
        <v>68.3</v>
      </c>
      <c r="AL460" s="166" t="s">
        <v>81</v>
      </c>
      <c r="AM460" s="166" t="s">
        <v>116</v>
      </c>
      <c r="AN460" s="166">
        <v>4.3</v>
      </c>
      <c r="AO460" s="166" t="s">
        <v>81</v>
      </c>
      <c r="AP460" s="166" t="s">
        <v>117</v>
      </c>
      <c r="AQ460" s="166"/>
      <c r="AR460" s="166"/>
      <c r="AS460" s="165">
        <v>173</v>
      </c>
      <c r="AT460" s="165" t="s">
        <v>119</v>
      </c>
      <c r="AU460" s="165" t="s">
        <v>116</v>
      </c>
      <c r="AV460" s="165">
        <v>8.3000000000000007</v>
      </c>
      <c r="AW460" s="165" t="s">
        <v>119</v>
      </c>
      <c r="AX460" s="165" t="s">
        <v>117</v>
      </c>
      <c r="AY460" s="165"/>
      <c r="AZ460" s="165"/>
      <c r="BA460" s="166"/>
      <c r="BB460" s="166"/>
      <c r="BC460" s="166"/>
      <c r="BD460" s="166"/>
      <c r="BE460" s="166"/>
      <c r="BF460" s="166"/>
      <c r="BG460" s="166"/>
      <c r="BH460" s="166"/>
      <c r="BI460" s="165"/>
      <c r="BJ460" s="165"/>
      <c r="BK460" s="165"/>
      <c r="BL460" s="165"/>
      <c r="BM460" s="165"/>
      <c r="BN460" s="165"/>
      <c r="BO460" s="165"/>
      <c r="BP460" s="165"/>
      <c r="BQ460" s="166"/>
      <c r="BR460" s="165"/>
    </row>
    <row r="461" spans="1:70" s="124" customFormat="1" ht="14.25" hidden="1" customHeight="1" x14ac:dyDescent="0.2">
      <c r="A461" s="91">
        <v>528</v>
      </c>
      <c r="B461" s="231" t="s">
        <v>543</v>
      </c>
      <c r="C461" s="264" t="s">
        <v>544</v>
      </c>
      <c r="D461" s="231" t="s">
        <v>545</v>
      </c>
      <c r="E461" s="125" t="s">
        <v>152</v>
      </c>
      <c r="F461" s="181" t="s">
        <v>103</v>
      </c>
      <c r="G461" s="181" t="s">
        <v>56</v>
      </c>
      <c r="H461" s="181" t="s">
        <v>57</v>
      </c>
      <c r="I461" s="181"/>
      <c r="J461" s="178">
        <v>50</v>
      </c>
      <c r="K461" s="182"/>
      <c r="L461" s="182" t="s">
        <v>58</v>
      </c>
      <c r="M461" s="178" t="s">
        <v>78</v>
      </c>
      <c r="N461" s="178">
        <v>0</v>
      </c>
      <c r="O461" s="178" t="s">
        <v>60</v>
      </c>
      <c r="P461" s="178" t="s">
        <v>79</v>
      </c>
      <c r="Q461" s="179"/>
      <c r="R461" s="179" t="s">
        <v>546</v>
      </c>
      <c r="S461" s="180">
        <v>60</v>
      </c>
      <c r="T461" s="179"/>
      <c r="U461" s="179" t="s">
        <v>547</v>
      </c>
      <c r="V461" s="167" t="s">
        <v>62</v>
      </c>
      <c r="W461" s="168">
        <v>10</v>
      </c>
      <c r="X461" s="106" t="s">
        <v>334</v>
      </c>
      <c r="Y461" s="167"/>
      <c r="Z461" s="169" t="s">
        <v>63</v>
      </c>
      <c r="AA461" s="166">
        <v>6</v>
      </c>
      <c r="AB461" s="166">
        <v>1</v>
      </c>
      <c r="AC461" s="165">
        <v>43.2</v>
      </c>
      <c r="AD461" s="165" t="s">
        <v>80</v>
      </c>
      <c r="AE461" s="165" t="s">
        <v>116</v>
      </c>
      <c r="AF461" s="165">
        <v>6.7</v>
      </c>
      <c r="AG461" s="165" t="s">
        <v>80</v>
      </c>
      <c r="AH461" s="165" t="s">
        <v>117</v>
      </c>
      <c r="AI461" s="165"/>
      <c r="AJ461" s="165"/>
      <c r="AK461" s="166">
        <v>77.8</v>
      </c>
      <c r="AL461" s="166" t="s">
        <v>81</v>
      </c>
      <c r="AM461" s="166" t="s">
        <v>116</v>
      </c>
      <c r="AN461" s="166">
        <v>3.9</v>
      </c>
      <c r="AO461" s="166" t="s">
        <v>81</v>
      </c>
      <c r="AP461" s="166" t="s">
        <v>117</v>
      </c>
      <c r="AQ461" s="166"/>
      <c r="AR461" s="166"/>
      <c r="AS461" s="165">
        <v>177.5</v>
      </c>
      <c r="AT461" s="165" t="s">
        <v>119</v>
      </c>
      <c r="AU461" s="165" t="s">
        <v>116</v>
      </c>
      <c r="AV461" s="165">
        <v>7.5</v>
      </c>
      <c r="AW461" s="165" t="s">
        <v>119</v>
      </c>
      <c r="AX461" s="165" t="s">
        <v>117</v>
      </c>
      <c r="AY461" s="165"/>
      <c r="AZ461" s="165"/>
      <c r="BA461" s="166"/>
      <c r="BB461" s="166"/>
      <c r="BC461" s="166"/>
      <c r="BD461" s="166"/>
      <c r="BE461" s="166"/>
      <c r="BF461" s="166"/>
      <c r="BG461" s="166"/>
      <c r="BH461" s="166"/>
      <c r="BI461" s="165"/>
      <c r="BJ461" s="165"/>
      <c r="BK461" s="165"/>
      <c r="BL461" s="165"/>
      <c r="BM461" s="165"/>
      <c r="BN461" s="165"/>
      <c r="BO461" s="165"/>
      <c r="BP461" s="165"/>
      <c r="BQ461" s="166"/>
      <c r="BR461" s="165"/>
    </row>
    <row r="462" spans="1:70" s="124" customFormat="1" ht="14.25" hidden="1" customHeight="1" x14ac:dyDescent="0.2">
      <c r="A462" s="91">
        <v>529</v>
      </c>
      <c r="B462" s="231" t="s">
        <v>543</v>
      </c>
      <c r="C462" s="264" t="s">
        <v>544</v>
      </c>
      <c r="D462" s="231" t="s">
        <v>549</v>
      </c>
      <c r="E462" s="125" t="s">
        <v>152</v>
      </c>
      <c r="F462" s="181" t="s">
        <v>103</v>
      </c>
      <c r="G462" s="181" t="s">
        <v>56</v>
      </c>
      <c r="H462" s="181" t="s">
        <v>57</v>
      </c>
      <c r="I462" s="181"/>
      <c r="J462" s="178">
        <v>100</v>
      </c>
      <c r="K462" s="182"/>
      <c r="L462" s="182" t="s">
        <v>58</v>
      </c>
      <c r="M462" s="178" t="s">
        <v>78</v>
      </c>
      <c r="N462" s="178">
        <v>0</v>
      </c>
      <c r="O462" s="178" t="s">
        <v>60</v>
      </c>
      <c r="P462" s="178" t="s">
        <v>79</v>
      </c>
      <c r="Q462" s="179"/>
      <c r="R462" s="179" t="s">
        <v>546</v>
      </c>
      <c r="S462" s="180">
        <v>60</v>
      </c>
      <c r="T462" s="179"/>
      <c r="U462" s="179" t="s">
        <v>547</v>
      </c>
      <c r="V462" s="167" t="s">
        <v>62</v>
      </c>
      <c r="W462" s="168">
        <v>10</v>
      </c>
      <c r="X462" s="106" t="s">
        <v>334</v>
      </c>
      <c r="Y462" s="167"/>
      <c r="Z462" s="169" t="s">
        <v>63</v>
      </c>
      <c r="AA462" s="166">
        <v>6</v>
      </c>
      <c r="AB462" s="166">
        <v>1</v>
      </c>
      <c r="AC462" s="165">
        <v>40.700000000000003</v>
      </c>
      <c r="AD462" s="165" t="s">
        <v>80</v>
      </c>
      <c r="AE462" s="165" t="s">
        <v>116</v>
      </c>
      <c r="AF462" s="165">
        <v>5.6</v>
      </c>
      <c r="AG462" s="165" t="s">
        <v>80</v>
      </c>
      <c r="AH462" s="165" t="s">
        <v>117</v>
      </c>
      <c r="AI462" s="165"/>
      <c r="AJ462" s="165"/>
      <c r="AK462" s="166">
        <v>75.7</v>
      </c>
      <c r="AL462" s="166" t="s">
        <v>81</v>
      </c>
      <c r="AM462" s="166" t="s">
        <v>116</v>
      </c>
      <c r="AN462" s="166">
        <v>11.8</v>
      </c>
      <c r="AO462" s="166" t="s">
        <v>81</v>
      </c>
      <c r="AP462" s="166" t="s">
        <v>117</v>
      </c>
      <c r="AQ462" s="166"/>
      <c r="AR462" s="166"/>
      <c r="AS462" s="165">
        <v>176.3</v>
      </c>
      <c r="AT462" s="165" t="s">
        <v>119</v>
      </c>
      <c r="AU462" s="165" t="s">
        <v>116</v>
      </c>
      <c r="AV462" s="165">
        <v>6.4</v>
      </c>
      <c r="AW462" s="165" t="s">
        <v>119</v>
      </c>
      <c r="AX462" s="165" t="s">
        <v>117</v>
      </c>
      <c r="AY462" s="165"/>
      <c r="AZ462" s="165"/>
      <c r="BA462" s="166"/>
      <c r="BB462" s="166"/>
      <c r="BC462" s="166"/>
      <c r="BD462" s="166"/>
      <c r="BE462" s="166"/>
      <c r="BF462" s="166"/>
      <c r="BG462" s="166"/>
      <c r="BH462" s="166"/>
      <c r="BI462" s="165"/>
      <c r="BJ462" s="165"/>
      <c r="BK462" s="165"/>
      <c r="BL462" s="165"/>
      <c r="BM462" s="165"/>
      <c r="BN462" s="165"/>
      <c r="BO462" s="165"/>
      <c r="BP462" s="165"/>
      <c r="BQ462" s="166"/>
      <c r="BR462" s="165"/>
    </row>
    <row r="463" spans="1:70" s="124" customFormat="1" ht="14.25" hidden="1" customHeight="1" x14ac:dyDescent="0.2">
      <c r="A463" s="91">
        <v>530</v>
      </c>
      <c r="B463" s="231" t="s">
        <v>543</v>
      </c>
      <c r="C463" s="264" t="s">
        <v>544</v>
      </c>
      <c r="D463" s="231" t="s">
        <v>548</v>
      </c>
      <c r="E463" s="125" t="s">
        <v>152</v>
      </c>
      <c r="F463" s="181" t="s">
        <v>103</v>
      </c>
      <c r="G463" s="181" t="s">
        <v>56</v>
      </c>
      <c r="H463" s="181" t="s">
        <v>57</v>
      </c>
      <c r="I463" s="181"/>
      <c r="J463" s="178">
        <v>200</v>
      </c>
      <c r="K463" s="182"/>
      <c r="L463" s="182" t="s">
        <v>58</v>
      </c>
      <c r="M463" s="178" t="s">
        <v>78</v>
      </c>
      <c r="N463" s="178">
        <v>0</v>
      </c>
      <c r="O463" s="178" t="s">
        <v>60</v>
      </c>
      <c r="P463" s="178" t="s">
        <v>79</v>
      </c>
      <c r="Q463" s="179"/>
      <c r="R463" s="179" t="s">
        <v>546</v>
      </c>
      <c r="S463" s="180">
        <v>60</v>
      </c>
      <c r="T463" s="179"/>
      <c r="U463" s="179" t="s">
        <v>547</v>
      </c>
      <c r="V463" s="167" t="s">
        <v>62</v>
      </c>
      <c r="W463" s="168">
        <v>10</v>
      </c>
      <c r="X463" s="106" t="s">
        <v>334</v>
      </c>
      <c r="Y463" s="167"/>
      <c r="Z463" s="169" t="s">
        <v>63</v>
      </c>
      <c r="AA463" s="166">
        <v>6</v>
      </c>
      <c r="AB463" s="166">
        <v>1</v>
      </c>
      <c r="AC463" s="165">
        <v>43.2</v>
      </c>
      <c r="AD463" s="165" t="s">
        <v>80</v>
      </c>
      <c r="AE463" s="165" t="s">
        <v>116</v>
      </c>
      <c r="AF463" s="165">
        <v>6.7</v>
      </c>
      <c r="AG463" s="165" t="s">
        <v>80</v>
      </c>
      <c r="AH463" s="165" t="s">
        <v>117</v>
      </c>
      <c r="AI463" s="165"/>
      <c r="AJ463" s="165"/>
      <c r="AK463" s="166">
        <v>77.8</v>
      </c>
      <c r="AL463" s="166" t="s">
        <v>81</v>
      </c>
      <c r="AM463" s="166" t="s">
        <v>116</v>
      </c>
      <c r="AN463" s="166">
        <v>3.9</v>
      </c>
      <c r="AO463" s="166" t="s">
        <v>81</v>
      </c>
      <c r="AP463" s="166" t="s">
        <v>117</v>
      </c>
      <c r="AQ463" s="166"/>
      <c r="AR463" s="166"/>
      <c r="AS463" s="165">
        <v>177.5</v>
      </c>
      <c r="AT463" s="165" t="s">
        <v>119</v>
      </c>
      <c r="AU463" s="165" t="s">
        <v>116</v>
      </c>
      <c r="AV463" s="165">
        <v>7.5</v>
      </c>
      <c r="AW463" s="165" t="s">
        <v>119</v>
      </c>
      <c r="AX463" s="165" t="s">
        <v>117</v>
      </c>
      <c r="AY463" s="165"/>
      <c r="AZ463" s="165"/>
      <c r="BA463" s="166"/>
      <c r="BB463" s="166"/>
      <c r="BC463" s="166"/>
      <c r="BD463" s="166"/>
      <c r="BE463" s="166"/>
      <c r="BF463" s="166"/>
      <c r="BG463" s="166"/>
      <c r="BH463" s="166"/>
      <c r="BI463" s="165"/>
      <c r="BJ463" s="165"/>
      <c r="BK463" s="165"/>
      <c r="BL463" s="165"/>
      <c r="BM463" s="165"/>
      <c r="BN463" s="165"/>
      <c r="BO463" s="165"/>
      <c r="BP463" s="165"/>
      <c r="BQ463" s="166"/>
      <c r="BR463" s="165"/>
    </row>
    <row r="464" spans="1:70" s="124" customFormat="1" ht="14.25" hidden="1" customHeight="1" x14ac:dyDescent="0.2">
      <c r="A464" s="91">
        <v>531</v>
      </c>
      <c r="B464" s="231" t="s">
        <v>543</v>
      </c>
      <c r="C464" s="264" t="s">
        <v>544</v>
      </c>
      <c r="D464" s="231" t="s">
        <v>550</v>
      </c>
      <c r="E464" s="125" t="s">
        <v>152</v>
      </c>
      <c r="F464" s="181" t="s">
        <v>103</v>
      </c>
      <c r="G464" s="181" t="s">
        <v>56</v>
      </c>
      <c r="H464" s="181" t="s">
        <v>57</v>
      </c>
      <c r="I464" s="181"/>
      <c r="J464" s="178">
        <v>300</v>
      </c>
      <c r="K464" s="182"/>
      <c r="L464" s="182" t="s">
        <v>58</v>
      </c>
      <c r="M464" s="178" t="s">
        <v>78</v>
      </c>
      <c r="N464" s="178">
        <v>0</v>
      </c>
      <c r="O464" s="178" t="s">
        <v>60</v>
      </c>
      <c r="P464" s="178" t="s">
        <v>79</v>
      </c>
      <c r="Q464" s="179"/>
      <c r="R464" s="179" t="s">
        <v>546</v>
      </c>
      <c r="S464" s="180">
        <v>60</v>
      </c>
      <c r="T464" s="179"/>
      <c r="U464" s="179" t="s">
        <v>547</v>
      </c>
      <c r="V464" s="167" t="s">
        <v>62</v>
      </c>
      <c r="W464" s="168">
        <v>10</v>
      </c>
      <c r="X464" s="106" t="s">
        <v>334</v>
      </c>
      <c r="Y464" s="167"/>
      <c r="Z464" s="169" t="s">
        <v>63</v>
      </c>
      <c r="AA464" s="166">
        <v>2</v>
      </c>
      <c r="AB464" s="166"/>
      <c r="AC464" s="165"/>
      <c r="AD464" s="165"/>
      <c r="AE464" s="165"/>
      <c r="AF464" s="165"/>
      <c r="AG464" s="165"/>
      <c r="AH464" s="165"/>
      <c r="AI464" s="165"/>
      <c r="AJ464" s="165"/>
      <c r="AK464" s="166"/>
      <c r="AL464" s="166"/>
      <c r="AM464" s="166"/>
      <c r="AN464" s="166"/>
      <c r="AO464" s="166"/>
      <c r="AP464" s="166"/>
      <c r="AQ464" s="166"/>
      <c r="AR464" s="166"/>
      <c r="AS464" s="165"/>
      <c r="AT464" s="165"/>
      <c r="AU464" s="165"/>
      <c r="AV464" s="165"/>
      <c r="AW464" s="165"/>
      <c r="AX464" s="165"/>
      <c r="AY464" s="165"/>
      <c r="AZ464" s="165"/>
      <c r="BA464" s="166"/>
      <c r="BB464" s="166"/>
      <c r="BC464" s="166"/>
      <c r="BD464" s="166"/>
      <c r="BE464" s="166"/>
      <c r="BF464" s="166"/>
      <c r="BG464" s="166"/>
      <c r="BH464" s="166"/>
      <c r="BI464" s="165"/>
      <c r="BJ464" s="165"/>
      <c r="BK464" s="165"/>
      <c r="BL464" s="165"/>
      <c r="BM464" s="165"/>
      <c r="BN464" s="165"/>
      <c r="BO464" s="165"/>
      <c r="BP464" s="165"/>
      <c r="BQ464" s="166"/>
      <c r="BR464" s="165"/>
    </row>
    <row r="465" spans="1:70" s="124" customFormat="1" ht="14.25" hidden="1" customHeight="1" x14ac:dyDescent="0.2">
      <c r="A465" s="91">
        <v>532</v>
      </c>
      <c r="B465" s="231" t="s">
        <v>543</v>
      </c>
      <c r="C465" s="264" t="s">
        <v>544</v>
      </c>
      <c r="D465" s="231" t="s">
        <v>551</v>
      </c>
      <c r="E465" s="125" t="s">
        <v>152</v>
      </c>
      <c r="F465" s="181" t="s">
        <v>103</v>
      </c>
      <c r="G465" s="181" t="s">
        <v>56</v>
      </c>
      <c r="H465" s="181" t="s">
        <v>157</v>
      </c>
      <c r="I465" s="181"/>
      <c r="J465" s="178">
        <v>100</v>
      </c>
      <c r="K465" s="182"/>
      <c r="L465" s="182" t="s">
        <v>58</v>
      </c>
      <c r="M465" s="178" t="s">
        <v>78</v>
      </c>
      <c r="N465" s="178" t="s">
        <v>552</v>
      </c>
      <c r="O465" s="178" t="s">
        <v>60</v>
      </c>
      <c r="P465" s="178" t="s">
        <v>92</v>
      </c>
      <c r="Q465" s="179"/>
      <c r="R465" s="179" t="s">
        <v>546</v>
      </c>
      <c r="S465" s="180">
        <v>60</v>
      </c>
      <c r="T465" s="179"/>
      <c r="U465" s="179" t="s">
        <v>547</v>
      </c>
      <c r="V465" s="167" t="s">
        <v>62</v>
      </c>
      <c r="W465" s="168">
        <v>10</v>
      </c>
      <c r="X465" s="106" t="s">
        <v>334</v>
      </c>
      <c r="Y465" s="167"/>
      <c r="Z465" s="169" t="s">
        <v>63</v>
      </c>
      <c r="AA465" s="166">
        <v>4</v>
      </c>
      <c r="AB465" s="166">
        <v>2</v>
      </c>
      <c r="AC465" s="165">
        <v>23</v>
      </c>
      <c r="AD465" s="165" t="s">
        <v>80</v>
      </c>
      <c r="AE465" s="165" t="s">
        <v>116</v>
      </c>
      <c r="AF465" s="165">
        <v>6.1</v>
      </c>
      <c r="AG465" s="165" t="s">
        <v>80</v>
      </c>
      <c r="AH465" s="165" t="s">
        <v>117</v>
      </c>
      <c r="AI465" s="165"/>
      <c r="AJ465" s="165"/>
      <c r="AK465" s="166">
        <v>71.3</v>
      </c>
      <c r="AL465" s="166" t="s">
        <v>81</v>
      </c>
      <c r="AM465" s="166" t="s">
        <v>116</v>
      </c>
      <c r="AN465" s="166">
        <v>12.4</v>
      </c>
      <c r="AO465" s="166" t="s">
        <v>81</v>
      </c>
      <c r="AP465" s="166" t="s">
        <v>117</v>
      </c>
      <c r="AQ465" s="166"/>
      <c r="AR465" s="166"/>
      <c r="AS465" s="165">
        <v>174</v>
      </c>
      <c r="AT465" s="165" t="s">
        <v>119</v>
      </c>
      <c r="AU465" s="165" t="s">
        <v>116</v>
      </c>
      <c r="AV465" s="165">
        <v>7.9</v>
      </c>
      <c r="AW465" s="165" t="s">
        <v>119</v>
      </c>
      <c r="AX465" s="165" t="s">
        <v>117</v>
      </c>
      <c r="AY465" s="165"/>
      <c r="AZ465" s="165"/>
      <c r="BA465" s="166"/>
      <c r="BB465" s="166"/>
      <c r="BC465" s="166"/>
      <c r="BD465" s="166"/>
      <c r="BE465" s="166"/>
      <c r="BF465" s="166"/>
      <c r="BG465" s="166"/>
      <c r="BH465" s="166"/>
      <c r="BI465" s="165"/>
      <c r="BJ465" s="165"/>
      <c r="BK465" s="165"/>
      <c r="BL465" s="165"/>
      <c r="BM465" s="165"/>
      <c r="BN465" s="165"/>
      <c r="BO465" s="165"/>
      <c r="BP465" s="165"/>
      <c r="BQ465" s="166"/>
      <c r="BR465" s="165"/>
    </row>
    <row r="466" spans="1:70" s="124" customFormat="1" ht="14.25" hidden="1" customHeight="1" x14ac:dyDescent="0.2">
      <c r="A466" s="91">
        <v>533</v>
      </c>
      <c r="B466" s="231" t="s">
        <v>543</v>
      </c>
      <c r="C466" s="264" t="s">
        <v>544</v>
      </c>
      <c r="D466" s="231" t="s">
        <v>553</v>
      </c>
      <c r="E466" s="125" t="s">
        <v>152</v>
      </c>
      <c r="F466" s="181" t="s">
        <v>103</v>
      </c>
      <c r="G466" s="181" t="s">
        <v>56</v>
      </c>
      <c r="H466" s="181" t="s">
        <v>430</v>
      </c>
      <c r="I466" s="181"/>
      <c r="J466" s="178">
        <v>200</v>
      </c>
      <c r="K466" s="182"/>
      <c r="L466" s="182" t="s">
        <v>58</v>
      </c>
      <c r="M466" s="178" t="s">
        <v>78</v>
      </c>
      <c r="N466" s="178" t="s">
        <v>552</v>
      </c>
      <c r="O466" s="178" t="s">
        <v>60</v>
      </c>
      <c r="P466" s="178" t="s">
        <v>92</v>
      </c>
      <c r="Q466" s="179"/>
      <c r="R466" s="179" t="s">
        <v>546</v>
      </c>
      <c r="S466" s="180">
        <v>120</v>
      </c>
      <c r="T466" s="179"/>
      <c r="U466" s="179" t="s">
        <v>547</v>
      </c>
      <c r="V466" s="167" t="s">
        <v>62</v>
      </c>
      <c r="W466" s="168">
        <v>10</v>
      </c>
      <c r="X466" s="106" t="s">
        <v>334</v>
      </c>
      <c r="Y466" s="167"/>
      <c r="Z466" s="169" t="s">
        <v>63</v>
      </c>
      <c r="AA466" s="166">
        <v>4</v>
      </c>
      <c r="AB466" s="166">
        <v>2</v>
      </c>
      <c r="AC466" s="165">
        <v>22.3</v>
      </c>
      <c r="AD466" s="165" t="s">
        <v>80</v>
      </c>
      <c r="AE466" s="165" t="s">
        <v>116</v>
      </c>
      <c r="AF466" s="165">
        <v>4</v>
      </c>
      <c r="AG466" s="165" t="s">
        <v>80</v>
      </c>
      <c r="AH466" s="165" t="s">
        <v>117</v>
      </c>
      <c r="AI466" s="165"/>
      <c r="AJ466" s="165"/>
      <c r="AK466" s="166">
        <v>66</v>
      </c>
      <c r="AL466" s="166" t="s">
        <v>81</v>
      </c>
      <c r="AM466" s="166" t="s">
        <v>116</v>
      </c>
      <c r="AN466" s="166">
        <v>9.1</v>
      </c>
      <c r="AO466" s="166" t="s">
        <v>81</v>
      </c>
      <c r="AP466" s="166" t="s">
        <v>117</v>
      </c>
      <c r="AQ466" s="166"/>
      <c r="AR466" s="166"/>
      <c r="AS466" s="165">
        <v>173.5</v>
      </c>
      <c r="AT466" s="165" t="s">
        <v>119</v>
      </c>
      <c r="AU466" s="165" t="s">
        <v>116</v>
      </c>
      <c r="AV466" s="165">
        <v>6.5</v>
      </c>
      <c r="AW466" s="165" t="s">
        <v>119</v>
      </c>
      <c r="AX466" s="165" t="s">
        <v>117</v>
      </c>
      <c r="AY466" s="165"/>
      <c r="AZ466" s="165"/>
      <c r="BA466" s="166"/>
      <c r="BB466" s="166"/>
      <c r="BC466" s="166"/>
      <c r="BD466" s="166"/>
      <c r="BE466" s="166"/>
      <c r="BF466" s="166"/>
      <c r="BG466" s="166"/>
      <c r="BH466" s="166"/>
      <c r="BI466" s="165"/>
      <c r="BJ466" s="165"/>
      <c r="BK466" s="165"/>
      <c r="BL466" s="165"/>
      <c r="BM466" s="165"/>
      <c r="BN466" s="165"/>
      <c r="BO466" s="165"/>
      <c r="BP466" s="165"/>
      <c r="BQ466" s="166"/>
      <c r="BR466" s="165"/>
    </row>
    <row r="467" spans="1:70" s="124" customFormat="1" ht="12.75" hidden="1" customHeight="1" x14ac:dyDescent="0.2">
      <c r="A467" s="91">
        <v>534</v>
      </c>
      <c r="B467" s="231" t="s">
        <v>543</v>
      </c>
      <c r="C467" s="264" t="s">
        <v>544</v>
      </c>
      <c r="D467" s="231" t="s">
        <v>554</v>
      </c>
      <c r="E467" s="125" t="s">
        <v>152</v>
      </c>
      <c r="F467" s="181" t="s">
        <v>103</v>
      </c>
      <c r="G467" s="181" t="s">
        <v>56</v>
      </c>
      <c r="H467" s="181" t="s">
        <v>157</v>
      </c>
      <c r="I467" s="181"/>
      <c r="J467" s="178">
        <v>300</v>
      </c>
      <c r="K467" s="182"/>
      <c r="L467" s="182" t="s">
        <v>58</v>
      </c>
      <c r="M467" s="178" t="s">
        <v>78</v>
      </c>
      <c r="N467" s="178" t="s">
        <v>552</v>
      </c>
      <c r="O467" s="178" t="s">
        <v>60</v>
      </c>
      <c r="P467" s="178" t="s">
        <v>92</v>
      </c>
      <c r="Q467" s="179"/>
      <c r="R467" s="179" t="s">
        <v>546</v>
      </c>
      <c r="S467" s="180">
        <v>180</v>
      </c>
      <c r="T467" s="179"/>
      <c r="U467" s="179" t="s">
        <v>547</v>
      </c>
      <c r="V467" s="167" t="s">
        <v>62</v>
      </c>
      <c r="W467" s="168">
        <v>10</v>
      </c>
      <c r="X467" s="106" t="s">
        <v>334</v>
      </c>
      <c r="Y467" s="167"/>
      <c r="Z467" s="169" t="s">
        <v>63</v>
      </c>
      <c r="AA467" s="166">
        <v>4</v>
      </c>
      <c r="AB467" s="166">
        <v>2</v>
      </c>
      <c r="AC467" s="165">
        <v>24</v>
      </c>
      <c r="AD467" s="165" t="s">
        <v>80</v>
      </c>
      <c r="AE467" s="165" t="s">
        <v>116</v>
      </c>
      <c r="AF467" s="165">
        <v>5</v>
      </c>
      <c r="AG467" s="165" t="s">
        <v>80</v>
      </c>
      <c r="AH467" s="165" t="s">
        <v>117</v>
      </c>
      <c r="AI467" s="165"/>
      <c r="AJ467" s="165"/>
      <c r="AK467" s="166">
        <v>70.8</v>
      </c>
      <c r="AL467" s="166" t="s">
        <v>81</v>
      </c>
      <c r="AM467" s="166" t="s">
        <v>116</v>
      </c>
      <c r="AN467" s="166">
        <v>15.3</v>
      </c>
      <c r="AO467" s="166" t="s">
        <v>81</v>
      </c>
      <c r="AP467" s="166" t="s">
        <v>117</v>
      </c>
      <c r="AQ467" s="166"/>
      <c r="AR467" s="166"/>
      <c r="AS467" s="165">
        <v>174</v>
      </c>
      <c r="AT467" s="165" t="s">
        <v>119</v>
      </c>
      <c r="AU467" s="165" t="s">
        <v>116</v>
      </c>
      <c r="AV467" s="165">
        <v>9.5</v>
      </c>
      <c r="AW467" s="165" t="s">
        <v>119</v>
      </c>
      <c r="AX467" s="165" t="s">
        <v>117</v>
      </c>
      <c r="AY467" s="165"/>
      <c r="AZ467" s="165"/>
      <c r="BA467" s="166"/>
      <c r="BB467" s="166"/>
      <c r="BC467" s="166"/>
      <c r="BD467" s="166"/>
      <c r="BE467" s="166"/>
      <c r="BF467" s="166"/>
      <c r="BG467" s="166"/>
      <c r="BH467" s="166"/>
      <c r="BI467" s="165"/>
      <c r="BJ467" s="165"/>
      <c r="BK467" s="165"/>
      <c r="BL467" s="165"/>
      <c r="BM467" s="165"/>
      <c r="BN467" s="165"/>
      <c r="BO467" s="165"/>
      <c r="BP467" s="165"/>
      <c r="BQ467" s="166"/>
      <c r="BR467" s="165"/>
    </row>
    <row r="468" spans="1:70" s="124" customFormat="1" ht="14.25" hidden="1" customHeight="1" x14ac:dyDescent="0.2">
      <c r="A468" s="91">
        <v>535</v>
      </c>
      <c r="B468" s="231" t="s">
        <v>543</v>
      </c>
      <c r="C468" s="264" t="s">
        <v>544</v>
      </c>
      <c r="D468" s="231" t="s">
        <v>555</v>
      </c>
      <c r="E468" s="125" t="s">
        <v>152</v>
      </c>
      <c r="F468" s="181" t="s">
        <v>103</v>
      </c>
      <c r="G468" s="181" t="s">
        <v>56</v>
      </c>
      <c r="H468" s="181" t="s">
        <v>430</v>
      </c>
      <c r="I468" s="181"/>
      <c r="J468" s="178">
        <v>200</v>
      </c>
      <c r="K468" s="182"/>
      <c r="L468" s="182" t="s">
        <v>58</v>
      </c>
      <c r="M468" s="178" t="s">
        <v>78</v>
      </c>
      <c r="N468" s="178" t="s">
        <v>552</v>
      </c>
      <c r="O468" s="178" t="s">
        <v>60</v>
      </c>
      <c r="P468" s="178" t="s">
        <v>92</v>
      </c>
      <c r="Q468" s="179"/>
      <c r="R468" s="179" t="s">
        <v>556</v>
      </c>
      <c r="S468" s="180">
        <v>120</v>
      </c>
      <c r="T468" s="179"/>
      <c r="U468" s="179" t="s">
        <v>557</v>
      </c>
      <c r="V468" s="167" t="s">
        <v>62</v>
      </c>
      <c r="W468" s="168">
        <v>10</v>
      </c>
      <c r="X468" s="106" t="s">
        <v>334</v>
      </c>
      <c r="Y468" s="167"/>
      <c r="Z468" s="169" t="s">
        <v>63</v>
      </c>
      <c r="AA468" s="166">
        <v>4</v>
      </c>
      <c r="AB468" s="166">
        <v>2</v>
      </c>
      <c r="AC468" s="165">
        <v>28</v>
      </c>
      <c r="AD468" s="165" t="s">
        <v>80</v>
      </c>
      <c r="AE468" s="165" t="s">
        <v>116</v>
      </c>
      <c r="AF468" s="165">
        <v>8.1</v>
      </c>
      <c r="AG468" s="165" t="s">
        <v>80</v>
      </c>
      <c r="AH468" s="165" t="s">
        <v>117</v>
      </c>
      <c r="AI468" s="165"/>
      <c r="AJ468" s="165"/>
      <c r="AK468" s="166">
        <v>68.3</v>
      </c>
      <c r="AL468" s="166" t="s">
        <v>81</v>
      </c>
      <c r="AM468" s="166" t="s">
        <v>116</v>
      </c>
      <c r="AN468" s="166">
        <v>4.3</v>
      </c>
      <c r="AO468" s="166" t="s">
        <v>81</v>
      </c>
      <c r="AP468" s="166" t="s">
        <v>117</v>
      </c>
      <c r="AQ468" s="166"/>
      <c r="AR468" s="166"/>
      <c r="AS468" s="165">
        <v>173</v>
      </c>
      <c r="AT468" s="165" t="s">
        <v>119</v>
      </c>
      <c r="AU468" s="165" t="s">
        <v>116</v>
      </c>
      <c r="AV468" s="165">
        <v>8.3000000000000007</v>
      </c>
      <c r="AW468" s="165" t="s">
        <v>119</v>
      </c>
      <c r="AX468" s="165" t="s">
        <v>117</v>
      </c>
      <c r="AY468" s="165"/>
      <c r="AZ468" s="165"/>
      <c r="BA468" s="166"/>
      <c r="BB468" s="166"/>
      <c r="BC468" s="166"/>
      <c r="BD468" s="166"/>
      <c r="BE468" s="166"/>
      <c r="BF468" s="166"/>
      <c r="BG468" s="166"/>
      <c r="BH468" s="166"/>
      <c r="BI468" s="165"/>
      <c r="BJ468" s="165"/>
      <c r="BK468" s="165"/>
      <c r="BL468" s="165"/>
      <c r="BM468" s="165"/>
      <c r="BN468" s="165"/>
      <c r="BO468" s="165"/>
      <c r="BP468" s="165"/>
      <c r="BQ468" s="166"/>
      <c r="BR468" s="165"/>
    </row>
    <row r="469" spans="1:70" s="124" customFormat="1" ht="14.25" hidden="1" customHeight="1" x14ac:dyDescent="0.2">
      <c r="A469" s="91">
        <v>536</v>
      </c>
      <c r="B469" s="231" t="s">
        <v>543</v>
      </c>
      <c r="C469" s="264" t="s">
        <v>544</v>
      </c>
      <c r="D469" s="231" t="s">
        <v>558</v>
      </c>
      <c r="E469" s="125" t="s">
        <v>149</v>
      </c>
      <c r="F469" s="181" t="s">
        <v>103</v>
      </c>
      <c r="G469" s="181" t="s">
        <v>56</v>
      </c>
      <c r="H469" s="181" t="s">
        <v>168</v>
      </c>
      <c r="I469" s="181"/>
      <c r="J469" s="178">
        <v>100</v>
      </c>
      <c r="K469" s="182"/>
      <c r="L469" s="182" t="s">
        <v>58</v>
      </c>
      <c r="M469" s="178" t="s">
        <v>78</v>
      </c>
      <c r="N469" s="178" t="s">
        <v>552</v>
      </c>
      <c r="O469" s="178" t="s">
        <v>60</v>
      </c>
      <c r="P469" s="178" t="s">
        <v>92</v>
      </c>
      <c r="Q469" s="179"/>
      <c r="R469" s="179" t="s">
        <v>546</v>
      </c>
      <c r="S469" s="180">
        <v>60</v>
      </c>
      <c r="T469" s="179"/>
      <c r="U469" s="179" t="s">
        <v>547</v>
      </c>
      <c r="V469" s="167" t="s">
        <v>62</v>
      </c>
      <c r="W469" s="168">
        <v>10</v>
      </c>
      <c r="X469" s="106" t="s">
        <v>334</v>
      </c>
      <c r="Y469" s="167"/>
      <c r="Z469" s="169" t="s">
        <v>63</v>
      </c>
      <c r="AA469" s="166">
        <v>4</v>
      </c>
      <c r="AB469" s="166">
        <v>2</v>
      </c>
      <c r="AC469" s="165">
        <v>23</v>
      </c>
      <c r="AD469" s="165" t="s">
        <v>80</v>
      </c>
      <c r="AE469" s="165" t="s">
        <v>116</v>
      </c>
      <c r="AF469" s="165">
        <v>6.1</v>
      </c>
      <c r="AG469" s="165" t="s">
        <v>80</v>
      </c>
      <c r="AH469" s="165" t="s">
        <v>117</v>
      </c>
      <c r="AI469" s="165"/>
      <c r="AJ469" s="165"/>
      <c r="AK469" s="166">
        <v>71.3</v>
      </c>
      <c r="AL469" s="166" t="s">
        <v>81</v>
      </c>
      <c r="AM469" s="166" t="s">
        <v>116</v>
      </c>
      <c r="AN469" s="166">
        <v>12.4</v>
      </c>
      <c r="AO469" s="166" t="s">
        <v>81</v>
      </c>
      <c r="AP469" s="166" t="s">
        <v>117</v>
      </c>
      <c r="AQ469" s="166"/>
      <c r="AR469" s="166"/>
      <c r="AS469" s="165">
        <v>174</v>
      </c>
      <c r="AT469" s="165" t="s">
        <v>119</v>
      </c>
      <c r="AU469" s="165" t="s">
        <v>116</v>
      </c>
      <c r="AV469" s="165">
        <v>7.9</v>
      </c>
      <c r="AW469" s="165" t="s">
        <v>119</v>
      </c>
      <c r="AX469" s="165" t="s">
        <v>117</v>
      </c>
      <c r="AY469" s="165"/>
      <c r="AZ469" s="165"/>
      <c r="BA469" s="166"/>
      <c r="BB469" s="166"/>
      <c r="BC469" s="166"/>
      <c r="BD469" s="166"/>
      <c r="BE469" s="166"/>
      <c r="BF469" s="166"/>
      <c r="BG469" s="166"/>
      <c r="BH469" s="166"/>
      <c r="BI469" s="165"/>
      <c r="BJ469" s="165"/>
      <c r="BK469" s="165"/>
      <c r="BL469" s="165"/>
      <c r="BM469" s="165"/>
      <c r="BN469" s="165"/>
      <c r="BO469" s="165"/>
      <c r="BP469" s="165"/>
      <c r="BQ469" s="166"/>
      <c r="BR469" s="165"/>
    </row>
    <row r="470" spans="1:70" s="124" customFormat="1" ht="12.75" hidden="1" customHeight="1" x14ac:dyDescent="0.2">
      <c r="A470" s="91">
        <v>537</v>
      </c>
      <c r="B470" s="231" t="s">
        <v>543</v>
      </c>
      <c r="C470" s="264" t="s">
        <v>544</v>
      </c>
      <c r="D470" s="231" t="s">
        <v>559</v>
      </c>
      <c r="E470" s="125" t="s">
        <v>149</v>
      </c>
      <c r="F470" s="181" t="s">
        <v>103</v>
      </c>
      <c r="G470" s="181" t="s">
        <v>56</v>
      </c>
      <c r="H470" s="181" t="s">
        <v>168</v>
      </c>
      <c r="I470" s="181"/>
      <c r="J470" s="178">
        <v>200</v>
      </c>
      <c r="K470" s="182"/>
      <c r="L470" s="182" t="s">
        <v>58</v>
      </c>
      <c r="M470" s="178" t="s">
        <v>78</v>
      </c>
      <c r="N470" s="178" t="s">
        <v>552</v>
      </c>
      <c r="O470" s="178" t="s">
        <v>60</v>
      </c>
      <c r="P470" s="178" t="s">
        <v>92</v>
      </c>
      <c r="Q470" s="179"/>
      <c r="R470" s="179" t="s">
        <v>546</v>
      </c>
      <c r="S470" s="180">
        <v>120</v>
      </c>
      <c r="T470" s="179"/>
      <c r="U470" s="179" t="s">
        <v>547</v>
      </c>
      <c r="V470" s="167" t="s">
        <v>62</v>
      </c>
      <c r="W470" s="168">
        <v>10</v>
      </c>
      <c r="X470" s="106" t="s">
        <v>334</v>
      </c>
      <c r="Y470" s="167"/>
      <c r="Z470" s="169" t="s">
        <v>63</v>
      </c>
      <c r="AA470" s="166">
        <v>4</v>
      </c>
      <c r="AB470" s="166">
        <v>2</v>
      </c>
      <c r="AC470" s="165">
        <v>22.3</v>
      </c>
      <c r="AD470" s="165" t="s">
        <v>80</v>
      </c>
      <c r="AE470" s="165" t="s">
        <v>116</v>
      </c>
      <c r="AF470" s="165">
        <v>4</v>
      </c>
      <c r="AG470" s="165" t="s">
        <v>80</v>
      </c>
      <c r="AH470" s="165" t="s">
        <v>117</v>
      </c>
      <c r="AI470" s="165"/>
      <c r="AJ470" s="165"/>
      <c r="AK470" s="166">
        <v>66</v>
      </c>
      <c r="AL470" s="166" t="s">
        <v>81</v>
      </c>
      <c r="AM470" s="166" t="s">
        <v>116</v>
      </c>
      <c r="AN470" s="166">
        <v>9.1</v>
      </c>
      <c r="AO470" s="166" t="s">
        <v>81</v>
      </c>
      <c r="AP470" s="166" t="s">
        <v>117</v>
      </c>
      <c r="AQ470" s="166"/>
      <c r="AR470" s="166"/>
      <c r="AS470" s="165">
        <v>173.5</v>
      </c>
      <c r="AT470" s="165" t="s">
        <v>119</v>
      </c>
      <c r="AU470" s="165" t="s">
        <v>116</v>
      </c>
      <c r="AV470" s="165">
        <v>6.5</v>
      </c>
      <c r="AW470" s="165" t="s">
        <v>119</v>
      </c>
      <c r="AX470" s="165" t="s">
        <v>117</v>
      </c>
      <c r="AY470" s="165"/>
      <c r="AZ470" s="165"/>
      <c r="BA470" s="166"/>
      <c r="BB470" s="166"/>
      <c r="BC470" s="166"/>
      <c r="BD470" s="166"/>
      <c r="BE470" s="166"/>
      <c r="BF470" s="166"/>
      <c r="BG470" s="166"/>
      <c r="BH470" s="166"/>
      <c r="BI470" s="165"/>
      <c r="BJ470" s="165"/>
      <c r="BK470" s="165"/>
      <c r="BL470" s="165"/>
      <c r="BM470" s="165"/>
      <c r="BN470" s="165"/>
      <c r="BO470" s="165"/>
      <c r="BP470" s="165"/>
      <c r="BQ470" s="166"/>
      <c r="BR470" s="165"/>
    </row>
    <row r="471" spans="1:70" s="124" customFormat="1" ht="14.25" hidden="1" customHeight="1" x14ac:dyDescent="0.2">
      <c r="A471" s="91">
        <v>538</v>
      </c>
      <c r="B471" s="231" t="s">
        <v>543</v>
      </c>
      <c r="C471" s="264" t="s">
        <v>544</v>
      </c>
      <c r="D471" s="231" t="s">
        <v>560</v>
      </c>
      <c r="E471" s="125" t="s">
        <v>149</v>
      </c>
      <c r="F471" s="181" t="s">
        <v>103</v>
      </c>
      <c r="G471" s="181" t="s">
        <v>56</v>
      </c>
      <c r="H471" s="181" t="s">
        <v>168</v>
      </c>
      <c r="I471" s="181"/>
      <c r="J471" s="178">
        <v>300</v>
      </c>
      <c r="K471" s="182"/>
      <c r="L471" s="182" t="s">
        <v>58</v>
      </c>
      <c r="M471" s="178" t="s">
        <v>78</v>
      </c>
      <c r="N471" s="178" t="s">
        <v>552</v>
      </c>
      <c r="O471" s="178" t="s">
        <v>60</v>
      </c>
      <c r="P471" s="178" t="s">
        <v>92</v>
      </c>
      <c r="Q471" s="179"/>
      <c r="R471" s="179" t="s">
        <v>546</v>
      </c>
      <c r="S471" s="180">
        <v>180</v>
      </c>
      <c r="T471" s="179"/>
      <c r="U471" s="179" t="s">
        <v>547</v>
      </c>
      <c r="V471" s="167" t="s">
        <v>62</v>
      </c>
      <c r="W471" s="168">
        <v>10</v>
      </c>
      <c r="X471" s="106" t="s">
        <v>334</v>
      </c>
      <c r="Y471" s="167"/>
      <c r="Z471" s="169" t="s">
        <v>63</v>
      </c>
      <c r="AA471" s="166">
        <v>4</v>
      </c>
      <c r="AB471" s="166">
        <v>2</v>
      </c>
      <c r="AC471" s="165">
        <v>24</v>
      </c>
      <c r="AD471" s="165" t="s">
        <v>80</v>
      </c>
      <c r="AE471" s="165" t="s">
        <v>116</v>
      </c>
      <c r="AF471" s="165">
        <v>5</v>
      </c>
      <c r="AG471" s="165" t="s">
        <v>80</v>
      </c>
      <c r="AH471" s="165" t="s">
        <v>117</v>
      </c>
      <c r="AI471" s="165"/>
      <c r="AJ471" s="165"/>
      <c r="AK471" s="166">
        <v>70.8</v>
      </c>
      <c r="AL471" s="166" t="s">
        <v>81</v>
      </c>
      <c r="AM471" s="166" t="s">
        <v>116</v>
      </c>
      <c r="AN471" s="166">
        <v>15.3</v>
      </c>
      <c r="AO471" s="166" t="s">
        <v>81</v>
      </c>
      <c r="AP471" s="166" t="s">
        <v>117</v>
      </c>
      <c r="AQ471" s="166"/>
      <c r="AR471" s="166"/>
      <c r="AS471" s="165">
        <v>174</v>
      </c>
      <c r="AT471" s="165" t="s">
        <v>119</v>
      </c>
      <c r="AU471" s="165" t="s">
        <v>116</v>
      </c>
      <c r="AV471" s="165">
        <v>9.5</v>
      </c>
      <c r="AW471" s="165" t="s">
        <v>119</v>
      </c>
      <c r="AX471" s="165" t="s">
        <v>117</v>
      </c>
      <c r="AY471" s="165"/>
      <c r="AZ471" s="165"/>
      <c r="BA471" s="166"/>
      <c r="BB471" s="166"/>
      <c r="BC471" s="166"/>
      <c r="BD471" s="166"/>
      <c r="BE471" s="166"/>
      <c r="BF471" s="166"/>
      <c r="BG471" s="166"/>
      <c r="BH471" s="166"/>
      <c r="BI471" s="165"/>
      <c r="BJ471" s="165"/>
      <c r="BK471" s="165"/>
      <c r="BL471" s="165"/>
      <c r="BM471" s="165"/>
      <c r="BN471" s="165"/>
      <c r="BO471" s="165"/>
      <c r="BP471" s="165"/>
      <c r="BQ471" s="166"/>
      <c r="BR471" s="165"/>
    </row>
    <row r="472" spans="1:70" s="124" customFormat="1" ht="14.25" hidden="1" customHeight="1" x14ac:dyDescent="0.2">
      <c r="A472" s="91">
        <v>539</v>
      </c>
      <c r="B472" s="231" t="s">
        <v>543</v>
      </c>
      <c r="C472" s="264" t="s">
        <v>544</v>
      </c>
      <c r="D472" s="231" t="s">
        <v>558</v>
      </c>
      <c r="E472" s="125" t="s">
        <v>152</v>
      </c>
      <c r="F472" s="181" t="s">
        <v>103</v>
      </c>
      <c r="G472" s="181" t="s">
        <v>56</v>
      </c>
      <c r="H472" s="181" t="s">
        <v>168</v>
      </c>
      <c r="I472" s="181"/>
      <c r="J472" s="178">
        <v>100</v>
      </c>
      <c r="K472" s="182"/>
      <c r="L472" s="182" t="s">
        <v>58</v>
      </c>
      <c r="M472" s="178" t="s">
        <v>78</v>
      </c>
      <c r="N472" s="178" t="s">
        <v>552</v>
      </c>
      <c r="O472" s="178" t="s">
        <v>60</v>
      </c>
      <c r="P472" s="178" t="s">
        <v>92</v>
      </c>
      <c r="Q472" s="179"/>
      <c r="R472" s="179" t="s">
        <v>546</v>
      </c>
      <c r="S472" s="180">
        <v>60</v>
      </c>
      <c r="T472" s="179"/>
      <c r="U472" s="179" t="s">
        <v>547</v>
      </c>
      <c r="V472" s="167" t="s">
        <v>62</v>
      </c>
      <c r="W472" s="168">
        <v>10</v>
      </c>
      <c r="X472" s="106" t="s">
        <v>334</v>
      </c>
      <c r="Y472" s="167"/>
      <c r="Z472" s="169" t="s">
        <v>63</v>
      </c>
      <c r="AA472" s="166">
        <v>4</v>
      </c>
      <c r="AB472" s="166">
        <v>2</v>
      </c>
      <c r="AC472" s="165">
        <v>23</v>
      </c>
      <c r="AD472" s="165" t="s">
        <v>80</v>
      </c>
      <c r="AE472" s="165" t="s">
        <v>116</v>
      </c>
      <c r="AF472" s="165">
        <v>6.1</v>
      </c>
      <c r="AG472" s="165" t="s">
        <v>80</v>
      </c>
      <c r="AH472" s="165" t="s">
        <v>117</v>
      </c>
      <c r="AI472" s="165"/>
      <c r="AJ472" s="165"/>
      <c r="AK472" s="166">
        <v>71.3</v>
      </c>
      <c r="AL472" s="166" t="s">
        <v>81</v>
      </c>
      <c r="AM472" s="166" t="s">
        <v>116</v>
      </c>
      <c r="AN472" s="166">
        <v>12.4</v>
      </c>
      <c r="AO472" s="166" t="s">
        <v>81</v>
      </c>
      <c r="AP472" s="166" t="s">
        <v>117</v>
      </c>
      <c r="AQ472" s="166"/>
      <c r="AR472" s="166"/>
      <c r="AS472" s="165">
        <v>174</v>
      </c>
      <c r="AT472" s="165" t="s">
        <v>119</v>
      </c>
      <c r="AU472" s="165" t="s">
        <v>116</v>
      </c>
      <c r="AV472" s="165">
        <v>7.9</v>
      </c>
      <c r="AW472" s="165" t="s">
        <v>119</v>
      </c>
      <c r="AX472" s="165" t="s">
        <v>117</v>
      </c>
      <c r="AY472" s="165"/>
      <c r="AZ472" s="165"/>
      <c r="BA472" s="166"/>
      <c r="BB472" s="166"/>
      <c r="BC472" s="166"/>
      <c r="BD472" s="166"/>
      <c r="BE472" s="166"/>
      <c r="BF472" s="166"/>
      <c r="BG472" s="166"/>
      <c r="BH472" s="166"/>
      <c r="BI472" s="165"/>
      <c r="BJ472" s="165"/>
      <c r="BK472" s="165"/>
      <c r="BL472" s="165"/>
      <c r="BM472" s="165"/>
      <c r="BN472" s="165"/>
      <c r="BO472" s="165"/>
      <c r="BP472" s="165"/>
      <c r="BQ472" s="166"/>
      <c r="BR472" s="165"/>
    </row>
    <row r="473" spans="1:70" s="124" customFormat="1" ht="14.25" hidden="1" customHeight="1" x14ac:dyDescent="0.2">
      <c r="A473" s="91">
        <v>540</v>
      </c>
      <c r="B473" s="231" t="s">
        <v>543</v>
      </c>
      <c r="C473" s="264" t="s">
        <v>544</v>
      </c>
      <c r="D473" s="231" t="s">
        <v>559</v>
      </c>
      <c r="E473" s="125" t="s">
        <v>152</v>
      </c>
      <c r="F473" s="181" t="s">
        <v>103</v>
      </c>
      <c r="G473" s="181" t="s">
        <v>56</v>
      </c>
      <c r="H473" s="181" t="s">
        <v>168</v>
      </c>
      <c r="I473" s="181"/>
      <c r="J473" s="178">
        <v>200</v>
      </c>
      <c r="K473" s="182"/>
      <c r="L473" s="182" t="s">
        <v>58</v>
      </c>
      <c r="M473" s="178" t="s">
        <v>78</v>
      </c>
      <c r="N473" s="178" t="s">
        <v>552</v>
      </c>
      <c r="O473" s="178" t="s">
        <v>60</v>
      </c>
      <c r="P473" s="178" t="s">
        <v>92</v>
      </c>
      <c r="Q473" s="179"/>
      <c r="R473" s="179" t="s">
        <v>546</v>
      </c>
      <c r="S473" s="180">
        <v>120</v>
      </c>
      <c r="T473" s="179"/>
      <c r="U473" s="179" t="s">
        <v>547</v>
      </c>
      <c r="V473" s="167" t="s">
        <v>62</v>
      </c>
      <c r="W473" s="168">
        <v>10</v>
      </c>
      <c r="X473" s="106" t="s">
        <v>334</v>
      </c>
      <c r="Y473" s="167"/>
      <c r="Z473" s="169" t="s">
        <v>63</v>
      </c>
      <c r="AA473" s="166">
        <v>4</v>
      </c>
      <c r="AB473" s="166">
        <v>2</v>
      </c>
      <c r="AC473" s="165">
        <v>22.3</v>
      </c>
      <c r="AD473" s="165" t="s">
        <v>80</v>
      </c>
      <c r="AE473" s="165" t="s">
        <v>116</v>
      </c>
      <c r="AF473" s="165">
        <v>4</v>
      </c>
      <c r="AG473" s="165" t="s">
        <v>80</v>
      </c>
      <c r="AH473" s="165" t="s">
        <v>117</v>
      </c>
      <c r="AI473" s="165"/>
      <c r="AJ473" s="165"/>
      <c r="AK473" s="166">
        <v>66</v>
      </c>
      <c r="AL473" s="166" t="s">
        <v>81</v>
      </c>
      <c r="AM473" s="166" t="s">
        <v>116</v>
      </c>
      <c r="AN473" s="166">
        <v>9.1</v>
      </c>
      <c r="AO473" s="166" t="s">
        <v>81</v>
      </c>
      <c r="AP473" s="166" t="s">
        <v>117</v>
      </c>
      <c r="AQ473" s="166"/>
      <c r="AR473" s="166"/>
      <c r="AS473" s="165">
        <v>173.5</v>
      </c>
      <c r="AT473" s="165" t="s">
        <v>119</v>
      </c>
      <c r="AU473" s="165" t="s">
        <v>116</v>
      </c>
      <c r="AV473" s="165">
        <v>6.5</v>
      </c>
      <c r="AW473" s="165" t="s">
        <v>119</v>
      </c>
      <c r="AX473" s="165" t="s">
        <v>117</v>
      </c>
      <c r="AY473" s="165"/>
      <c r="AZ473" s="165"/>
      <c r="BA473" s="166"/>
      <c r="BB473" s="166"/>
      <c r="BC473" s="166"/>
      <c r="BD473" s="166"/>
      <c r="BE473" s="166"/>
      <c r="BF473" s="166"/>
      <c r="BG473" s="166"/>
      <c r="BH473" s="166"/>
      <c r="BI473" s="165"/>
      <c r="BJ473" s="165"/>
      <c r="BK473" s="165"/>
      <c r="BL473" s="165"/>
      <c r="BM473" s="165"/>
      <c r="BN473" s="165"/>
      <c r="BO473" s="165"/>
      <c r="BP473" s="165"/>
      <c r="BQ473" s="166"/>
      <c r="BR473" s="165"/>
    </row>
    <row r="474" spans="1:70" s="124" customFormat="1" ht="14.25" hidden="1" customHeight="1" x14ac:dyDescent="0.2">
      <c r="A474" s="91">
        <v>541</v>
      </c>
      <c r="B474" s="231" t="s">
        <v>543</v>
      </c>
      <c r="C474" s="264" t="s">
        <v>544</v>
      </c>
      <c r="D474" s="231" t="s">
        <v>560</v>
      </c>
      <c r="E474" s="125" t="s">
        <v>152</v>
      </c>
      <c r="F474" s="181" t="s">
        <v>103</v>
      </c>
      <c r="G474" s="181" t="s">
        <v>56</v>
      </c>
      <c r="H474" s="181" t="s">
        <v>168</v>
      </c>
      <c r="I474" s="181"/>
      <c r="J474" s="178">
        <v>300</v>
      </c>
      <c r="K474" s="182"/>
      <c r="L474" s="182" t="s">
        <v>58</v>
      </c>
      <c r="M474" s="178" t="s">
        <v>78</v>
      </c>
      <c r="N474" s="178" t="s">
        <v>552</v>
      </c>
      <c r="O474" s="178" t="s">
        <v>60</v>
      </c>
      <c r="P474" s="178" t="s">
        <v>92</v>
      </c>
      <c r="Q474" s="179"/>
      <c r="R474" s="179" t="s">
        <v>546</v>
      </c>
      <c r="S474" s="180">
        <v>180</v>
      </c>
      <c r="T474" s="179"/>
      <c r="U474" s="179" t="s">
        <v>547</v>
      </c>
      <c r="V474" s="167" t="s">
        <v>62</v>
      </c>
      <c r="W474" s="168">
        <v>10</v>
      </c>
      <c r="X474" s="106" t="s">
        <v>334</v>
      </c>
      <c r="Y474" s="167"/>
      <c r="Z474" s="169" t="s">
        <v>63</v>
      </c>
      <c r="AA474" s="166">
        <v>4</v>
      </c>
      <c r="AB474" s="166">
        <v>2</v>
      </c>
      <c r="AC474" s="165">
        <v>24</v>
      </c>
      <c r="AD474" s="165" t="s">
        <v>80</v>
      </c>
      <c r="AE474" s="165" t="s">
        <v>116</v>
      </c>
      <c r="AF474" s="165">
        <v>5</v>
      </c>
      <c r="AG474" s="165" t="s">
        <v>80</v>
      </c>
      <c r="AH474" s="165" t="s">
        <v>117</v>
      </c>
      <c r="AI474" s="165"/>
      <c r="AJ474" s="165"/>
      <c r="AK474" s="166">
        <v>70.8</v>
      </c>
      <c r="AL474" s="166" t="s">
        <v>81</v>
      </c>
      <c r="AM474" s="166" t="s">
        <v>116</v>
      </c>
      <c r="AN474" s="166">
        <v>15.3</v>
      </c>
      <c r="AO474" s="166" t="s">
        <v>81</v>
      </c>
      <c r="AP474" s="166" t="s">
        <v>117</v>
      </c>
      <c r="AQ474" s="166"/>
      <c r="AR474" s="166"/>
      <c r="AS474" s="165">
        <v>174</v>
      </c>
      <c r="AT474" s="165" t="s">
        <v>119</v>
      </c>
      <c r="AU474" s="165" t="s">
        <v>116</v>
      </c>
      <c r="AV474" s="165">
        <v>9.5</v>
      </c>
      <c r="AW474" s="165" t="s">
        <v>119</v>
      </c>
      <c r="AX474" s="165" t="s">
        <v>117</v>
      </c>
      <c r="AY474" s="165"/>
      <c r="AZ474" s="165"/>
      <c r="BA474" s="166"/>
      <c r="BB474" s="166"/>
      <c r="BC474" s="166"/>
      <c r="BD474" s="166"/>
      <c r="BE474" s="166"/>
      <c r="BF474" s="166"/>
      <c r="BG474" s="166"/>
      <c r="BH474" s="166"/>
      <c r="BI474" s="165"/>
      <c r="BJ474" s="165"/>
      <c r="BK474" s="165"/>
      <c r="BL474" s="165"/>
      <c r="BM474" s="165"/>
      <c r="BN474" s="165"/>
      <c r="BO474" s="165"/>
      <c r="BP474" s="165"/>
      <c r="BQ474" s="166"/>
      <c r="BR474" s="165"/>
    </row>
    <row r="475" spans="1:70" s="124" customFormat="1" ht="14.25" hidden="1" customHeight="1" x14ac:dyDescent="0.2">
      <c r="A475" s="91">
        <v>542</v>
      </c>
      <c r="B475" s="231" t="s">
        <v>543</v>
      </c>
      <c r="C475" s="264" t="s">
        <v>544</v>
      </c>
      <c r="D475" s="231" t="s">
        <v>561</v>
      </c>
      <c r="E475" s="125" t="s">
        <v>149</v>
      </c>
      <c r="F475" s="181" t="s">
        <v>103</v>
      </c>
      <c r="G475" s="181" t="s">
        <v>56</v>
      </c>
      <c r="H475" s="181" t="s">
        <v>238</v>
      </c>
      <c r="I475" s="181" t="s">
        <v>495</v>
      </c>
      <c r="J475" s="178">
        <v>100</v>
      </c>
      <c r="K475" s="182"/>
      <c r="L475" s="182" t="s">
        <v>58</v>
      </c>
      <c r="M475" s="178" t="s">
        <v>78</v>
      </c>
      <c r="N475" s="178">
        <v>0</v>
      </c>
      <c r="O475" s="178" t="s">
        <v>60</v>
      </c>
      <c r="P475" s="178" t="s">
        <v>79</v>
      </c>
      <c r="Q475" s="179"/>
      <c r="R475" s="179" t="s">
        <v>546</v>
      </c>
      <c r="S475" s="180">
        <v>60</v>
      </c>
      <c r="T475" s="179"/>
      <c r="U475" s="179" t="s">
        <v>547</v>
      </c>
      <c r="V475" s="167" t="s">
        <v>62</v>
      </c>
      <c r="W475" s="168">
        <v>10</v>
      </c>
      <c r="X475" s="106" t="s">
        <v>334</v>
      </c>
      <c r="Y475" s="167"/>
      <c r="Z475" s="169" t="s">
        <v>63</v>
      </c>
      <c r="AA475" s="166">
        <v>4</v>
      </c>
      <c r="AB475" s="166">
        <v>2</v>
      </c>
      <c r="AC475" s="165">
        <v>23</v>
      </c>
      <c r="AD475" s="165" t="s">
        <v>80</v>
      </c>
      <c r="AE475" s="165" t="s">
        <v>116</v>
      </c>
      <c r="AF475" s="165">
        <v>6.1</v>
      </c>
      <c r="AG475" s="165" t="s">
        <v>80</v>
      </c>
      <c r="AH475" s="165" t="s">
        <v>117</v>
      </c>
      <c r="AI475" s="165"/>
      <c r="AJ475" s="165"/>
      <c r="AK475" s="166">
        <v>71.3</v>
      </c>
      <c r="AL475" s="166" t="s">
        <v>81</v>
      </c>
      <c r="AM475" s="166" t="s">
        <v>116</v>
      </c>
      <c r="AN475" s="166">
        <v>12.4</v>
      </c>
      <c r="AO475" s="166" t="s">
        <v>81</v>
      </c>
      <c r="AP475" s="166" t="s">
        <v>117</v>
      </c>
      <c r="AQ475" s="166"/>
      <c r="AR475" s="166"/>
      <c r="AS475" s="165">
        <v>174</v>
      </c>
      <c r="AT475" s="165" t="s">
        <v>119</v>
      </c>
      <c r="AU475" s="165" t="s">
        <v>116</v>
      </c>
      <c r="AV475" s="165">
        <v>7.9</v>
      </c>
      <c r="AW475" s="165" t="s">
        <v>119</v>
      </c>
      <c r="AX475" s="165" t="s">
        <v>117</v>
      </c>
      <c r="AY475" s="165"/>
      <c r="AZ475" s="165"/>
      <c r="BA475" s="166"/>
      <c r="BB475" s="166"/>
      <c r="BC475" s="166"/>
      <c r="BD475" s="166"/>
      <c r="BE475" s="166"/>
      <c r="BF475" s="166"/>
      <c r="BG475" s="166"/>
      <c r="BH475" s="166"/>
      <c r="BI475" s="165"/>
      <c r="BJ475" s="165"/>
      <c r="BK475" s="165"/>
      <c r="BL475" s="165"/>
      <c r="BM475" s="165"/>
      <c r="BN475" s="165"/>
      <c r="BO475" s="165"/>
      <c r="BP475" s="165"/>
      <c r="BQ475" s="166"/>
      <c r="BR475" s="165"/>
    </row>
    <row r="476" spans="1:70" s="124" customFormat="1" ht="14.25" hidden="1" customHeight="1" x14ac:dyDescent="0.2">
      <c r="A476" s="91">
        <v>543</v>
      </c>
      <c r="B476" s="231" t="s">
        <v>543</v>
      </c>
      <c r="C476" s="264" t="s">
        <v>544</v>
      </c>
      <c r="D476" s="231" t="s">
        <v>562</v>
      </c>
      <c r="E476" s="125" t="s">
        <v>149</v>
      </c>
      <c r="F476" s="181" t="s">
        <v>103</v>
      </c>
      <c r="G476" s="181" t="s">
        <v>56</v>
      </c>
      <c r="H476" s="181" t="s">
        <v>238</v>
      </c>
      <c r="I476" s="181" t="s">
        <v>495</v>
      </c>
      <c r="J476" s="178">
        <v>200</v>
      </c>
      <c r="K476" s="182"/>
      <c r="L476" s="182" t="s">
        <v>58</v>
      </c>
      <c r="M476" s="178" t="s">
        <v>78</v>
      </c>
      <c r="N476" s="178">
        <v>0</v>
      </c>
      <c r="O476" s="178" t="s">
        <v>60</v>
      </c>
      <c r="P476" s="178" t="s">
        <v>79</v>
      </c>
      <c r="Q476" s="179"/>
      <c r="R476" s="179" t="s">
        <v>546</v>
      </c>
      <c r="S476" s="180">
        <v>120</v>
      </c>
      <c r="T476" s="179"/>
      <c r="U476" s="179" t="s">
        <v>547</v>
      </c>
      <c r="V476" s="167" t="s">
        <v>62</v>
      </c>
      <c r="W476" s="168">
        <v>10</v>
      </c>
      <c r="X476" s="106" t="s">
        <v>334</v>
      </c>
      <c r="Y476" s="167"/>
      <c r="Z476" s="169" t="s">
        <v>63</v>
      </c>
      <c r="AA476" s="166">
        <v>4</v>
      </c>
      <c r="AB476" s="166">
        <v>2</v>
      </c>
      <c r="AC476" s="165">
        <v>22.3</v>
      </c>
      <c r="AD476" s="165" t="s">
        <v>80</v>
      </c>
      <c r="AE476" s="165" t="s">
        <v>116</v>
      </c>
      <c r="AF476" s="165">
        <v>4</v>
      </c>
      <c r="AG476" s="165" t="s">
        <v>80</v>
      </c>
      <c r="AH476" s="165" t="s">
        <v>117</v>
      </c>
      <c r="AI476" s="165"/>
      <c r="AJ476" s="165"/>
      <c r="AK476" s="166">
        <v>66</v>
      </c>
      <c r="AL476" s="166" t="s">
        <v>81</v>
      </c>
      <c r="AM476" s="166" t="s">
        <v>116</v>
      </c>
      <c r="AN476" s="166">
        <v>9.1</v>
      </c>
      <c r="AO476" s="166" t="s">
        <v>81</v>
      </c>
      <c r="AP476" s="166" t="s">
        <v>117</v>
      </c>
      <c r="AQ476" s="166"/>
      <c r="AR476" s="166"/>
      <c r="AS476" s="165">
        <v>173.5</v>
      </c>
      <c r="AT476" s="165" t="s">
        <v>119</v>
      </c>
      <c r="AU476" s="165" t="s">
        <v>116</v>
      </c>
      <c r="AV476" s="165">
        <v>6.5</v>
      </c>
      <c r="AW476" s="165" t="s">
        <v>119</v>
      </c>
      <c r="AX476" s="165" t="s">
        <v>117</v>
      </c>
      <c r="AY476" s="165"/>
      <c r="AZ476" s="165"/>
      <c r="BA476" s="166"/>
      <c r="BB476" s="166"/>
      <c r="BC476" s="166"/>
      <c r="BD476" s="166"/>
      <c r="BE476" s="166"/>
      <c r="BF476" s="166"/>
      <c r="BG476" s="166"/>
      <c r="BH476" s="166"/>
      <c r="BI476" s="165"/>
      <c r="BJ476" s="165"/>
      <c r="BK476" s="165"/>
      <c r="BL476" s="165"/>
      <c r="BM476" s="165"/>
      <c r="BN476" s="165"/>
      <c r="BO476" s="165"/>
      <c r="BP476" s="165"/>
      <c r="BQ476" s="166"/>
      <c r="BR476" s="165"/>
    </row>
    <row r="477" spans="1:70" s="124" customFormat="1" ht="14.25" hidden="1" customHeight="1" x14ac:dyDescent="0.2">
      <c r="A477" s="91">
        <v>544</v>
      </c>
      <c r="B477" s="231" t="s">
        <v>543</v>
      </c>
      <c r="C477" s="264" t="s">
        <v>544</v>
      </c>
      <c r="D477" s="231" t="s">
        <v>563</v>
      </c>
      <c r="E477" s="125" t="s">
        <v>149</v>
      </c>
      <c r="F477" s="181" t="s">
        <v>103</v>
      </c>
      <c r="G477" s="181" t="s">
        <v>56</v>
      </c>
      <c r="H477" s="181" t="s">
        <v>238</v>
      </c>
      <c r="I477" s="181" t="s">
        <v>495</v>
      </c>
      <c r="J477" s="178">
        <v>300</v>
      </c>
      <c r="K477" s="182"/>
      <c r="L477" s="182" t="s">
        <v>58</v>
      </c>
      <c r="M477" s="178" t="s">
        <v>78</v>
      </c>
      <c r="N477" s="178">
        <v>0</v>
      </c>
      <c r="O477" s="178" t="s">
        <v>60</v>
      </c>
      <c r="P477" s="178" t="s">
        <v>79</v>
      </c>
      <c r="Q477" s="179"/>
      <c r="R477" s="179" t="s">
        <v>546</v>
      </c>
      <c r="S477" s="180">
        <v>180</v>
      </c>
      <c r="T477" s="179"/>
      <c r="U477" s="179" t="s">
        <v>547</v>
      </c>
      <c r="V477" s="167" t="s">
        <v>62</v>
      </c>
      <c r="W477" s="168">
        <v>10</v>
      </c>
      <c r="X477" s="106" t="s">
        <v>334</v>
      </c>
      <c r="Y477" s="167"/>
      <c r="Z477" s="169" t="s">
        <v>63</v>
      </c>
      <c r="AA477" s="166">
        <v>4</v>
      </c>
      <c r="AB477" s="166">
        <v>2</v>
      </c>
      <c r="AC477" s="165">
        <v>24</v>
      </c>
      <c r="AD477" s="165" t="s">
        <v>80</v>
      </c>
      <c r="AE477" s="165" t="s">
        <v>116</v>
      </c>
      <c r="AF477" s="165">
        <v>5</v>
      </c>
      <c r="AG477" s="165" t="s">
        <v>80</v>
      </c>
      <c r="AH477" s="165" t="s">
        <v>117</v>
      </c>
      <c r="AI477" s="165"/>
      <c r="AJ477" s="165"/>
      <c r="AK477" s="166">
        <v>70.8</v>
      </c>
      <c r="AL477" s="166" t="s">
        <v>81</v>
      </c>
      <c r="AM477" s="166" t="s">
        <v>116</v>
      </c>
      <c r="AN477" s="166">
        <v>15.3</v>
      </c>
      <c r="AO477" s="166" t="s">
        <v>81</v>
      </c>
      <c r="AP477" s="166" t="s">
        <v>117</v>
      </c>
      <c r="AQ477" s="166"/>
      <c r="AR477" s="166"/>
      <c r="AS477" s="165">
        <v>174</v>
      </c>
      <c r="AT477" s="165" t="s">
        <v>119</v>
      </c>
      <c r="AU477" s="165" t="s">
        <v>116</v>
      </c>
      <c r="AV477" s="165">
        <v>9.5</v>
      </c>
      <c r="AW477" s="165" t="s">
        <v>119</v>
      </c>
      <c r="AX477" s="165" t="s">
        <v>117</v>
      </c>
      <c r="AY477" s="165"/>
      <c r="AZ477" s="165"/>
      <c r="BA477" s="166"/>
      <c r="BB477" s="166"/>
      <c r="BC477" s="166"/>
      <c r="BD477" s="166"/>
      <c r="BE477" s="166"/>
      <c r="BF477" s="166"/>
      <c r="BG477" s="166"/>
      <c r="BH477" s="166"/>
      <c r="BI477" s="165"/>
      <c r="BJ477" s="165"/>
      <c r="BK477" s="165"/>
      <c r="BL477" s="165"/>
      <c r="BM477" s="165"/>
      <c r="BN477" s="165"/>
      <c r="BO477" s="165"/>
      <c r="BP477" s="165"/>
      <c r="BQ477" s="166"/>
      <c r="BR477" s="165"/>
    </row>
    <row r="478" spans="1:70" s="124" customFormat="1" ht="14.25" hidden="1" customHeight="1" x14ac:dyDescent="0.2">
      <c r="A478" s="91">
        <v>545</v>
      </c>
      <c r="B478" s="231" t="s">
        <v>564</v>
      </c>
      <c r="C478" s="264" t="s">
        <v>565</v>
      </c>
      <c r="D478" s="231" t="s">
        <v>566</v>
      </c>
      <c r="E478" s="125" t="s">
        <v>149</v>
      </c>
      <c r="F478" s="181" t="s">
        <v>103</v>
      </c>
      <c r="G478" s="181" t="s">
        <v>56</v>
      </c>
      <c r="H478" s="181" t="s">
        <v>57</v>
      </c>
      <c r="I478" s="181" t="s">
        <v>567</v>
      </c>
      <c r="J478" s="178">
        <v>200</v>
      </c>
      <c r="K478" s="182"/>
      <c r="L478" s="182" t="s">
        <v>58</v>
      </c>
      <c r="M478" s="178" t="s">
        <v>78</v>
      </c>
      <c r="N478" s="178" t="s">
        <v>568</v>
      </c>
      <c r="O478" s="178" t="s">
        <v>60</v>
      </c>
      <c r="P478" s="178" t="s">
        <v>569</v>
      </c>
      <c r="Q478" s="179"/>
      <c r="R478" s="179"/>
      <c r="S478" s="180">
        <v>60</v>
      </c>
      <c r="T478" s="179"/>
      <c r="U478" s="179"/>
      <c r="V478" s="167"/>
      <c r="W478" s="168"/>
      <c r="X478" s="106"/>
      <c r="Y478" s="167"/>
      <c r="Z478" s="169" t="s">
        <v>63</v>
      </c>
      <c r="AA478" s="166">
        <v>29</v>
      </c>
      <c r="AB478" s="166"/>
      <c r="AC478" s="165"/>
      <c r="AD478" s="165"/>
      <c r="AE478" s="165"/>
      <c r="AF478" s="165"/>
      <c r="AG478" s="165"/>
      <c r="AH478" s="165"/>
      <c r="AI478" s="165"/>
      <c r="AJ478" s="165"/>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c r="BR478" s="165" t="s">
        <v>570</v>
      </c>
    </row>
    <row r="479" spans="1:70" s="124" customFormat="1" ht="14.25" hidden="1" customHeight="1" x14ac:dyDescent="0.2">
      <c r="A479" s="91">
        <v>546</v>
      </c>
      <c r="B479" s="231" t="s">
        <v>564</v>
      </c>
      <c r="C479" s="264" t="s">
        <v>565</v>
      </c>
      <c r="D479" s="231" t="s">
        <v>566</v>
      </c>
      <c r="E479" s="125" t="s">
        <v>152</v>
      </c>
      <c r="F479" s="181" t="s">
        <v>103</v>
      </c>
      <c r="G479" s="181" t="s">
        <v>56</v>
      </c>
      <c r="H479" s="181" t="s">
        <v>66</v>
      </c>
      <c r="I479" s="181" t="s">
        <v>567</v>
      </c>
      <c r="J479" s="178">
        <v>200</v>
      </c>
      <c r="K479" s="182"/>
      <c r="L479" s="182" t="s">
        <v>58</v>
      </c>
      <c r="M479" s="178" t="s">
        <v>78</v>
      </c>
      <c r="N479" s="178" t="s">
        <v>568</v>
      </c>
      <c r="O479" s="178" t="s">
        <v>60</v>
      </c>
      <c r="P479" s="178" t="s">
        <v>569</v>
      </c>
      <c r="Q479" s="179"/>
      <c r="R479" s="179"/>
      <c r="S479" s="180">
        <v>60</v>
      </c>
      <c r="T479" s="179"/>
      <c r="U479" s="179"/>
      <c r="V479" s="167"/>
      <c r="W479" s="168"/>
      <c r="X479" s="106"/>
      <c r="Y479" s="167"/>
      <c r="Z479" s="169" t="s">
        <v>63</v>
      </c>
      <c r="AA479" s="166">
        <v>29</v>
      </c>
      <c r="AB479" s="166"/>
      <c r="AC479" s="165"/>
      <c r="AD479" s="165"/>
      <c r="AE479" s="165"/>
      <c r="AF479" s="165"/>
      <c r="AG479" s="165"/>
      <c r="AH479" s="165"/>
      <c r="AI479" s="165"/>
      <c r="AJ479" s="165"/>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c r="BR479" s="165" t="s">
        <v>570</v>
      </c>
    </row>
    <row r="480" spans="1:70" s="124" customFormat="1" ht="14.25" hidden="1" customHeight="1" x14ac:dyDescent="0.2">
      <c r="A480" s="91">
        <v>547</v>
      </c>
      <c r="B480" s="231" t="s">
        <v>571</v>
      </c>
      <c r="C480" s="264" t="s">
        <v>572</v>
      </c>
      <c r="D480" s="231" t="s">
        <v>13</v>
      </c>
      <c r="E480" s="125" t="s">
        <v>573</v>
      </c>
      <c r="F480" s="181" t="s">
        <v>103</v>
      </c>
      <c r="G480" s="181" t="s">
        <v>56</v>
      </c>
      <c r="H480" s="181" t="s">
        <v>157</v>
      </c>
      <c r="I480" s="181"/>
      <c r="J480" s="178">
        <v>250</v>
      </c>
      <c r="K480" s="182"/>
      <c r="L480" s="182" t="s">
        <v>58</v>
      </c>
      <c r="M480" s="178" t="s">
        <v>59</v>
      </c>
      <c r="N480" s="178">
        <v>0</v>
      </c>
      <c r="O480" s="178" t="s">
        <v>60</v>
      </c>
      <c r="P480" s="178" t="s">
        <v>79</v>
      </c>
      <c r="Q480" s="179"/>
      <c r="R480" s="179" t="s">
        <v>574</v>
      </c>
      <c r="S480" s="180"/>
      <c r="T480" s="179"/>
      <c r="U480" s="179"/>
      <c r="V480" s="167" t="s">
        <v>62</v>
      </c>
      <c r="W480" s="168">
        <v>12</v>
      </c>
      <c r="X480" s="106"/>
      <c r="Y480" s="167"/>
      <c r="Z480" s="169" t="s">
        <v>63</v>
      </c>
      <c r="AA480" s="166">
        <v>12</v>
      </c>
      <c r="AB480" s="166"/>
      <c r="AC480" s="165"/>
      <c r="AD480" s="165"/>
      <c r="AE480" s="165"/>
      <c r="AF480" s="165"/>
      <c r="AG480" s="165"/>
      <c r="AH480" s="165"/>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c r="BJ480" s="165"/>
      <c r="BK480" s="165"/>
      <c r="BL480" s="165"/>
      <c r="BM480" s="165"/>
      <c r="BN480" s="165"/>
      <c r="BO480" s="165"/>
      <c r="BP480" s="165"/>
      <c r="BQ480" s="166"/>
      <c r="BR480" s="165"/>
    </row>
    <row r="481" spans="1:71" s="124" customFormat="1" ht="14.25" hidden="1" customHeight="1" x14ac:dyDescent="0.2">
      <c r="A481" s="91">
        <v>548</v>
      </c>
      <c r="B481" s="231" t="s">
        <v>575</v>
      </c>
      <c r="C481" s="264" t="s">
        <v>576</v>
      </c>
      <c r="D481" s="231" t="s">
        <v>13</v>
      </c>
      <c r="E481" s="125" t="s">
        <v>573</v>
      </c>
      <c r="F481" s="181" t="s">
        <v>103</v>
      </c>
      <c r="G481" s="181" t="s">
        <v>56</v>
      </c>
      <c r="H481" s="181" t="s">
        <v>157</v>
      </c>
      <c r="I481" s="181"/>
      <c r="J481" s="178">
        <v>250</v>
      </c>
      <c r="K481" s="182"/>
      <c r="L481" s="182" t="s">
        <v>58</v>
      </c>
      <c r="M481" s="178" t="s">
        <v>59</v>
      </c>
      <c r="N481" s="178">
        <v>0</v>
      </c>
      <c r="O481" s="178" t="s">
        <v>60</v>
      </c>
      <c r="P481" s="178" t="s">
        <v>79</v>
      </c>
      <c r="Q481" s="179"/>
      <c r="R481" s="179" t="s">
        <v>150</v>
      </c>
      <c r="S481" s="180"/>
      <c r="T481" s="179"/>
      <c r="U481" s="179"/>
      <c r="V481" s="167" t="s">
        <v>62</v>
      </c>
      <c r="W481" s="168"/>
      <c r="X481" s="106"/>
      <c r="Y481" s="167"/>
      <c r="Z481" s="169" t="s">
        <v>63</v>
      </c>
      <c r="AA481" s="166">
        <v>12</v>
      </c>
      <c r="AB481" s="166">
        <v>0</v>
      </c>
      <c r="AC481" s="165"/>
      <c r="AD481" s="165"/>
      <c r="AE481" s="165"/>
      <c r="AF481" s="165"/>
      <c r="AG481" s="165"/>
      <c r="AH481" s="165"/>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c r="BJ481" s="165"/>
      <c r="BK481" s="165"/>
      <c r="BL481" s="165"/>
      <c r="BM481" s="165"/>
      <c r="BN481" s="165"/>
      <c r="BO481" s="165"/>
      <c r="BP481" s="165"/>
      <c r="BQ481" s="166"/>
      <c r="BR481" s="165"/>
    </row>
    <row r="482" spans="1:71" s="124" customFormat="1" ht="12.75" hidden="1" customHeight="1" x14ac:dyDescent="0.2">
      <c r="A482" s="205">
        <v>549</v>
      </c>
      <c r="B482" s="231" t="s">
        <v>631</v>
      </c>
      <c r="C482" s="264" t="s">
        <v>632</v>
      </c>
      <c r="D482" s="231" t="s">
        <v>1342</v>
      </c>
      <c r="E482" s="125" t="s">
        <v>54</v>
      </c>
      <c r="F482" s="181" t="s">
        <v>103</v>
      </c>
      <c r="G482" s="181" t="s">
        <v>56</v>
      </c>
      <c r="H482" s="181" t="s">
        <v>633</v>
      </c>
      <c r="I482" s="181"/>
      <c r="J482" s="178">
        <v>600</v>
      </c>
      <c r="K482" s="182"/>
      <c r="L482" s="182" t="s">
        <v>58</v>
      </c>
      <c r="M482" s="178" t="s">
        <v>59</v>
      </c>
      <c r="N482" s="178" t="s">
        <v>1149</v>
      </c>
      <c r="O482" s="178" t="s">
        <v>60</v>
      </c>
      <c r="P482" s="178" t="s">
        <v>92</v>
      </c>
      <c r="Q482" s="179"/>
      <c r="R482" s="179"/>
      <c r="S482" s="180"/>
      <c r="T482" s="179"/>
      <c r="U482" s="179"/>
      <c r="V482" s="167"/>
      <c r="W482" s="168"/>
      <c r="X482" s="106"/>
      <c r="Y482" s="167"/>
      <c r="Z482" s="169" t="s">
        <v>63</v>
      </c>
      <c r="AA482" s="166">
        <v>12</v>
      </c>
      <c r="AB482" s="166">
        <v>0</v>
      </c>
      <c r="AC482" s="165"/>
      <c r="AD482" s="165"/>
      <c r="AE482" s="165"/>
      <c r="AF482" s="165"/>
      <c r="AG482" s="165"/>
      <c r="AH482" s="165"/>
      <c r="AI482" s="165"/>
      <c r="AJ482" s="165"/>
      <c r="AK482" s="166"/>
      <c r="AL482" s="166"/>
      <c r="AM482" s="166"/>
      <c r="AN482" s="166"/>
      <c r="AO482" s="166"/>
      <c r="AP482" s="166"/>
      <c r="AQ482" s="166"/>
      <c r="AR482" s="166"/>
      <c r="AS482" s="165"/>
      <c r="AT482" s="165"/>
      <c r="AU482" s="165"/>
      <c r="AV482" s="165"/>
      <c r="AW482" s="165"/>
      <c r="AX482" s="165"/>
      <c r="AY482" s="165"/>
      <c r="AZ482" s="165"/>
      <c r="BA482" s="166"/>
      <c r="BB482" s="166"/>
      <c r="BC482" s="166"/>
      <c r="BD482" s="166"/>
      <c r="BE482" s="166"/>
      <c r="BF482" s="166"/>
      <c r="BG482" s="166"/>
      <c r="BH482" s="166"/>
      <c r="BI482" s="165"/>
      <c r="BJ482" s="165"/>
      <c r="BK482" s="165"/>
      <c r="BL482" s="165"/>
      <c r="BM482" s="165"/>
      <c r="BN482" s="165"/>
      <c r="BO482" s="165"/>
      <c r="BP482" s="165"/>
      <c r="BQ482" s="166"/>
      <c r="BR482" s="165" t="s">
        <v>1346</v>
      </c>
      <c r="BS482" s="124">
        <v>549</v>
      </c>
    </row>
    <row r="483" spans="1:71" s="124" customFormat="1" ht="12.75" hidden="1" customHeight="1" x14ac:dyDescent="0.2">
      <c r="A483" s="91">
        <v>550</v>
      </c>
      <c r="B483" s="231" t="s">
        <v>1416</v>
      </c>
      <c r="C483" s="265" t="s">
        <v>1417</v>
      </c>
      <c r="D483" s="231" t="s">
        <v>1418</v>
      </c>
      <c r="E483" s="125" t="s">
        <v>1419</v>
      </c>
      <c r="F483" s="181" t="s">
        <v>103</v>
      </c>
      <c r="G483" s="181" t="s">
        <v>56</v>
      </c>
      <c r="H483" s="181" t="s">
        <v>1420</v>
      </c>
      <c r="I483" s="181"/>
      <c r="J483" s="178">
        <v>400</v>
      </c>
      <c r="K483" s="182"/>
      <c r="L483" s="182" t="s">
        <v>58</v>
      </c>
      <c r="M483" s="178" t="s">
        <v>59</v>
      </c>
      <c r="N483" s="178" t="s">
        <v>1140</v>
      </c>
      <c r="O483" s="178" t="s">
        <v>60</v>
      </c>
      <c r="P483" s="178" t="s">
        <v>92</v>
      </c>
      <c r="Q483" s="179"/>
      <c r="R483" s="179" t="s">
        <v>150</v>
      </c>
      <c r="S483" s="180"/>
      <c r="T483" s="179"/>
      <c r="U483" s="179"/>
      <c r="V483" s="167" t="s">
        <v>436</v>
      </c>
      <c r="W483" s="168"/>
      <c r="X483" s="106"/>
      <c r="Y483" s="167" t="s">
        <v>517</v>
      </c>
      <c r="Z483" s="169" t="s">
        <v>63</v>
      </c>
      <c r="AA483" s="166">
        <v>65</v>
      </c>
      <c r="AB483" s="166"/>
      <c r="AC483" s="165"/>
      <c r="AD483" s="165"/>
      <c r="AE483" s="165"/>
      <c r="AF483" s="165"/>
      <c r="AG483" s="165"/>
      <c r="AH483" s="165"/>
      <c r="AI483" s="165"/>
      <c r="AJ483" s="165"/>
      <c r="AK483" s="166"/>
      <c r="AL483" s="166"/>
      <c r="AM483" s="166"/>
      <c r="AN483" s="166"/>
      <c r="AO483" s="166"/>
      <c r="AP483" s="166"/>
      <c r="AQ483" s="166"/>
      <c r="AR483" s="166"/>
      <c r="AS483" s="165"/>
      <c r="AT483" s="165"/>
      <c r="AU483" s="165"/>
      <c r="AV483" s="165"/>
      <c r="AW483" s="165"/>
      <c r="AX483" s="165"/>
      <c r="AY483" s="165"/>
      <c r="AZ483" s="165"/>
      <c r="BA483" s="166"/>
      <c r="BB483" s="166"/>
      <c r="BC483" s="166"/>
      <c r="BD483" s="166"/>
      <c r="BE483" s="166"/>
      <c r="BF483" s="166"/>
      <c r="BG483" s="166"/>
      <c r="BH483" s="166"/>
      <c r="BI483" s="165"/>
      <c r="BJ483" s="165"/>
      <c r="BK483" s="165"/>
      <c r="BL483" s="165"/>
      <c r="BM483" s="165"/>
      <c r="BN483" s="165"/>
      <c r="BO483" s="165"/>
      <c r="BP483" s="165"/>
      <c r="BQ483" s="166" t="s">
        <v>214</v>
      </c>
      <c r="BR483" s="165" t="s">
        <v>1421</v>
      </c>
    </row>
    <row r="484" spans="1:71" s="124" customFormat="1" ht="12.75" hidden="1" customHeight="1" x14ac:dyDescent="0.2">
      <c r="A484" s="91">
        <v>551</v>
      </c>
      <c r="B484" s="231" t="s">
        <v>1422</v>
      </c>
      <c r="C484" s="265" t="s">
        <v>1423</v>
      </c>
      <c r="D484" s="231" t="s">
        <v>1424</v>
      </c>
      <c r="E484" s="125" t="s">
        <v>1419</v>
      </c>
      <c r="F484" s="181" t="s">
        <v>103</v>
      </c>
      <c r="G484" s="181" t="s">
        <v>56</v>
      </c>
      <c r="H484" s="181" t="s">
        <v>66</v>
      </c>
      <c r="I484" s="181"/>
      <c r="J484" s="178">
        <v>400</v>
      </c>
      <c r="K484" s="182"/>
      <c r="L484" s="182" t="s">
        <v>58</v>
      </c>
      <c r="M484" s="178" t="s">
        <v>59</v>
      </c>
      <c r="N484" s="178" t="s">
        <v>1140</v>
      </c>
      <c r="O484" s="178" t="s">
        <v>60</v>
      </c>
      <c r="P484" s="178" t="s">
        <v>92</v>
      </c>
      <c r="Q484" s="179"/>
      <c r="R484" s="179"/>
      <c r="S484" s="180"/>
      <c r="T484" s="179"/>
      <c r="U484" s="179"/>
      <c r="V484" s="167" t="s">
        <v>436</v>
      </c>
      <c r="W484" s="168"/>
      <c r="X484" s="106"/>
      <c r="Y484" s="167" t="s">
        <v>517</v>
      </c>
      <c r="Z484" s="169" t="s">
        <v>63</v>
      </c>
      <c r="AA484" s="166">
        <v>15</v>
      </c>
      <c r="AB484" s="166"/>
      <c r="AC484" s="165">
        <v>26</v>
      </c>
      <c r="AD484" s="165" t="s">
        <v>80</v>
      </c>
      <c r="AE484" s="165"/>
      <c r="AF484" s="165"/>
      <c r="AG484" s="165"/>
      <c r="AH484" s="165"/>
      <c r="AI484" s="165">
        <v>19</v>
      </c>
      <c r="AJ484" s="165">
        <v>50</v>
      </c>
      <c r="AK484" s="166"/>
      <c r="AL484" s="166"/>
      <c r="AM484" s="166"/>
      <c r="AN484" s="166"/>
      <c r="AO484" s="166"/>
      <c r="AP484" s="166"/>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214</v>
      </c>
      <c r="BR484" s="165" t="s">
        <v>1425</v>
      </c>
    </row>
    <row r="485" spans="1:71" s="124" customFormat="1" ht="12.75" hidden="1" customHeight="1" x14ac:dyDescent="0.2">
      <c r="A485" s="91">
        <v>552</v>
      </c>
      <c r="B485" s="231" t="s">
        <v>1426</v>
      </c>
      <c r="C485" s="265" t="s">
        <v>1427</v>
      </c>
      <c r="D485" s="231" t="s">
        <v>1428</v>
      </c>
      <c r="E485" s="125" t="s">
        <v>1419</v>
      </c>
      <c r="F485" s="181" t="s">
        <v>103</v>
      </c>
      <c r="G485" s="181" t="s">
        <v>56</v>
      </c>
      <c r="H485" s="181" t="s">
        <v>66</v>
      </c>
      <c r="I485" s="181"/>
      <c r="J485" s="178">
        <v>400</v>
      </c>
      <c r="K485" s="182"/>
      <c r="L485" s="182" t="s">
        <v>58</v>
      </c>
      <c r="M485" s="178" t="s">
        <v>59</v>
      </c>
      <c r="N485" s="178" t="s">
        <v>1140</v>
      </c>
      <c r="O485" s="178" t="s">
        <v>60</v>
      </c>
      <c r="P485" s="178" t="s">
        <v>92</v>
      </c>
      <c r="Q485" s="179"/>
      <c r="R485" s="179"/>
      <c r="S485" s="180"/>
      <c r="T485" s="179"/>
      <c r="U485" s="179"/>
      <c r="V485" s="167" t="s">
        <v>436</v>
      </c>
      <c r="W485" s="168"/>
      <c r="X485" s="106"/>
      <c r="Y485" s="167" t="s">
        <v>517</v>
      </c>
      <c r="Z485" s="169" t="s">
        <v>63</v>
      </c>
      <c r="AA485" s="166">
        <v>16</v>
      </c>
      <c r="AB485" s="166">
        <v>2</v>
      </c>
      <c r="AC485" s="165">
        <v>35</v>
      </c>
      <c r="AD485" s="165" t="s">
        <v>80</v>
      </c>
      <c r="AE485" s="165" t="s">
        <v>116</v>
      </c>
      <c r="AF485" s="165">
        <v>11</v>
      </c>
      <c r="AG485" s="165" t="s">
        <v>80</v>
      </c>
      <c r="AH485" s="165" t="s">
        <v>117</v>
      </c>
      <c r="AI485" s="165">
        <v>19</v>
      </c>
      <c r="AJ485" s="165">
        <v>49</v>
      </c>
      <c r="AK485" s="166"/>
      <c r="AL485" s="166"/>
      <c r="AM485" s="166"/>
      <c r="AN485" s="166"/>
      <c r="AO485" s="166"/>
      <c r="AP485" s="166"/>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214</v>
      </c>
      <c r="BR485" s="165" t="s">
        <v>1429</v>
      </c>
    </row>
    <row r="486" spans="1:71" ht="14.25" hidden="1" customHeight="1" x14ac:dyDescent="0.2">
      <c r="A486" s="91">
        <v>553</v>
      </c>
      <c r="B486" s="231" t="s">
        <v>1430</v>
      </c>
      <c r="C486" s="265" t="s">
        <v>1431</v>
      </c>
      <c r="D486" s="231" t="s">
        <v>1432</v>
      </c>
      <c r="E486" s="3" t="s">
        <v>1419</v>
      </c>
      <c r="F486" s="26" t="s">
        <v>103</v>
      </c>
      <c r="G486" s="26" t="s">
        <v>56</v>
      </c>
      <c r="H486" s="26" t="s">
        <v>157</v>
      </c>
      <c r="J486" s="22">
        <v>400</v>
      </c>
      <c r="L486" s="28" t="s">
        <v>58</v>
      </c>
      <c r="M486" s="22" t="s">
        <v>59</v>
      </c>
      <c r="N486" s="22" t="s">
        <v>1149</v>
      </c>
      <c r="O486" s="22" t="s">
        <v>60</v>
      </c>
      <c r="P486" s="22" t="s">
        <v>92</v>
      </c>
      <c r="R486" s="23" t="s">
        <v>1433</v>
      </c>
      <c r="T486" s="23">
        <v>240</v>
      </c>
      <c r="V486" s="25" t="s">
        <v>436</v>
      </c>
      <c r="Y486" s="25" t="s">
        <v>1434</v>
      </c>
      <c r="Z486" s="83" t="s">
        <v>63</v>
      </c>
      <c r="AA486" s="6">
        <v>24</v>
      </c>
      <c r="AB486" s="6">
        <v>12</v>
      </c>
      <c r="AC486" s="5">
        <v>32.9</v>
      </c>
      <c r="AD486" s="5" t="s">
        <v>80</v>
      </c>
      <c r="AE486" s="5" t="s">
        <v>116</v>
      </c>
      <c r="AF486" s="5">
        <v>11.7</v>
      </c>
      <c r="AG486" s="5" t="s">
        <v>80</v>
      </c>
      <c r="AH486" s="5" t="s">
        <v>117</v>
      </c>
      <c r="AK486" s="6">
        <v>87.6</v>
      </c>
      <c r="AL486" s="6" t="s">
        <v>81</v>
      </c>
      <c r="AM486" s="6" t="s">
        <v>118</v>
      </c>
      <c r="AN486" s="6">
        <v>15.2</v>
      </c>
      <c r="AO486" s="6" t="s">
        <v>81</v>
      </c>
      <c r="AP486" s="6" t="s">
        <v>117</v>
      </c>
      <c r="AS486" s="5">
        <v>172.8</v>
      </c>
      <c r="AT486" s="5" t="s">
        <v>119</v>
      </c>
      <c r="AU486" s="5" t="s">
        <v>118</v>
      </c>
      <c r="AV486" s="5">
        <v>9.5</v>
      </c>
      <c r="AW486" s="5" t="s">
        <v>119</v>
      </c>
      <c r="AX486" s="5" t="s">
        <v>117</v>
      </c>
      <c r="BA486" s="6">
        <v>29.3</v>
      </c>
      <c r="BB486" s="6" t="s">
        <v>450</v>
      </c>
      <c r="BC486" s="6" t="s">
        <v>118</v>
      </c>
      <c r="BD486" s="6">
        <v>4.5999999999999996</v>
      </c>
      <c r="BE486" s="6" t="s">
        <v>450</v>
      </c>
      <c r="BF486" s="6" t="s">
        <v>451</v>
      </c>
      <c r="BQ486" s="6" t="s">
        <v>214</v>
      </c>
      <c r="BR486" s="5" t="s">
        <v>1421</v>
      </c>
    </row>
    <row r="487" spans="1:71" ht="14.25" hidden="1" customHeight="1" x14ac:dyDescent="0.2">
      <c r="A487" s="91">
        <v>554</v>
      </c>
      <c r="B487" s="231" t="s">
        <v>1435</v>
      </c>
      <c r="C487" s="265" t="s">
        <v>1436</v>
      </c>
      <c r="D487" s="231" t="s">
        <v>1437</v>
      </c>
      <c r="E487" s="3" t="s">
        <v>1419</v>
      </c>
      <c r="F487" s="26" t="s">
        <v>103</v>
      </c>
      <c r="G487" s="26" t="s">
        <v>56</v>
      </c>
      <c r="H487" s="26" t="s">
        <v>535</v>
      </c>
      <c r="J487" s="22">
        <v>400</v>
      </c>
      <c r="L487" s="28" t="s">
        <v>58</v>
      </c>
      <c r="M487" s="22" t="s">
        <v>59</v>
      </c>
      <c r="N487" s="22" t="s">
        <v>1140</v>
      </c>
      <c r="O487" s="22" t="s">
        <v>60</v>
      </c>
      <c r="P487" s="22" t="s">
        <v>92</v>
      </c>
      <c r="V487" s="25" t="s">
        <v>436</v>
      </c>
      <c r="Y487" s="25" t="s">
        <v>1438</v>
      </c>
      <c r="Z487" s="83" t="s">
        <v>63</v>
      </c>
      <c r="AA487" s="6">
        <v>28</v>
      </c>
      <c r="BQ487" s="6" t="s">
        <v>214</v>
      </c>
      <c r="BR487" s="5" t="s">
        <v>1421</v>
      </c>
    </row>
    <row r="488" spans="1:71" ht="14.25" hidden="1" customHeight="1" x14ac:dyDescent="0.2">
      <c r="A488" s="91">
        <v>555</v>
      </c>
      <c r="B488" s="231" t="s">
        <v>1435</v>
      </c>
      <c r="C488" s="265" t="s">
        <v>1436</v>
      </c>
      <c r="D488" s="231" t="s">
        <v>1439</v>
      </c>
      <c r="E488" s="3" t="s">
        <v>1419</v>
      </c>
      <c r="F488" s="26" t="s">
        <v>103</v>
      </c>
      <c r="G488" s="26" t="s">
        <v>56</v>
      </c>
      <c r="H488" s="26" t="s">
        <v>540</v>
      </c>
      <c r="J488" s="22">
        <v>400</v>
      </c>
      <c r="L488" s="28" t="s">
        <v>58</v>
      </c>
      <c r="M488" s="22" t="s">
        <v>59</v>
      </c>
      <c r="N488" s="22" t="s">
        <v>1140</v>
      </c>
      <c r="O488" s="22" t="s">
        <v>60</v>
      </c>
      <c r="P488" s="22" t="s">
        <v>92</v>
      </c>
      <c r="V488" s="25" t="s">
        <v>436</v>
      </c>
      <c r="Y488" s="25" t="s">
        <v>1438</v>
      </c>
      <c r="Z488" s="83" t="s">
        <v>63</v>
      </c>
      <c r="AA488" s="6">
        <v>28</v>
      </c>
      <c r="BQ488" s="6" t="s">
        <v>214</v>
      </c>
      <c r="BR488" s="5" t="s">
        <v>1421</v>
      </c>
    </row>
    <row r="489" spans="1:71" ht="14.25" hidden="1" x14ac:dyDescent="0.2">
      <c r="A489" s="91">
        <v>556</v>
      </c>
      <c r="B489" s="231" t="s">
        <v>1521</v>
      </c>
      <c r="C489" s="265" t="s">
        <v>1440</v>
      </c>
      <c r="D489" s="231" t="s">
        <v>675</v>
      </c>
      <c r="E489" s="3" t="s">
        <v>1419</v>
      </c>
      <c r="F489" s="26" t="s">
        <v>103</v>
      </c>
      <c r="G489" s="26" t="s">
        <v>56</v>
      </c>
      <c r="H489" s="26" t="s">
        <v>1441</v>
      </c>
      <c r="J489" s="22">
        <v>100</v>
      </c>
      <c r="K489" s="28">
        <v>87.894559999999998</v>
      </c>
      <c r="L489" s="28" t="s">
        <v>58</v>
      </c>
      <c r="M489" s="22" t="s">
        <v>59</v>
      </c>
      <c r="N489" s="22">
        <v>0</v>
      </c>
      <c r="O489" s="22" t="s">
        <v>60</v>
      </c>
      <c r="P489" s="22" t="s">
        <v>79</v>
      </c>
      <c r="R489" s="23" t="s">
        <v>1442</v>
      </c>
      <c r="V489" s="25" t="s">
        <v>62</v>
      </c>
      <c r="Z489" s="83" t="s">
        <v>63</v>
      </c>
      <c r="AA489" s="6">
        <v>6</v>
      </c>
      <c r="AB489" s="6">
        <v>0</v>
      </c>
      <c r="AG489" s="5" t="s">
        <v>80</v>
      </c>
      <c r="AI489" s="5">
        <v>18</v>
      </c>
      <c r="AJ489" s="5">
        <v>45</v>
      </c>
      <c r="BQ489" s="6" t="s">
        <v>214</v>
      </c>
      <c r="BR489" s="5" t="s">
        <v>1443</v>
      </c>
    </row>
    <row r="490" spans="1:71" ht="14.25" hidden="1" customHeight="1" x14ac:dyDescent="0.2">
      <c r="A490" s="91">
        <v>557</v>
      </c>
      <c r="B490" s="231" t="s">
        <v>1521</v>
      </c>
      <c r="C490" s="265" t="s">
        <v>1440</v>
      </c>
      <c r="D490" s="231" t="s">
        <v>398</v>
      </c>
      <c r="E490" s="3" t="s">
        <v>1419</v>
      </c>
      <c r="F490" s="26" t="s">
        <v>103</v>
      </c>
      <c r="G490" s="26" t="s">
        <v>56</v>
      </c>
      <c r="H490" s="26" t="s">
        <v>1441</v>
      </c>
      <c r="J490" s="22">
        <v>300</v>
      </c>
      <c r="K490" s="28">
        <v>263.68367999999998</v>
      </c>
      <c r="L490" s="28" t="s">
        <v>58</v>
      </c>
      <c r="M490" s="22" t="s">
        <v>59</v>
      </c>
      <c r="N490" s="22">
        <v>0</v>
      </c>
      <c r="O490" s="22" t="s">
        <v>60</v>
      </c>
      <c r="P490" s="22" t="s">
        <v>79</v>
      </c>
      <c r="R490" s="23" t="s">
        <v>1442</v>
      </c>
      <c r="V490" s="25" t="s">
        <v>62</v>
      </c>
      <c r="Z490" s="83" t="s">
        <v>63</v>
      </c>
      <c r="AA490" s="6">
        <v>5</v>
      </c>
      <c r="AB490" s="6">
        <v>0</v>
      </c>
      <c r="AG490" s="5" t="s">
        <v>80</v>
      </c>
      <c r="AI490" s="5">
        <v>18</v>
      </c>
      <c r="AJ490" s="5">
        <v>45</v>
      </c>
      <c r="BQ490" s="6" t="s">
        <v>214</v>
      </c>
      <c r="BR490" s="5" t="s">
        <v>1443</v>
      </c>
    </row>
    <row r="491" spans="1:71" ht="14.25" hidden="1" customHeight="1" x14ac:dyDescent="0.2">
      <c r="A491" s="91">
        <v>558</v>
      </c>
      <c r="B491" s="231" t="s">
        <v>1521</v>
      </c>
      <c r="C491" s="265" t="s">
        <v>1440</v>
      </c>
      <c r="D491" s="231" t="s">
        <v>402</v>
      </c>
      <c r="E491" s="3" t="s">
        <v>1419</v>
      </c>
      <c r="F491" s="26" t="s">
        <v>103</v>
      </c>
      <c r="G491" s="26" t="s">
        <v>56</v>
      </c>
      <c r="H491" s="26" t="s">
        <v>1441</v>
      </c>
      <c r="J491" s="22">
        <v>600</v>
      </c>
      <c r="K491" s="28">
        <v>527.36735999999996</v>
      </c>
      <c r="L491" s="28" t="s">
        <v>58</v>
      </c>
      <c r="M491" s="22" t="s">
        <v>59</v>
      </c>
      <c r="N491" s="22">
        <v>0</v>
      </c>
      <c r="O491" s="22" t="s">
        <v>60</v>
      </c>
      <c r="P491" s="22" t="s">
        <v>79</v>
      </c>
      <c r="R491" s="23" t="s">
        <v>1442</v>
      </c>
      <c r="V491" s="25" t="s">
        <v>62</v>
      </c>
      <c r="Z491" s="83" t="s">
        <v>63</v>
      </c>
      <c r="AA491" s="6">
        <v>6</v>
      </c>
      <c r="AB491" s="6">
        <v>0</v>
      </c>
      <c r="AG491" s="5" t="s">
        <v>80</v>
      </c>
      <c r="AI491" s="5">
        <v>18</v>
      </c>
      <c r="AJ491" s="5">
        <v>45</v>
      </c>
      <c r="BQ491" s="6" t="s">
        <v>214</v>
      </c>
      <c r="BR491" s="5" t="s">
        <v>1443</v>
      </c>
    </row>
    <row r="492" spans="1:71" ht="14.25" hidden="1" customHeight="1" x14ac:dyDescent="0.2">
      <c r="A492" s="91">
        <v>559</v>
      </c>
      <c r="B492" s="231" t="s">
        <v>1521</v>
      </c>
      <c r="C492" s="265" t="s">
        <v>1440</v>
      </c>
      <c r="D492" s="231" t="s">
        <v>680</v>
      </c>
      <c r="E492" s="3" t="s">
        <v>1419</v>
      </c>
      <c r="F492" s="26" t="s">
        <v>103</v>
      </c>
      <c r="G492" s="26" t="s">
        <v>56</v>
      </c>
      <c r="H492" s="26" t="s">
        <v>1441</v>
      </c>
      <c r="J492" s="22">
        <v>900</v>
      </c>
      <c r="K492" s="28">
        <v>791.05103999999994</v>
      </c>
      <c r="L492" s="28" t="s">
        <v>58</v>
      </c>
      <c r="M492" s="22" t="s">
        <v>59</v>
      </c>
      <c r="N492" s="22">
        <v>0</v>
      </c>
      <c r="O492" s="22" t="s">
        <v>60</v>
      </c>
      <c r="P492" s="22" t="s">
        <v>79</v>
      </c>
      <c r="R492" s="23" t="s">
        <v>1442</v>
      </c>
      <c r="V492" s="25" t="s">
        <v>62</v>
      </c>
      <c r="Z492" s="83" t="s">
        <v>63</v>
      </c>
      <c r="AA492" s="6">
        <v>6</v>
      </c>
      <c r="AB492" s="6">
        <v>0</v>
      </c>
      <c r="AG492" s="5" t="s">
        <v>80</v>
      </c>
      <c r="AI492" s="5">
        <v>18</v>
      </c>
      <c r="AJ492" s="5">
        <v>45</v>
      </c>
      <c r="BQ492" s="6" t="s">
        <v>214</v>
      </c>
      <c r="BR492" s="5" t="s">
        <v>1443</v>
      </c>
    </row>
    <row r="493" spans="1:71" ht="14.25" hidden="1" customHeight="1" x14ac:dyDescent="0.2">
      <c r="A493" s="91">
        <v>560</v>
      </c>
      <c r="B493" s="231" t="s">
        <v>1521</v>
      </c>
      <c r="C493" s="265" t="s">
        <v>1440</v>
      </c>
      <c r="D493" s="231" t="s">
        <v>1522</v>
      </c>
      <c r="E493" s="3" t="s">
        <v>1419</v>
      </c>
      <c r="F493" s="26" t="s">
        <v>103</v>
      </c>
      <c r="G493" s="26" t="s">
        <v>56</v>
      </c>
      <c r="H493" s="26" t="s">
        <v>1441</v>
      </c>
      <c r="J493" s="22">
        <v>1200</v>
      </c>
      <c r="K493" s="28">
        <v>1054.7347199999999</v>
      </c>
      <c r="L493" s="28" t="s">
        <v>58</v>
      </c>
      <c r="M493" s="22" t="s">
        <v>59</v>
      </c>
      <c r="N493" s="22">
        <v>0</v>
      </c>
      <c r="O493" s="22" t="s">
        <v>60</v>
      </c>
      <c r="P493" s="22" t="s">
        <v>79</v>
      </c>
      <c r="R493" s="23" t="s">
        <v>1442</v>
      </c>
      <c r="V493" s="25" t="s">
        <v>62</v>
      </c>
      <c r="Z493" s="83" t="s">
        <v>63</v>
      </c>
      <c r="AA493" s="6">
        <v>6</v>
      </c>
      <c r="AB493" s="6">
        <v>0</v>
      </c>
      <c r="AG493" s="5" t="s">
        <v>80</v>
      </c>
      <c r="AI493" s="5">
        <v>18</v>
      </c>
      <c r="AJ493" s="5">
        <v>45</v>
      </c>
      <c r="BQ493" s="6" t="s">
        <v>214</v>
      </c>
      <c r="BR493" s="5" t="s">
        <v>1443</v>
      </c>
    </row>
    <row r="494" spans="1:71" ht="14.25" hidden="1" customHeight="1" x14ac:dyDescent="0.2">
      <c r="A494" s="91">
        <v>561</v>
      </c>
      <c r="B494" s="231" t="s">
        <v>1523</v>
      </c>
      <c r="C494" s="265" t="s">
        <v>1444</v>
      </c>
      <c r="D494" s="231" t="s">
        <v>1522</v>
      </c>
      <c r="E494" s="3" t="s">
        <v>1419</v>
      </c>
      <c r="F494" s="26" t="s">
        <v>103</v>
      </c>
      <c r="G494" s="26" t="s">
        <v>56</v>
      </c>
      <c r="H494" s="26" t="s">
        <v>1445</v>
      </c>
      <c r="J494" s="22">
        <v>200</v>
      </c>
      <c r="L494" s="28" t="s">
        <v>58</v>
      </c>
      <c r="M494" s="22" t="s">
        <v>59</v>
      </c>
      <c r="N494" s="22" t="s">
        <v>183</v>
      </c>
      <c r="O494" s="22" t="s">
        <v>60</v>
      </c>
      <c r="P494" s="22" t="s">
        <v>92</v>
      </c>
      <c r="R494" s="23" t="s">
        <v>1442</v>
      </c>
      <c r="V494" s="25" t="s">
        <v>436</v>
      </c>
      <c r="Y494" s="25" t="s">
        <v>1446</v>
      </c>
      <c r="Z494" s="83" t="s">
        <v>63</v>
      </c>
      <c r="AA494" s="6">
        <v>20</v>
      </c>
      <c r="AG494" s="5" t="s">
        <v>80</v>
      </c>
      <c r="AI494" s="5">
        <v>18</v>
      </c>
      <c r="AJ494" s="5">
        <v>50</v>
      </c>
      <c r="BQ494" s="6" t="s">
        <v>214</v>
      </c>
      <c r="BR494" s="5" t="s">
        <v>1421</v>
      </c>
    </row>
    <row r="495" spans="1:71" ht="14.25" hidden="1" customHeight="1" x14ac:dyDescent="0.2">
      <c r="A495" s="91">
        <v>562</v>
      </c>
      <c r="B495" s="231" t="s">
        <v>1523</v>
      </c>
      <c r="C495" s="265" t="s">
        <v>1444</v>
      </c>
      <c r="D495" s="231" t="s">
        <v>1524</v>
      </c>
      <c r="E495" s="3" t="s">
        <v>1419</v>
      </c>
      <c r="F495" s="26" t="s">
        <v>103</v>
      </c>
      <c r="G495" s="26" t="s">
        <v>56</v>
      </c>
      <c r="H495" s="26" t="s">
        <v>1445</v>
      </c>
      <c r="J495" s="22">
        <v>400</v>
      </c>
      <c r="L495" s="28" t="s">
        <v>58</v>
      </c>
      <c r="M495" s="22" t="s">
        <v>59</v>
      </c>
      <c r="N495" s="22" t="s">
        <v>183</v>
      </c>
      <c r="O495" s="22" t="s">
        <v>60</v>
      </c>
      <c r="P495" s="22" t="s">
        <v>92</v>
      </c>
      <c r="R495" s="23" t="s">
        <v>1442</v>
      </c>
      <c r="V495" s="25" t="s">
        <v>436</v>
      </c>
      <c r="Y495" s="25" t="s">
        <v>1446</v>
      </c>
      <c r="Z495" s="83" t="s">
        <v>63</v>
      </c>
      <c r="AA495" s="6">
        <v>20</v>
      </c>
      <c r="AG495" s="5" t="s">
        <v>80</v>
      </c>
      <c r="AI495" s="5">
        <v>18</v>
      </c>
      <c r="AJ495" s="5">
        <v>50</v>
      </c>
      <c r="BQ495" s="6" t="s">
        <v>214</v>
      </c>
      <c r="BR495" s="5" t="s">
        <v>1421</v>
      </c>
    </row>
    <row r="496" spans="1:71" ht="14.25" hidden="1" customHeight="1" x14ac:dyDescent="0.2">
      <c r="A496" s="91">
        <v>563</v>
      </c>
      <c r="B496" s="231" t="s">
        <v>1523</v>
      </c>
      <c r="C496" s="265" t="s">
        <v>1444</v>
      </c>
      <c r="D496" s="231" t="s">
        <v>1525</v>
      </c>
      <c r="E496" s="3" t="s">
        <v>1419</v>
      </c>
      <c r="F496" s="26" t="s">
        <v>103</v>
      </c>
      <c r="G496" s="26" t="s">
        <v>56</v>
      </c>
      <c r="H496" s="26" t="s">
        <v>1445</v>
      </c>
      <c r="J496" s="22">
        <v>800</v>
      </c>
      <c r="L496" s="28" t="s">
        <v>58</v>
      </c>
      <c r="M496" s="22" t="s">
        <v>59</v>
      </c>
      <c r="N496" s="22" t="s">
        <v>183</v>
      </c>
      <c r="O496" s="22" t="s">
        <v>60</v>
      </c>
      <c r="P496" s="22" t="s">
        <v>92</v>
      </c>
      <c r="R496" s="23" t="s">
        <v>1442</v>
      </c>
      <c r="V496" s="25" t="s">
        <v>436</v>
      </c>
      <c r="Y496" s="25" t="s">
        <v>1446</v>
      </c>
      <c r="Z496" s="83" t="s">
        <v>63</v>
      </c>
      <c r="AA496" s="6">
        <v>20</v>
      </c>
      <c r="AG496" s="5" t="s">
        <v>80</v>
      </c>
      <c r="AI496" s="5">
        <v>18</v>
      </c>
      <c r="AJ496" s="5">
        <v>50</v>
      </c>
      <c r="BQ496" s="6" t="s">
        <v>214</v>
      </c>
      <c r="BR496" s="5" t="s">
        <v>1421</v>
      </c>
    </row>
    <row r="497" spans="1:70" ht="14.25" hidden="1" customHeight="1" x14ac:dyDescent="0.2">
      <c r="A497" s="91">
        <v>564</v>
      </c>
      <c r="B497" s="231" t="s">
        <v>1526</v>
      </c>
      <c r="C497" s="265" t="s">
        <v>1440</v>
      </c>
      <c r="D497" s="231" t="s">
        <v>675</v>
      </c>
      <c r="E497" s="3" t="s">
        <v>1419</v>
      </c>
      <c r="F497" s="26" t="s">
        <v>103</v>
      </c>
      <c r="G497" s="26" t="s">
        <v>56</v>
      </c>
      <c r="H497" s="26" t="s">
        <v>1447</v>
      </c>
      <c r="J497" s="22">
        <v>100</v>
      </c>
      <c r="L497" s="28" t="s">
        <v>58</v>
      </c>
      <c r="M497" s="22" t="s">
        <v>59</v>
      </c>
      <c r="N497" s="22" t="s">
        <v>1448</v>
      </c>
      <c r="O497" s="22" t="s">
        <v>60</v>
      </c>
      <c r="P497" s="22" t="s">
        <v>92</v>
      </c>
      <c r="R497" s="23" t="s">
        <v>1442</v>
      </c>
      <c r="V497" s="25" t="s">
        <v>62</v>
      </c>
      <c r="Z497" s="83" t="s">
        <v>63</v>
      </c>
      <c r="AA497" s="6">
        <v>6</v>
      </c>
      <c r="AB497" s="6">
        <v>0</v>
      </c>
      <c r="BQ497" s="6" t="s">
        <v>214</v>
      </c>
      <c r="BR497" s="5" t="s">
        <v>1421</v>
      </c>
    </row>
    <row r="498" spans="1:70" ht="14.25" hidden="1" customHeight="1" x14ac:dyDescent="0.2">
      <c r="A498" s="91">
        <v>565</v>
      </c>
      <c r="B498" s="231" t="s">
        <v>1526</v>
      </c>
      <c r="C498" s="265" t="s">
        <v>1440</v>
      </c>
      <c r="D498" s="231" t="s">
        <v>1522</v>
      </c>
      <c r="E498" s="3" t="s">
        <v>1419</v>
      </c>
      <c r="F498" s="26" t="s">
        <v>103</v>
      </c>
      <c r="G498" s="26" t="s">
        <v>56</v>
      </c>
      <c r="H498" s="26" t="s">
        <v>1447</v>
      </c>
      <c r="J498" s="22">
        <v>200</v>
      </c>
      <c r="L498" s="28" t="s">
        <v>58</v>
      </c>
      <c r="M498" s="22" t="s">
        <v>59</v>
      </c>
      <c r="N498" s="22" t="s">
        <v>1448</v>
      </c>
      <c r="O498" s="22" t="s">
        <v>60</v>
      </c>
      <c r="P498" s="22" t="s">
        <v>92</v>
      </c>
      <c r="R498" s="23" t="s">
        <v>1442</v>
      </c>
      <c r="V498" s="25" t="s">
        <v>62</v>
      </c>
      <c r="Z498" s="83" t="s">
        <v>63</v>
      </c>
      <c r="AA498" s="6">
        <v>6</v>
      </c>
      <c r="AB498" s="6">
        <v>0</v>
      </c>
      <c r="BQ498" s="6" t="s">
        <v>214</v>
      </c>
      <c r="BR498" s="5" t="s">
        <v>1421</v>
      </c>
    </row>
    <row r="499" spans="1:70" ht="14.25" hidden="1" customHeight="1" x14ac:dyDescent="0.2">
      <c r="A499" s="91">
        <v>566</v>
      </c>
      <c r="B499" s="231" t="s">
        <v>1527</v>
      </c>
      <c r="C499" s="265" t="s">
        <v>1444</v>
      </c>
      <c r="D499" s="231" t="s">
        <v>1530</v>
      </c>
      <c r="E499" s="3" t="s">
        <v>1419</v>
      </c>
      <c r="F499" s="26" t="s">
        <v>103</v>
      </c>
      <c r="G499" s="26" t="s">
        <v>56</v>
      </c>
      <c r="H499" s="26" t="s">
        <v>1449</v>
      </c>
      <c r="J499" s="22">
        <v>400</v>
      </c>
      <c r="L499" s="28" t="s">
        <v>58</v>
      </c>
      <c r="M499" s="22" t="s">
        <v>59</v>
      </c>
      <c r="N499" s="22">
        <v>0</v>
      </c>
      <c r="O499" s="22" t="s">
        <v>60</v>
      </c>
      <c r="P499" s="22" t="s">
        <v>79</v>
      </c>
      <c r="R499" s="23" t="s">
        <v>1442</v>
      </c>
      <c r="V499" s="25" t="s">
        <v>436</v>
      </c>
      <c r="Y499" s="25" t="s">
        <v>1446</v>
      </c>
      <c r="Z499" s="83" t="s">
        <v>63</v>
      </c>
      <c r="AA499" s="6">
        <v>14</v>
      </c>
      <c r="AB499" s="6">
        <v>14</v>
      </c>
      <c r="BQ499" s="6" t="s">
        <v>214</v>
      </c>
      <c r="BR499" s="5" t="s">
        <v>1421</v>
      </c>
    </row>
    <row r="500" spans="1:70" ht="14.25" hidden="1" customHeight="1" x14ac:dyDescent="0.2">
      <c r="A500" s="91">
        <v>567</v>
      </c>
      <c r="B500" s="231" t="s">
        <v>1527</v>
      </c>
      <c r="C500" s="265" t="s">
        <v>1444</v>
      </c>
      <c r="D500" s="231" t="s">
        <v>1531</v>
      </c>
      <c r="E500" s="3" t="s">
        <v>1419</v>
      </c>
      <c r="F500" s="26" t="s">
        <v>103</v>
      </c>
      <c r="G500" s="26" t="s">
        <v>56</v>
      </c>
      <c r="H500" s="26" t="s">
        <v>1449</v>
      </c>
      <c r="J500" s="22">
        <v>400</v>
      </c>
      <c r="L500" s="28" t="s">
        <v>58</v>
      </c>
      <c r="M500" s="22" t="s">
        <v>59</v>
      </c>
      <c r="N500" s="22">
        <v>0</v>
      </c>
      <c r="O500" s="22" t="s">
        <v>60</v>
      </c>
      <c r="P500" s="22" t="s">
        <v>79</v>
      </c>
      <c r="R500" s="23" t="s">
        <v>1442</v>
      </c>
      <c r="V500" s="25" t="s">
        <v>436</v>
      </c>
      <c r="Y500" s="25" t="s">
        <v>1446</v>
      </c>
      <c r="Z500" s="83" t="s">
        <v>63</v>
      </c>
      <c r="AA500" s="6">
        <v>15</v>
      </c>
      <c r="AB500" s="6">
        <v>0</v>
      </c>
      <c r="BQ500" s="6" t="s">
        <v>214</v>
      </c>
      <c r="BR500" s="5" t="s">
        <v>1421</v>
      </c>
    </row>
    <row r="501" spans="1:70" ht="14.25" hidden="1" customHeight="1" x14ac:dyDescent="0.2">
      <c r="A501" s="91">
        <v>568</v>
      </c>
      <c r="B501" s="231" t="s">
        <v>1528</v>
      </c>
      <c r="C501" s="265" t="s">
        <v>1444</v>
      </c>
      <c r="D501" s="231" t="s">
        <v>1532</v>
      </c>
      <c r="E501" s="3" t="s">
        <v>1419</v>
      </c>
      <c r="F501" s="26" t="s">
        <v>103</v>
      </c>
      <c r="G501" s="26" t="s">
        <v>56</v>
      </c>
      <c r="H501" s="26" t="s">
        <v>1450</v>
      </c>
      <c r="J501" s="22">
        <v>400</v>
      </c>
      <c r="L501" s="28" t="s">
        <v>58</v>
      </c>
      <c r="M501" s="22" t="s">
        <v>59</v>
      </c>
      <c r="N501" s="22">
        <v>0</v>
      </c>
      <c r="O501" s="22" t="s">
        <v>60</v>
      </c>
      <c r="P501" s="22" t="s">
        <v>79</v>
      </c>
      <c r="R501" s="23" t="s">
        <v>1442</v>
      </c>
      <c r="V501" s="25" t="s">
        <v>436</v>
      </c>
      <c r="Y501" s="25" t="s">
        <v>1451</v>
      </c>
      <c r="Z501" s="83" t="s">
        <v>63</v>
      </c>
      <c r="AA501" s="6">
        <v>16</v>
      </c>
      <c r="BQ501" s="6" t="s">
        <v>214</v>
      </c>
      <c r="BR501" s="5" t="s">
        <v>1421</v>
      </c>
    </row>
    <row r="502" spans="1:70" ht="14.25" hidden="1" customHeight="1" x14ac:dyDescent="0.2">
      <c r="A502" s="91">
        <v>569</v>
      </c>
      <c r="B502" s="231" t="s">
        <v>1529</v>
      </c>
      <c r="C502" s="265" t="s">
        <v>1444</v>
      </c>
      <c r="D502" s="231" t="s">
        <v>1533</v>
      </c>
      <c r="E502" s="3" t="s">
        <v>1419</v>
      </c>
      <c r="F502" s="26" t="s">
        <v>103</v>
      </c>
      <c r="G502" s="26" t="s">
        <v>56</v>
      </c>
      <c r="H502" s="26" t="s">
        <v>1452</v>
      </c>
      <c r="J502" s="22">
        <v>400</v>
      </c>
      <c r="L502" s="28" t="s">
        <v>58</v>
      </c>
      <c r="M502" s="22" t="s">
        <v>59</v>
      </c>
      <c r="N502" s="22">
        <v>0</v>
      </c>
      <c r="O502" s="22" t="s">
        <v>60</v>
      </c>
      <c r="P502" s="22" t="s">
        <v>79</v>
      </c>
      <c r="R502" s="23" t="s">
        <v>1442</v>
      </c>
      <c r="V502" s="25" t="s">
        <v>62</v>
      </c>
      <c r="Z502" s="83" t="s">
        <v>63</v>
      </c>
      <c r="AA502" s="6">
        <v>32</v>
      </c>
      <c r="AB502" s="6">
        <v>0</v>
      </c>
      <c r="BQ502" s="6" t="s">
        <v>214</v>
      </c>
      <c r="BR502" s="5" t="s">
        <v>1421</v>
      </c>
    </row>
    <row r="503" spans="1:70" ht="14.25" hidden="1" customHeight="1" x14ac:dyDescent="0.2">
      <c r="A503" s="91">
        <v>570</v>
      </c>
      <c r="B503" s="231" t="s">
        <v>1453</v>
      </c>
      <c r="C503" s="265" t="s">
        <v>1454</v>
      </c>
      <c r="D503" s="231" t="s">
        <v>1832</v>
      </c>
      <c r="E503" s="3" t="s">
        <v>1180</v>
      </c>
      <c r="F503" s="26" t="s">
        <v>103</v>
      </c>
      <c r="G503" s="26" t="s">
        <v>56</v>
      </c>
      <c r="H503" s="26" t="s">
        <v>535</v>
      </c>
      <c r="J503" s="22">
        <v>100</v>
      </c>
      <c r="L503" s="28" t="s">
        <v>58</v>
      </c>
      <c r="M503" s="22" t="s">
        <v>59</v>
      </c>
      <c r="N503" s="22">
        <v>0</v>
      </c>
      <c r="O503" s="22" t="s">
        <v>60</v>
      </c>
      <c r="P503" s="22" t="s">
        <v>79</v>
      </c>
      <c r="V503" s="25" t="s">
        <v>436</v>
      </c>
      <c r="Z503" s="83" t="s">
        <v>63</v>
      </c>
      <c r="AA503" s="6">
        <v>10</v>
      </c>
      <c r="AB503" s="6">
        <v>0</v>
      </c>
      <c r="AC503" s="5">
        <v>35</v>
      </c>
      <c r="AD503" s="5" t="s">
        <v>80</v>
      </c>
      <c r="AI503" s="5">
        <v>25</v>
      </c>
      <c r="AJ503" s="5">
        <v>43</v>
      </c>
      <c r="AK503" s="6">
        <v>75.3</v>
      </c>
      <c r="AL503" s="6" t="s">
        <v>81</v>
      </c>
      <c r="AM503" s="6" t="s">
        <v>118</v>
      </c>
      <c r="AQ503" s="6">
        <v>64</v>
      </c>
      <c r="AR503" s="6">
        <v>87</v>
      </c>
      <c r="BQ503" s="6" t="s">
        <v>214</v>
      </c>
      <c r="BR503" s="5" t="s">
        <v>1455</v>
      </c>
    </row>
    <row r="504" spans="1:70" ht="14.25" hidden="1" customHeight="1" x14ac:dyDescent="0.2">
      <c r="A504" s="91">
        <v>571</v>
      </c>
      <c r="B504" s="231" t="s">
        <v>1453</v>
      </c>
      <c r="C504" s="265" t="s">
        <v>1454</v>
      </c>
      <c r="D504" s="231" t="s">
        <v>1833</v>
      </c>
      <c r="E504" s="3" t="s">
        <v>1180</v>
      </c>
      <c r="F504" s="26" t="s">
        <v>103</v>
      </c>
      <c r="G504" s="26" t="s">
        <v>56</v>
      </c>
      <c r="H504" s="26" t="s">
        <v>535</v>
      </c>
      <c r="J504" s="22">
        <v>100</v>
      </c>
      <c r="L504" s="28" t="s">
        <v>58</v>
      </c>
      <c r="M504" s="22" t="s">
        <v>59</v>
      </c>
      <c r="N504" s="22">
        <v>144</v>
      </c>
      <c r="O504" s="22" t="s">
        <v>60</v>
      </c>
      <c r="P504" s="22" t="s">
        <v>79</v>
      </c>
      <c r="V504" s="25" t="s">
        <v>436</v>
      </c>
      <c r="Z504" s="83" t="s">
        <v>63</v>
      </c>
      <c r="AA504" s="6">
        <v>10</v>
      </c>
      <c r="AB504" s="6">
        <v>0</v>
      </c>
      <c r="AC504" s="5">
        <v>35</v>
      </c>
      <c r="AD504" s="5" t="s">
        <v>80</v>
      </c>
      <c r="AI504" s="5">
        <v>25</v>
      </c>
      <c r="AJ504" s="5">
        <v>43</v>
      </c>
      <c r="AK504" s="6">
        <v>75.3</v>
      </c>
      <c r="AL504" s="6" t="s">
        <v>81</v>
      </c>
      <c r="AM504" s="6" t="s">
        <v>118</v>
      </c>
      <c r="AQ504" s="6">
        <v>64</v>
      </c>
      <c r="AR504" s="6">
        <v>87</v>
      </c>
      <c r="BQ504" s="6" t="s">
        <v>214</v>
      </c>
      <c r="BR504" s="5" t="s">
        <v>1455</v>
      </c>
    </row>
    <row r="505" spans="1:70" ht="14.25" hidden="1" customHeight="1" x14ac:dyDescent="0.2">
      <c r="A505" s="91">
        <v>572</v>
      </c>
      <c r="B505" s="231" t="s">
        <v>1456</v>
      </c>
      <c r="C505" s="265" t="s">
        <v>1457</v>
      </c>
      <c r="D505" s="231" t="s">
        <v>1834</v>
      </c>
      <c r="E505" s="3" t="s">
        <v>1180</v>
      </c>
      <c r="F505" s="26" t="s">
        <v>103</v>
      </c>
      <c r="G505" s="26" t="s">
        <v>56</v>
      </c>
      <c r="H505" s="26" t="s">
        <v>535</v>
      </c>
      <c r="J505" s="22">
        <v>400</v>
      </c>
      <c r="L505" s="28" t="s">
        <v>58</v>
      </c>
      <c r="M505" s="22" t="s">
        <v>59</v>
      </c>
      <c r="N505" s="22" t="s">
        <v>1458</v>
      </c>
      <c r="O505" s="22" t="s">
        <v>60</v>
      </c>
      <c r="P505" s="22" t="s">
        <v>92</v>
      </c>
      <c r="R505" s="23" t="s">
        <v>1963</v>
      </c>
      <c r="V505" s="25" t="s">
        <v>1459</v>
      </c>
      <c r="W505" s="65">
        <v>1</v>
      </c>
      <c r="X505" s="106">
        <v>2</v>
      </c>
      <c r="Y505" s="25" t="s">
        <v>1460</v>
      </c>
      <c r="Z505" s="83" t="s">
        <v>63</v>
      </c>
      <c r="AA505" s="6">
        <v>20</v>
      </c>
      <c r="AB505" s="6">
        <v>13</v>
      </c>
      <c r="AC505" s="5">
        <v>28.6</v>
      </c>
      <c r="AD505" s="5" t="s">
        <v>80</v>
      </c>
      <c r="AE505" s="5" t="s">
        <v>116</v>
      </c>
      <c r="AK505" s="6">
        <v>68.2</v>
      </c>
      <c r="AL505" s="6" t="s">
        <v>81</v>
      </c>
      <c r="AM505" s="6" t="s">
        <v>118</v>
      </c>
      <c r="BQ505" s="6" t="s">
        <v>214</v>
      </c>
      <c r="BR505" s="5" t="s">
        <v>1421</v>
      </c>
    </row>
    <row r="506" spans="1:70" ht="14.25" hidden="1" customHeight="1" x14ac:dyDescent="0.2">
      <c r="A506" s="91">
        <v>573</v>
      </c>
      <c r="B506" s="231" t="s">
        <v>1456</v>
      </c>
      <c r="C506" s="265" t="s">
        <v>1457</v>
      </c>
      <c r="D506" s="231" t="s">
        <v>1835</v>
      </c>
      <c r="E506" s="3" t="s">
        <v>1180</v>
      </c>
      <c r="F506" s="26" t="s">
        <v>103</v>
      </c>
      <c r="G506" s="26" t="s">
        <v>56</v>
      </c>
      <c r="H506" s="26" t="s">
        <v>535</v>
      </c>
      <c r="J506" s="22">
        <v>400</v>
      </c>
      <c r="L506" s="28" t="s">
        <v>58</v>
      </c>
      <c r="M506" s="22" t="s">
        <v>59</v>
      </c>
      <c r="N506" s="22" t="s">
        <v>1461</v>
      </c>
      <c r="O506" s="22" t="s">
        <v>60</v>
      </c>
      <c r="P506" s="22" t="s">
        <v>92</v>
      </c>
      <c r="R506" s="23" t="s">
        <v>1963</v>
      </c>
      <c r="V506" s="25" t="s">
        <v>1459</v>
      </c>
      <c r="W506" s="65">
        <v>1</v>
      </c>
      <c r="X506" s="106">
        <v>2</v>
      </c>
      <c r="Y506" s="25" t="s">
        <v>1460</v>
      </c>
      <c r="Z506" s="83" t="s">
        <v>63</v>
      </c>
      <c r="AA506" s="6">
        <v>19</v>
      </c>
      <c r="AB506" s="6">
        <v>13</v>
      </c>
      <c r="AC506" s="5">
        <v>28.6</v>
      </c>
      <c r="AD506" s="5" t="s">
        <v>80</v>
      </c>
      <c r="AE506" s="5" t="s">
        <v>116</v>
      </c>
      <c r="AK506" s="6">
        <v>68.2</v>
      </c>
      <c r="AL506" s="6" t="s">
        <v>81</v>
      </c>
      <c r="AM506" s="6" t="s">
        <v>118</v>
      </c>
      <c r="BQ506" s="6" t="s">
        <v>214</v>
      </c>
      <c r="BR506" s="5" t="s">
        <v>1462</v>
      </c>
    </row>
    <row r="507" spans="1:70" ht="14.25" hidden="1" customHeight="1" x14ac:dyDescent="0.2">
      <c r="A507" s="91">
        <v>574</v>
      </c>
      <c r="B507" s="231" t="s">
        <v>1463</v>
      </c>
      <c r="C507" s="265" t="s">
        <v>1464</v>
      </c>
      <c r="D507" s="231" t="s">
        <v>1836</v>
      </c>
      <c r="E507" s="3" t="s">
        <v>1180</v>
      </c>
      <c r="F507" s="26" t="s">
        <v>103</v>
      </c>
      <c r="G507" s="26" t="s">
        <v>56</v>
      </c>
      <c r="H507" s="26" t="s">
        <v>57</v>
      </c>
      <c r="J507" s="22">
        <v>1200</v>
      </c>
      <c r="L507" s="28" t="s">
        <v>58</v>
      </c>
      <c r="M507" s="22" t="s">
        <v>59</v>
      </c>
      <c r="N507" s="22">
        <v>0</v>
      </c>
      <c r="O507" s="22" t="s">
        <v>60</v>
      </c>
      <c r="P507" s="22" t="s">
        <v>79</v>
      </c>
      <c r="V507" s="25" t="s">
        <v>436</v>
      </c>
      <c r="Y507" s="25" t="s">
        <v>1465</v>
      </c>
      <c r="Z507" s="83" t="s">
        <v>63</v>
      </c>
      <c r="AA507" s="6">
        <v>14</v>
      </c>
      <c r="AC507" s="5">
        <v>39.1</v>
      </c>
      <c r="AD507" s="5" t="s">
        <v>80</v>
      </c>
      <c r="AE507" s="5" t="s">
        <v>116</v>
      </c>
      <c r="AI507" s="5">
        <v>21</v>
      </c>
      <c r="AJ507" s="5">
        <v>55</v>
      </c>
      <c r="AK507" s="6">
        <v>73.5</v>
      </c>
      <c r="AL507" s="6" t="s">
        <v>81</v>
      </c>
      <c r="AM507" s="6" t="s">
        <v>118</v>
      </c>
      <c r="AQ507" s="6">
        <v>59</v>
      </c>
      <c r="AR507" s="6">
        <v>94</v>
      </c>
      <c r="BQ507" s="6" t="s">
        <v>214</v>
      </c>
      <c r="BR507" s="5" t="s">
        <v>1466</v>
      </c>
    </row>
    <row r="508" spans="1:70" ht="14.25" hidden="1" customHeight="1" x14ac:dyDescent="0.2">
      <c r="A508" s="91">
        <v>575</v>
      </c>
      <c r="B508" s="231" t="s">
        <v>1463</v>
      </c>
      <c r="C508" s="265" t="s">
        <v>1464</v>
      </c>
      <c r="D508" s="231" t="s">
        <v>1837</v>
      </c>
      <c r="E508" s="3" t="s">
        <v>1180</v>
      </c>
      <c r="F508" s="26" t="s">
        <v>103</v>
      </c>
      <c r="G508" s="26" t="s">
        <v>56</v>
      </c>
      <c r="H508" s="26" t="s">
        <v>57</v>
      </c>
      <c r="J508" s="22">
        <v>1200</v>
      </c>
      <c r="L508" s="28" t="s">
        <v>58</v>
      </c>
      <c r="M508" s="22" t="s">
        <v>59</v>
      </c>
      <c r="N508" s="22">
        <v>144</v>
      </c>
      <c r="O508" s="22" t="s">
        <v>60</v>
      </c>
      <c r="P508" s="22" t="s">
        <v>79</v>
      </c>
      <c r="R508" s="179"/>
      <c r="V508" s="25" t="s">
        <v>436</v>
      </c>
      <c r="Y508" s="25" t="s">
        <v>1465</v>
      </c>
      <c r="Z508" s="83" t="s">
        <v>63</v>
      </c>
      <c r="AA508" s="6">
        <v>12</v>
      </c>
      <c r="AC508" s="5">
        <v>39.1</v>
      </c>
      <c r="AD508" s="5" t="s">
        <v>80</v>
      </c>
      <c r="AE508" s="5" t="s">
        <v>116</v>
      </c>
      <c r="AI508" s="5">
        <v>21</v>
      </c>
      <c r="AJ508" s="5">
        <v>55</v>
      </c>
      <c r="AK508" s="6">
        <v>73.5</v>
      </c>
      <c r="AL508" s="6" t="s">
        <v>81</v>
      </c>
      <c r="AM508" s="6" t="s">
        <v>118</v>
      </c>
      <c r="AQ508" s="6">
        <v>59</v>
      </c>
      <c r="AR508" s="6">
        <v>94</v>
      </c>
      <c r="BQ508" s="6" t="s">
        <v>214</v>
      </c>
      <c r="BR508" s="5" t="s">
        <v>1467</v>
      </c>
    </row>
    <row r="509" spans="1:70" ht="14.25" hidden="1" customHeight="1" x14ac:dyDescent="0.2">
      <c r="A509" s="91">
        <v>576</v>
      </c>
      <c r="B509" s="231" t="s">
        <v>1468</v>
      </c>
      <c r="C509" s="265" t="s">
        <v>1469</v>
      </c>
      <c r="D509" s="231" t="s">
        <v>1470</v>
      </c>
      <c r="E509" s="3" t="s">
        <v>1419</v>
      </c>
      <c r="F509" s="26" t="s">
        <v>103</v>
      </c>
      <c r="G509" s="26" t="s">
        <v>56</v>
      </c>
      <c r="H509" s="26" t="s">
        <v>535</v>
      </c>
      <c r="J509" s="22">
        <v>300</v>
      </c>
      <c r="L509" s="28" t="s">
        <v>58</v>
      </c>
      <c r="M509" s="22" t="s">
        <v>59</v>
      </c>
      <c r="N509" s="22" t="s">
        <v>1611</v>
      </c>
      <c r="O509" s="22" t="s">
        <v>60</v>
      </c>
      <c r="P509" s="22" t="s">
        <v>92</v>
      </c>
      <c r="R509" s="179" t="s">
        <v>1433</v>
      </c>
      <c r="V509" s="25" t="s">
        <v>436</v>
      </c>
      <c r="Y509" s="25" t="s">
        <v>1471</v>
      </c>
      <c r="Z509" s="83" t="s">
        <v>63</v>
      </c>
      <c r="AA509" s="6">
        <v>22</v>
      </c>
      <c r="AB509" s="6">
        <v>6</v>
      </c>
      <c r="AC509" s="5">
        <v>32</v>
      </c>
      <c r="AD509" s="5" t="s">
        <v>80</v>
      </c>
      <c r="AE509" s="5" t="s">
        <v>116</v>
      </c>
      <c r="AK509" s="6">
        <v>77.3</v>
      </c>
      <c r="AL509" s="6" t="s">
        <v>81</v>
      </c>
      <c r="AM509" s="6" t="s">
        <v>118</v>
      </c>
      <c r="BA509" s="6">
        <v>26.6</v>
      </c>
      <c r="BB509" s="6" t="s">
        <v>450</v>
      </c>
      <c r="BC509" s="6" t="s">
        <v>118</v>
      </c>
      <c r="BQ509" s="6" t="s">
        <v>214</v>
      </c>
      <c r="BR509" s="5" t="s">
        <v>1472</v>
      </c>
    </row>
    <row r="510" spans="1:70" ht="14.25" hidden="1" customHeight="1" x14ac:dyDescent="0.2">
      <c r="A510" s="91">
        <v>577</v>
      </c>
      <c r="B510" s="231" t="s">
        <v>1468</v>
      </c>
      <c r="C510" s="265" t="s">
        <v>1469</v>
      </c>
      <c r="D510" s="231" t="s">
        <v>1473</v>
      </c>
      <c r="E510" s="3" t="s">
        <v>1419</v>
      </c>
      <c r="F510" s="26" t="s">
        <v>103</v>
      </c>
      <c r="G510" s="26" t="s">
        <v>56</v>
      </c>
      <c r="H510" s="26" t="s">
        <v>535</v>
      </c>
      <c r="J510" s="22">
        <v>300</v>
      </c>
      <c r="L510" s="28" t="s">
        <v>58</v>
      </c>
      <c r="M510" s="22" t="s">
        <v>59</v>
      </c>
      <c r="N510" s="22" t="s">
        <v>1612</v>
      </c>
      <c r="O510" s="22" t="s">
        <v>60</v>
      </c>
      <c r="P510" s="22" t="s">
        <v>92</v>
      </c>
      <c r="R510" s="23" t="s">
        <v>1433</v>
      </c>
      <c r="V510" s="25" t="s">
        <v>436</v>
      </c>
      <c r="Y510" s="25" t="s">
        <v>1471</v>
      </c>
      <c r="Z510" s="83" t="s">
        <v>63</v>
      </c>
      <c r="AA510" s="6">
        <v>19</v>
      </c>
      <c r="AB510" s="6">
        <v>6</v>
      </c>
      <c r="AC510" s="5">
        <v>32</v>
      </c>
      <c r="AD510" s="5" t="s">
        <v>80</v>
      </c>
      <c r="AE510" s="5" t="s">
        <v>116</v>
      </c>
      <c r="AK510" s="6">
        <v>77.3</v>
      </c>
      <c r="AL510" s="6" t="s">
        <v>81</v>
      </c>
      <c r="AM510" s="6" t="s">
        <v>118</v>
      </c>
      <c r="BA510" s="6">
        <v>26.6</v>
      </c>
      <c r="BB510" s="6" t="s">
        <v>450</v>
      </c>
      <c r="BC510" s="6" t="s">
        <v>118</v>
      </c>
      <c r="BQ510" s="6" t="s">
        <v>214</v>
      </c>
      <c r="BR510" s="5" t="s">
        <v>1474</v>
      </c>
    </row>
    <row r="511" spans="1:70" ht="14.25" hidden="1" customHeight="1" x14ac:dyDescent="0.2">
      <c r="A511" s="91">
        <v>578</v>
      </c>
      <c r="B511" s="231" t="s">
        <v>1468</v>
      </c>
      <c r="C511" s="265" t="s">
        <v>1469</v>
      </c>
      <c r="D511" s="231" t="s">
        <v>1475</v>
      </c>
      <c r="E511" s="125" t="s">
        <v>1180</v>
      </c>
      <c r="F511" s="181" t="s">
        <v>103</v>
      </c>
      <c r="G511" s="26" t="s">
        <v>56</v>
      </c>
      <c r="H511" s="26" t="s">
        <v>540</v>
      </c>
      <c r="J511" s="22">
        <v>400</v>
      </c>
      <c r="K511" s="182"/>
      <c r="L511" s="182" t="s">
        <v>58</v>
      </c>
      <c r="M511" s="22" t="s">
        <v>59</v>
      </c>
      <c r="N511" s="22" t="s">
        <v>1476</v>
      </c>
      <c r="O511" s="178" t="s">
        <v>60</v>
      </c>
      <c r="P511" s="22" t="s">
        <v>92</v>
      </c>
      <c r="Q511" s="179"/>
      <c r="R511" s="23" t="s">
        <v>1477</v>
      </c>
      <c r="T511" s="179"/>
      <c r="U511" s="179"/>
      <c r="V511" s="167" t="s">
        <v>436</v>
      </c>
      <c r="Y511" s="25" t="s">
        <v>1471</v>
      </c>
      <c r="Z511" s="169" t="s">
        <v>63</v>
      </c>
      <c r="AA511" s="6">
        <v>22</v>
      </c>
      <c r="AB511" s="6">
        <v>6</v>
      </c>
      <c r="AC511" s="5">
        <v>32</v>
      </c>
      <c r="AD511" s="165" t="s">
        <v>80</v>
      </c>
      <c r="AE511" s="5" t="s">
        <v>116</v>
      </c>
      <c r="AK511" s="6">
        <v>77.3</v>
      </c>
      <c r="AL511" s="6" t="s">
        <v>81</v>
      </c>
      <c r="AM511" s="6" t="s">
        <v>118</v>
      </c>
      <c r="BA511" s="6">
        <v>26.6</v>
      </c>
      <c r="BB511" s="6" t="s">
        <v>450</v>
      </c>
      <c r="BC511" s="6" t="s">
        <v>118</v>
      </c>
      <c r="BQ511" s="6" t="s">
        <v>214</v>
      </c>
      <c r="BR511" s="5" t="s">
        <v>1472</v>
      </c>
    </row>
    <row r="512" spans="1:70" ht="14.25" hidden="1" x14ac:dyDescent="0.2">
      <c r="A512" s="91">
        <v>579</v>
      </c>
      <c r="B512" s="231" t="s">
        <v>1468</v>
      </c>
      <c r="C512" s="265" t="s">
        <v>1469</v>
      </c>
      <c r="D512" s="231" t="s">
        <v>1478</v>
      </c>
      <c r="E512" s="125" t="s">
        <v>1180</v>
      </c>
      <c r="F512" s="181" t="s">
        <v>103</v>
      </c>
      <c r="G512" s="26" t="s">
        <v>56</v>
      </c>
      <c r="H512" s="26" t="s">
        <v>540</v>
      </c>
      <c r="J512" s="22">
        <v>400</v>
      </c>
      <c r="K512" s="182"/>
      <c r="L512" s="182" t="s">
        <v>58</v>
      </c>
      <c r="M512" s="22" t="s">
        <v>59</v>
      </c>
      <c r="N512" s="22" t="s">
        <v>1612</v>
      </c>
      <c r="O512" s="178" t="s">
        <v>60</v>
      </c>
      <c r="P512" s="22" t="s">
        <v>92</v>
      </c>
      <c r="Q512" s="179"/>
      <c r="R512" s="23" t="s">
        <v>1477</v>
      </c>
      <c r="T512" s="179"/>
      <c r="U512" s="179"/>
      <c r="V512" s="167" t="s">
        <v>436</v>
      </c>
      <c r="Y512" s="25" t="s">
        <v>1471</v>
      </c>
      <c r="Z512" s="169" t="s">
        <v>63</v>
      </c>
      <c r="AA512" s="6">
        <v>19</v>
      </c>
      <c r="AB512" s="6">
        <v>6</v>
      </c>
      <c r="AC512" s="5">
        <v>32</v>
      </c>
      <c r="AD512" s="165" t="s">
        <v>80</v>
      </c>
      <c r="AE512" s="5" t="s">
        <v>116</v>
      </c>
      <c r="AK512" s="6">
        <v>77.3</v>
      </c>
      <c r="AL512" s="6" t="s">
        <v>81</v>
      </c>
      <c r="AM512" s="6" t="s">
        <v>118</v>
      </c>
      <c r="BA512" s="6">
        <v>26.6</v>
      </c>
      <c r="BB512" s="6" t="s">
        <v>450</v>
      </c>
      <c r="BC512" s="6" t="s">
        <v>118</v>
      </c>
      <c r="BQ512" s="6" t="s">
        <v>214</v>
      </c>
      <c r="BR512" s="5" t="s">
        <v>1474</v>
      </c>
    </row>
    <row r="513" spans="1:70" ht="14.25" hidden="1" x14ac:dyDescent="0.2">
      <c r="A513" s="91">
        <v>580</v>
      </c>
      <c r="B513" s="231" t="s">
        <v>1479</v>
      </c>
      <c r="C513" s="265" t="s">
        <v>1480</v>
      </c>
      <c r="D513" s="231" t="s">
        <v>1481</v>
      </c>
      <c r="E513" s="125" t="s">
        <v>1419</v>
      </c>
      <c r="F513" s="181" t="s">
        <v>103</v>
      </c>
      <c r="G513" s="26" t="s">
        <v>56</v>
      </c>
      <c r="H513" s="26" t="s">
        <v>57</v>
      </c>
      <c r="J513" s="22">
        <v>300</v>
      </c>
      <c r="K513" s="182"/>
      <c r="L513" s="182" t="s">
        <v>58</v>
      </c>
      <c r="M513" s="22" t="s">
        <v>59</v>
      </c>
      <c r="N513" s="178" t="s">
        <v>1458</v>
      </c>
      <c r="O513" s="178" t="s">
        <v>60</v>
      </c>
      <c r="P513" s="22" t="s">
        <v>92</v>
      </c>
      <c r="Q513" s="179"/>
      <c r="R513" s="23" t="s">
        <v>1482</v>
      </c>
      <c r="T513" s="179"/>
      <c r="U513" s="179"/>
      <c r="V513" s="167" t="s">
        <v>436</v>
      </c>
      <c r="Y513" s="25" t="s">
        <v>1483</v>
      </c>
      <c r="Z513" s="169" t="s">
        <v>63</v>
      </c>
      <c r="AA513" s="6">
        <v>10</v>
      </c>
      <c r="AB513" s="6">
        <v>5</v>
      </c>
      <c r="AC513" s="5">
        <v>34</v>
      </c>
      <c r="AD513" s="165" t="s">
        <v>80</v>
      </c>
      <c r="AI513" s="5">
        <v>23</v>
      </c>
      <c r="AJ513" s="5">
        <v>48</v>
      </c>
      <c r="AK513" s="6">
        <v>78</v>
      </c>
      <c r="AL513" s="6" t="s">
        <v>81</v>
      </c>
      <c r="AQ513" s="6">
        <v>55</v>
      </c>
      <c r="AR513" s="6">
        <v>109</v>
      </c>
      <c r="BQ513" s="6" t="s">
        <v>214</v>
      </c>
      <c r="BR513" s="5" t="s">
        <v>1484</v>
      </c>
    </row>
    <row r="514" spans="1:70" ht="14.25" hidden="1" x14ac:dyDescent="0.2">
      <c r="A514" s="91">
        <v>581</v>
      </c>
      <c r="B514" s="231" t="s">
        <v>1534</v>
      </c>
      <c r="C514" s="265" t="s">
        <v>1485</v>
      </c>
      <c r="D514" s="231" t="s">
        <v>1536</v>
      </c>
      <c r="E514" s="125" t="s">
        <v>1419</v>
      </c>
      <c r="F514" s="181" t="s">
        <v>103</v>
      </c>
      <c r="G514" s="26" t="s">
        <v>56</v>
      </c>
      <c r="H514" s="26" t="s">
        <v>1486</v>
      </c>
      <c r="J514" s="22">
        <v>200</v>
      </c>
      <c r="K514" s="182"/>
      <c r="L514" s="182" t="s">
        <v>58</v>
      </c>
      <c r="M514" s="22" t="s">
        <v>59</v>
      </c>
      <c r="N514" s="22" t="s">
        <v>1140</v>
      </c>
      <c r="O514" s="178" t="s">
        <v>60</v>
      </c>
      <c r="P514" s="22" t="s">
        <v>92</v>
      </c>
      <c r="Q514" s="179"/>
      <c r="R514" s="23" t="s">
        <v>1487</v>
      </c>
      <c r="T514" s="179"/>
      <c r="U514" s="179"/>
      <c r="V514" s="167" t="s">
        <v>436</v>
      </c>
      <c r="Y514" s="25" t="s">
        <v>1488</v>
      </c>
      <c r="Z514" s="169" t="s">
        <v>63</v>
      </c>
      <c r="AA514" s="6">
        <v>8</v>
      </c>
      <c r="AB514" s="6">
        <v>0</v>
      </c>
      <c r="AD514" s="165"/>
      <c r="BQ514" s="6" t="s">
        <v>214</v>
      </c>
    </row>
    <row r="515" spans="1:70" ht="14.25" hidden="1" x14ac:dyDescent="0.2">
      <c r="A515" s="91">
        <v>582</v>
      </c>
      <c r="B515" s="231" t="s">
        <v>1534</v>
      </c>
      <c r="C515" s="265" t="s">
        <v>1485</v>
      </c>
      <c r="D515" s="231" t="s">
        <v>1537</v>
      </c>
      <c r="E515" s="125" t="s">
        <v>1419</v>
      </c>
      <c r="F515" s="181" t="s">
        <v>103</v>
      </c>
      <c r="G515" s="26" t="s">
        <v>56</v>
      </c>
      <c r="H515" s="26" t="s">
        <v>1486</v>
      </c>
      <c r="J515" s="22">
        <v>200</v>
      </c>
      <c r="K515" s="182"/>
      <c r="L515" s="182" t="s">
        <v>58</v>
      </c>
      <c r="M515" s="22" t="s">
        <v>59</v>
      </c>
      <c r="N515" s="178" t="s">
        <v>1140</v>
      </c>
      <c r="O515" s="178" t="s">
        <v>60</v>
      </c>
      <c r="P515" s="22" t="s">
        <v>92</v>
      </c>
      <c r="Q515" s="179"/>
      <c r="R515" s="23" t="s">
        <v>1487</v>
      </c>
      <c r="T515" s="179"/>
      <c r="U515" s="179"/>
      <c r="V515" s="167" t="s">
        <v>436</v>
      </c>
      <c r="Y515" s="25" t="s">
        <v>1488</v>
      </c>
      <c r="Z515" s="169" t="s">
        <v>63</v>
      </c>
      <c r="AA515" s="6">
        <v>8</v>
      </c>
      <c r="AB515" s="6">
        <v>0</v>
      </c>
      <c r="AD515" s="165"/>
      <c r="BQ515" s="6" t="s">
        <v>214</v>
      </c>
    </row>
    <row r="516" spans="1:70" ht="14.25" hidden="1" customHeight="1" x14ac:dyDescent="0.2">
      <c r="A516" s="91">
        <v>583</v>
      </c>
      <c r="B516" s="231" t="s">
        <v>1534</v>
      </c>
      <c r="C516" s="265" t="s">
        <v>1485</v>
      </c>
      <c r="D516" s="231" t="s">
        <v>1538</v>
      </c>
      <c r="E516" s="3" t="s">
        <v>1419</v>
      </c>
      <c r="F516" s="26" t="s">
        <v>103</v>
      </c>
      <c r="G516" s="26" t="s">
        <v>56</v>
      </c>
      <c r="H516" s="26" t="s">
        <v>1489</v>
      </c>
      <c r="J516" s="22">
        <v>400</v>
      </c>
      <c r="L516" s="28" t="s">
        <v>58</v>
      </c>
      <c r="M516" s="22" t="s">
        <v>59</v>
      </c>
      <c r="N516" s="22" t="s">
        <v>1140</v>
      </c>
      <c r="O516" s="22" t="s">
        <v>60</v>
      </c>
      <c r="P516" s="22" t="s">
        <v>92</v>
      </c>
      <c r="R516" s="23" t="s">
        <v>1487</v>
      </c>
      <c r="V516" s="25" t="s">
        <v>436</v>
      </c>
      <c r="Y516" s="25" t="s">
        <v>1488</v>
      </c>
      <c r="Z516" s="83" t="s">
        <v>63</v>
      </c>
      <c r="AA516" s="6">
        <v>8</v>
      </c>
      <c r="AB516" s="6">
        <v>0</v>
      </c>
      <c r="BQ516" s="6" t="s">
        <v>214</v>
      </c>
    </row>
    <row r="517" spans="1:70" ht="14.25" hidden="1" customHeight="1" x14ac:dyDescent="0.2">
      <c r="A517" s="91">
        <v>584</v>
      </c>
      <c r="B517" s="231" t="s">
        <v>1534</v>
      </c>
      <c r="C517" s="265" t="s">
        <v>1485</v>
      </c>
      <c r="D517" s="231" t="s">
        <v>1539</v>
      </c>
      <c r="E517" s="3" t="s">
        <v>1419</v>
      </c>
      <c r="F517" s="26" t="s">
        <v>103</v>
      </c>
      <c r="G517" s="26" t="s">
        <v>56</v>
      </c>
      <c r="H517" s="26" t="s">
        <v>1489</v>
      </c>
      <c r="J517" s="22">
        <v>400</v>
      </c>
      <c r="L517" s="28" t="s">
        <v>58</v>
      </c>
      <c r="M517" s="22" t="s">
        <v>59</v>
      </c>
      <c r="N517" s="22" t="s">
        <v>1140</v>
      </c>
      <c r="O517" s="22" t="s">
        <v>60</v>
      </c>
      <c r="P517" s="22" t="s">
        <v>92</v>
      </c>
      <c r="R517" s="23" t="s">
        <v>1487</v>
      </c>
      <c r="V517" s="25" t="s">
        <v>436</v>
      </c>
      <c r="Y517" s="25" t="s">
        <v>1488</v>
      </c>
      <c r="Z517" s="83" t="s">
        <v>63</v>
      </c>
      <c r="AA517" s="6">
        <v>8</v>
      </c>
      <c r="AB517" s="6">
        <v>0</v>
      </c>
      <c r="BQ517" s="6" t="s">
        <v>214</v>
      </c>
    </row>
    <row r="518" spans="1:70" ht="14.25" hidden="1" customHeight="1" x14ac:dyDescent="0.2">
      <c r="A518" s="91">
        <v>585</v>
      </c>
      <c r="B518" s="231" t="s">
        <v>1535</v>
      </c>
      <c r="C518" s="265" t="s">
        <v>1485</v>
      </c>
      <c r="D518" s="231" t="s">
        <v>1540</v>
      </c>
      <c r="E518" s="3" t="s">
        <v>1419</v>
      </c>
      <c r="F518" s="26" t="s">
        <v>103</v>
      </c>
      <c r="G518" s="26" t="s">
        <v>56</v>
      </c>
      <c r="H518" s="26" t="s">
        <v>1490</v>
      </c>
      <c r="J518" s="22">
        <v>300</v>
      </c>
      <c r="L518" s="28" t="s">
        <v>58</v>
      </c>
      <c r="M518" s="22" t="s">
        <v>59</v>
      </c>
      <c r="N518" s="22" t="s">
        <v>1491</v>
      </c>
      <c r="O518" s="22" t="s">
        <v>60</v>
      </c>
      <c r="P518" s="22" t="s">
        <v>92</v>
      </c>
      <c r="R518" s="23" t="s">
        <v>1492</v>
      </c>
      <c r="V518" s="25" t="s">
        <v>436</v>
      </c>
      <c r="Y518" s="25" t="s">
        <v>1493</v>
      </c>
      <c r="Z518" s="83" t="s">
        <v>63</v>
      </c>
      <c r="AA518" s="6">
        <v>30</v>
      </c>
      <c r="BQ518" s="6" t="s">
        <v>214</v>
      </c>
    </row>
    <row r="519" spans="1:70" ht="14.25" hidden="1" customHeight="1" x14ac:dyDescent="0.2">
      <c r="A519" s="91">
        <v>586</v>
      </c>
      <c r="B519" s="231" t="s">
        <v>1541</v>
      </c>
      <c r="C519" s="265" t="s">
        <v>1494</v>
      </c>
      <c r="D519" s="231" t="s">
        <v>1524</v>
      </c>
      <c r="E519" s="3" t="s">
        <v>1419</v>
      </c>
      <c r="F519" s="26" t="s">
        <v>103</v>
      </c>
      <c r="G519" s="26" t="s">
        <v>56</v>
      </c>
      <c r="H519" s="26" t="s">
        <v>1495</v>
      </c>
      <c r="J519" s="22">
        <v>400</v>
      </c>
      <c r="L519" s="28" t="s">
        <v>58</v>
      </c>
      <c r="M519" s="22" t="s">
        <v>59</v>
      </c>
      <c r="N519" s="22" t="s">
        <v>1140</v>
      </c>
      <c r="O519" s="22" t="s">
        <v>60</v>
      </c>
      <c r="P519" s="22" t="s">
        <v>92</v>
      </c>
      <c r="R519" s="23" t="s">
        <v>1496</v>
      </c>
      <c r="V519" s="25" t="s">
        <v>436</v>
      </c>
      <c r="Y519" s="25" t="s">
        <v>1497</v>
      </c>
      <c r="Z519" s="83" t="s">
        <v>63</v>
      </c>
      <c r="AA519" s="6">
        <v>65</v>
      </c>
      <c r="BQ519" s="6" t="s">
        <v>214</v>
      </c>
    </row>
    <row r="520" spans="1:70" ht="14.25" hidden="1" customHeight="1" x14ac:dyDescent="0.2">
      <c r="A520" s="91">
        <v>587</v>
      </c>
      <c r="B520" s="231" t="s">
        <v>1541</v>
      </c>
      <c r="C520" s="265" t="s">
        <v>1494</v>
      </c>
      <c r="D520" s="231" t="s">
        <v>1525</v>
      </c>
      <c r="E520" s="3" t="s">
        <v>1419</v>
      </c>
      <c r="F520" s="26" t="s">
        <v>103</v>
      </c>
      <c r="G520" s="26" t="s">
        <v>56</v>
      </c>
      <c r="H520" s="26" t="s">
        <v>1495</v>
      </c>
      <c r="J520" s="22">
        <v>800</v>
      </c>
      <c r="L520" s="28" t="s">
        <v>58</v>
      </c>
      <c r="M520" s="22" t="s">
        <v>59</v>
      </c>
      <c r="N520" s="22" t="s">
        <v>1140</v>
      </c>
      <c r="O520" s="22" t="s">
        <v>60</v>
      </c>
      <c r="P520" s="22" t="s">
        <v>92</v>
      </c>
      <c r="R520" s="23" t="s">
        <v>1496</v>
      </c>
      <c r="V520" s="25" t="s">
        <v>436</v>
      </c>
      <c r="Y520" s="25" t="s">
        <v>1497</v>
      </c>
      <c r="Z520" s="83" t="s">
        <v>63</v>
      </c>
      <c r="AA520" s="6">
        <v>66</v>
      </c>
      <c r="BQ520" s="6" t="s">
        <v>214</v>
      </c>
    </row>
    <row r="521" spans="1:70" ht="14.25" hidden="1" customHeight="1" x14ac:dyDescent="0.2">
      <c r="A521" s="91">
        <v>588</v>
      </c>
      <c r="B521" s="231" t="s">
        <v>1498</v>
      </c>
      <c r="C521" s="265" t="s">
        <v>1499</v>
      </c>
      <c r="D521" s="231" t="s">
        <v>1500</v>
      </c>
      <c r="E521" s="3" t="s">
        <v>573</v>
      </c>
      <c r="F521" s="26" t="s">
        <v>103</v>
      </c>
      <c r="G521" s="26" t="s">
        <v>56</v>
      </c>
      <c r="H521" s="26" t="s">
        <v>300</v>
      </c>
      <c r="J521" s="22">
        <v>250</v>
      </c>
      <c r="L521" s="28" t="s">
        <v>58</v>
      </c>
      <c r="M521" s="22" t="s">
        <v>59</v>
      </c>
      <c r="N521" s="22">
        <v>0</v>
      </c>
      <c r="O521" s="22" t="s">
        <v>60</v>
      </c>
      <c r="P521" s="22" t="s">
        <v>79</v>
      </c>
      <c r="R521" s="23" t="s">
        <v>1501</v>
      </c>
      <c r="T521" s="23">
        <v>50</v>
      </c>
      <c r="V521" s="25" t="s">
        <v>62</v>
      </c>
      <c r="Z521" s="83" t="s">
        <v>63</v>
      </c>
      <c r="AA521" s="6">
        <v>4</v>
      </c>
      <c r="AB521" s="6">
        <v>0</v>
      </c>
      <c r="AD521" s="5" t="s">
        <v>80</v>
      </c>
      <c r="AI521" s="5">
        <v>30</v>
      </c>
      <c r="AJ521" s="5">
        <v>46</v>
      </c>
      <c r="AL521" s="6" t="s">
        <v>81</v>
      </c>
      <c r="AQ521" s="6">
        <v>58</v>
      </c>
      <c r="AR521" s="6">
        <v>65</v>
      </c>
    </row>
    <row r="522" spans="1:70" ht="14.25" hidden="1" customHeight="1" x14ac:dyDescent="0.2">
      <c r="A522" s="91">
        <v>589</v>
      </c>
      <c r="B522" s="231" t="s">
        <v>1498</v>
      </c>
      <c r="C522" s="265" t="s">
        <v>1499</v>
      </c>
      <c r="D522" s="231" t="s">
        <v>1502</v>
      </c>
      <c r="E522" s="3" t="s">
        <v>573</v>
      </c>
      <c r="F522" s="26" t="s">
        <v>103</v>
      </c>
      <c r="G522" s="26" t="s">
        <v>56</v>
      </c>
      <c r="H522" s="26" t="s">
        <v>300</v>
      </c>
      <c r="J522" s="22">
        <v>250</v>
      </c>
      <c r="L522" s="28" t="s">
        <v>58</v>
      </c>
      <c r="M522" s="22" t="s">
        <v>59</v>
      </c>
      <c r="N522" s="22">
        <v>0</v>
      </c>
      <c r="O522" s="22" t="s">
        <v>60</v>
      </c>
      <c r="P522" s="22" t="s">
        <v>79</v>
      </c>
      <c r="R522" s="23" t="s">
        <v>1501</v>
      </c>
      <c r="T522" s="23">
        <v>200</v>
      </c>
      <c r="V522" s="25" t="s">
        <v>62</v>
      </c>
      <c r="Z522" s="83" t="s">
        <v>63</v>
      </c>
      <c r="AA522" s="6">
        <v>4</v>
      </c>
      <c r="AB522" s="6">
        <v>0</v>
      </c>
      <c r="AD522" s="5" t="s">
        <v>80</v>
      </c>
      <c r="AI522" s="5">
        <v>30</v>
      </c>
      <c r="AJ522" s="5">
        <v>46</v>
      </c>
      <c r="AL522" s="6" t="s">
        <v>81</v>
      </c>
      <c r="AQ522" s="6">
        <v>58</v>
      </c>
      <c r="AR522" s="6">
        <v>65</v>
      </c>
    </row>
    <row r="523" spans="1:70" ht="14.25" hidden="1" customHeight="1" x14ac:dyDescent="0.2">
      <c r="A523" s="91">
        <v>590</v>
      </c>
      <c r="B523" s="231" t="s">
        <v>1498</v>
      </c>
      <c r="C523" s="265" t="s">
        <v>1499</v>
      </c>
      <c r="D523" s="231" t="s">
        <v>1503</v>
      </c>
      <c r="E523" s="3" t="s">
        <v>573</v>
      </c>
      <c r="F523" s="26" t="s">
        <v>103</v>
      </c>
      <c r="G523" s="26" t="s">
        <v>56</v>
      </c>
      <c r="H523" s="26" t="s">
        <v>300</v>
      </c>
      <c r="J523" s="22">
        <v>250</v>
      </c>
      <c r="L523" s="28" t="s">
        <v>58</v>
      </c>
      <c r="M523" s="22" t="s">
        <v>59</v>
      </c>
      <c r="N523" s="22">
        <v>0</v>
      </c>
      <c r="O523" s="22" t="s">
        <v>60</v>
      </c>
      <c r="P523" s="22" t="s">
        <v>79</v>
      </c>
      <c r="R523" s="23" t="s">
        <v>1501</v>
      </c>
      <c r="T523" s="23">
        <v>500</v>
      </c>
      <c r="V523" s="25" t="s">
        <v>62</v>
      </c>
      <c r="Z523" s="83" t="s">
        <v>63</v>
      </c>
      <c r="AA523" s="6">
        <v>4</v>
      </c>
      <c r="AB523" s="6">
        <v>0</v>
      </c>
      <c r="AD523" s="5" t="s">
        <v>80</v>
      </c>
      <c r="AI523" s="5">
        <v>30</v>
      </c>
      <c r="AJ523" s="5">
        <v>46</v>
      </c>
      <c r="AL523" s="6" t="s">
        <v>81</v>
      </c>
      <c r="AQ523" s="6">
        <v>58</v>
      </c>
      <c r="AR523" s="6">
        <v>65</v>
      </c>
    </row>
    <row r="524" spans="1:70" ht="14.25" hidden="1" customHeight="1" x14ac:dyDescent="0.2">
      <c r="A524" s="91">
        <v>591</v>
      </c>
      <c r="B524" s="231" t="s">
        <v>1498</v>
      </c>
      <c r="C524" s="265" t="s">
        <v>1499</v>
      </c>
      <c r="D524" s="231" t="s">
        <v>1504</v>
      </c>
      <c r="E524" s="3" t="s">
        <v>573</v>
      </c>
      <c r="F524" s="26" t="s">
        <v>103</v>
      </c>
      <c r="G524" s="26" t="s">
        <v>56</v>
      </c>
      <c r="H524" s="26" t="s">
        <v>300</v>
      </c>
      <c r="J524" s="22">
        <v>250</v>
      </c>
      <c r="L524" s="28" t="s">
        <v>58</v>
      </c>
      <c r="M524" s="22" t="s">
        <v>59</v>
      </c>
      <c r="N524" s="22">
        <v>0</v>
      </c>
      <c r="O524" s="22" t="s">
        <v>60</v>
      </c>
      <c r="P524" s="22" t="s">
        <v>79</v>
      </c>
      <c r="R524" s="23" t="s">
        <v>1501</v>
      </c>
      <c r="T524" s="23">
        <v>50</v>
      </c>
      <c r="V524" s="25" t="s">
        <v>436</v>
      </c>
      <c r="X524" s="106">
        <v>0</v>
      </c>
      <c r="Y524" s="25" t="s">
        <v>1505</v>
      </c>
      <c r="Z524" s="83" t="s">
        <v>63</v>
      </c>
      <c r="AA524" s="6">
        <v>4</v>
      </c>
      <c r="AB524" s="6">
        <v>0</v>
      </c>
      <c r="AD524" s="5" t="s">
        <v>80</v>
      </c>
      <c r="AI524" s="5">
        <v>30</v>
      </c>
      <c r="AJ524" s="5">
        <v>46</v>
      </c>
      <c r="AL524" s="6" t="s">
        <v>81</v>
      </c>
      <c r="AQ524" s="6">
        <v>58</v>
      </c>
      <c r="AR524" s="6">
        <v>65</v>
      </c>
    </row>
    <row r="525" spans="1:70" ht="14.25" hidden="1" customHeight="1" x14ac:dyDescent="0.2">
      <c r="A525" s="205">
        <v>592</v>
      </c>
      <c r="B525" s="231" t="s">
        <v>1542</v>
      </c>
      <c r="C525" s="265" t="s">
        <v>1543</v>
      </c>
      <c r="D525" s="231" t="s">
        <v>1610</v>
      </c>
      <c r="E525" s="3" t="s">
        <v>356</v>
      </c>
      <c r="F525" s="26" t="s">
        <v>55</v>
      </c>
      <c r="G525" s="26" t="s">
        <v>56</v>
      </c>
      <c r="H525" s="26" t="s">
        <v>407</v>
      </c>
      <c r="J525" s="22">
        <v>250</v>
      </c>
      <c r="L525" s="28" t="s">
        <v>58</v>
      </c>
      <c r="M525" s="22" t="s">
        <v>78</v>
      </c>
      <c r="N525" s="22">
        <v>0</v>
      </c>
      <c r="O525" s="22" t="s">
        <v>60</v>
      </c>
      <c r="P525" s="22" t="s">
        <v>79</v>
      </c>
      <c r="Q525" s="23" t="s">
        <v>1843</v>
      </c>
      <c r="R525" s="23" t="s">
        <v>1844</v>
      </c>
      <c r="S525" s="24">
        <v>3</v>
      </c>
      <c r="U525" s="23" t="s">
        <v>1845</v>
      </c>
      <c r="V525" s="25" t="s">
        <v>615</v>
      </c>
      <c r="W525" s="65" t="s">
        <v>732</v>
      </c>
      <c r="Y525" s="25" t="s">
        <v>1846</v>
      </c>
      <c r="Z525" s="83" t="s">
        <v>63</v>
      </c>
      <c r="AA525" s="6">
        <v>24</v>
      </c>
      <c r="AB525" s="6">
        <v>12</v>
      </c>
      <c r="AC525" s="5">
        <v>19.2</v>
      </c>
      <c r="AD525" s="5" t="s">
        <v>80</v>
      </c>
      <c r="AE525" s="5" t="s">
        <v>116</v>
      </c>
      <c r="AF525" s="5">
        <v>1.4</v>
      </c>
      <c r="AG525" s="5" t="s">
        <v>80</v>
      </c>
      <c r="AH525" s="5" t="s">
        <v>117</v>
      </c>
      <c r="AI525" s="5">
        <v>17</v>
      </c>
      <c r="AJ525" s="5">
        <v>23</v>
      </c>
      <c r="AK525" s="6">
        <v>64</v>
      </c>
      <c r="AL525" s="6" t="s">
        <v>81</v>
      </c>
      <c r="AM525" s="6" t="s">
        <v>116</v>
      </c>
      <c r="AN525" s="6">
        <v>9.4</v>
      </c>
      <c r="AO525" s="6" t="s">
        <v>81</v>
      </c>
      <c r="AP525" s="6" t="s">
        <v>117</v>
      </c>
      <c r="AS525" s="5">
        <v>172</v>
      </c>
      <c r="AT525" s="5" t="s">
        <v>119</v>
      </c>
      <c r="AU525" s="5" t="s">
        <v>116</v>
      </c>
      <c r="AV525" s="5">
        <v>8</v>
      </c>
      <c r="AW525" s="5" t="s">
        <v>119</v>
      </c>
      <c r="AX525" s="5" t="s">
        <v>117</v>
      </c>
      <c r="BI525" s="5">
        <v>1.76</v>
      </c>
      <c r="BJ525" s="5" t="s">
        <v>120</v>
      </c>
      <c r="BK525" s="5" t="s">
        <v>116</v>
      </c>
      <c r="BL525" s="5">
        <v>0.16</v>
      </c>
      <c r="BM525" s="5" t="s">
        <v>120</v>
      </c>
      <c r="BN525" s="5" t="s">
        <v>117</v>
      </c>
      <c r="BQ525" s="6" t="s">
        <v>1847</v>
      </c>
      <c r="BR525" s="5" t="s">
        <v>1848</v>
      </c>
    </row>
    <row r="526" spans="1:70" ht="14.25" hidden="1" customHeight="1" x14ac:dyDescent="0.2">
      <c r="A526" s="205">
        <v>593</v>
      </c>
      <c r="B526" s="231" t="s">
        <v>1542</v>
      </c>
      <c r="C526" s="265" t="s">
        <v>1543</v>
      </c>
      <c r="D526" s="231" t="s">
        <v>1606</v>
      </c>
      <c r="E526" s="3" t="s">
        <v>356</v>
      </c>
      <c r="F526" s="26" t="s">
        <v>55</v>
      </c>
      <c r="G526" s="26" t="s">
        <v>56</v>
      </c>
      <c r="H526" s="26" t="s">
        <v>492</v>
      </c>
      <c r="J526" s="22">
        <v>125</v>
      </c>
      <c r="L526" s="28" t="s">
        <v>58</v>
      </c>
      <c r="M526" s="22" t="s">
        <v>78</v>
      </c>
      <c r="N526" s="22">
        <v>0</v>
      </c>
      <c r="O526" s="22" t="s">
        <v>60</v>
      </c>
      <c r="P526" s="22" t="s">
        <v>79</v>
      </c>
      <c r="Q526" s="23" t="s">
        <v>1843</v>
      </c>
      <c r="R526" s="23" t="s">
        <v>1844</v>
      </c>
      <c r="S526" s="24">
        <v>15</v>
      </c>
      <c r="U526" s="23" t="s">
        <v>1845</v>
      </c>
      <c r="V526" s="25" t="s">
        <v>615</v>
      </c>
      <c r="W526" s="65" t="s">
        <v>732</v>
      </c>
      <c r="Y526" s="25" t="s">
        <v>1846</v>
      </c>
      <c r="Z526" s="83" t="s">
        <v>63</v>
      </c>
      <c r="AA526" s="6">
        <v>5</v>
      </c>
      <c r="AB526" s="6">
        <v>2</v>
      </c>
      <c r="AD526" s="5" t="s">
        <v>80</v>
      </c>
      <c r="AI526" s="5">
        <v>19</v>
      </c>
      <c r="AJ526" s="5">
        <v>20</v>
      </c>
      <c r="AL526" s="6" t="s">
        <v>81</v>
      </c>
      <c r="AQ526" s="6">
        <v>61.2</v>
      </c>
      <c r="AR526" s="6">
        <v>77.3</v>
      </c>
      <c r="BQ526" s="6" t="s">
        <v>1847</v>
      </c>
      <c r="BR526" s="5" t="s">
        <v>1849</v>
      </c>
    </row>
    <row r="527" spans="1:70" ht="14.25" hidden="1" customHeight="1" x14ac:dyDescent="0.2">
      <c r="A527" s="205">
        <v>594</v>
      </c>
      <c r="B527" s="231" t="s">
        <v>1542</v>
      </c>
      <c r="C527" s="265" t="s">
        <v>1543</v>
      </c>
      <c r="D527" s="231" t="s">
        <v>1607</v>
      </c>
      <c r="E527" s="3" t="s">
        <v>356</v>
      </c>
      <c r="F527" s="26" t="s">
        <v>55</v>
      </c>
      <c r="G527" s="26" t="s">
        <v>56</v>
      </c>
      <c r="H527" s="26" t="s">
        <v>492</v>
      </c>
      <c r="J527" s="22">
        <v>250</v>
      </c>
      <c r="L527" s="28" t="s">
        <v>58</v>
      </c>
      <c r="M527" s="22" t="s">
        <v>78</v>
      </c>
      <c r="N527" s="22">
        <v>0</v>
      </c>
      <c r="O527" s="22" t="s">
        <v>60</v>
      </c>
      <c r="P527" s="22" t="s">
        <v>79</v>
      </c>
      <c r="Q527" s="23" t="s">
        <v>1843</v>
      </c>
      <c r="R527" s="23" t="s">
        <v>1844</v>
      </c>
      <c r="S527" s="24">
        <v>15</v>
      </c>
      <c r="U527" s="23" t="s">
        <v>1845</v>
      </c>
      <c r="V527" s="25" t="s">
        <v>615</v>
      </c>
      <c r="W527" s="65" t="s">
        <v>732</v>
      </c>
      <c r="Y527" s="25" t="s">
        <v>1846</v>
      </c>
      <c r="Z527" s="83" t="s">
        <v>63</v>
      </c>
      <c r="AA527" s="6">
        <v>5</v>
      </c>
      <c r="AB527" s="6">
        <v>2</v>
      </c>
      <c r="AD527" s="5" t="s">
        <v>80</v>
      </c>
      <c r="AI527" s="5">
        <v>19</v>
      </c>
      <c r="AJ527" s="5">
        <v>20</v>
      </c>
      <c r="AL527" s="6" t="s">
        <v>81</v>
      </c>
      <c r="AQ527" s="6">
        <v>61.2</v>
      </c>
      <c r="AR527" s="6">
        <v>77.3</v>
      </c>
      <c r="BQ527" s="6" t="s">
        <v>1847</v>
      </c>
      <c r="BR527" s="5" t="s">
        <v>1849</v>
      </c>
    </row>
    <row r="528" spans="1:70" ht="14.25" hidden="1" x14ac:dyDescent="0.2">
      <c r="A528" s="205">
        <v>595</v>
      </c>
      <c r="B528" s="231" t="s">
        <v>1542</v>
      </c>
      <c r="C528" s="265" t="s">
        <v>1543</v>
      </c>
      <c r="D528" s="231" t="s">
        <v>1608</v>
      </c>
      <c r="E528" s="3" t="s">
        <v>356</v>
      </c>
      <c r="F528" s="181" t="s">
        <v>55</v>
      </c>
      <c r="G528" s="181" t="s">
        <v>56</v>
      </c>
      <c r="H528" s="26" t="s">
        <v>492</v>
      </c>
      <c r="J528" s="22">
        <v>500</v>
      </c>
      <c r="L528" s="28" t="s">
        <v>58</v>
      </c>
      <c r="M528" s="22" t="s">
        <v>78</v>
      </c>
      <c r="N528" s="22">
        <v>0</v>
      </c>
      <c r="O528" s="22" t="s">
        <v>60</v>
      </c>
      <c r="P528" s="22" t="s">
        <v>79</v>
      </c>
      <c r="Q528" s="23" t="s">
        <v>1843</v>
      </c>
      <c r="R528" s="23" t="s">
        <v>1844</v>
      </c>
      <c r="S528" s="24">
        <v>15</v>
      </c>
      <c r="U528" s="23" t="s">
        <v>1845</v>
      </c>
      <c r="V528" s="25" t="s">
        <v>615</v>
      </c>
      <c r="W528" s="65" t="s">
        <v>732</v>
      </c>
      <c r="Y528" s="25" t="s">
        <v>1846</v>
      </c>
      <c r="Z528" s="83" t="s">
        <v>63</v>
      </c>
      <c r="AA528" s="6">
        <v>4</v>
      </c>
      <c r="AB528" s="6">
        <v>1</v>
      </c>
      <c r="AD528" s="5" t="s">
        <v>80</v>
      </c>
      <c r="AI528" s="5">
        <v>19</v>
      </c>
      <c r="AJ528" s="5">
        <v>20</v>
      </c>
      <c r="AL528" s="6" t="s">
        <v>81</v>
      </c>
      <c r="AQ528" s="6">
        <v>61.2</v>
      </c>
      <c r="AR528" s="6">
        <v>77.3</v>
      </c>
      <c r="BQ528" s="6" t="s">
        <v>1847</v>
      </c>
      <c r="BR528" s="5" t="s">
        <v>1849</v>
      </c>
    </row>
    <row r="529" spans="1:70" ht="14.25" hidden="1" x14ac:dyDescent="0.2">
      <c r="A529" s="205">
        <v>596</v>
      </c>
      <c r="B529" s="231" t="s">
        <v>1542</v>
      </c>
      <c r="C529" s="265" t="s">
        <v>1543</v>
      </c>
      <c r="D529" s="231" t="s">
        <v>1609</v>
      </c>
      <c r="E529" s="125" t="s">
        <v>356</v>
      </c>
      <c r="F529" s="181" t="s">
        <v>55</v>
      </c>
      <c r="G529" s="181" t="s">
        <v>56</v>
      </c>
      <c r="H529" s="181" t="s">
        <v>492</v>
      </c>
      <c r="J529" s="22">
        <v>900</v>
      </c>
      <c r="L529" s="28" t="s">
        <v>58</v>
      </c>
      <c r="M529" s="22" t="s">
        <v>78</v>
      </c>
      <c r="N529" s="22">
        <v>0</v>
      </c>
      <c r="O529" s="22" t="s">
        <v>60</v>
      </c>
      <c r="P529" s="22" t="s">
        <v>79</v>
      </c>
      <c r="Q529" s="23" t="s">
        <v>1843</v>
      </c>
      <c r="R529" s="23" t="s">
        <v>1844</v>
      </c>
      <c r="S529" s="24">
        <v>15</v>
      </c>
      <c r="U529" s="23" t="s">
        <v>1845</v>
      </c>
      <c r="V529" s="25" t="s">
        <v>615</v>
      </c>
      <c r="W529" s="65" t="s">
        <v>732</v>
      </c>
      <c r="Y529" s="25" t="s">
        <v>1846</v>
      </c>
      <c r="Z529" s="83" t="s">
        <v>63</v>
      </c>
      <c r="AA529" s="6">
        <v>3</v>
      </c>
      <c r="AB529" s="6">
        <v>1</v>
      </c>
      <c r="AD529" s="5" t="s">
        <v>80</v>
      </c>
      <c r="AI529" s="5">
        <v>19</v>
      </c>
      <c r="AJ529" s="5">
        <v>19</v>
      </c>
      <c r="AL529" s="6" t="s">
        <v>81</v>
      </c>
      <c r="AQ529" s="6">
        <v>62.2</v>
      </c>
      <c r="AR529" s="6">
        <v>77.3</v>
      </c>
      <c r="BQ529" s="6" t="s">
        <v>1847</v>
      </c>
      <c r="BR529" s="5" t="s">
        <v>1849</v>
      </c>
    </row>
    <row r="530" spans="1:70" ht="14.25" hidden="1" x14ac:dyDescent="0.2">
      <c r="A530" s="205">
        <v>597</v>
      </c>
      <c r="B530" s="231" t="s">
        <v>1544</v>
      </c>
      <c r="C530" s="265" t="s">
        <v>1545</v>
      </c>
      <c r="D530" s="231" t="s">
        <v>1546</v>
      </c>
      <c r="E530" s="125" t="s">
        <v>356</v>
      </c>
      <c r="F530" s="181" t="s">
        <v>55</v>
      </c>
      <c r="G530" s="181" t="s">
        <v>56</v>
      </c>
      <c r="H530" s="181" t="s">
        <v>57</v>
      </c>
      <c r="J530" s="22">
        <v>500</v>
      </c>
      <c r="L530" s="28" t="s">
        <v>58</v>
      </c>
      <c r="M530" s="22" t="s">
        <v>78</v>
      </c>
      <c r="N530" s="22">
        <v>0</v>
      </c>
      <c r="O530" s="22" t="s">
        <v>60</v>
      </c>
      <c r="P530" s="22" t="s">
        <v>79</v>
      </c>
      <c r="Q530" s="23" t="s">
        <v>1850</v>
      </c>
      <c r="R530" s="23" t="s">
        <v>1851</v>
      </c>
      <c r="S530" s="24">
        <v>30</v>
      </c>
      <c r="Z530" s="83" t="s">
        <v>63</v>
      </c>
      <c r="AA530" s="6">
        <v>6</v>
      </c>
      <c r="AB530" s="6">
        <v>1</v>
      </c>
      <c r="AC530" s="5">
        <v>24.5</v>
      </c>
      <c r="AD530" s="5" t="s">
        <v>80</v>
      </c>
      <c r="AE530" s="5" t="s">
        <v>116</v>
      </c>
      <c r="AF530" s="5">
        <v>1.6</v>
      </c>
      <c r="AG530" s="5" t="s">
        <v>80</v>
      </c>
      <c r="AH530" s="5" t="s">
        <v>1852</v>
      </c>
      <c r="AK530" s="6">
        <v>64</v>
      </c>
      <c r="AL530" s="6" t="s">
        <v>81</v>
      </c>
      <c r="AM530" s="6" t="s">
        <v>116</v>
      </c>
      <c r="AN530" s="6">
        <v>7.2</v>
      </c>
      <c r="AO530" s="6" t="s">
        <v>81</v>
      </c>
      <c r="AP530" s="6" t="s">
        <v>1852</v>
      </c>
      <c r="BQ530" s="6" t="s">
        <v>184</v>
      </c>
      <c r="BR530" s="5" t="s">
        <v>1853</v>
      </c>
    </row>
    <row r="531" spans="1:70" ht="14.25" hidden="1" x14ac:dyDescent="0.2">
      <c r="A531" s="205">
        <v>598</v>
      </c>
      <c r="B531" s="231" t="s">
        <v>1544</v>
      </c>
      <c r="C531" s="265" t="s">
        <v>1545</v>
      </c>
      <c r="D531" s="231" t="s">
        <v>1547</v>
      </c>
      <c r="E531" s="125" t="s">
        <v>356</v>
      </c>
      <c r="F531" s="181" t="s">
        <v>55</v>
      </c>
      <c r="G531" s="181" t="s">
        <v>56</v>
      </c>
      <c r="H531" s="181" t="s">
        <v>66</v>
      </c>
      <c r="J531" s="22">
        <v>500</v>
      </c>
      <c r="L531" s="28" t="s">
        <v>58</v>
      </c>
      <c r="M531" s="22" t="s">
        <v>78</v>
      </c>
      <c r="N531" s="22">
        <v>0</v>
      </c>
      <c r="O531" s="22" t="s">
        <v>60</v>
      </c>
      <c r="P531" s="22" t="s">
        <v>79</v>
      </c>
      <c r="Q531" s="23" t="s">
        <v>1850</v>
      </c>
      <c r="R531" s="23" t="s">
        <v>1851</v>
      </c>
      <c r="S531" s="24">
        <v>30</v>
      </c>
      <c r="Z531" s="83" t="s">
        <v>63</v>
      </c>
      <c r="AA531" s="6">
        <v>6</v>
      </c>
      <c r="AB531" s="6">
        <v>1</v>
      </c>
      <c r="AC531" s="5">
        <v>24.5</v>
      </c>
      <c r="AD531" s="5" t="s">
        <v>80</v>
      </c>
      <c r="AE531" s="5" t="s">
        <v>116</v>
      </c>
      <c r="AF531" s="5">
        <v>1.6</v>
      </c>
      <c r="AG531" s="5" t="s">
        <v>80</v>
      </c>
      <c r="AH531" s="5" t="s">
        <v>1852</v>
      </c>
      <c r="AK531" s="6">
        <v>64</v>
      </c>
      <c r="AL531" s="6" t="s">
        <v>81</v>
      </c>
      <c r="AM531" s="6" t="s">
        <v>116</v>
      </c>
      <c r="AN531" s="6">
        <v>7.2</v>
      </c>
      <c r="AO531" s="6" t="s">
        <v>81</v>
      </c>
      <c r="AP531" s="6" t="s">
        <v>1852</v>
      </c>
      <c r="BQ531" s="6" t="s">
        <v>184</v>
      </c>
      <c r="BR531" s="5" t="s">
        <v>1853</v>
      </c>
    </row>
    <row r="532" spans="1:70" ht="14.25" hidden="1" x14ac:dyDescent="0.2">
      <c r="A532" s="205">
        <v>599</v>
      </c>
      <c r="B532" s="231" t="s">
        <v>1548</v>
      </c>
      <c r="C532" s="265" t="s">
        <v>1549</v>
      </c>
      <c r="D532" s="231" t="s">
        <v>1550</v>
      </c>
      <c r="E532" s="125" t="s">
        <v>356</v>
      </c>
      <c r="F532" s="181" t="s">
        <v>103</v>
      </c>
      <c r="G532" s="181" t="s">
        <v>56</v>
      </c>
      <c r="H532" s="181" t="s">
        <v>57</v>
      </c>
      <c r="J532" s="22">
        <v>250</v>
      </c>
      <c r="L532" s="28" t="s">
        <v>58</v>
      </c>
      <c r="M532" s="22" t="s">
        <v>59</v>
      </c>
      <c r="N532" s="22">
        <v>0</v>
      </c>
      <c r="O532" s="22" t="s">
        <v>60</v>
      </c>
      <c r="P532" s="22" t="s">
        <v>79</v>
      </c>
      <c r="Q532" s="23" t="s">
        <v>1854</v>
      </c>
      <c r="R532" s="23" t="s">
        <v>1855</v>
      </c>
      <c r="T532" s="23">
        <v>100</v>
      </c>
      <c r="V532" s="25" t="s">
        <v>615</v>
      </c>
      <c r="W532" s="65" t="s">
        <v>655</v>
      </c>
      <c r="X532" s="106" t="s">
        <v>203</v>
      </c>
      <c r="Y532" s="25" t="s">
        <v>1856</v>
      </c>
      <c r="Z532" s="83" t="s">
        <v>63</v>
      </c>
      <c r="AA532" s="6">
        <v>12</v>
      </c>
      <c r="AB532" s="6">
        <v>0</v>
      </c>
      <c r="AC532" s="5">
        <v>20.8</v>
      </c>
      <c r="AD532" s="5" t="s">
        <v>80</v>
      </c>
      <c r="AE532" s="5" t="s">
        <v>116</v>
      </c>
      <c r="AF532" s="5">
        <v>2.5</v>
      </c>
      <c r="AG532" s="5" t="s">
        <v>80</v>
      </c>
      <c r="AH532" s="5" t="s">
        <v>117</v>
      </c>
      <c r="AI532" s="5">
        <v>18</v>
      </c>
      <c r="AJ532" s="5">
        <v>28</v>
      </c>
      <c r="AK532" s="6">
        <v>70.3</v>
      </c>
      <c r="AL532" s="6" t="s">
        <v>81</v>
      </c>
      <c r="AM532" s="6" t="s">
        <v>116</v>
      </c>
      <c r="AN532" s="6">
        <v>5.3</v>
      </c>
      <c r="AO532" s="6" t="s">
        <v>81</v>
      </c>
      <c r="AP532" s="6" t="s">
        <v>117</v>
      </c>
      <c r="AQ532" s="6">
        <v>64</v>
      </c>
      <c r="AR532" s="6">
        <v>83</v>
      </c>
      <c r="BQ532" s="6" t="s">
        <v>1847</v>
      </c>
    </row>
    <row r="533" spans="1:70" ht="14.25" hidden="1" x14ac:dyDescent="0.2">
      <c r="A533" s="205">
        <v>600</v>
      </c>
      <c r="B533" s="231" t="s">
        <v>1548</v>
      </c>
      <c r="C533" s="265" t="s">
        <v>1549</v>
      </c>
      <c r="D533" s="231" t="s">
        <v>1551</v>
      </c>
      <c r="E533" s="125" t="s">
        <v>356</v>
      </c>
      <c r="F533" s="181" t="s">
        <v>103</v>
      </c>
      <c r="G533" s="181" t="s">
        <v>56</v>
      </c>
      <c r="H533" s="26" t="s">
        <v>66</v>
      </c>
      <c r="J533" s="22">
        <v>250</v>
      </c>
      <c r="L533" s="28" t="s">
        <v>58</v>
      </c>
      <c r="M533" s="22" t="s">
        <v>59</v>
      </c>
      <c r="N533" s="22" t="s">
        <v>1857</v>
      </c>
      <c r="O533" s="22" t="s">
        <v>60</v>
      </c>
      <c r="P533" s="22" t="s">
        <v>1858</v>
      </c>
      <c r="Q533" s="23" t="s">
        <v>1854</v>
      </c>
      <c r="R533" s="23" t="s">
        <v>1855</v>
      </c>
      <c r="T533" s="23" t="s">
        <v>1859</v>
      </c>
      <c r="V533" s="25" t="s">
        <v>615</v>
      </c>
      <c r="W533" s="65" t="s">
        <v>1860</v>
      </c>
      <c r="X533" s="106" t="s">
        <v>1861</v>
      </c>
      <c r="Y533" s="25" t="s">
        <v>1862</v>
      </c>
      <c r="Z533" s="83" t="s">
        <v>63</v>
      </c>
      <c r="AA533" s="6">
        <v>12</v>
      </c>
      <c r="AB533" s="6">
        <v>0</v>
      </c>
      <c r="AC533" s="5">
        <v>20.8</v>
      </c>
      <c r="AD533" s="5" t="s">
        <v>80</v>
      </c>
      <c r="AE533" s="5" t="s">
        <v>116</v>
      </c>
      <c r="AF533" s="5">
        <v>2.5</v>
      </c>
      <c r="AG533" s="5" t="s">
        <v>80</v>
      </c>
      <c r="AH533" s="5" t="s">
        <v>117</v>
      </c>
      <c r="AI533" s="5">
        <v>18</v>
      </c>
      <c r="AJ533" s="5">
        <v>28</v>
      </c>
      <c r="AK533" s="6">
        <v>70.3</v>
      </c>
      <c r="AL533" s="6" t="s">
        <v>81</v>
      </c>
      <c r="AM533" s="6" t="s">
        <v>116</v>
      </c>
      <c r="AN533" s="6">
        <v>5.3</v>
      </c>
      <c r="AO533" s="6" t="s">
        <v>81</v>
      </c>
      <c r="AP533" s="6" t="s">
        <v>117</v>
      </c>
      <c r="AQ533" s="6">
        <v>64</v>
      </c>
      <c r="AR533" s="6">
        <v>83</v>
      </c>
      <c r="BQ533" s="6" t="s">
        <v>1847</v>
      </c>
    </row>
    <row r="534" spans="1:70" ht="14.25" hidden="1" x14ac:dyDescent="0.2">
      <c r="A534" s="205">
        <v>601</v>
      </c>
      <c r="B534" s="231" t="s">
        <v>1554</v>
      </c>
      <c r="C534" s="265" t="s">
        <v>1555</v>
      </c>
      <c r="D534" s="231" t="s">
        <v>1552</v>
      </c>
      <c r="E534" s="125" t="s">
        <v>356</v>
      </c>
      <c r="F534" s="181" t="s">
        <v>55</v>
      </c>
      <c r="G534" s="181" t="s">
        <v>56</v>
      </c>
      <c r="H534" s="181" t="s">
        <v>57</v>
      </c>
      <c r="J534" s="22">
        <v>500</v>
      </c>
      <c r="L534" s="28" t="s">
        <v>58</v>
      </c>
      <c r="M534" s="22" t="s">
        <v>59</v>
      </c>
      <c r="N534" s="22">
        <v>0</v>
      </c>
      <c r="O534" s="22" t="s">
        <v>60</v>
      </c>
      <c r="P534" s="22" t="s">
        <v>1863</v>
      </c>
      <c r="Q534" s="23" t="s">
        <v>1864</v>
      </c>
      <c r="R534" s="23" t="s">
        <v>1865</v>
      </c>
      <c r="V534" s="25" t="s">
        <v>615</v>
      </c>
      <c r="W534" s="65" t="s">
        <v>1866</v>
      </c>
      <c r="X534" s="106" t="s">
        <v>334</v>
      </c>
      <c r="Y534" s="25" t="s">
        <v>1867</v>
      </c>
      <c r="Z534" s="83" t="s">
        <v>63</v>
      </c>
      <c r="AA534" s="6">
        <v>21</v>
      </c>
      <c r="BQ534" s="6" t="s">
        <v>214</v>
      </c>
    </row>
    <row r="535" spans="1:70" ht="14.25" hidden="1" customHeight="1" x14ac:dyDescent="0.2">
      <c r="A535" s="205">
        <v>602</v>
      </c>
      <c r="B535" s="231" t="s">
        <v>1554</v>
      </c>
      <c r="C535" s="265" t="s">
        <v>1555</v>
      </c>
      <c r="D535" s="231" t="s">
        <v>1553</v>
      </c>
      <c r="E535" s="125" t="s">
        <v>356</v>
      </c>
      <c r="F535" s="181" t="s">
        <v>55</v>
      </c>
      <c r="G535" s="181" t="s">
        <v>56</v>
      </c>
      <c r="H535" s="26" t="s">
        <v>66</v>
      </c>
      <c r="J535" s="22">
        <v>500</v>
      </c>
      <c r="L535" s="28" t="s">
        <v>58</v>
      </c>
      <c r="M535" s="22" t="s">
        <v>59</v>
      </c>
      <c r="N535" s="22">
        <v>0</v>
      </c>
      <c r="O535" s="22" t="s">
        <v>60</v>
      </c>
      <c r="P535" s="22" t="s">
        <v>1863</v>
      </c>
      <c r="Q535" s="23" t="s">
        <v>1864</v>
      </c>
      <c r="R535" s="23" t="s">
        <v>1865</v>
      </c>
      <c r="V535" s="25" t="s">
        <v>615</v>
      </c>
      <c r="W535" s="65">
        <v>2</v>
      </c>
      <c r="X535" s="106" t="s">
        <v>334</v>
      </c>
      <c r="Y535" s="25" t="s">
        <v>1867</v>
      </c>
      <c r="Z535" s="83" t="s">
        <v>63</v>
      </c>
      <c r="AA535" s="6">
        <v>12</v>
      </c>
      <c r="BQ535" s="6" t="s">
        <v>214</v>
      </c>
    </row>
    <row r="536" spans="1:70" ht="14.25" hidden="1" customHeight="1" x14ac:dyDescent="0.2">
      <c r="A536" s="205">
        <v>603</v>
      </c>
      <c r="B536" s="231" t="s">
        <v>1556</v>
      </c>
      <c r="C536" s="265" t="s">
        <v>1557</v>
      </c>
      <c r="D536" s="231" t="s">
        <v>1559</v>
      </c>
      <c r="E536" s="3" t="s">
        <v>356</v>
      </c>
      <c r="F536" s="181" t="s">
        <v>103</v>
      </c>
      <c r="G536" s="181" t="s">
        <v>56</v>
      </c>
      <c r="H536" s="26" t="s">
        <v>1558</v>
      </c>
      <c r="J536" s="22">
        <v>1000</v>
      </c>
      <c r="L536" s="28" t="s">
        <v>58</v>
      </c>
      <c r="M536" s="22" t="s">
        <v>78</v>
      </c>
      <c r="N536" s="22">
        <v>0</v>
      </c>
      <c r="O536" s="22" t="s">
        <v>60</v>
      </c>
      <c r="P536" s="22" t="s">
        <v>79</v>
      </c>
      <c r="Q536" s="23" t="s">
        <v>1843</v>
      </c>
      <c r="R536" s="23" t="s">
        <v>1868</v>
      </c>
      <c r="S536" s="24">
        <v>60</v>
      </c>
      <c r="U536" s="23" t="s">
        <v>1869</v>
      </c>
      <c r="Z536" s="83" t="s">
        <v>63</v>
      </c>
      <c r="AA536" s="6">
        <v>12</v>
      </c>
      <c r="AB536" s="6">
        <v>3</v>
      </c>
      <c r="AC536" s="5">
        <v>38.700000000000003</v>
      </c>
      <c r="AD536" s="5" t="s">
        <v>80</v>
      </c>
      <c r="AE536" s="5" t="s">
        <v>335</v>
      </c>
      <c r="AI536" s="5">
        <v>27</v>
      </c>
      <c r="AJ536" s="5">
        <v>48</v>
      </c>
      <c r="AK536" s="6">
        <v>78.7</v>
      </c>
      <c r="AL536" s="6" t="s">
        <v>81</v>
      </c>
      <c r="AM536" s="6" t="s">
        <v>335</v>
      </c>
      <c r="AQ536" s="6">
        <v>64.3</v>
      </c>
      <c r="AR536" s="6">
        <v>99</v>
      </c>
      <c r="AS536" s="5">
        <v>179</v>
      </c>
      <c r="AT536" s="5" t="s">
        <v>119</v>
      </c>
      <c r="AU536" s="5" t="s">
        <v>335</v>
      </c>
      <c r="AY536" s="5">
        <v>166</v>
      </c>
      <c r="AZ536" s="5">
        <v>198</v>
      </c>
      <c r="BA536" s="6">
        <v>24.4</v>
      </c>
      <c r="BB536" s="6" t="s">
        <v>367</v>
      </c>
      <c r="BC536" s="6" t="s">
        <v>335</v>
      </c>
      <c r="BG536" s="6">
        <v>21.2</v>
      </c>
      <c r="BH536" s="6">
        <v>27.3</v>
      </c>
      <c r="BQ536" s="6" t="s">
        <v>195</v>
      </c>
      <c r="BR536" s="5" t="s">
        <v>1870</v>
      </c>
    </row>
    <row r="537" spans="1:70" ht="14.25" hidden="1" customHeight="1" x14ac:dyDescent="0.2">
      <c r="A537" s="205">
        <v>604</v>
      </c>
      <c r="B537" s="231" t="s">
        <v>1560</v>
      </c>
      <c r="C537" s="265" t="s">
        <v>1561</v>
      </c>
      <c r="D537" s="231" t="s">
        <v>1562</v>
      </c>
      <c r="E537" s="3" t="s">
        <v>356</v>
      </c>
      <c r="F537" s="181" t="s">
        <v>55</v>
      </c>
      <c r="G537" s="181" t="s">
        <v>56</v>
      </c>
      <c r="H537" s="26" t="s">
        <v>157</v>
      </c>
      <c r="J537" s="22">
        <v>500</v>
      </c>
      <c r="L537" s="28" t="s">
        <v>58</v>
      </c>
      <c r="M537" s="22" t="s">
        <v>59</v>
      </c>
      <c r="N537" s="22" t="s">
        <v>1871</v>
      </c>
      <c r="O537" s="22" t="s">
        <v>60</v>
      </c>
      <c r="P537" s="22" t="s">
        <v>1872</v>
      </c>
      <c r="Q537" s="23" t="s">
        <v>1873</v>
      </c>
      <c r="R537" s="23" t="s">
        <v>1874</v>
      </c>
      <c r="Z537" s="83" t="s">
        <v>63</v>
      </c>
      <c r="AA537" s="6">
        <v>6</v>
      </c>
      <c r="AB537" s="6">
        <v>4</v>
      </c>
      <c r="AD537" s="5" t="s">
        <v>80</v>
      </c>
      <c r="AI537" s="5">
        <v>20</v>
      </c>
      <c r="AJ537" s="5">
        <v>32</v>
      </c>
      <c r="AL537" s="6" t="s">
        <v>81</v>
      </c>
      <c r="AQ537" s="6">
        <v>52</v>
      </c>
      <c r="AR537" s="6">
        <v>75</v>
      </c>
      <c r="BQ537" s="6" t="s">
        <v>1875</v>
      </c>
      <c r="BR537" s="5" t="s">
        <v>1876</v>
      </c>
    </row>
    <row r="538" spans="1:70" ht="14.25" hidden="1" customHeight="1" x14ac:dyDescent="0.2">
      <c r="A538" s="205">
        <v>605</v>
      </c>
      <c r="B538" s="231" t="s">
        <v>1563</v>
      </c>
      <c r="C538" s="265" t="s">
        <v>1564</v>
      </c>
      <c r="D538" s="231" t="s">
        <v>1565</v>
      </c>
      <c r="E538" s="3" t="s">
        <v>356</v>
      </c>
      <c r="F538" s="181" t="s">
        <v>55</v>
      </c>
      <c r="G538" s="181" t="s">
        <v>56</v>
      </c>
      <c r="H538" s="26" t="s">
        <v>57</v>
      </c>
      <c r="J538" s="22">
        <v>250</v>
      </c>
      <c r="L538" s="28" t="s">
        <v>58</v>
      </c>
      <c r="M538" s="22" t="s">
        <v>59</v>
      </c>
      <c r="N538" s="22">
        <v>0</v>
      </c>
      <c r="O538" s="22" t="s">
        <v>60</v>
      </c>
      <c r="P538" s="22" t="s">
        <v>79</v>
      </c>
      <c r="Q538" s="23" t="s">
        <v>1877</v>
      </c>
      <c r="R538" s="23" t="s">
        <v>1878</v>
      </c>
      <c r="T538" s="23">
        <v>200</v>
      </c>
      <c r="V538" s="25" t="s">
        <v>615</v>
      </c>
      <c r="W538" s="65" t="s">
        <v>1879</v>
      </c>
      <c r="X538" s="106" t="s">
        <v>1880</v>
      </c>
      <c r="Y538" s="25" t="s">
        <v>1881</v>
      </c>
      <c r="Z538" s="83" t="s">
        <v>63</v>
      </c>
      <c r="AA538" s="6">
        <v>23</v>
      </c>
      <c r="AB538" s="6">
        <v>0</v>
      </c>
      <c r="AC538" s="5">
        <v>26.4</v>
      </c>
      <c r="AD538" s="5" t="s">
        <v>80</v>
      </c>
      <c r="AE538" s="5" t="s">
        <v>335</v>
      </c>
      <c r="AI538" s="5">
        <v>22</v>
      </c>
      <c r="AJ538" s="5">
        <v>36</v>
      </c>
      <c r="AK538" s="6">
        <v>76.7</v>
      </c>
      <c r="AL538" s="6" t="s">
        <v>81</v>
      </c>
      <c r="AM538" s="6" t="s">
        <v>335</v>
      </c>
      <c r="AQ538" s="6">
        <v>63</v>
      </c>
      <c r="AR538" s="6">
        <v>92</v>
      </c>
      <c r="BQ538" s="6" t="s">
        <v>1882</v>
      </c>
      <c r="BR538" s="5" t="s">
        <v>1883</v>
      </c>
    </row>
    <row r="539" spans="1:70" ht="14.25" hidden="1" customHeight="1" x14ac:dyDescent="0.2">
      <c r="A539" s="205">
        <v>606</v>
      </c>
      <c r="B539" s="231" t="s">
        <v>1563</v>
      </c>
      <c r="C539" s="265" t="s">
        <v>1564</v>
      </c>
      <c r="D539" s="231" t="s">
        <v>1566</v>
      </c>
      <c r="E539" s="3" t="s">
        <v>356</v>
      </c>
      <c r="F539" s="26" t="s">
        <v>55</v>
      </c>
      <c r="G539" s="26" t="s">
        <v>56</v>
      </c>
      <c r="H539" s="26" t="s">
        <v>57</v>
      </c>
      <c r="J539" s="22">
        <v>500</v>
      </c>
      <c r="L539" s="28" t="s">
        <v>58</v>
      </c>
      <c r="M539" s="22" t="s">
        <v>59</v>
      </c>
      <c r="N539" s="22">
        <v>0</v>
      </c>
      <c r="O539" s="22" t="s">
        <v>60</v>
      </c>
      <c r="P539" s="22" t="s">
        <v>79</v>
      </c>
      <c r="Q539" s="23" t="s">
        <v>1877</v>
      </c>
      <c r="R539" s="23" t="s">
        <v>1878</v>
      </c>
      <c r="T539" s="23">
        <v>200</v>
      </c>
      <c r="V539" s="25" t="s">
        <v>615</v>
      </c>
      <c r="W539" s="65" t="s">
        <v>1879</v>
      </c>
      <c r="X539" s="106" t="s">
        <v>1880</v>
      </c>
      <c r="Y539" s="25" t="s">
        <v>1881</v>
      </c>
      <c r="Z539" s="83" t="s">
        <v>63</v>
      </c>
      <c r="AA539" s="6">
        <v>23</v>
      </c>
      <c r="AB539" s="6">
        <v>0</v>
      </c>
      <c r="AC539" s="5">
        <v>26.4</v>
      </c>
      <c r="AD539" s="5" t="s">
        <v>80</v>
      </c>
      <c r="AE539" s="5" t="s">
        <v>335</v>
      </c>
      <c r="AI539" s="5">
        <v>22</v>
      </c>
      <c r="AJ539" s="5">
        <v>36</v>
      </c>
      <c r="AK539" s="6">
        <v>76.7</v>
      </c>
      <c r="AL539" s="6" t="s">
        <v>81</v>
      </c>
      <c r="AM539" s="6" t="s">
        <v>335</v>
      </c>
      <c r="AQ539" s="6">
        <v>63</v>
      </c>
      <c r="AR539" s="6">
        <v>92</v>
      </c>
      <c r="BQ539" s="6" t="s">
        <v>1882</v>
      </c>
      <c r="BR539" s="5" t="s">
        <v>1883</v>
      </c>
    </row>
    <row r="540" spans="1:70" ht="14.25" hidden="1" customHeight="1" x14ac:dyDescent="0.2">
      <c r="A540" s="205">
        <v>607</v>
      </c>
      <c r="B540" s="231" t="s">
        <v>1563</v>
      </c>
      <c r="C540" s="265" t="s">
        <v>1564</v>
      </c>
      <c r="D540" s="231" t="s">
        <v>1567</v>
      </c>
      <c r="E540" s="3" t="s">
        <v>356</v>
      </c>
      <c r="F540" s="26" t="s">
        <v>55</v>
      </c>
      <c r="G540" s="26" t="s">
        <v>56</v>
      </c>
      <c r="H540" s="26" t="s">
        <v>57</v>
      </c>
      <c r="J540" s="22">
        <v>1000</v>
      </c>
      <c r="L540" s="28" t="s">
        <v>58</v>
      </c>
      <c r="M540" s="22" t="s">
        <v>59</v>
      </c>
      <c r="N540" s="22">
        <v>0</v>
      </c>
      <c r="O540" s="22" t="s">
        <v>60</v>
      </c>
      <c r="P540" s="22" t="s">
        <v>79</v>
      </c>
      <c r="Q540" s="23" t="s">
        <v>1877</v>
      </c>
      <c r="R540" s="23" t="s">
        <v>1878</v>
      </c>
      <c r="T540" s="23">
        <v>200</v>
      </c>
      <c r="V540" s="25" t="s">
        <v>615</v>
      </c>
      <c r="W540" s="65" t="s">
        <v>1879</v>
      </c>
      <c r="X540" s="106" t="s">
        <v>1880</v>
      </c>
      <c r="Y540" s="25" t="s">
        <v>1881</v>
      </c>
      <c r="Z540" s="83" t="s">
        <v>63</v>
      </c>
      <c r="AA540" s="6">
        <v>23</v>
      </c>
      <c r="AB540" s="6">
        <v>0</v>
      </c>
      <c r="AC540" s="5">
        <v>26.4</v>
      </c>
      <c r="AD540" s="5" t="s">
        <v>80</v>
      </c>
      <c r="AE540" s="5" t="s">
        <v>335</v>
      </c>
      <c r="AI540" s="5">
        <v>22</v>
      </c>
      <c r="AJ540" s="5">
        <v>36</v>
      </c>
      <c r="AK540" s="6">
        <v>76.7</v>
      </c>
      <c r="AL540" s="6" t="s">
        <v>81</v>
      </c>
      <c r="AM540" s="6" t="s">
        <v>335</v>
      </c>
      <c r="AQ540" s="6">
        <v>63</v>
      </c>
      <c r="AR540" s="6">
        <v>92</v>
      </c>
      <c r="BQ540" s="6" t="s">
        <v>1882</v>
      </c>
      <c r="BR540" s="5" t="s">
        <v>1883</v>
      </c>
    </row>
    <row r="541" spans="1:70" ht="14.25" hidden="1" x14ac:dyDescent="0.2">
      <c r="A541" s="205">
        <v>608</v>
      </c>
      <c r="B541" s="231" t="s">
        <v>1563</v>
      </c>
      <c r="C541" s="265" t="s">
        <v>1564</v>
      </c>
      <c r="D541" s="231" t="s">
        <v>1568</v>
      </c>
      <c r="E541" s="3" t="s">
        <v>356</v>
      </c>
      <c r="F541" s="26" t="s">
        <v>55</v>
      </c>
      <c r="G541" s="181" t="s">
        <v>56</v>
      </c>
      <c r="H541" s="26" t="s">
        <v>57</v>
      </c>
      <c r="J541" s="22">
        <v>500</v>
      </c>
      <c r="L541" s="28" t="s">
        <v>58</v>
      </c>
      <c r="M541" s="22" t="s">
        <v>59</v>
      </c>
      <c r="N541" s="22">
        <v>0</v>
      </c>
      <c r="O541" s="22" t="s">
        <v>60</v>
      </c>
      <c r="P541" s="22" t="s">
        <v>79</v>
      </c>
      <c r="Q541" s="23" t="s">
        <v>1884</v>
      </c>
      <c r="R541" s="23" t="s">
        <v>1885</v>
      </c>
      <c r="T541" s="23">
        <v>200</v>
      </c>
      <c r="V541" s="25" t="s">
        <v>615</v>
      </c>
      <c r="W541" s="65" t="s">
        <v>1879</v>
      </c>
      <c r="X541" s="106" t="s">
        <v>1880</v>
      </c>
      <c r="Y541" s="25" t="s">
        <v>1881</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1882</v>
      </c>
      <c r="BR541" s="5" t="s">
        <v>1883</v>
      </c>
    </row>
    <row r="542" spans="1:70" ht="14.25" hidden="1" x14ac:dyDescent="0.2">
      <c r="A542" s="205">
        <v>609</v>
      </c>
      <c r="B542" s="231" t="s">
        <v>1569</v>
      </c>
      <c r="C542" s="265" t="s">
        <v>1570</v>
      </c>
      <c r="D542" s="231" t="s">
        <v>1571</v>
      </c>
      <c r="E542" s="3" t="s">
        <v>356</v>
      </c>
      <c r="F542" s="26" t="s">
        <v>55</v>
      </c>
      <c r="G542" s="181" t="s">
        <v>56</v>
      </c>
      <c r="H542" s="181" t="s">
        <v>66</v>
      </c>
      <c r="J542" s="22">
        <v>500</v>
      </c>
      <c r="L542" s="28" t="s">
        <v>58</v>
      </c>
      <c r="M542" s="22" t="s">
        <v>59</v>
      </c>
      <c r="N542" s="22">
        <v>0</v>
      </c>
      <c r="O542" s="22" t="s">
        <v>60</v>
      </c>
      <c r="P542" s="22" t="s">
        <v>79</v>
      </c>
      <c r="Q542" s="23" t="s">
        <v>1873</v>
      </c>
      <c r="R542" s="23" t="s">
        <v>1886</v>
      </c>
      <c r="T542" s="23">
        <v>300</v>
      </c>
      <c r="V542" s="25" t="s">
        <v>615</v>
      </c>
      <c r="W542" s="65" t="s">
        <v>1887</v>
      </c>
      <c r="X542" s="106" t="s">
        <v>203</v>
      </c>
      <c r="Y542" s="25" t="s">
        <v>1888</v>
      </c>
      <c r="Z542" s="83" t="s">
        <v>63</v>
      </c>
      <c r="AA542" s="6">
        <v>6</v>
      </c>
      <c r="AB542" s="6">
        <v>0</v>
      </c>
      <c r="AD542" s="5" t="s">
        <v>80</v>
      </c>
      <c r="AI542" s="5">
        <v>24</v>
      </c>
      <c r="AJ542" s="5">
        <v>43</v>
      </c>
      <c r="AK542" s="6">
        <v>80</v>
      </c>
      <c r="AL542" s="6" t="s">
        <v>81</v>
      </c>
      <c r="AM542" s="6" t="s">
        <v>335</v>
      </c>
      <c r="AQ542" s="6">
        <v>67.8</v>
      </c>
      <c r="AR542" s="6">
        <v>88.8</v>
      </c>
      <c r="AS542" s="5">
        <v>179.6</v>
      </c>
      <c r="AT542" s="5" t="s">
        <v>119</v>
      </c>
      <c r="AU542" s="5" t="s">
        <v>335</v>
      </c>
      <c r="AY542" s="5">
        <v>171.3</v>
      </c>
      <c r="AZ542" s="5">
        <v>188.5</v>
      </c>
      <c r="BQ542" s="6" t="s">
        <v>1875</v>
      </c>
      <c r="BR542" s="5" t="s">
        <v>1889</v>
      </c>
    </row>
    <row r="543" spans="1:70" ht="14.25" hidden="1" x14ac:dyDescent="0.2">
      <c r="A543" s="205">
        <v>610</v>
      </c>
      <c r="B543" s="231" t="s">
        <v>1572</v>
      </c>
      <c r="C543" s="265" t="s">
        <v>1573</v>
      </c>
      <c r="D543" s="231" t="s">
        <v>1532</v>
      </c>
      <c r="E543" s="125" t="s">
        <v>356</v>
      </c>
      <c r="F543" s="181" t="s">
        <v>55</v>
      </c>
      <c r="G543" s="181" t="s">
        <v>56</v>
      </c>
      <c r="H543" s="181" t="s">
        <v>57</v>
      </c>
      <c r="J543" s="22">
        <v>500</v>
      </c>
      <c r="K543" s="182"/>
      <c r="L543" s="182" t="s">
        <v>58</v>
      </c>
      <c r="M543" s="22" t="s">
        <v>59</v>
      </c>
      <c r="N543" s="22">
        <v>0</v>
      </c>
      <c r="O543" s="178" t="s">
        <v>60</v>
      </c>
      <c r="P543" s="22" t="s">
        <v>1890</v>
      </c>
      <c r="Q543" s="179" t="s">
        <v>358</v>
      </c>
      <c r="R543" s="23" t="s">
        <v>1891</v>
      </c>
      <c r="T543" s="179" t="s">
        <v>1892</v>
      </c>
      <c r="U543" s="179"/>
      <c r="V543" s="25" t="s">
        <v>615</v>
      </c>
      <c r="W543" s="65">
        <v>12</v>
      </c>
      <c r="X543" s="106" t="s">
        <v>203</v>
      </c>
      <c r="Y543" s="25" t="s">
        <v>1893</v>
      </c>
      <c r="Z543" s="169" t="s">
        <v>63</v>
      </c>
      <c r="AA543" s="6">
        <v>6</v>
      </c>
      <c r="AB543" s="6">
        <v>0</v>
      </c>
      <c r="AC543" s="5">
        <v>30</v>
      </c>
      <c r="AD543" s="165" t="s">
        <v>80</v>
      </c>
      <c r="AE543" s="5" t="s">
        <v>335</v>
      </c>
      <c r="AF543" s="5">
        <v>1.8</v>
      </c>
      <c r="AG543" s="5" t="s">
        <v>80</v>
      </c>
      <c r="AH543" s="5" t="s">
        <v>117</v>
      </c>
      <c r="AI543" s="5">
        <v>28</v>
      </c>
      <c r="AJ543" s="5">
        <v>33</v>
      </c>
      <c r="AK543" s="6">
        <v>83</v>
      </c>
      <c r="AL543" s="6" t="s">
        <v>81</v>
      </c>
      <c r="AM543" s="6" t="s">
        <v>335</v>
      </c>
      <c r="AN543" s="6">
        <v>11.4</v>
      </c>
      <c r="AO543" s="6" t="s">
        <v>81</v>
      </c>
      <c r="AP543" s="6" t="s">
        <v>117</v>
      </c>
      <c r="AQ543" s="6">
        <v>70.400000000000006</v>
      </c>
      <c r="AR543" s="6">
        <v>103.6</v>
      </c>
      <c r="BQ543" s="6" t="s">
        <v>214</v>
      </c>
    </row>
    <row r="544" spans="1:70" ht="14.25" hidden="1" customHeight="1" x14ac:dyDescent="0.2">
      <c r="A544" s="205">
        <v>611</v>
      </c>
      <c r="B544" s="231" t="s">
        <v>1574</v>
      </c>
      <c r="C544" s="265" t="s">
        <v>1575</v>
      </c>
      <c r="D544" s="231" t="s">
        <v>1576</v>
      </c>
      <c r="E544" s="125" t="s">
        <v>356</v>
      </c>
      <c r="F544" s="181" t="s">
        <v>103</v>
      </c>
      <c r="G544" s="181" t="s">
        <v>56</v>
      </c>
      <c r="H544" s="181" t="s">
        <v>57</v>
      </c>
      <c r="J544" s="22">
        <v>500</v>
      </c>
      <c r="K544" s="182"/>
      <c r="L544" s="182" t="s">
        <v>58</v>
      </c>
      <c r="M544" s="22" t="s">
        <v>59</v>
      </c>
      <c r="N544" s="22">
        <v>0</v>
      </c>
      <c r="O544" s="178" t="s">
        <v>60</v>
      </c>
      <c r="P544" s="22" t="s">
        <v>1894</v>
      </c>
      <c r="Q544" s="179" t="s">
        <v>1873</v>
      </c>
      <c r="R544" s="23" t="s">
        <v>1895</v>
      </c>
      <c r="T544" s="179"/>
      <c r="U544" s="179"/>
      <c r="V544" s="25" t="s">
        <v>615</v>
      </c>
      <c r="W544" s="65" t="s">
        <v>655</v>
      </c>
      <c r="X544" s="106" t="s">
        <v>416</v>
      </c>
      <c r="Z544" s="169" t="s">
        <v>63</v>
      </c>
      <c r="AA544" s="6">
        <v>15</v>
      </c>
      <c r="AB544" s="6">
        <v>6</v>
      </c>
      <c r="AD544" s="165"/>
      <c r="AK544" s="6">
        <v>66.7</v>
      </c>
      <c r="AL544" s="6" t="s">
        <v>81</v>
      </c>
      <c r="AM544" s="6" t="s">
        <v>335</v>
      </c>
      <c r="AQ544" s="6">
        <v>52</v>
      </c>
      <c r="AR544" s="6">
        <v>88</v>
      </c>
      <c r="AS544" s="5">
        <v>175</v>
      </c>
      <c r="AT544" s="5" t="s">
        <v>119</v>
      </c>
      <c r="AU544" s="5" t="s">
        <v>335</v>
      </c>
      <c r="AY544" s="5">
        <v>162</v>
      </c>
      <c r="AZ544" s="5">
        <v>191</v>
      </c>
      <c r="BQ544" s="6" t="s">
        <v>1882</v>
      </c>
      <c r="BR544" s="5" t="s">
        <v>1896</v>
      </c>
    </row>
    <row r="545" spans="1:70" ht="14.25" hidden="1" customHeight="1" x14ac:dyDescent="0.2">
      <c r="A545" s="205">
        <v>612</v>
      </c>
      <c r="B545" s="231" t="s">
        <v>1574</v>
      </c>
      <c r="C545" s="265" t="s">
        <v>1575</v>
      </c>
      <c r="D545" s="231" t="s">
        <v>1577</v>
      </c>
      <c r="E545" s="125" t="s">
        <v>356</v>
      </c>
      <c r="F545" s="181" t="s">
        <v>103</v>
      </c>
      <c r="G545" s="181" t="s">
        <v>56</v>
      </c>
      <c r="H545" s="181" t="s">
        <v>57</v>
      </c>
      <c r="J545" s="22">
        <v>500</v>
      </c>
      <c r="K545" s="182"/>
      <c r="L545" s="182" t="s">
        <v>58</v>
      </c>
      <c r="M545" s="22" t="s">
        <v>59</v>
      </c>
      <c r="N545" s="22">
        <v>0</v>
      </c>
      <c r="O545" s="178" t="s">
        <v>60</v>
      </c>
      <c r="P545" s="22" t="s">
        <v>1894</v>
      </c>
      <c r="Q545" s="179" t="s">
        <v>1873</v>
      </c>
      <c r="R545" s="23" t="s">
        <v>1895</v>
      </c>
      <c r="T545" s="179"/>
      <c r="U545" s="179"/>
      <c r="V545" s="25" t="s">
        <v>615</v>
      </c>
      <c r="W545" s="65" t="s">
        <v>655</v>
      </c>
      <c r="X545" s="106" t="s">
        <v>1630</v>
      </c>
      <c r="Y545" s="25" t="s">
        <v>1897</v>
      </c>
      <c r="Z545" s="169" t="s">
        <v>63</v>
      </c>
      <c r="AA545" s="6">
        <v>15</v>
      </c>
      <c r="AB545" s="6">
        <v>6</v>
      </c>
      <c r="AD545" s="165"/>
      <c r="AK545" s="6">
        <v>66.7</v>
      </c>
      <c r="AL545" s="6" t="s">
        <v>81</v>
      </c>
      <c r="AM545" s="6" t="s">
        <v>335</v>
      </c>
      <c r="AQ545" s="6">
        <v>52</v>
      </c>
      <c r="AR545" s="6">
        <v>88</v>
      </c>
      <c r="AS545" s="5">
        <v>175</v>
      </c>
      <c r="AT545" s="5" t="s">
        <v>119</v>
      </c>
      <c r="AU545" s="5" t="s">
        <v>335</v>
      </c>
      <c r="AY545" s="5">
        <v>162</v>
      </c>
      <c r="AZ545" s="5">
        <v>191</v>
      </c>
      <c r="BQ545" s="6" t="s">
        <v>1882</v>
      </c>
      <c r="BR545" s="5" t="s">
        <v>1896</v>
      </c>
    </row>
    <row r="546" spans="1:70" ht="14.25" hidden="1" customHeight="1" x14ac:dyDescent="0.2">
      <c r="A546" s="205">
        <v>613</v>
      </c>
      <c r="B546" s="231" t="s">
        <v>1574</v>
      </c>
      <c r="C546" s="265" t="s">
        <v>1575</v>
      </c>
      <c r="D546" s="231" t="s">
        <v>1578</v>
      </c>
      <c r="E546" s="125" t="s">
        <v>356</v>
      </c>
      <c r="F546" s="181" t="s">
        <v>103</v>
      </c>
      <c r="G546" s="26" t="s">
        <v>56</v>
      </c>
      <c r="H546" s="26" t="s">
        <v>57</v>
      </c>
      <c r="J546" s="22">
        <v>500</v>
      </c>
      <c r="K546" s="182"/>
      <c r="L546" s="182" t="s">
        <v>58</v>
      </c>
      <c r="M546" s="22" t="s">
        <v>59</v>
      </c>
      <c r="N546" s="22" t="s">
        <v>1898</v>
      </c>
      <c r="O546" s="178" t="s">
        <v>60</v>
      </c>
      <c r="P546" s="22" t="s">
        <v>1899</v>
      </c>
      <c r="Q546" s="179" t="s">
        <v>1873</v>
      </c>
      <c r="R546" s="23" t="s">
        <v>1895</v>
      </c>
      <c r="T546" s="179"/>
      <c r="U546" s="179" t="s">
        <v>1900</v>
      </c>
      <c r="V546" s="25" t="s">
        <v>615</v>
      </c>
      <c r="W546" s="65" t="s">
        <v>1901</v>
      </c>
      <c r="X546" s="106" t="s">
        <v>1630</v>
      </c>
      <c r="Y546" s="25" t="s">
        <v>1902</v>
      </c>
      <c r="Z546" s="169" t="s">
        <v>63</v>
      </c>
      <c r="AA546" s="6">
        <v>15</v>
      </c>
      <c r="AB546" s="6">
        <v>6</v>
      </c>
      <c r="AD546" s="165"/>
      <c r="AK546" s="6">
        <v>66.7</v>
      </c>
      <c r="AL546" s="6" t="s">
        <v>81</v>
      </c>
      <c r="AM546" s="6" t="s">
        <v>335</v>
      </c>
      <c r="AQ546" s="6">
        <v>52</v>
      </c>
      <c r="AR546" s="6">
        <v>88</v>
      </c>
      <c r="AS546" s="5">
        <v>175</v>
      </c>
      <c r="AT546" s="5" t="s">
        <v>119</v>
      </c>
      <c r="AU546" s="5" t="s">
        <v>335</v>
      </c>
      <c r="AY546" s="5">
        <v>162</v>
      </c>
      <c r="AZ546" s="5">
        <v>191</v>
      </c>
      <c r="BQ546" s="6" t="s">
        <v>1882</v>
      </c>
      <c r="BR546" s="5" t="s">
        <v>1896</v>
      </c>
    </row>
    <row r="547" spans="1:70" ht="14.25" hidden="1" customHeight="1" x14ac:dyDescent="0.2">
      <c r="A547" s="205">
        <v>614</v>
      </c>
      <c r="B547" s="231" t="s">
        <v>1582</v>
      </c>
      <c r="C547" s="265" t="s">
        <v>1581</v>
      </c>
      <c r="D547" s="231" t="s">
        <v>1579</v>
      </c>
      <c r="E547" s="3" t="s">
        <v>356</v>
      </c>
      <c r="F547" s="26" t="s">
        <v>55</v>
      </c>
      <c r="G547" s="26" t="s">
        <v>56</v>
      </c>
      <c r="H547" s="181" t="s">
        <v>407</v>
      </c>
      <c r="J547" s="22">
        <v>1</v>
      </c>
      <c r="L547" s="28" t="s">
        <v>1903</v>
      </c>
      <c r="M547" s="22" t="s">
        <v>59</v>
      </c>
      <c r="N547" s="22">
        <v>0</v>
      </c>
      <c r="O547" s="22" t="s">
        <v>60</v>
      </c>
      <c r="P547" s="22" t="s">
        <v>79</v>
      </c>
      <c r="Q547" s="23" t="s">
        <v>1904</v>
      </c>
      <c r="R547" s="23" t="s">
        <v>1905</v>
      </c>
      <c r="U547" s="23" t="s">
        <v>1906</v>
      </c>
      <c r="V547" s="25" t="s">
        <v>615</v>
      </c>
      <c r="W547" s="65" t="s">
        <v>655</v>
      </c>
      <c r="Z547" s="83" t="s">
        <v>63</v>
      </c>
      <c r="AA547" s="6">
        <v>8</v>
      </c>
      <c r="AB547" s="6">
        <v>4</v>
      </c>
      <c r="AD547" s="5" t="s">
        <v>80</v>
      </c>
      <c r="AI547" s="5">
        <v>26</v>
      </c>
      <c r="AJ547" s="5">
        <v>34</v>
      </c>
      <c r="AL547" s="6" t="s">
        <v>81</v>
      </c>
      <c r="AQ547" s="6">
        <v>56</v>
      </c>
      <c r="AR547" s="6">
        <v>77</v>
      </c>
      <c r="BQ547" s="6" t="s">
        <v>582</v>
      </c>
      <c r="BR547" s="5" t="s">
        <v>1907</v>
      </c>
    </row>
    <row r="548" spans="1:70" ht="14.25" hidden="1" customHeight="1" x14ac:dyDescent="0.2">
      <c r="A548" s="205">
        <v>615</v>
      </c>
      <c r="B548" s="231" t="s">
        <v>1582</v>
      </c>
      <c r="C548" s="265" t="s">
        <v>1581</v>
      </c>
      <c r="D548" s="231" t="s">
        <v>1580</v>
      </c>
      <c r="E548" s="3" t="s">
        <v>356</v>
      </c>
      <c r="F548" s="26" t="s">
        <v>55</v>
      </c>
      <c r="G548" s="26" t="s">
        <v>56</v>
      </c>
      <c r="H548" s="181" t="s">
        <v>492</v>
      </c>
      <c r="J548" s="22">
        <v>1</v>
      </c>
      <c r="L548" s="28" t="s">
        <v>1903</v>
      </c>
      <c r="M548" s="22" t="s">
        <v>59</v>
      </c>
      <c r="N548" s="22" t="s">
        <v>1908</v>
      </c>
      <c r="O548" s="22" t="s">
        <v>60</v>
      </c>
      <c r="P548" s="22" t="s">
        <v>1909</v>
      </c>
      <c r="Q548" s="23" t="s">
        <v>1904</v>
      </c>
      <c r="R548" s="23" t="s">
        <v>1905</v>
      </c>
      <c r="U548" s="23" t="s">
        <v>1906</v>
      </c>
      <c r="V548" s="25" t="s">
        <v>615</v>
      </c>
      <c r="W548" s="65" t="s">
        <v>655</v>
      </c>
      <c r="Z548" s="83" t="s">
        <v>63</v>
      </c>
      <c r="AA548" s="6">
        <v>8</v>
      </c>
      <c r="AB548" s="6">
        <v>4</v>
      </c>
      <c r="AD548" s="5" t="s">
        <v>80</v>
      </c>
      <c r="AI548" s="5">
        <v>26</v>
      </c>
      <c r="AJ548" s="5">
        <v>34</v>
      </c>
      <c r="AL548" s="6" t="s">
        <v>81</v>
      </c>
      <c r="AQ548" s="6">
        <v>56</v>
      </c>
      <c r="AR548" s="6">
        <v>77</v>
      </c>
      <c r="BQ548" s="6" t="s">
        <v>582</v>
      </c>
      <c r="BR548" s="5" t="s">
        <v>1907</v>
      </c>
    </row>
    <row r="549" spans="1:70" ht="14.25" hidden="1" customHeight="1" x14ac:dyDescent="0.2">
      <c r="A549" s="205">
        <v>616</v>
      </c>
      <c r="B549" s="231" t="s">
        <v>1583</v>
      </c>
      <c r="C549" s="265" t="s">
        <v>1584</v>
      </c>
      <c r="D549" s="231" t="s">
        <v>1585</v>
      </c>
      <c r="E549" s="3" t="s">
        <v>356</v>
      </c>
      <c r="F549" s="26" t="s">
        <v>55</v>
      </c>
      <c r="G549" s="26" t="s">
        <v>56</v>
      </c>
      <c r="H549" s="181" t="s">
        <v>157</v>
      </c>
      <c r="J549" s="22">
        <v>300</v>
      </c>
      <c r="L549" s="28" t="s">
        <v>58</v>
      </c>
      <c r="M549" s="22" t="s">
        <v>78</v>
      </c>
      <c r="N549" s="22">
        <v>0</v>
      </c>
      <c r="O549" s="22" t="s">
        <v>60</v>
      </c>
      <c r="P549" s="22" t="s">
        <v>79</v>
      </c>
      <c r="Q549" s="23" t="s">
        <v>1843</v>
      </c>
      <c r="R549" s="23" t="s">
        <v>1910</v>
      </c>
      <c r="S549" s="24">
        <v>15</v>
      </c>
      <c r="U549" s="23" t="s">
        <v>1911</v>
      </c>
      <c r="Z549" s="83" t="s">
        <v>63</v>
      </c>
      <c r="AA549" s="6">
        <v>8</v>
      </c>
      <c r="AB549" s="6">
        <v>2</v>
      </c>
      <c r="AD549" s="5" t="s">
        <v>80</v>
      </c>
      <c r="AI549" s="5">
        <v>22</v>
      </c>
      <c r="AJ549" s="5">
        <v>33</v>
      </c>
      <c r="BQ549" s="6" t="s">
        <v>1875</v>
      </c>
      <c r="BR549" s="5" t="s">
        <v>1912</v>
      </c>
    </row>
    <row r="550" spans="1:70" ht="14.25" hidden="1" customHeight="1" x14ac:dyDescent="0.2">
      <c r="A550" s="205">
        <v>617</v>
      </c>
      <c r="B550" s="231" t="s">
        <v>1586</v>
      </c>
      <c r="C550" s="265" t="s">
        <v>1587</v>
      </c>
      <c r="D550" s="231" t="s">
        <v>1589</v>
      </c>
      <c r="E550" s="3" t="s">
        <v>356</v>
      </c>
      <c r="F550" s="26" t="s">
        <v>55</v>
      </c>
      <c r="G550" s="26" t="s">
        <v>56</v>
      </c>
      <c r="H550" s="26" t="s">
        <v>238</v>
      </c>
      <c r="J550" s="22">
        <v>500</v>
      </c>
      <c r="L550" s="28" t="s">
        <v>58</v>
      </c>
      <c r="M550" s="22" t="s">
        <v>59</v>
      </c>
      <c r="N550" s="22">
        <v>0</v>
      </c>
      <c r="O550" s="22" t="s">
        <v>60</v>
      </c>
      <c r="P550" s="22" t="s">
        <v>1913</v>
      </c>
      <c r="Q550" s="23" t="s">
        <v>1873</v>
      </c>
      <c r="R550" s="23" t="s">
        <v>1914</v>
      </c>
      <c r="T550" s="23">
        <v>150</v>
      </c>
      <c r="V550" s="25" t="s">
        <v>615</v>
      </c>
      <c r="W550" s="65" t="s">
        <v>655</v>
      </c>
      <c r="X550" s="106" t="s">
        <v>416</v>
      </c>
      <c r="Z550" s="83" t="s">
        <v>63</v>
      </c>
      <c r="AA550" s="6">
        <v>15</v>
      </c>
      <c r="AB550" s="6">
        <v>6</v>
      </c>
      <c r="AC550" s="5">
        <v>32</v>
      </c>
      <c r="AD550" s="5" t="s">
        <v>80</v>
      </c>
      <c r="AE550" s="5" t="s">
        <v>335</v>
      </c>
      <c r="AI550" s="5">
        <v>19</v>
      </c>
      <c r="AJ550" s="5">
        <v>46</v>
      </c>
      <c r="AK550" s="6">
        <v>67</v>
      </c>
      <c r="AL550" s="6" t="s">
        <v>81</v>
      </c>
      <c r="AM550" s="6" t="s">
        <v>335</v>
      </c>
      <c r="AQ550" s="6">
        <v>56</v>
      </c>
      <c r="AR550" s="6">
        <v>83</v>
      </c>
      <c r="AS550" s="5">
        <v>170</v>
      </c>
      <c r="AT550" s="5" t="s">
        <v>119</v>
      </c>
      <c r="AU550" s="5" t="s">
        <v>335</v>
      </c>
      <c r="AY550" s="5">
        <v>160</v>
      </c>
      <c r="AZ550" s="5">
        <v>184</v>
      </c>
      <c r="BQ550" s="6" t="s">
        <v>354</v>
      </c>
    </row>
    <row r="551" spans="1:70" ht="14.25" hidden="1" customHeight="1" x14ac:dyDescent="0.2">
      <c r="A551" s="205">
        <v>618</v>
      </c>
      <c r="B551" s="231" t="s">
        <v>1586</v>
      </c>
      <c r="C551" s="265" t="s">
        <v>1587</v>
      </c>
      <c r="D551" s="231" t="s">
        <v>1588</v>
      </c>
      <c r="E551" s="3" t="s">
        <v>356</v>
      </c>
      <c r="F551" s="26" t="s">
        <v>55</v>
      </c>
      <c r="G551" s="26" t="s">
        <v>56</v>
      </c>
      <c r="H551" s="181" t="s">
        <v>238</v>
      </c>
      <c r="J551" s="22">
        <v>500</v>
      </c>
      <c r="L551" s="28" t="s">
        <v>58</v>
      </c>
      <c r="M551" s="22" t="s">
        <v>59</v>
      </c>
      <c r="N551" s="22">
        <v>0</v>
      </c>
      <c r="O551" s="22" t="s">
        <v>60</v>
      </c>
      <c r="P551" s="22" t="s">
        <v>1913</v>
      </c>
      <c r="Q551" s="23" t="s">
        <v>358</v>
      </c>
      <c r="R551" s="23" t="s">
        <v>1915</v>
      </c>
      <c r="T551" s="23">
        <v>150</v>
      </c>
      <c r="V551" s="25" t="s">
        <v>615</v>
      </c>
      <c r="W551" s="65" t="s">
        <v>655</v>
      </c>
      <c r="X551" s="106" t="s">
        <v>416</v>
      </c>
      <c r="Z551" s="83" t="s">
        <v>63</v>
      </c>
      <c r="AA551" s="6">
        <v>15</v>
      </c>
      <c r="AB551" s="6">
        <v>6</v>
      </c>
      <c r="AC551" s="5">
        <v>32</v>
      </c>
      <c r="AD551" s="5" t="s">
        <v>80</v>
      </c>
      <c r="AE551" s="5" t="s">
        <v>335</v>
      </c>
      <c r="AI551" s="5">
        <v>19</v>
      </c>
      <c r="AJ551" s="5">
        <v>46</v>
      </c>
      <c r="AK551" s="6">
        <v>67</v>
      </c>
      <c r="AL551" s="6" t="s">
        <v>81</v>
      </c>
      <c r="AM551" s="6" t="s">
        <v>335</v>
      </c>
      <c r="AQ551" s="6">
        <v>56</v>
      </c>
      <c r="AR551" s="6">
        <v>83</v>
      </c>
      <c r="AS551" s="5">
        <v>170</v>
      </c>
      <c r="AT551" s="5" t="s">
        <v>119</v>
      </c>
      <c r="AU551" s="5" t="s">
        <v>335</v>
      </c>
      <c r="AY551" s="5">
        <v>160</v>
      </c>
      <c r="AZ551" s="5">
        <v>184</v>
      </c>
      <c r="BQ551" s="6" t="s">
        <v>354</v>
      </c>
    </row>
    <row r="552" spans="1:70" ht="14.25" hidden="1" customHeight="1" x14ac:dyDescent="0.2">
      <c r="A552" s="205">
        <v>619</v>
      </c>
      <c r="B552" s="231" t="s">
        <v>1586</v>
      </c>
      <c r="C552" s="265" t="s">
        <v>1587</v>
      </c>
      <c r="D552" s="231" t="s">
        <v>1590</v>
      </c>
      <c r="E552" s="3" t="s">
        <v>356</v>
      </c>
      <c r="F552" s="26" t="s">
        <v>55</v>
      </c>
      <c r="G552" s="26" t="s">
        <v>56</v>
      </c>
      <c r="H552" s="26" t="s">
        <v>57</v>
      </c>
      <c r="J552" s="22">
        <v>500</v>
      </c>
      <c r="L552" s="28" t="s">
        <v>58</v>
      </c>
      <c r="M552" s="22" t="s">
        <v>59</v>
      </c>
      <c r="N552" s="22">
        <v>0</v>
      </c>
      <c r="O552" s="22" t="s">
        <v>60</v>
      </c>
      <c r="P552" s="22" t="s">
        <v>1913</v>
      </c>
      <c r="Q552" s="23" t="s">
        <v>1873</v>
      </c>
      <c r="R552" s="23" t="s">
        <v>1916</v>
      </c>
      <c r="T552" s="23">
        <v>150</v>
      </c>
      <c r="V552" s="25" t="s">
        <v>615</v>
      </c>
      <c r="W552" s="65" t="s">
        <v>655</v>
      </c>
      <c r="X552" s="106" t="s">
        <v>1630</v>
      </c>
      <c r="Y552" s="25" t="s">
        <v>1917</v>
      </c>
      <c r="Z552" s="83" t="s">
        <v>63</v>
      </c>
      <c r="AA552" s="6">
        <v>12</v>
      </c>
      <c r="AB552" s="6">
        <v>2</v>
      </c>
      <c r="AC552" s="5">
        <v>20</v>
      </c>
      <c r="AD552" s="5" t="s">
        <v>80</v>
      </c>
      <c r="AE552" s="5" t="s">
        <v>335</v>
      </c>
      <c r="AI552" s="5">
        <v>19</v>
      </c>
      <c r="AJ552" s="5">
        <v>23</v>
      </c>
      <c r="AK552" s="6">
        <v>69</v>
      </c>
      <c r="AL552" s="6" t="s">
        <v>81</v>
      </c>
      <c r="AM552" s="6" t="s">
        <v>335</v>
      </c>
      <c r="AQ552" s="6">
        <v>60</v>
      </c>
      <c r="AR552" s="6">
        <v>85</v>
      </c>
      <c r="AS552" s="5">
        <v>177</v>
      </c>
      <c r="AT552" s="5" t="s">
        <v>119</v>
      </c>
      <c r="AU552" s="5" t="s">
        <v>335</v>
      </c>
      <c r="AY552" s="5">
        <v>170</v>
      </c>
      <c r="AZ552" s="5">
        <v>195</v>
      </c>
      <c r="BQ552" s="6" t="s">
        <v>354</v>
      </c>
    </row>
    <row r="553" spans="1:70" ht="14.25" hidden="1" customHeight="1" x14ac:dyDescent="0.2">
      <c r="A553" s="205">
        <v>620</v>
      </c>
      <c r="B553" s="231" t="s">
        <v>1586</v>
      </c>
      <c r="C553" s="265" t="s">
        <v>1587</v>
      </c>
      <c r="D553" s="231" t="s">
        <v>1591</v>
      </c>
      <c r="E553" s="3" t="s">
        <v>356</v>
      </c>
      <c r="F553" s="26" t="s">
        <v>55</v>
      </c>
      <c r="G553" s="26" t="s">
        <v>56</v>
      </c>
      <c r="H553" s="26" t="s">
        <v>57</v>
      </c>
      <c r="J553" s="22">
        <v>500</v>
      </c>
      <c r="L553" s="28" t="s">
        <v>58</v>
      </c>
      <c r="M553" s="22" t="s">
        <v>59</v>
      </c>
      <c r="N553" s="22">
        <v>0</v>
      </c>
      <c r="O553" s="22" t="s">
        <v>60</v>
      </c>
      <c r="P553" s="22" t="s">
        <v>1913</v>
      </c>
      <c r="Q553" s="23" t="s">
        <v>1873</v>
      </c>
      <c r="R553" s="23" t="s">
        <v>1918</v>
      </c>
      <c r="T553" s="23">
        <v>150</v>
      </c>
      <c r="V553" s="25" t="s">
        <v>615</v>
      </c>
      <c r="W553" s="65" t="s">
        <v>655</v>
      </c>
      <c r="X553" s="106" t="s">
        <v>1630</v>
      </c>
      <c r="Y553" s="25" t="s">
        <v>1917</v>
      </c>
      <c r="Z553" s="83" t="s">
        <v>63</v>
      </c>
      <c r="AA553" s="6">
        <v>12</v>
      </c>
      <c r="AB553" s="6">
        <v>2</v>
      </c>
      <c r="AC553" s="5">
        <v>20</v>
      </c>
      <c r="AD553" s="5" t="s">
        <v>80</v>
      </c>
      <c r="AE553" s="5" t="s">
        <v>335</v>
      </c>
      <c r="AI553" s="5">
        <v>19</v>
      </c>
      <c r="AJ553" s="5">
        <v>23</v>
      </c>
      <c r="AK553" s="6">
        <v>69</v>
      </c>
      <c r="AL553" s="6" t="s">
        <v>81</v>
      </c>
      <c r="AM553" s="6" t="s">
        <v>335</v>
      </c>
      <c r="AQ553" s="6">
        <v>60</v>
      </c>
      <c r="AR553" s="6">
        <v>85</v>
      </c>
      <c r="AS553" s="5">
        <v>177</v>
      </c>
      <c r="AT553" s="5" t="s">
        <v>119</v>
      </c>
      <c r="AU553" s="5" t="s">
        <v>335</v>
      </c>
      <c r="AY553" s="5">
        <v>170</v>
      </c>
      <c r="AZ553" s="5">
        <v>195</v>
      </c>
      <c r="BQ553" s="6" t="s">
        <v>354</v>
      </c>
    </row>
    <row r="554" spans="1:70" ht="14.25" hidden="1" customHeight="1" x14ac:dyDescent="0.2">
      <c r="A554" s="205">
        <v>621</v>
      </c>
      <c r="B554" s="231" t="s">
        <v>1592</v>
      </c>
      <c r="C554" s="265" t="s">
        <v>1593</v>
      </c>
      <c r="D554" s="231" t="s">
        <v>1594</v>
      </c>
      <c r="E554" s="3" t="s">
        <v>356</v>
      </c>
      <c r="F554" s="26" t="s">
        <v>55</v>
      </c>
      <c r="G554" s="26" t="s">
        <v>56</v>
      </c>
      <c r="H554" s="181" t="s">
        <v>57</v>
      </c>
      <c r="J554" s="22">
        <v>500</v>
      </c>
      <c r="L554" s="28" t="s">
        <v>58</v>
      </c>
      <c r="M554" s="22" t="s">
        <v>59</v>
      </c>
      <c r="N554" s="22">
        <v>0</v>
      </c>
      <c r="O554" s="22" t="s">
        <v>60</v>
      </c>
      <c r="P554" s="22" t="s">
        <v>1894</v>
      </c>
      <c r="Q554" s="23" t="s">
        <v>1873</v>
      </c>
      <c r="R554" s="23" t="s">
        <v>1919</v>
      </c>
      <c r="T554" s="23">
        <v>100</v>
      </c>
      <c r="U554" s="23" t="s">
        <v>1920</v>
      </c>
      <c r="V554" s="25" t="s">
        <v>615</v>
      </c>
      <c r="W554" s="65" t="s">
        <v>655</v>
      </c>
      <c r="X554" s="106" t="s">
        <v>1630</v>
      </c>
      <c r="Y554" s="25" t="s">
        <v>1921</v>
      </c>
      <c r="Z554" s="83" t="s">
        <v>63</v>
      </c>
      <c r="AA554" s="6">
        <v>14</v>
      </c>
      <c r="AB554" s="6">
        <v>8</v>
      </c>
      <c r="AC554" s="5">
        <v>25.6</v>
      </c>
      <c r="AD554" s="5" t="s">
        <v>80</v>
      </c>
      <c r="AE554" s="5" t="s">
        <v>335</v>
      </c>
      <c r="AI554" s="5">
        <v>24</v>
      </c>
      <c r="AJ554" s="5">
        <v>29</v>
      </c>
      <c r="BI554" s="5">
        <v>1.79</v>
      </c>
      <c r="BJ554" s="5" t="s">
        <v>120</v>
      </c>
      <c r="BK554" s="5" t="s">
        <v>335</v>
      </c>
      <c r="BO554" s="5">
        <v>1.44</v>
      </c>
      <c r="BP554" s="5">
        <v>2.1800000000000002</v>
      </c>
      <c r="BQ554" s="6" t="s">
        <v>1922</v>
      </c>
      <c r="BR554" s="5" t="s">
        <v>2271</v>
      </c>
    </row>
    <row r="555" spans="1:70" ht="14.25" hidden="1" customHeight="1" x14ac:dyDescent="0.2">
      <c r="A555" s="205">
        <v>622</v>
      </c>
      <c r="B555" s="231" t="s">
        <v>1592</v>
      </c>
      <c r="C555" s="265" t="s">
        <v>1593</v>
      </c>
      <c r="D555" s="231" t="s">
        <v>1595</v>
      </c>
      <c r="E555" s="3" t="s">
        <v>356</v>
      </c>
      <c r="F555" s="26" t="s">
        <v>55</v>
      </c>
      <c r="G555" s="26" t="s">
        <v>56</v>
      </c>
      <c r="H555" s="181" t="s">
        <v>57</v>
      </c>
      <c r="J555" s="22">
        <v>500</v>
      </c>
      <c r="L555" s="28" t="s">
        <v>58</v>
      </c>
      <c r="M555" s="22" t="s">
        <v>59</v>
      </c>
      <c r="N555" s="22">
        <v>0</v>
      </c>
      <c r="O555" s="22" t="s">
        <v>60</v>
      </c>
      <c r="P555" s="22" t="s">
        <v>1923</v>
      </c>
      <c r="Q555" s="23" t="s">
        <v>1924</v>
      </c>
      <c r="R555" s="23" t="s">
        <v>1925</v>
      </c>
      <c r="T555" s="23">
        <v>100</v>
      </c>
      <c r="U555" s="23" t="s">
        <v>1926</v>
      </c>
      <c r="V555" s="25" t="s">
        <v>615</v>
      </c>
      <c r="W555" s="65" t="s">
        <v>655</v>
      </c>
      <c r="X555" s="106" t="s">
        <v>1630</v>
      </c>
      <c r="Y555" s="25" t="s">
        <v>1921</v>
      </c>
      <c r="Z555" s="83" t="s">
        <v>63</v>
      </c>
      <c r="AA555" s="6">
        <v>14</v>
      </c>
      <c r="AB555" s="166">
        <v>8</v>
      </c>
      <c r="AC555" s="5">
        <v>25.6</v>
      </c>
      <c r="AD555" s="5" t="s">
        <v>80</v>
      </c>
      <c r="AE555" s="5" t="s">
        <v>335</v>
      </c>
      <c r="AI555" s="5">
        <v>24</v>
      </c>
      <c r="AJ555" s="5">
        <v>29</v>
      </c>
      <c r="BI555" s="5">
        <v>1.79</v>
      </c>
      <c r="BJ555" s="5" t="s">
        <v>120</v>
      </c>
      <c r="BK555" s="5" t="s">
        <v>335</v>
      </c>
      <c r="BO555" s="5">
        <v>1.44</v>
      </c>
      <c r="BP555" s="5">
        <v>2.1800000000000002</v>
      </c>
      <c r="BQ555" s="6" t="s">
        <v>1922</v>
      </c>
      <c r="BR555" s="5" t="s">
        <v>2271</v>
      </c>
    </row>
    <row r="556" spans="1:70" ht="14.25" hidden="1" customHeight="1" x14ac:dyDescent="0.2">
      <c r="A556" s="205">
        <v>623</v>
      </c>
      <c r="B556" s="231" t="s">
        <v>1592</v>
      </c>
      <c r="C556" s="265" t="s">
        <v>1593</v>
      </c>
      <c r="D556" s="231" t="s">
        <v>1596</v>
      </c>
      <c r="E556" s="3" t="s">
        <v>356</v>
      </c>
      <c r="F556" s="26" t="s">
        <v>55</v>
      </c>
      <c r="G556" s="26" t="s">
        <v>56</v>
      </c>
      <c r="H556" s="26" t="s">
        <v>157</v>
      </c>
      <c r="J556" s="22">
        <v>500</v>
      </c>
      <c r="L556" s="28" t="s">
        <v>58</v>
      </c>
      <c r="M556" s="22" t="s">
        <v>59</v>
      </c>
      <c r="N556" s="22">
        <v>0</v>
      </c>
      <c r="O556" s="22" t="s">
        <v>60</v>
      </c>
      <c r="P556" s="22" t="s">
        <v>1894</v>
      </c>
      <c r="Q556" s="23" t="s">
        <v>1873</v>
      </c>
      <c r="R556" s="23" t="s">
        <v>1927</v>
      </c>
      <c r="T556" s="23">
        <v>100</v>
      </c>
      <c r="V556" s="25" t="s">
        <v>615</v>
      </c>
      <c r="W556" s="65" t="s">
        <v>655</v>
      </c>
      <c r="X556" s="106" t="s">
        <v>1630</v>
      </c>
      <c r="Y556" s="25" t="s">
        <v>1921</v>
      </c>
      <c r="Z556" s="83" t="s">
        <v>63</v>
      </c>
      <c r="AA556" s="6">
        <v>10</v>
      </c>
      <c r="AB556" s="166">
        <v>5</v>
      </c>
      <c r="AC556" s="5">
        <v>25.6</v>
      </c>
      <c r="AD556" s="5" t="s">
        <v>80</v>
      </c>
      <c r="AE556" s="5" t="s">
        <v>335</v>
      </c>
      <c r="AI556" s="5">
        <v>24</v>
      </c>
      <c r="AJ556" s="5">
        <v>29</v>
      </c>
      <c r="BI556" s="5">
        <v>1.79</v>
      </c>
      <c r="BJ556" s="5" t="s">
        <v>120</v>
      </c>
      <c r="BK556" s="5" t="s">
        <v>335</v>
      </c>
      <c r="BO556" s="5">
        <v>1.44</v>
      </c>
      <c r="BP556" s="5">
        <v>2.1800000000000002</v>
      </c>
      <c r="BQ556" s="6" t="s">
        <v>1922</v>
      </c>
      <c r="BR556" s="5" t="s">
        <v>2272</v>
      </c>
    </row>
    <row r="557" spans="1:70" ht="14.25" hidden="1" customHeight="1" x14ac:dyDescent="0.2">
      <c r="A557" s="205">
        <v>624</v>
      </c>
      <c r="B557" s="231" t="s">
        <v>1592</v>
      </c>
      <c r="C557" s="265" t="s">
        <v>1593</v>
      </c>
      <c r="D557" s="231" t="s">
        <v>1597</v>
      </c>
      <c r="E557" s="3" t="s">
        <v>356</v>
      </c>
      <c r="F557" s="181" t="s">
        <v>55</v>
      </c>
      <c r="G557" s="181" t="s">
        <v>56</v>
      </c>
      <c r="H557" s="26" t="s">
        <v>157</v>
      </c>
      <c r="J557" s="22">
        <v>500</v>
      </c>
      <c r="L557" s="28" t="s">
        <v>58</v>
      </c>
      <c r="M557" s="22" t="s">
        <v>59</v>
      </c>
      <c r="N557" s="22">
        <v>0</v>
      </c>
      <c r="O557" s="22" t="s">
        <v>60</v>
      </c>
      <c r="P557" s="22" t="s">
        <v>1923</v>
      </c>
      <c r="Q557" s="23" t="s">
        <v>1924</v>
      </c>
      <c r="R557" s="23" t="s">
        <v>1928</v>
      </c>
      <c r="T557" s="23">
        <v>100</v>
      </c>
      <c r="V557" s="25" t="s">
        <v>615</v>
      </c>
      <c r="W557" s="65" t="s">
        <v>655</v>
      </c>
      <c r="X557" s="106" t="s">
        <v>1630</v>
      </c>
      <c r="Y557" s="25" t="s">
        <v>1921</v>
      </c>
      <c r="Z557" s="83" t="s">
        <v>63</v>
      </c>
      <c r="AA557" s="6">
        <v>10</v>
      </c>
      <c r="AB557" s="166">
        <v>5</v>
      </c>
      <c r="AC557" s="5">
        <v>25.6</v>
      </c>
      <c r="AD557" s="5" t="s">
        <v>80</v>
      </c>
      <c r="AE557" s="5" t="s">
        <v>335</v>
      </c>
      <c r="AI557" s="5">
        <v>24</v>
      </c>
      <c r="AJ557" s="5">
        <v>29</v>
      </c>
      <c r="BI557" s="5">
        <v>1.79</v>
      </c>
      <c r="BJ557" s="5" t="s">
        <v>120</v>
      </c>
      <c r="BK557" s="5" t="s">
        <v>335</v>
      </c>
      <c r="BO557" s="5">
        <v>1.44</v>
      </c>
      <c r="BP557" s="5">
        <v>2.1800000000000002</v>
      </c>
      <c r="BQ557" s="6" t="s">
        <v>1922</v>
      </c>
      <c r="BR557" s="5" t="s">
        <v>2272</v>
      </c>
    </row>
    <row r="558" spans="1:70" ht="14.25" hidden="1" x14ac:dyDescent="0.2">
      <c r="A558" s="205">
        <v>625</v>
      </c>
      <c r="B558" s="231" t="s">
        <v>1598</v>
      </c>
      <c r="C558" s="265" t="s">
        <v>1599</v>
      </c>
      <c r="D558" s="231" t="s">
        <v>1600</v>
      </c>
      <c r="E558" s="3" t="s">
        <v>356</v>
      </c>
      <c r="F558" s="181" t="s">
        <v>103</v>
      </c>
      <c r="G558" s="181" t="s">
        <v>56</v>
      </c>
      <c r="H558" s="181" t="s">
        <v>407</v>
      </c>
      <c r="J558" s="22">
        <v>125</v>
      </c>
      <c r="L558" s="28" t="s">
        <v>58</v>
      </c>
      <c r="M558" s="22" t="s">
        <v>78</v>
      </c>
      <c r="N558" s="22">
        <v>0</v>
      </c>
      <c r="O558" s="22" t="s">
        <v>60</v>
      </c>
      <c r="P558" s="22" t="s">
        <v>79</v>
      </c>
      <c r="Q558" s="23" t="s">
        <v>1167</v>
      </c>
      <c r="R558" s="23" t="s">
        <v>1929</v>
      </c>
      <c r="S558" s="24">
        <v>30</v>
      </c>
      <c r="V558" s="25" t="s">
        <v>615</v>
      </c>
      <c r="W558" s="65" t="s">
        <v>1930</v>
      </c>
      <c r="X558" s="106" t="s">
        <v>416</v>
      </c>
      <c r="Z558" s="83" t="s">
        <v>63</v>
      </c>
      <c r="AA558" s="6">
        <v>12</v>
      </c>
      <c r="AB558" s="166">
        <v>6</v>
      </c>
      <c r="AC558" s="5">
        <v>44.8</v>
      </c>
      <c r="AD558" s="5" t="s">
        <v>80</v>
      </c>
      <c r="AE558" s="5" t="s">
        <v>335</v>
      </c>
      <c r="AF558" s="5">
        <v>8.5</v>
      </c>
      <c r="AG558" s="5" t="s">
        <v>80</v>
      </c>
      <c r="AH558" s="5" t="s">
        <v>117</v>
      </c>
      <c r="AI558" s="165"/>
      <c r="AJ558" s="165"/>
      <c r="AK558" s="6">
        <v>75</v>
      </c>
      <c r="AL558" s="6" t="s">
        <v>81</v>
      </c>
      <c r="AM558" s="6" t="s">
        <v>335</v>
      </c>
      <c r="AN558" s="6">
        <v>19.399999999999999</v>
      </c>
      <c r="AO558" s="6" t="s">
        <v>81</v>
      </c>
      <c r="AP558" s="6" t="s">
        <v>117</v>
      </c>
      <c r="BO558" s="165"/>
      <c r="BP558" s="165"/>
      <c r="BQ558" s="6" t="s">
        <v>1931</v>
      </c>
    </row>
    <row r="559" spans="1:70" ht="14.25" hidden="1" customHeight="1" x14ac:dyDescent="0.2">
      <c r="A559" s="205">
        <v>626</v>
      </c>
      <c r="B559" s="231" t="s">
        <v>1601</v>
      </c>
      <c r="C559" s="265" t="s">
        <v>1602</v>
      </c>
      <c r="D559" s="231" t="s">
        <v>1603</v>
      </c>
      <c r="E559" s="125" t="s">
        <v>356</v>
      </c>
      <c r="F559" s="181" t="s">
        <v>55</v>
      </c>
      <c r="G559" s="181" t="s">
        <v>56</v>
      </c>
      <c r="H559" s="181" t="s">
        <v>421</v>
      </c>
      <c r="J559" s="22">
        <v>250</v>
      </c>
      <c r="K559" s="182"/>
      <c r="L559" s="182" t="s">
        <v>58</v>
      </c>
      <c r="M559" s="22" t="s">
        <v>59</v>
      </c>
      <c r="N559" s="22">
        <v>0</v>
      </c>
      <c r="O559" s="178" t="s">
        <v>60</v>
      </c>
      <c r="P559" s="22" t="s">
        <v>79</v>
      </c>
      <c r="Q559" s="179" t="s">
        <v>1873</v>
      </c>
      <c r="R559" s="23" t="s">
        <v>1932</v>
      </c>
      <c r="T559" s="179">
        <v>100</v>
      </c>
      <c r="U559" s="179"/>
      <c r="V559" s="167" t="s">
        <v>615</v>
      </c>
      <c r="W559" s="65" t="s">
        <v>1933</v>
      </c>
      <c r="X559" s="106" t="s">
        <v>203</v>
      </c>
      <c r="Z559" s="169" t="s">
        <v>63</v>
      </c>
      <c r="AA559" s="6">
        <v>8</v>
      </c>
      <c r="AB559" s="6">
        <v>0</v>
      </c>
      <c r="AD559" s="165" t="s">
        <v>80</v>
      </c>
      <c r="AI559" s="165">
        <v>21</v>
      </c>
      <c r="AJ559" s="165">
        <v>40</v>
      </c>
      <c r="BO559" s="165"/>
      <c r="BP559" s="165"/>
      <c r="BQ559" s="6" t="s">
        <v>214</v>
      </c>
      <c r="BR559" s="5" t="s">
        <v>1934</v>
      </c>
    </row>
    <row r="560" spans="1:70" ht="14.25" hidden="1" x14ac:dyDescent="0.2">
      <c r="A560" s="205">
        <v>627</v>
      </c>
      <c r="B560" s="231" t="s">
        <v>1601</v>
      </c>
      <c r="C560" s="265" t="s">
        <v>1602</v>
      </c>
      <c r="D560" s="231" t="s">
        <v>1604</v>
      </c>
      <c r="E560" s="125" t="s">
        <v>356</v>
      </c>
      <c r="F560" s="181" t="s">
        <v>55</v>
      </c>
      <c r="G560" s="181" t="s">
        <v>56</v>
      </c>
      <c r="H560" s="181" t="s">
        <v>422</v>
      </c>
      <c r="J560" s="22">
        <v>250</v>
      </c>
      <c r="K560" s="182"/>
      <c r="L560" s="182" t="s">
        <v>58</v>
      </c>
      <c r="M560" s="22" t="s">
        <v>59</v>
      </c>
      <c r="N560" s="22" t="s">
        <v>1935</v>
      </c>
      <c r="O560" s="178" t="s">
        <v>60</v>
      </c>
      <c r="P560" s="22" t="s">
        <v>1936</v>
      </c>
      <c r="Q560" s="179" t="s">
        <v>1873</v>
      </c>
      <c r="R560" s="23" t="s">
        <v>1932</v>
      </c>
      <c r="T560" s="179">
        <v>100</v>
      </c>
      <c r="U560" s="179"/>
      <c r="V560" s="167" t="s">
        <v>615</v>
      </c>
      <c r="W560" s="65" t="s">
        <v>1937</v>
      </c>
      <c r="X560" s="106" t="s">
        <v>334</v>
      </c>
      <c r="Y560" s="25" t="s">
        <v>1938</v>
      </c>
      <c r="Z560" s="169" t="s">
        <v>63</v>
      </c>
      <c r="AA560" s="6">
        <v>24</v>
      </c>
      <c r="AB560" s="6">
        <v>0</v>
      </c>
      <c r="AD560" s="165" t="s">
        <v>80</v>
      </c>
      <c r="AI560" s="165">
        <v>21</v>
      </c>
      <c r="AJ560" s="165">
        <v>40</v>
      </c>
      <c r="BO560" s="165"/>
      <c r="BP560" s="165"/>
      <c r="BQ560" s="6" t="s">
        <v>214</v>
      </c>
      <c r="BR560" s="5" t="s">
        <v>1934</v>
      </c>
    </row>
    <row r="561" spans="1:70" ht="14.25" hidden="1" customHeight="1" x14ac:dyDescent="0.2">
      <c r="A561" s="205">
        <v>628</v>
      </c>
      <c r="B561" s="231" t="s">
        <v>1601</v>
      </c>
      <c r="C561" s="265" t="s">
        <v>1602</v>
      </c>
      <c r="D561" s="231" t="s">
        <v>1605</v>
      </c>
      <c r="E561" s="125" t="s">
        <v>356</v>
      </c>
      <c r="F561" s="181" t="s">
        <v>55</v>
      </c>
      <c r="G561" s="26" t="s">
        <v>56</v>
      </c>
      <c r="H561" s="26" t="s">
        <v>422</v>
      </c>
      <c r="J561" s="22">
        <v>250</v>
      </c>
      <c r="K561" s="182"/>
      <c r="L561" s="182" t="s">
        <v>58</v>
      </c>
      <c r="M561" s="22" t="s">
        <v>59</v>
      </c>
      <c r="N561" s="22" t="s">
        <v>1935</v>
      </c>
      <c r="O561" s="178" t="s">
        <v>60</v>
      </c>
      <c r="P561" s="22" t="s">
        <v>1936</v>
      </c>
      <c r="Q561" s="179" t="s">
        <v>358</v>
      </c>
      <c r="R561" s="23" t="s">
        <v>1939</v>
      </c>
      <c r="T561" s="179">
        <v>100</v>
      </c>
      <c r="U561" s="179"/>
      <c r="V561" s="25" t="s">
        <v>615</v>
      </c>
      <c r="W561" s="65" t="s">
        <v>1937</v>
      </c>
      <c r="X561" s="106" t="s">
        <v>334</v>
      </c>
      <c r="Y561" s="25" t="s">
        <v>1938</v>
      </c>
      <c r="Z561" s="169" t="s">
        <v>63</v>
      </c>
      <c r="AA561" s="6">
        <v>24</v>
      </c>
      <c r="AB561" s="6">
        <v>0</v>
      </c>
      <c r="AD561" s="165" t="s">
        <v>80</v>
      </c>
      <c r="AI561" s="5">
        <v>21</v>
      </c>
      <c r="AJ561" s="5">
        <v>40</v>
      </c>
      <c r="BQ561" s="6" t="s">
        <v>214</v>
      </c>
      <c r="BR561" s="5" t="s">
        <v>1934</v>
      </c>
    </row>
    <row r="562" spans="1:70" ht="14.25" hidden="1" customHeight="1" x14ac:dyDescent="0.2">
      <c r="A562" s="91">
        <v>629</v>
      </c>
      <c r="B562" s="231" t="s">
        <v>1620</v>
      </c>
      <c r="C562" s="265" t="s">
        <v>1619</v>
      </c>
      <c r="D562" s="231" t="s">
        <v>1742</v>
      </c>
      <c r="E562" s="125" t="s">
        <v>1622</v>
      </c>
      <c r="F562" s="181" t="s">
        <v>103</v>
      </c>
      <c r="G562" s="26" t="s">
        <v>56</v>
      </c>
      <c r="H562" s="26" t="s">
        <v>57</v>
      </c>
      <c r="J562" s="22">
        <v>0.08</v>
      </c>
      <c r="K562" s="182"/>
      <c r="L562" s="182" t="s">
        <v>58</v>
      </c>
      <c r="M562" s="22" t="s">
        <v>78</v>
      </c>
      <c r="N562" s="22">
        <v>1</v>
      </c>
      <c r="O562" s="178" t="s">
        <v>60</v>
      </c>
      <c r="P562" s="22" t="s">
        <v>79</v>
      </c>
      <c r="Q562" s="179" t="s">
        <v>1710</v>
      </c>
      <c r="R562" s="23" t="s">
        <v>171</v>
      </c>
      <c r="S562" s="24">
        <v>1</v>
      </c>
      <c r="T562" s="179"/>
      <c r="U562" s="179"/>
      <c r="V562" s="25" t="s">
        <v>62</v>
      </c>
      <c r="W562" s="65">
        <v>10</v>
      </c>
      <c r="Z562" s="169" t="s">
        <v>63</v>
      </c>
      <c r="AA562" s="6">
        <v>7</v>
      </c>
      <c r="AB562" s="6">
        <v>0</v>
      </c>
      <c r="AD562" s="165" t="s">
        <v>80</v>
      </c>
      <c r="AI562" s="5">
        <v>18</v>
      </c>
      <c r="AJ562" s="5">
        <v>45</v>
      </c>
      <c r="BB562" s="6" t="s">
        <v>204</v>
      </c>
      <c r="BG562" s="6">
        <v>19.2</v>
      </c>
      <c r="BH562" s="6">
        <v>30.2</v>
      </c>
      <c r="BR562" s="5" t="s">
        <v>1623</v>
      </c>
    </row>
    <row r="563" spans="1:70" ht="14.25" hidden="1" customHeight="1" x14ac:dyDescent="0.2">
      <c r="A563" s="91">
        <v>630</v>
      </c>
      <c r="B563" s="231" t="s">
        <v>1620</v>
      </c>
      <c r="C563" s="265" t="s">
        <v>1619</v>
      </c>
      <c r="D563" s="231" t="s">
        <v>1621</v>
      </c>
      <c r="E563" s="125" t="s">
        <v>1622</v>
      </c>
      <c r="F563" s="181" t="s">
        <v>103</v>
      </c>
      <c r="G563" s="26" t="s">
        <v>56</v>
      </c>
      <c r="H563" s="181" t="s">
        <v>57</v>
      </c>
      <c r="J563" s="22">
        <v>10</v>
      </c>
      <c r="K563" s="182"/>
      <c r="L563" s="182" t="s">
        <v>58</v>
      </c>
      <c r="M563" s="22" t="s">
        <v>59</v>
      </c>
      <c r="N563" s="22">
        <v>0</v>
      </c>
      <c r="O563" s="178" t="s">
        <v>60</v>
      </c>
      <c r="P563" s="22" t="s">
        <v>79</v>
      </c>
      <c r="Q563" s="179"/>
      <c r="T563" s="179"/>
      <c r="U563" s="179"/>
      <c r="V563" s="25" t="s">
        <v>62</v>
      </c>
      <c r="W563" s="65">
        <v>10</v>
      </c>
      <c r="Z563" s="169" t="s">
        <v>63</v>
      </c>
      <c r="AA563" s="6">
        <v>7</v>
      </c>
      <c r="AB563" s="6">
        <v>0</v>
      </c>
      <c r="AD563" s="165" t="s">
        <v>80</v>
      </c>
      <c r="AI563" s="5">
        <v>18</v>
      </c>
      <c r="AJ563" s="5">
        <v>45</v>
      </c>
      <c r="BB563" s="6" t="s">
        <v>204</v>
      </c>
      <c r="BG563" s="6">
        <v>19.2</v>
      </c>
      <c r="BH563" s="6">
        <v>30.2</v>
      </c>
      <c r="BR563" s="5" t="s">
        <v>1623</v>
      </c>
    </row>
    <row r="564" spans="1:70" ht="14.25" hidden="1" customHeight="1" x14ac:dyDescent="0.2">
      <c r="A564" s="91">
        <v>631</v>
      </c>
      <c r="B564" s="231" t="s">
        <v>1624</v>
      </c>
      <c r="C564" s="265" t="s">
        <v>1625</v>
      </c>
      <c r="D564" s="231" t="s">
        <v>1626</v>
      </c>
      <c r="E564" s="125" t="s">
        <v>1622</v>
      </c>
      <c r="F564" s="181" t="s">
        <v>103</v>
      </c>
      <c r="G564" s="26" t="s">
        <v>56</v>
      </c>
      <c r="H564" s="181" t="s">
        <v>1350</v>
      </c>
      <c r="J564" s="22">
        <v>5</v>
      </c>
      <c r="K564" s="182"/>
      <c r="L564" s="182" t="s">
        <v>58</v>
      </c>
      <c r="M564" s="22" t="s">
        <v>59</v>
      </c>
      <c r="N564" s="22">
        <v>0</v>
      </c>
      <c r="O564" s="178" t="s">
        <v>60</v>
      </c>
      <c r="P564" s="22" t="s">
        <v>79</v>
      </c>
      <c r="Q564" s="179"/>
      <c r="T564" s="179"/>
      <c r="U564" s="179"/>
      <c r="V564" s="25" t="s">
        <v>436</v>
      </c>
      <c r="Z564" s="169" t="s">
        <v>63</v>
      </c>
      <c r="AA564" s="6">
        <v>36</v>
      </c>
      <c r="AB564" s="6">
        <v>14</v>
      </c>
      <c r="AC564" s="5">
        <v>41.3</v>
      </c>
      <c r="AD564" s="165" t="s">
        <v>80</v>
      </c>
      <c r="AE564" s="5" t="s">
        <v>335</v>
      </c>
      <c r="AF564" s="5">
        <v>10.46</v>
      </c>
      <c r="AG564" s="5" t="s">
        <v>80</v>
      </c>
      <c r="AH564" s="5" t="s">
        <v>117</v>
      </c>
      <c r="AI564" s="5">
        <v>19</v>
      </c>
      <c r="AJ564" s="5">
        <v>55</v>
      </c>
      <c r="AK564" s="6">
        <v>77.489999999999995</v>
      </c>
      <c r="AL564" s="6" t="s">
        <v>81</v>
      </c>
      <c r="AM564" s="6" t="s">
        <v>335</v>
      </c>
      <c r="AN564" s="6">
        <v>13.99</v>
      </c>
      <c r="AO564" s="6" t="s">
        <v>81</v>
      </c>
      <c r="AP564" s="6" t="s">
        <v>117</v>
      </c>
      <c r="AQ564" s="6">
        <v>50.2</v>
      </c>
      <c r="AR564" s="6">
        <v>102</v>
      </c>
      <c r="AS564" s="5">
        <v>171.5</v>
      </c>
      <c r="AT564" s="5" t="s">
        <v>119</v>
      </c>
      <c r="AU564" s="5" t="s">
        <v>335</v>
      </c>
      <c r="AV564" s="5">
        <v>10.81</v>
      </c>
      <c r="AW564" s="5" t="s">
        <v>119</v>
      </c>
      <c r="AX564" s="5" t="s">
        <v>117</v>
      </c>
      <c r="AY564" s="5">
        <v>154</v>
      </c>
      <c r="AZ564" s="5">
        <v>190</v>
      </c>
      <c r="BA564" s="6">
        <v>26.19</v>
      </c>
      <c r="BB564" s="6" t="s">
        <v>204</v>
      </c>
      <c r="BC564" s="6" t="s">
        <v>335</v>
      </c>
      <c r="BD564" s="6">
        <v>3.09</v>
      </c>
      <c r="BE564" s="6" t="s">
        <v>204</v>
      </c>
      <c r="BF564" s="6" t="s">
        <v>117</v>
      </c>
      <c r="BG564" s="6">
        <v>20.7</v>
      </c>
      <c r="BH564" s="6">
        <v>31</v>
      </c>
      <c r="BR564" s="5" t="s">
        <v>1627</v>
      </c>
    </row>
    <row r="565" spans="1:70" ht="14.25" hidden="1" customHeight="1" x14ac:dyDescent="0.2">
      <c r="A565" s="92">
        <v>632</v>
      </c>
      <c r="B565" s="231" t="s">
        <v>1624</v>
      </c>
      <c r="C565" s="265" t="s">
        <v>1625</v>
      </c>
      <c r="D565" s="231" t="s">
        <v>1651</v>
      </c>
      <c r="E565" s="125" t="s">
        <v>1622</v>
      </c>
      <c r="F565" s="181" t="s">
        <v>103</v>
      </c>
      <c r="G565" s="26" t="s">
        <v>56</v>
      </c>
      <c r="H565" s="26" t="s">
        <v>104</v>
      </c>
      <c r="J565" s="22">
        <v>10</v>
      </c>
      <c r="K565" s="182"/>
      <c r="L565" s="182" t="s">
        <v>58</v>
      </c>
      <c r="M565" s="22" t="s">
        <v>59</v>
      </c>
      <c r="N565" s="22">
        <v>0</v>
      </c>
      <c r="O565" s="178" t="s">
        <v>60</v>
      </c>
      <c r="P565" s="22" t="s">
        <v>79</v>
      </c>
      <c r="Q565" s="179"/>
      <c r="T565" s="179"/>
      <c r="U565" s="179"/>
      <c r="Z565" s="169" t="s">
        <v>63</v>
      </c>
      <c r="AA565" s="6">
        <v>36</v>
      </c>
      <c r="AB565" s="6">
        <v>9</v>
      </c>
      <c r="AC565" s="5">
        <v>39.4</v>
      </c>
      <c r="AD565" s="165" t="s">
        <v>80</v>
      </c>
      <c r="AE565" s="5" t="s">
        <v>335</v>
      </c>
      <c r="AF565" s="5">
        <v>11.22</v>
      </c>
      <c r="AG565" s="5" t="s">
        <v>80</v>
      </c>
      <c r="AH565" s="5" t="s">
        <v>117</v>
      </c>
      <c r="AI565" s="5">
        <v>20</v>
      </c>
      <c r="AJ565" s="5">
        <v>55</v>
      </c>
      <c r="AK565" s="6">
        <v>79.959999999999994</v>
      </c>
      <c r="AL565" s="6" t="s">
        <v>81</v>
      </c>
      <c r="AM565" s="6" t="s">
        <v>335</v>
      </c>
      <c r="AN565" s="6">
        <v>14.112</v>
      </c>
      <c r="AO565" s="6" t="s">
        <v>81</v>
      </c>
      <c r="AP565" s="6" t="s">
        <v>117</v>
      </c>
      <c r="AQ565" s="6">
        <v>51.5</v>
      </c>
      <c r="AR565" s="6">
        <v>105.5</v>
      </c>
      <c r="AS565" s="5">
        <v>172</v>
      </c>
      <c r="AT565" s="5" t="s">
        <v>119</v>
      </c>
      <c r="AU565" s="5" t="s">
        <v>335</v>
      </c>
      <c r="AV565" s="5">
        <v>12.38</v>
      </c>
      <c r="AW565" s="5" t="s">
        <v>119</v>
      </c>
      <c r="AX565" s="5" t="s">
        <v>117</v>
      </c>
      <c r="AY565" s="5">
        <v>148</v>
      </c>
      <c r="AZ565" s="5">
        <v>192</v>
      </c>
      <c r="BA565" s="6">
        <v>26.88</v>
      </c>
      <c r="BB565" s="6" t="s">
        <v>204</v>
      </c>
      <c r="BC565" s="6" t="s">
        <v>335</v>
      </c>
      <c r="BD565" s="6">
        <v>3.0409999999999999</v>
      </c>
      <c r="BE565" s="6" t="s">
        <v>204</v>
      </c>
      <c r="BF565" s="6" t="s">
        <v>117</v>
      </c>
      <c r="BG565" s="6">
        <v>20.3</v>
      </c>
      <c r="BH565" s="6">
        <v>31.3</v>
      </c>
      <c r="BR565" s="5" t="s">
        <v>1627</v>
      </c>
    </row>
    <row r="566" spans="1:70" ht="14.25" hidden="1" x14ac:dyDescent="0.2">
      <c r="A566" s="91">
        <v>633</v>
      </c>
      <c r="B566" s="231" t="s">
        <v>1628</v>
      </c>
      <c r="C566" s="265" t="s">
        <v>1629</v>
      </c>
      <c r="D566" s="231" t="s">
        <v>200</v>
      </c>
      <c r="E566" s="125" t="s">
        <v>1622</v>
      </c>
      <c r="F566" s="181" t="s">
        <v>103</v>
      </c>
      <c r="G566" s="26" t="s">
        <v>56</v>
      </c>
      <c r="H566" s="26" t="s">
        <v>66</v>
      </c>
      <c r="J566" s="22">
        <v>10</v>
      </c>
      <c r="K566" s="182"/>
      <c r="L566" s="182" t="s">
        <v>58</v>
      </c>
      <c r="M566" s="22" t="s">
        <v>59</v>
      </c>
      <c r="N566" s="22">
        <v>0</v>
      </c>
      <c r="O566" s="178" t="s">
        <v>60</v>
      </c>
      <c r="P566" s="22" t="s">
        <v>79</v>
      </c>
      <c r="Q566" s="179"/>
      <c r="T566" s="179"/>
      <c r="U566" s="179"/>
      <c r="V566" s="25" t="s">
        <v>62</v>
      </c>
      <c r="X566" s="106" t="s">
        <v>1630</v>
      </c>
      <c r="Y566" s="25" t="s">
        <v>1631</v>
      </c>
      <c r="Z566" s="169" t="s">
        <v>63</v>
      </c>
      <c r="AA566" s="6">
        <f>13+9</f>
        <v>22</v>
      </c>
      <c r="AB566" s="6">
        <v>9</v>
      </c>
      <c r="AC566" s="5">
        <v>55</v>
      </c>
      <c r="AD566" s="165" t="s">
        <v>80</v>
      </c>
      <c r="AE566" s="5" t="s">
        <v>538</v>
      </c>
      <c r="AI566" s="5">
        <v>31</v>
      </c>
      <c r="AJ566" s="5">
        <v>69</v>
      </c>
      <c r="AK566" s="6">
        <v>67.3</v>
      </c>
      <c r="AL566" s="6" t="s">
        <v>81</v>
      </c>
      <c r="AM566" s="6" t="s">
        <v>538</v>
      </c>
      <c r="AQ566" s="6">
        <v>49.7</v>
      </c>
      <c r="AR566" s="6">
        <v>109.5</v>
      </c>
      <c r="BA566" s="6">
        <v>25.7</v>
      </c>
      <c r="BB566" s="166" t="s">
        <v>204</v>
      </c>
      <c r="BC566" s="6" t="s">
        <v>538</v>
      </c>
      <c r="BG566" s="6">
        <v>20.7</v>
      </c>
      <c r="BH566" s="6">
        <v>39.1</v>
      </c>
      <c r="BQ566" s="6" t="s">
        <v>512</v>
      </c>
    </row>
    <row r="567" spans="1:70" ht="14.25" hidden="1" x14ac:dyDescent="0.2">
      <c r="A567" s="91">
        <v>634</v>
      </c>
      <c r="B567" s="231" t="s">
        <v>1633</v>
      </c>
      <c r="C567" s="265" t="s">
        <v>1632</v>
      </c>
      <c r="D567" s="231" t="s">
        <v>615</v>
      </c>
      <c r="E567" s="125" t="s">
        <v>1622</v>
      </c>
      <c r="F567" s="181" t="s">
        <v>103</v>
      </c>
      <c r="G567" s="26" t="s">
        <v>56</v>
      </c>
      <c r="H567" s="181" t="s">
        <v>535</v>
      </c>
      <c r="J567" s="22">
        <v>10</v>
      </c>
      <c r="K567" s="182"/>
      <c r="L567" s="182" t="s">
        <v>58</v>
      </c>
      <c r="M567" s="22" t="s">
        <v>59</v>
      </c>
      <c r="N567" s="22">
        <v>0</v>
      </c>
      <c r="O567" s="178" t="s">
        <v>60</v>
      </c>
      <c r="P567" s="22" t="s">
        <v>79</v>
      </c>
      <c r="Q567" s="179"/>
      <c r="T567" s="179"/>
      <c r="U567" s="179"/>
      <c r="V567" s="25" t="s">
        <v>62</v>
      </c>
      <c r="W567" s="65">
        <v>10</v>
      </c>
      <c r="Z567" s="169" t="s">
        <v>63</v>
      </c>
      <c r="AA567" s="6">
        <v>14</v>
      </c>
      <c r="AD567" s="165" t="s">
        <v>80</v>
      </c>
      <c r="AI567" s="5">
        <v>18</v>
      </c>
      <c r="AJ567" s="5">
        <v>45</v>
      </c>
      <c r="BB567" s="6" t="s">
        <v>204</v>
      </c>
      <c r="BG567" s="166">
        <v>18</v>
      </c>
      <c r="BH567" s="166">
        <v>32</v>
      </c>
      <c r="BR567" s="165"/>
    </row>
    <row r="568" spans="1:70" ht="14.25" hidden="1" x14ac:dyDescent="0.2">
      <c r="A568" s="91">
        <v>635</v>
      </c>
      <c r="B568" s="231" t="s">
        <v>1633</v>
      </c>
      <c r="C568" s="265" t="s">
        <v>1632</v>
      </c>
      <c r="D568" s="231" t="s">
        <v>644</v>
      </c>
      <c r="E568" s="125" t="s">
        <v>1622</v>
      </c>
      <c r="F568" s="181" t="s">
        <v>103</v>
      </c>
      <c r="G568" s="181" t="s">
        <v>56</v>
      </c>
      <c r="H568" s="26" t="s">
        <v>535</v>
      </c>
      <c r="J568" s="22">
        <v>10</v>
      </c>
      <c r="K568" s="182"/>
      <c r="L568" s="182" t="s">
        <v>58</v>
      </c>
      <c r="M568" s="22" t="s">
        <v>59</v>
      </c>
      <c r="N568" s="22">
        <v>0</v>
      </c>
      <c r="O568" s="178" t="s">
        <v>60</v>
      </c>
      <c r="P568" s="22" t="s">
        <v>79</v>
      </c>
      <c r="Q568" s="179"/>
      <c r="T568" s="179"/>
      <c r="U568" s="179"/>
      <c r="V568" s="25" t="s">
        <v>436</v>
      </c>
      <c r="W568" s="65">
        <f>5/60</f>
        <v>8.3333333333333329E-2</v>
      </c>
      <c r="Y568" s="25" t="s">
        <v>1634</v>
      </c>
      <c r="Z568" s="169" t="s">
        <v>63</v>
      </c>
      <c r="AA568" s="6">
        <v>14</v>
      </c>
      <c r="AD568" s="165" t="s">
        <v>80</v>
      </c>
      <c r="AI568" s="5">
        <v>18</v>
      </c>
      <c r="AJ568" s="5">
        <v>45</v>
      </c>
      <c r="BB568" s="166" t="s">
        <v>204</v>
      </c>
      <c r="BE568" s="166"/>
      <c r="BF568" s="166"/>
      <c r="BG568" s="6">
        <v>18</v>
      </c>
      <c r="BH568" s="6">
        <v>32</v>
      </c>
    </row>
    <row r="569" spans="1:70" ht="14.25" hidden="1" x14ac:dyDescent="0.2">
      <c r="A569" s="91">
        <v>636</v>
      </c>
      <c r="B569" s="231" t="s">
        <v>1635</v>
      </c>
      <c r="C569" s="265" t="s">
        <v>1636</v>
      </c>
      <c r="D569" s="231" t="s">
        <v>1637</v>
      </c>
      <c r="E569" s="125" t="s">
        <v>1622</v>
      </c>
      <c r="F569" s="181" t="s">
        <v>103</v>
      </c>
      <c r="G569" s="181" t="s">
        <v>56</v>
      </c>
      <c r="H569" s="181" t="s">
        <v>1640</v>
      </c>
      <c r="I569" s="181"/>
      <c r="J569" s="178">
        <v>50</v>
      </c>
      <c r="K569" s="182"/>
      <c r="L569" s="182" t="s">
        <v>58</v>
      </c>
      <c r="M569" s="178" t="s">
        <v>59</v>
      </c>
      <c r="N569" s="178">
        <v>0</v>
      </c>
      <c r="O569" s="178" t="s">
        <v>60</v>
      </c>
      <c r="P569" s="178" t="s">
        <v>79</v>
      </c>
      <c r="V569" s="25" t="s">
        <v>62</v>
      </c>
      <c r="W569" s="65">
        <v>10</v>
      </c>
      <c r="X569" s="106" t="s">
        <v>203</v>
      </c>
      <c r="Z569" s="83" t="s">
        <v>63</v>
      </c>
      <c r="AA569" s="6">
        <v>24</v>
      </c>
      <c r="AB569" s="6">
        <v>0</v>
      </c>
      <c r="AC569" s="5">
        <v>32</v>
      </c>
      <c r="AD569" s="5" t="s">
        <v>80</v>
      </c>
      <c r="AE569" s="165" t="s">
        <v>335</v>
      </c>
      <c r="AH569" s="165"/>
      <c r="AI569" s="5">
        <v>23</v>
      </c>
      <c r="AJ569" s="5">
        <v>45</v>
      </c>
      <c r="AM569" s="166"/>
      <c r="AP569" s="166"/>
      <c r="AU569" s="165"/>
      <c r="BA569" s="6">
        <v>25.6</v>
      </c>
      <c r="BB569" s="166" t="s">
        <v>204</v>
      </c>
      <c r="BC569" s="166" t="s">
        <v>335</v>
      </c>
      <c r="BE569" s="166"/>
      <c r="BF569" s="166"/>
      <c r="BG569" s="6">
        <v>18.600000000000001</v>
      </c>
      <c r="BH569" s="6">
        <v>29.4</v>
      </c>
      <c r="BR569" s="165"/>
    </row>
    <row r="570" spans="1:70" ht="14.25" hidden="1" x14ac:dyDescent="0.2">
      <c r="A570" s="91">
        <v>637</v>
      </c>
      <c r="B570" s="231" t="s">
        <v>1635</v>
      </c>
      <c r="C570" s="265" t="s">
        <v>1636</v>
      </c>
      <c r="D570" s="231" t="s">
        <v>1638</v>
      </c>
      <c r="E570" s="125" t="s">
        <v>1622</v>
      </c>
      <c r="F570" s="181" t="s">
        <v>103</v>
      </c>
      <c r="G570" s="181" t="s">
        <v>56</v>
      </c>
      <c r="H570" s="26" t="s">
        <v>1641</v>
      </c>
      <c r="J570" s="22">
        <v>20</v>
      </c>
      <c r="L570" s="28" t="s">
        <v>58</v>
      </c>
      <c r="M570" s="22" t="s">
        <v>59</v>
      </c>
      <c r="N570" s="22">
        <v>0</v>
      </c>
      <c r="O570" s="22" t="s">
        <v>60</v>
      </c>
      <c r="P570" s="22" t="s">
        <v>79</v>
      </c>
      <c r="V570" s="25" t="s">
        <v>62</v>
      </c>
      <c r="W570" s="65">
        <v>10</v>
      </c>
      <c r="X570" s="106" t="s">
        <v>203</v>
      </c>
      <c r="Z570" s="83" t="s">
        <v>63</v>
      </c>
      <c r="AA570" s="6">
        <v>18</v>
      </c>
      <c r="AB570" s="6">
        <v>3</v>
      </c>
      <c r="AC570" s="5">
        <v>33</v>
      </c>
      <c r="AD570" s="5" t="s">
        <v>80</v>
      </c>
      <c r="AE570" s="5" t="s">
        <v>335</v>
      </c>
      <c r="AI570" s="5">
        <v>22</v>
      </c>
      <c r="AJ570" s="5">
        <v>45</v>
      </c>
      <c r="BA570" s="6">
        <v>26.1</v>
      </c>
      <c r="BB570" s="166" t="s">
        <v>204</v>
      </c>
      <c r="BC570" s="6" t="s">
        <v>335</v>
      </c>
      <c r="BG570" s="6">
        <v>19.600000000000001</v>
      </c>
      <c r="BH570" s="6">
        <v>31.6</v>
      </c>
    </row>
    <row r="571" spans="1:70" ht="14.25" hidden="1" x14ac:dyDescent="0.2">
      <c r="A571" s="91">
        <v>638</v>
      </c>
      <c r="B571" s="231" t="s">
        <v>1635</v>
      </c>
      <c r="C571" s="265" t="s">
        <v>1636</v>
      </c>
      <c r="D571" s="231" t="s">
        <v>1639</v>
      </c>
      <c r="E571" s="125" t="s">
        <v>1622</v>
      </c>
      <c r="F571" s="181" t="s">
        <v>103</v>
      </c>
      <c r="G571" s="181" t="s">
        <v>56</v>
      </c>
      <c r="H571" s="26" t="s">
        <v>1642</v>
      </c>
      <c r="J571" s="178">
        <v>20</v>
      </c>
      <c r="K571" s="182"/>
      <c r="L571" s="182" t="s">
        <v>58</v>
      </c>
      <c r="M571" s="178" t="s">
        <v>59</v>
      </c>
      <c r="N571" s="178">
        <v>0</v>
      </c>
      <c r="O571" s="178" t="s">
        <v>60</v>
      </c>
      <c r="P571" s="178" t="s">
        <v>79</v>
      </c>
      <c r="V571" s="167" t="s">
        <v>62</v>
      </c>
      <c r="W571" s="65">
        <v>10</v>
      </c>
      <c r="X571" s="106" t="s">
        <v>203</v>
      </c>
      <c r="Z571" s="169" t="s">
        <v>63</v>
      </c>
      <c r="AA571" s="6">
        <v>18</v>
      </c>
      <c r="AB571" s="6">
        <v>6</v>
      </c>
      <c r="AC571" s="5">
        <v>33</v>
      </c>
      <c r="AD571" s="165" t="s">
        <v>80</v>
      </c>
      <c r="AE571" s="165" t="s">
        <v>335</v>
      </c>
      <c r="AF571" s="165"/>
      <c r="AG571" s="165"/>
      <c r="AH571" s="165"/>
      <c r="AI571" s="165">
        <v>25</v>
      </c>
      <c r="AJ571" s="165">
        <v>42</v>
      </c>
      <c r="BA571" s="6">
        <v>26.7</v>
      </c>
      <c r="BB571" s="166" t="s">
        <v>204</v>
      </c>
      <c r="BC571" s="166" t="s">
        <v>335</v>
      </c>
      <c r="BD571" s="166"/>
      <c r="BE571" s="166"/>
      <c r="BF571" s="166"/>
      <c r="BG571" s="166">
        <v>19.2</v>
      </c>
      <c r="BH571" s="166">
        <v>31.2</v>
      </c>
    </row>
    <row r="572" spans="1:70" ht="14.25" hidden="1" x14ac:dyDescent="0.2">
      <c r="A572" s="91">
        <v>639</v>
      </c>
      <c r="B572" s="231" t="s">
        <v>1643</v>
      </c>
      <c r="C572" s="265" t="s">
        <v>1644</v>
      </c>
      <c r="D572" s="231" t="s">
        <v>1645</v>
      </c>
      <c r="E572" s="125" t="s">
        <v>1622</v>
      </c>
      <c r="F572" s="181" t="s">
        <v>103</v>
      </c>
      <c r="G572" s="181" t="s">
        <v>56</v>
      </c>
      <c r="H572" s="181" t="s">
        <v>66</v>
      </c>
      <c r="J572" s="178">
        <v>20</v>
      </c>
      <c r="K572" s="182"/>
      <c r="L572" s="182" t="s">
        <v>58</v>
      </c>
      <c r="M572" s="178" t="s">
        <v>59</v>
      </c>
      <c r="N572" s="178">
        <v>0</v>
      </c>
      <c r="O572" s="178" t="s">
        <v>60</v>
      </c>
      <c r="P572" s="178" t="s">
        <v>79</v>
      </c>
      <c r="V572" s="167" t="s">
        <v>62</v>
      </c>
      <c r="W572" s="65">
        <v>10</v>
      </c>
      <c r="X572" s="106" t="s">
        <v>203</v>
      </c>
      <c r="Z572" s="169" t="s">
        <v>63</v>
      </c>
      <c r="AA572" s="6">
        <v>24</v>
      </c>
      <c r="AB572" s="6">
        <v>1</v>
      </c>
      <c r="AC572" s="5">
        <v>32</v>
      </c>
      <c r="AD572" s="165" t="s">
        <v>80</v>
      </c>
      <c r="AE572" s="165" t="s">
        <v>335</v>
      </c>
      <c r="AF572" s="165"/>
      <c r="AG572" s="165"/>
      <c r="AH572" s="165"/>
      <c r="AI572" s="165">
        <v>21</v>
      </c>
      <c r="AJ572" s="165">
        <v>43</v>
      </c>
      <c r="BA572" s="6">
        <v>26.8</v>
      </c>
      <c r="BB572" s="166" t="s">
        <v>204</v>
      </c>
      <c r="BC572" s="166" t="s">
        <v>335</v>
      </c>
      <c r="BD572" s="166"/>
      <c r="BE572" s="166"/>
      <c r="BF572" s="166"/>
      <c r="BG572" s="166">
        <v>19.600000000000001</v>
      </c>
      <c r="BH572" s="166">
        <v>31.6</v>
      </c>
      <c r="BR572" s="5" t="s">
        <v>1646</v>
      </c>
    </row>
    <row r="573" spans="1:70" ht="14.25" hidden="1" x14ac:dyDescent="0.2">
      <c r="A573" s="91">
        <v>640</v>
      </c>
      <c r="B573" s="231" t="s">
        <v>1663</v>
      </c>
      <c r="C573" s="265" t="s">
        <v>1649</v>
      </c>
      <c r="D573" s="231" t="s">
        <v>1645</v>
      </c>
      <c r="E573" s="125" t="s">
        <v>1622</v>
      </c>
      <c r="F573" s="181" t="s">
        <v>103</v>
      </c>
      <c r="G573" s="181" t="s">
        <v>56</v>
      </c>
      <c r="H573" s="181" t="s">
        <v>535</v>
      </c>
      <c r="J573" s="22">
        <v>10</v>
      </c>
      <c r="L573" s="182" t="s">
        <v>58</v>
      </c>
      <c r="M573" s="178" t="s">
        <v>59</v>
      </c>
      <c r="N573" s="178">
        <v>0</v>
      </c>
      <c r="O573" s="178" t="s">
        <v>60</v>
      </c>
      <c r="P573" s="178" t="s">
        <v>79</v>
      </c>
      <c r="V573" s="167"/>
      <c r="W573" s="168"/>
      <c r="Z573" s="169" t="s">
        <v>63</v>
      </c>
      <c r="AA573" s="6">
        <v>14</v>
      </c>
      <c r="AB573" s="6">
        <v>1</v>
      </c>
      <c r="AC573" s="165">
        <v>31</v>
      </c>
      <c r="AD573" s="165" t="s">
        <v>80</v>
      </c>
      <c r="AE573" s="165" t="s">
        <v>538</v>
      </c>
      <c r="AF573" s="165"/>
      <c r="AG573" s="165"/>
      <c r="AH573" s="165"/>
      <c r="AI573" s="165">
        <v>25</v>
      </c>
      <c r="AJ573" s="165">
        <v>45</v>
      </c>
      <c r="AK573" s="166"/>
      <c r="AL573" s="166"/>
      <c r="AM573" s="166"/>
      <c r="AN573" s="166"/>
      <c r="AO573" s="166"/>
      <c r="AP573" s="166"/>
      <c r="AQ573" s="166"/>
      <c r="AR573" s="166"/>
      <c r="AT573" s="165"/>
      <c r="AU573" s="165"/>
      <c r="AV573" s="165"/>
      <c r="AW573" s="165"/>
      <c r="AX573" s="165"/>
      <c r="AY573" s="165"/>
      <c r="AZ573" s="165"/>
      <c r="BA573" s="166">
        <v>27</v>
      </c>
      <c r="BB573" s="166" t="s">
        <v>204</v>
      </c>
      <c r="BC573" s="166" t="s">
        <v>538</v>
      </c>
      <c r="BD573" s="166"/>
      <c r="BE573" s="166"/>
      <c r="BF573" s="166"/>
      <c r="BG573" s="166">
        <v>21</v>
      </c>
      <c r="BH573" s="166">
        <v>30</v>
      </c>
    </row>
    <row r="574" spans="1:70" ht="14.25" hidden="1" x14ac:dyDescent="0.2">
      <c r="A574" s="91">
        <v>641</v>
      </c>
      <c r="B574" s="231" t="s">
        <v>1663</v>
      </c>
      <c r="C574" s="265" t="s">
        <v>1649</v>
      </c>
      <c r="D574" s="231" t="s">
        <v>1647</v>
      </c>
      <c r="E574" s="125" t="s">
        <v>1622</v>
      </c>
      <c r="F574" s="181" t="s">
        <v>103</v>
      </c>
      <c r="G574" s="181" t="s">
        <v>56</v>
      </c>
      <c r="H574" s="181" t="s">
        <v>540</v>
      </c>
      <c r="J574" s="22">
        <v>10</v>
      </c>
      <c r="L574" s="182" t="s">
        <v>58</v>
      </c>
      <c r="M574" s="178" t="s">
        <v>59</v>
      </c>
      <c r="N574" s="178">
        <v>0</v>
      </c>
      <c r="O574" s="178" t="s">
        <v>60</v>
      </c>
      <c r="P574" s="178" t="s">
        <v>79</v>
      </c>
      <c r="V574" s="167"/>
      <c r="W574" s="168"/>
      <c r="Z574" s="169" t="s">
        <v>63</v>
      </c>
      <c r="AA574" s="6">
        <v>16</v>
      </c>
      <c r="AB574" s="6">
        <v>9</v>
      </c>
      <c r="AC574" s="165">
        <v>33</v>
      </c>
      <c r="AD574" s="165" t="s">
        <v>80</v>
      </c>
      <c r="AE574" s="165" t="s">
        <v>538</v>
      </c>
      <c r="AF574" s="165"/>
      <c r="AG574" s="165"/>
      <c r="AH574" s="165"/>
      <c r="AI574" s="165">
        <v>25</v>
      </c>
      <c r="AJ574" s="165">
        <v>55</v>
      </c>
      <c r="AK574" s="166"/>
      <c r="AL574" s="166"/>
      <c r="AM574" s="166"/>
      <c r="AN574" s="166"/>
      <c r="AO574" s="166"/>
      <c r="AP574" s="166"/>
      <c r="AQ574" s="166"/>
      <c r="AR574" s="166"/>
      <c r="AT574" s="165"/>
      <c r="AU574" s="165"/>
      <c r="AV574" s="165"/>
      <c r="AW574" s="165"/>
      <c r="AX574" s="165"/>
      <c r="AY574" s="165"/>
      <c r="AZ574" s="165"/>
      <c r="BA574" s="166">
        <v>26</v>
      </c>
      <c r="BB574" s="166" t="s">
        <v>204</v>
      </c>
      <c r="BC574" s="166" t="s">
        <v>538</v>
      </c>
      <c r="BD574" s="166"/>
      <c r="BE574" s="166"/>
      <c r="BF574" s="166"/>
      <c r="BG574" s="166">
        <v>21</v>
      </c>
      <c r="BH574" s="166">
        <v>30</v>
      </c>
    </row>
    <row r="575" spans="1:70" ht="14.25" hidden="1" x14ac:dyDescent="0.2">
      <c r="A575" s="91">
        <v>642</v>
      </c>
      <c r="B575" s="231" t="s">
        <v>1663</v>
      </c>
      <c r="C575" s="265" t="s">
        <v>1649</v>
      </c>
      <c r="D575" s="231" t="s">
        <v>1648</v>
      </c>
      <c r="E575" s="125" t="s">
        <v>1622</v>
      </c>
      <c r="F575" s="181" t="s">
        <v>103</v>
      </c>
      <c r="G575" s="181" t="s">
        <v>56</v>
      </c>
      <c r="H575" s="181" t="s">
        <v>540</v>
      </c>
      <c r="J575" s="22">
        <v>10</v>
      </c>
      <c r="L575" s="182" t="s">
        <v>58</v>
      </c>
      <c r="M575" s="178" t="s">
        <v>59</v>
      </c>
      <c r="N575" s="178">
        <v>24</v>
      </c>
      <c r="O575" s="178" t="s">
        <v>60</v>
      </c>
      <c r="P575" s="178" t="s">
        <v>79</v>
      </c>
      <c r="Z575" s="169" t="s">
        <v>63</v>
      </c>
      <c r="AA575" s="6">
        <v>16</v>
      </c>
      <c r="AB575" s="6">
        <v>9</v>
      </c>
      <c r="AC575" s="165">
        <v>33</v>
      </c>
      <c r="AD575" s="165" t="s">
        <v>80</v>
      </c>
      <c r="AE575" s="165" t="s">
        <v>538</v>
      </c>
      <c r="AF575" s="165"/>
      <c r="AG575" s="165"/>
      <c r="AH575" s="165"/>
      <c r="AI575" s="165">
        <v>25</v>
      </c>
      <c r="AJ575" s="165">
        <v>55</v>
      </c>
      <c r="AK575" s="166"/>
      <c r="AL575" s="166"/>
      <c r="AM575" s="166"/>
      <c r="AN575" s="166"/>
      <c r="AO575" s="166"/>
      <c r="AP575" s="166"/>
      <c r="AQ575" s="166"/>
      <c r="AR575" s="166"/>
      <c r="AT575" s="165"/>
      <c r="AU575" s="165"/>
      <c r="AV575" s="165"/>
      <c r="AW575" s="165"/>
      <c r="AX575" s="165"/>
      <c r="AY575" s="165"/>
      <c r="AZ575" s="165"/>
      <c r="BA575" s="166">
        <v>26</v>
      </c>
      <c r="BB575" s="166" t="s">
        <v>204</v>
      </c>
      <c r="BC575" s="166" t="s">
        <v>538</v>
      </c>
      <c r="BD575" s="166"/>
      <c r="BE575" s="166"/>
      <c r="BF575" s="166"/>
      <c r="BG575" s="166">
        <v>21</v>
      </c>
      <c r="BH575" s="166">
        <v>30</v>
      </c>
    </row>
    <row r="576" spans="1:70" ht="14.25" hidden="1" x14ac:dyDescent="0.2">
      <c r="A576" s="113">
        <v>643</v>
      </c>
      <c r="B576" s="231" t="s">
        <v>1663</v>
      </c>
      <c r="C576" s="265" t="s">
        <v>1649</v>
      </c>
      <c r="D576" s="231" t="s">
        <v>1650</v>
      </c>
      <c r="E576" s="125" t="s">
        <v>1622</v>
      </c>
      <c r="F576" s="181" t="s">
        <v>103</v>
      </c>
      <c r="G576" s="181" t="s">
        <v>56</v>
      </c>
      <c r="H576" s="26" t="s">
        <v>535</v>
      </c>
      <c r="J576" s="22">
        <v>10</v>
      </c>
      <c r="L576" s="28" t="s">
        <v>58</v>
      </c>
      <c r="M576" s="22" t="s">
        <v>59</v>
      </c>
      <c r="N576" s="22">
        <v>120</v>
      </c>
      <c r="O576" s="22" t="s">
        <v>60</v>
      </c>
      <c r="P576" s="22" t="s">
        <v>79</v>
      </c>
      <c r="Z576" s="83" t="s">
        <v>63</v>
      </c>
      <c r="AA576" s="6">
        <v>14</v>
      </c>
      <c r="AB576" s="6">
        <v>1</v>
      </c>
      <c r="AC576" s="5">
        <v>31</v>
      </c>
      <c r="AD576" s="165" t="s">
        <v>80</v>
      </c>
      <c r="AE576" s="165" t="s">
        <v>538</v>
      </c>
      <c r="AI576" s="5">
        <v>25</v>
      </c>
      <c r="AJ576" s="5">
        <v>45</v>
      </c>
      <c r="BA576" s="6">
        <v>27</v>
      </c>
      <c r="BB576" s="166" t="s">
        <v>204</v>
      </c>
      <c r="BC576" s="166" t="s">
        <v>538</v>
      </c>
      <c r="BG576" s="6">
        <v>21</v>
      </c>
      <c r="BH576" s="6">
        <v>30</v>
      </c>
    </row>
    <row r="577" spans="1:70" ht="14.25" hidden="1" x14ac:dyDescent="0.2">
      <c r="A577" s="91">
        <v>644</v>
      </c>
      <c r="B577" s="231" t="s">
        <v>1662</v>
      </c>
      <c r="C577" s="265" t="s">
        <v>1661</v>
      </c>
      <c r="D577" s="231" t="s">
        <v>1664</v>
      </c>
      <c r="E577" s="125" t="s">
        <v>1622</v>
      </c>
      <c r="F577" s="181" t="s">
        <v>103</v>
      </c>
      <c r="G577" s="181" t="s">
        <v>56</v>
      </c>
      <c r="H577" s="26" t="s">
        <v>1670</v>
      </c>
      <c r="J577" s="178">
        <v>50</v>
      </c>
      <c r="K577" s="182"/>
      <c r="L577" s="182" t="s">
        <v>58</v>
      </c>
      <c r="M577" s="178" t="s">
        <v>59</v>
      </c>
      <c r="N577" s="178">
        <v>0</v>
      </c>
      <c r="O577" s="178" t="s">
        <v>60</v>
      </c>
      <c r="P577" s="178" t="s">
        <v>79</v>
      </c>
      <c r="Q577" s="179"/>
      <c r="T577" s="179">
        <v>250</v>
      </c>
      <c r="U577" s="179"/>
      <c r="V577" s="25" t="s">
        <v>62</v>
      </c>
      <c r="W577" s="65">
        <v>10</v>
      </c>
      <c r="X577" s="106" t="s">
        <v>1669</v>
      </c>
      <c r="Z577" s="169" t="s">
        <v>63</v>
      </c>
      <c r="AA577" s="6">
        <v>8</v>
      </c>
      <c r="AB577" s="6">
        <v>3</v>
      </c>
      <c r="AC577" s="5">
        <v>43</v>
      </c>
      <c r="AD577" s="165" t="s">
        <v>80</v>
      </c>
      <c r="AE577" s="165" t="s">
        <v>335</v>
      </c>
      <c r="AF577" s="165">
        <v>15</v>
      </c>
      <c r="AG577" s="165" t="s">
        <v>80</v>
      </c>
      <c r="AH577" s="165" t="s">
        <v>117</v>
      </c>
      <c r="AI577" s="165">
        <v>25</v>
      </c>
      <c r="AJ577" s="165">
        <v>63</v>
      </c>
      <c r="AK577" s="6">
        <v>77.900000000000006</v>
      </c>
      <c r="AL577" s="6" t="s">
        <v>81</v>
      </c>
      <c r="AM577" s="6" t="s">
        <v>335</v>
      </c>
      <c r="AN577" s="6">
        <v>9.9</v>
      </c>
      <c r="AO577" s="6" t="s">
        <v>81</v>
      </c>
      <c r="AP577" s="6" t="s">
        <v>117</v>
      </c>
      <c r="AQ577" s="6">
        <v>62.2</v>
      </c>
      <c r="AR577" s="6">
        <v>96</v>
      </c>
      <c r="BA577" s="6">
        <v>27.8</v>
      </c>
      <c r="BB577" s="166" t="s">
        <v>204</v>
      </c>
      <c r="BC577" s="166" t="s">
        <v>335</v>
      </c>
      <c r="BD577" s="6">
        <v>2.7</v>
      </c>
      <c r="BE577" s="6" t="s">
        <v>204</v>
      </c>
      <c r="BF577" s="6" t="s">
        <v>117</v>
      </c>
      <c r="BG577" s="6">
        <v>22.7</v>
      </c>
      <c r="BH577" s="6">
        <v>31.2</v>
      </c>
    </row>
    <row r="578" spans="1:70" s="124" customFormat="1" ht="14.25" hidden="1" x14ac:dyDescent="0.2">
      <c r="A578" s="91">
        <v>645</v>
      </c>
      <c r="B578" s="231" t="s">
        <v>1662</v>
      </c>
      <c r="C578" s="265" t="s">
        <v>1661</v>
      </c>
      <c r="D578" s="231" t="s">
        <v>1665</v>
      </c>
      <c r="E578" s="125" t="s">
        <v>1622</v>
      </c>
      <c r="F578" s="181" t="s">
        <v>103</v>
      </c>
      <c r="G578" s="181" t="s">
        <v>56</v>
      </c>
      <c r="H578" s="181" t="s">
        <v>1670</v>
      </c>
      <c r="I578" s="181"/>
      <c r="J578" s="178">
        <v>50</v>
      </c>
      <c r="K578" s="182"/>
      <c r="L578" s="182" t="s">
        <v>58</v>
      </c>
      <c r="M578" s="178" t="s">
        <v>59</v>
      </c>
      <c r="N578" s="178">
        <v>0</v>
      </c>
      <c r="O578" s="178" t="s">
        <v>60</v>
      </c>
      <c r="P578" s="178" t="s">
        <v>79</v>
      </c>
      <c r="Q578" s="179"/>
      <c r="R578" s="179"/>
      <c r="S578" s="180"/>
      <c r="T578" s="179">
        <v>250</v>
      </c>
      <c r="U578" s="179"/>
      <c r="V578" s="167" t="s">
        <v>62</v>
      </c>
      <c r="W578" s="168">
        <v>10</v>
      </c>
      <c r="X578" s="106" t="s">
        <v>1669</v>
      </c>
      <c r="Y578" s="167"/>
      <c r="Z578" s="169" t="s">
        <v>63</v>
      </c>
      <c r="AA578" s="166">
        <v>12</v>
      </c>
      <c r="AB578" s="166">
        <v>4</v>
      </c>
      <c r="AC578" s="165">
        <v>55</v>
      </c>
      <c r="AD578" s="165" t="s">
        <v>80</v>
      </c>
      <c r="AE578" s="165" t="s">
        <v>335</v>
      </c>
      <c r="AF578" s="165">
        <v>9</v>
      </c>
      <c r="AG578" s="165" t="s">
        <v>80</v>
      </c>
      <c r="AH578" s="165" t="s">
        <v>117</v>
      </c>
      <c r="AI578" s="165">
        <v>42</v>
      </c>
      <c r="AJ578" s="165">
        <v>67</v>
      </c>
      <c r="AK578" s="166">
        <v>97.2</v>
      </c>
      <c r="AL578" s="166" t="s">
        <v>81</v>
      </c>
      <c r="AM578" s="166" t="s">
        <v>335</v>
      </c>
      <c r="AN578" s="166">
        <v>18.399999999999999</v>
      </c>
      <c r="AO578" s="166" t="s">
        <v>81</v>
      </c>
      <c r="AP578" s="166" t="s">
        <v>117</v>
      </c>
      <c r="AQ578" s="166">
        <v>69.099999999999994</v>
      </c>
      <c r="AR578" s="166">
        <v>140.4</v>
      </c>
      <c r="AS578" s="165"/>
      <c r="AT578" s="165"/>
      <c r="AU578" s="165"/>
      <c r="AV578" s="165"/>
      <c r="AW578" s="165"/>
      <c r="AX578" s="165"/>
      <c r="AY578" s="165"/>
      <c r="AZ578" s="165"/>
      <c r="BA578" s="166">
        <v>33.200000000000003</v>
      </c>
      <c r="BB578" s="166" t="s">
        <v>204</v>
      </c>
      <c r="BC578" s="166" t="s">
        <v>335</v>
      </c>
      <c r="BD578" s="166">
        <v>5.0999999999999996</v>
      </c>
      <c r="BE578" s="166" t="s">
        <v>204</v>
      </c>
      <c r="BF578" s="166" t="s">
        <v>117</v>
      </c>
      <c r="BG578" s="166">
        <v>24.4</v>
      </c>
      <c r="BH578" s="166">
        <v>44.4</v>
      </c>
      <c r="BI578" s="165"/>
      <c r="BJ578" s="165"/>
      <c r="BK578" s="165"/>
      <c r="BL578" s="165"/>
      <c r="BM578" s="165"/>
      <c r="BN578" s="165"/>
      <c r="BO578" s="165"/>
      <c r="BP578" s="165"/>
      <c r="BQ578" s="166"/>
      <c r="BR578" s="165"/>
    </row>
    <row r="579" spans="1:70" ht="14.25" hidden="1" x14ac:dyDescent="0.2">
      <c r="A579" s="92">
        <v>646</v>
      </c>
      <c r="B579" s="231" t="s">
        <v>1662</v>
      </c>
      <c r="C579" s="265" t="s">
        <v>1661</v>
      </c>
      <c r="D579" s="231" t="s">
        <v>1666</v>
      </c>
      <c r="E579" s="125" t="s">
        <v>1622</v>
      </c>
      <c r="F579" s="181" t="s">
        <v>103</v>
      </c>
      <c r="G579" s="181" t="s">
        <v>56</v>
      </c>
      <c r="H579" s="26" t="s">
        <v>1670</v>
      </c>
      <c r="J579" s="178">
        <v>50</v>
      </c>
      <c r="K579" s="182"/>
      <c r="L579" s="182" t="s">
        <v>58</v>
      </c>
      <c r="M579" s="178" t="s">
        <v>59</v>
      </c>
      <c r="N579" s="178">
        <v>0</v>
      </c>
      <c r="O579" s="178" t="s">
        <v>60</v>
      </c>
      <c r="P579" s="178" t="s">
        <v>79</v>
      </c>
      <c r="T579" s="23">
        <v>250</v>
      </c>
      <c r="V579" s="25" t="s">
        <v>62</v>
      </c>
      <c r="W579" s="65">
        <v>10</v>
      </c>
      <c r="X579" s="106" t="s">
        <v>1669</v>
      </c>
      <c r="Z579" s="169" t="s">
        <v>63</v>
      </c>
      <c r="AA579" s="6">
        <v>8</v>
      </c>
      <c r="AB579" s="6">
        <v>5</v>
      </c>
      <c r="AC579" s="5">
        <v>66</v>
      </c>
      <c r="AD579" s="165" t="s">
        <v>80</v>
      </c>
      <c r="AE579" s="165" t="s">
        <v>335</v>
      </c>
      <c r="AF579" s="165">
        <v>7</v>
      </c>
      <c r="AG579" s="165" t="s">
        <v>80</v>
      </c>
      <c r="AH579" s="165" t="s">
        <v>117</v>
      </c>
      <c r="AI579" s="165">
        <v>55</v>
      </c>
      <c r="AJ579" s="165">
        <v>75</v>
      </c>
      <c r="AK579" s="6">
        <v>73.900000000000006</v>
      </c>
      <c r="AL579" s="6" t="s">
        <v>81</v>
      </c>
      <c r="AM579" s="6" t="s">
        <v>335</v>
      </c>
      <c r="AN579" s="6">
        <v>12.1</v>
      </c>
      <c r="AO579" s="6" t="s">
        <v>81</v>
      </c>
      <c r="AP579" s="6" t="s">
        <v>117</v>
      </c>
      <c r="AQ579" s="6">
        <v>58.8</v>
      </c>
      <c r="AR579" s="6">
        <v>90.6</v>
      </c>
      <c r="BA579" s="6">
        <v>29.3</v>
      </c>
      <c r="BB579" s="166" t="s">
        <v>204</v>
      </c>
      <c r="BC579" s="166" t="s">
        <v>335</v>
      </c>
      <c r="BD579" s="6">
        <v>4</v>
      </c>
      <c r="BE579" s="6" t="s">
        <v>204</v>
      </c>
      <c r="BF579" s="6" t="s">
        <v>117</v>
      </c>
      <c r="BG579" s="166">
        <v>21.1</v>
      </c>
      <c r="BH579" s="166">
        <v>34.299999999999997</v>
      </c>
    </row>
    <row r="580" spans="1:70" ht="14.25" hidden="1" x14ac:dyDescent="0.2">
      <c r="A580" s="92">
        <v>647</v>
      </c>
      <c r="B580" s="231" t="s">
        <v>1662</v>
      </c>
      <c r="C580" s="265" t="s">
        <v>1661</v>
      </c>
      <c r="D580" s="231" t="s">
        <v>1667</v>
      </c>
      <c r="E580" s="125" t="s">
        <v>1622</v>
      </c>
      <c r="F580" s="181" t="s">
        <v>103</v>
      </c>
      <c r="G580" s="181" t="s">
        <v>56</v>
      </c>
      <c r="H580" s="181" t="s">
        <v>1670</v>
      </c>
      <c r="J580" s="178">
        <v>50</v>
      </c>
      <c r="K580" s="182"/>
      <c r="L580" s="182" t="s">
        <v>58</v>
      </c>
      <c r="M580" s="178" t="s">
        <v>59</v>
      </c>
      <c r="N580" s="178">
        <v>0</v>
      </c>
      <c r="O580" s="178" t="s">
        <v>60</v>
      </c>
      <c r="P580" s="178" t="s">
        <v>79</v>
      </c>
      <c r="T580" s="23">
        <v>250</v>
      </c>
      <c r="V580" s="25" t="s">
        <v>62</v>
      </c>
      <c r="W580" s="65">
        <v>10</v>
      </c>
      <c r="X580" s="106" t="s">
        <v>1669</v>
      </c>
      <c r="Z580" s="169" t="s">
        <v>63</v>
      </c>
      <c r="AA580" s="6">
        <v>8</v>
      </c>
      <c r="AB580" s="6">
        <v>4</v>
      </c>
      <c r="AC580" s="5">
        <v>72</v>
      </c>
      <c r="AD580" s="165" t="s">
        <v>80</v>
      </c>
      <c r="AE580" s="165" t="s">
        <v>335</v>
      </c>
      <c r="AF580" s="165">
        <v>5</v>
      </c>
      <c r="AG580" s="165" t="s">
        <v>80</v>
      </c>
      <c r="AH580" s="165" t="s">
        <v>117</v>
      </c>
      <c r="AI580" s="165">
        <v>62</v>
      </c>
      <c r="AJ580" s="165">
        <v>76</v>
      </c>
      <c r="AK580" s="6">
        <v>77.400000000000006</v>
      </c>
      <c r="AL580" s="6" t="s">
        <v>81</v>
      </c>
      <c r="AM580" s="6" t="s">
        <v>335</v>
      </c>
      <c r="AN580" s="6">
        <v>17.7</v>
      </c>
      <c r="AO580" s="6" t="s">
        <v>81</v>
      </c>
      <c r="AP580" s="6" t="s">
        <v>117</v>
      </c>
      <c r="AQ580" s="6">
        <v>51.8</v>
      </c>
      <c r="AR580" s="6">
        <v>101.2</v>
      </c>
      <c r="BA580" s="6">
        <v>27.9</v>
      </c>
      <c r="BB580" s="166" t="s">
        <v>204</v>
      </c>
      <c r="BC580" s="166" t="s">
        <v>335</v>
      </c>
      <c r="BD580" s="6">
        <v>4.4000000000000004</v>
      </c>
      <c r="BE580" s="6" t="s">
        <v>204</v>
      </c>
      <c r="BF580" s="6" t="s">
        <v>117</v>
      </c>
      <c r="BG580" s="166">
        <v>20.2</v>
      </c>
      <c r="BH580" s="166">
        <v>32.700000000000003</v>
      </c>
    </row>
    <row r="581" spans="1:70" ht="14.25" hidden="1" x14ac:dyDescent="0.2">
      <c r="A581" s="92">
        <v>648</v>
      </c>
      <c r="B581" s="231" t="s">
        <v>1662</v>
      </c>
      <c r="C581" s="265" t="s">
        <v>1661</v>
      </c>
      <c r="D581" s="231" t="s">
        <v>1668</v>
      </c>
      <c r="E581" s="125" t="s">
        <v>1622</v>
      </c>
      <c r="F581" s="181" t="s">
        <v>103</v>
      </c>
      <c r="G581" s="181" t="s">
        <v>56</v>
      </c>
      <c r="H581" s="26" t="s">
        <v>1670</v>
      </c>
      <c r="J581" s="22">
        <v>50</v>
      </c>
      <c r="L581" s="28" t="s">
        <v>58</v>
      </c>
      <c r="M581" s="22" t="s">
        <v>59</v>
      </c>
      <c r="N581" s="22">
        <v>0</v>
      </c>
      <c r="O581" s="22" t="s">
        <v>60</v>
      </c>
      <c r="P581" s="22" t="s">
        <v>79</v>
      </c>
      <c r="T581" s="23">
        <v>250</v>
      </c>
      <c r="V581" s="25" t="s">
        <v>62</v>
      </c>
      <c r="W581" s="65">
        <v>10</v>
      </c>
      <c r="X581" s="106" t="s">
        <v>1669</v>
      </c>
      <c r="Z581" s="169" t="s">
        <v>63</v>
      </c>
      <c r="AA581" s="6">
        <v>4</v>
      </c>
      <c r="AB581" s="6">
        <v>0</v>
      </c>
      <c r="AC581" s="5">
        <v>66</v>
      </c>
      <c r="AD581" s="165" t="s">
        <v>80</v>
      </c>
      <c r="AE581" s="165" t="s">
        <v>335</v>
      </c>
      <c r="AF581" s="5">
        <v>6</v>
      </c>
      <c r="AG581" s="5" t="s">
        <v>80</v>
      </c>
      <c r="AH581" s="5" t="s">
        <v>117</v>
      </c>
      <c r="AI581" s="5">
        <v>59</v>
      </c>
      <c r="AJ581" s="5">
        <v>73</v>
      </c>
      <c r="AK581" s="6">
        <v>78.400000000000006</v>
      </c>
      <c r="AL581" s="6" t="s">
        <v>81</v>
      </c>
      <c r="AM581" s="6" t="s">
        <v>335</v>
      </c>
      <c r="AN581" s="6">
        <v>4.0999999999999996</v>
      </c>
      <c r="AO581" s="6" t="s">
        <v>81</v>
      </c>
      <c r="AP581" s="6" t="s">
        <v>117</v>
      </c>
      <c r="AQ581" s="6">
        <v>72.3</v>
      </c>
      <c r="AR581" s="6">
        <v>80.900000000000006</v>
      </c>
      <c r="BA581" s="6">
        <v>27.2</v>
      </c>
      <c r="BB581" s="166" t="s">
        <v>204</v>
      </c>
      <c r="BC581" s="166" t="s">
        <v>335</v>
      </c>
      <c r="BD581" s="6">
        <v>1.1000000000000001</v>
      </c>
      <c r="BE581" s="166" t="s">
        <v>204</v>
      </c>
      <c r="BF581" s="166" t="s">
        <v>117</v>
      </c>
      <c r="BG581" s="6">
        <v>26.2</v>
      </c>
      <c r="BH581" s="6">
        <v>28.7</v>
      </c>
    </row>
    <row r="582" spans="1:70" ht="14.25" hidden="1" x14ac:dyDescent="0.2">
      <c r="A582" s="91">
        <v>649</v>
      </c>
      <c r="B582" s="231" t="s">
        <v>1672</v>
      </c>
      <c r="C582" s="265" t="s">
        <v>1671</v>
      </c>
      <c r="D582" s="231" t="s">
        <v>1622</v>
      </c>
      <c r="E582" s="125" t="s">
        <v>1622</v>
      </c>
      <c r="F582" s="181" t="s">
        <v>103</v>
      </c>
      <c r="G582" s="181" t="s">
        <v>56</v>
      </c>
      <c r="H582" s="181" t="s">
        <v>1673</v>
      </c>
      <c r="I582" s="181"/>
      <c r="J582" s="178">
        <v>10</v>
      </c>
      <c r="K582" s="182"/>
      <c r="L582" s="182" t="s">
        <v>58</v>
      </c>
      <c r="M582" s="178" t="s">
        <v>59</v>
      </c>
      <c r="N582" s="178">
        <v>0</v>
      </c>
      <c r="O582" s="178" t="s">
        <v>60</v>
      </c>
      <c r="P582" s="178" t="s">
        <v>79</v>
      </c>
      <c r="Q582" s="179"/>
      <c r="R582" s="179"/>
      <c r="S582" s="180"/>
      <c r="T582" s="179"/>
      <c r="U582" s="179"/>
      <c r="V582" s="167" t="s">
        <v>62</v>
      </c>
      <c r="W582" s="168">
        <v>20</v>
      </c>
      <c r="Y582" s="167"/>
      <c r="Z582" s="169" t="s">
        <v>63</v>
      </c>
      <c r="AA582" s="166">
        <v>42</v>
      </c>
      <c r="AB582" s="166">
        <v>13</v>
      </c>
      <c r="AC582" s="165"/>
      <c r="AD582" s="165" t="s">
        <v>80</v>
      </c>
      <c r="AE582" s="165"/>
      <c r="AF582" s="165"/>
      <c r="AG582" s="165"/>
      <c r="AH582" s="165"/>
      <c r="AI582" s="165">
        <v>18</v>
      </c>
      <c r="AJ582" s="165">
        <v>45</v>
      </c>
      <c r="AK582" s="166"/>
      <c r="AL582" s="166"/>
      <c r="AM582" s="166"/>
      <c r="AN582" s="166"/>
      <c r="AO582" s="166"/>
      <c r="AP582" s="166"/>
      <c r="AQ582" s="166"/>
      <c r="AR582" s="166"/>
      <c r="AS582" s="165"/>
      <c r="AT582" s="165"/>
      <c r="AU582" s="165"/>
      <c r="AV582" s="165"/>
      <c r="AW582" s="165"/>
      <c r="AX582" s="165"/>
      <c r="AY582" s="165"/>
      <c r="AZ582" s="165"/>
      <c r="BA582" s="166"/>
      <c r="BB582" s="166" t="s">
        <v>204</v>
      </c>
      <c r="BC582" s="166"/>
      <c r="BD582" s="166"/>
      <c r="BE582" s="166"/>
      <c r="BF582" s="166"/>
      <c r="BG582" s="166">
        <v>18</v>
      </c>
      <c r="BH582" s="166">
        <v>30</v>
      </c>
      <c r="BI582" s="165"/>
      <c r="BJ582" s="165"/>
      <c r="BK582" s="165"/>
      <c r="BL582" s="165"/>
      <c r="BM582" s="165"/>
      <c r="BN582" s="165"/>
      <c r="BO582" s="165"/>
      <c r="BP582" s="165"/>
      <c r="BQ582" s="166"/>
      <c r="BR582" s="165"/>
    </row>
    <row r="583" spans="1:70" ht="14.25" hidden="1" x14ac:dyDescent="0.2">
      <c r="A583" s="91">
        <v>650</v>
      </c>
      <c r="B583" s="231" t="s">
        <v>1675</v>
      </c>
      <c r="C583" s="265" t="s">
        <v>1674</v>
      </c>
      <c r="D583" s="231" t="s">
        <v>1676</v>
      </c>
      <c r="E583" s="125" t="s">
        <v>1622</v>
      </c>
      <c r="F583" s="181" t="s">
        <v>103</v>
      </c>
      <c r="G583" s="181" t="s">
        <v>56</v>
      </c>
      <c r="H583" s="181" t="s">
        <v>1677</v>
      </c>
      <c r="I583" s="181"/>
      <c r="J583" s="178">
        <v>10</v>
      </c>
      <c r="K583" s="182"/>
      <c r="L583" s="182" t="s">
        <v>58</v>
      </c>
      <c r="M583" s="178" t="s">
        <v>59</v>
      </c>
      <c r="N583" s="178" t="s">
        <v>1679</v>
      </c>
      <c r="O583" s="178" t="s">
        <v>60</v>
      </c>
      <c r="P583" s="178" t="s">
        <v>461</v>
      </c>
      <c r="Q583" s="179"/>
      <c r="R583" s="179"/>
      <c r="S583" s="180"/>
      <c r="T583" s="179"/>
      <c r="U583" s="179"/>
      <c r="V583" s="167"/>
      <c r="W583" s="168"/>
      <c r="Y583" s="167"/>
      <c r="Z583" s="169" t="s">
        <v>63</v>
      </c>
      <c r="AA583" s="166">
        <v>12</v>
      </c>
      <c r="AB583" s="166">
        <v>5</v>
      </c>
      <c r="AC583" s="165">
        <v>41</v>
      </c>
      <c r="AD583" s="165" t="s">
        <v>80</v>
      </c>
      <c r="AE583" s="165" t="s">
        <v>335</v>
      </c>
      <c r="AF583" s="165"/>
      <c r="AG583" s="165"/>
      <c r="AH583" s="165"/>
      <c r="AI583" s="165"/>
      <c r="AJ583" s="165"/>
      <c r="AK583" s="166"/>
      <c r="AL583" s="166"/>
      <c r="AM583" s="166"/>
      <c r="AN583" s="166"/>
      <c r="AO583" s="166"/>
      <c r="AP583" s="166"/>
      <c r="AQ583" s="166"/>
      <c r="AR583" s="166"/>
      <c r="AS583" s="165"/>
      <c r="AT583" s="165"/>
      <c r="AU583" s="165"/>
      <c r="AV583" s="165"/>
      <c r="AW583" s="165"/>
      <c r="AX583" s="165"/>
      <c r="AY583" s="165"/>
      <c r="AZ583" s="165"/>
      <c r="BA583" s="166">
        <v>27</v>
      </c>
      <c r="BB583" s="166" t="s">
        <v>204</v>
      </c>
      <c r="BC583" s="166" t="s">
        <v>335</v>
      </c>
      <c r="BD583" s="166"/>
      <c r="BE583" s="166"/>
      <c r="BF583" s="166"/>
      <c r="BG583" s="166"/>
      <c r="BH583" s="166"/>
      <c r="BI583" s="165"/>
      <c r="BJ583" s="165"/>
      <c r="BK583" s="165"/>
      <c r="BL583" s="165"/>
      <c r="BM583" s="165"/>
      <c r="BN583" s="165"/>
      <c r="BO583" s="165"/>
      <c r="BP583" s="165"/>
      <c r="BQ583" s="166"/>
      <c r="BR583" s="165" t="s">
        <v>1678</v>
      </c>
    </row>
    <row r="584" spans="1:70" ht="14.25" hidden="1" x14ac:dyDescent="0.2">
      <c r="A584" s="91">
        <v>651</v>
      </c>
      <c r="B584" s="231" t="s">
        <v>1680</v>
      </c>
      <c r="C584" s="265" t="s">
        <v>1681</v>
      </c>
      <c r="D584" s="231" t="s">
        <v>330</v>
      </c>
      <c r="E584" s="125" t="s">
        <v>1622</v>
      </c>
      <c r="F584" s="181" t="s">
        <v>103</v>
      </c>
      <c r="G584" s="181" t="s">
        <v>56</v>
      </c>
      <c r="H584" s="181" t="s">
        <v>535</v>
      </c>
      <c r="I584" s="181"/>
      <c r="J584" s="178">
        <v>10</v>
      </c>
      <c r="K584" s="182"/>
      <c r="L584" s="182" t="s">
        <v>58</v>
      </c>
      <c r="M584" s="178" t="s">
        <v>59</v>
      </c>
      <c r="N584" s="178">
        <v>0</v>
      </c>
      <c r="O584" s="178" t="s">
        <v>60</v>
      </c>
      <c r="P584" s="178" t="s">
        <v>79</v>
      </c>
      <c r="Q584" s="179"/>
      <c r="R584" s="179"/>
      <c r="S584" s="180"/>
      <c r="T584" s="179"/>
      <c r="U584" s="179"/>
      <c r="V584" s="167" t="s">
        <v>62</v>
      </c>
      <c r="W584" s="168">
        <v>6</v>
      </c>
      <c r="X584" s="106" t="s">
        <v>203</v>
      </c>
      <c r="Y584" s="167"/>
      <c r="Z584" s="169" t="s">
        <v>63</v>
      </c>
      <c r="AA584" s="166">
        <v>6</v>
      </c>
      <c r="AB584" s="166">
        <v>2</v>
      </c>
      <c r="AC584" s="165">
        <v>37</v>
      </c>
      <c r="AD584" s="165" t="s">
        <v>80</v>
      </c>
      <c r="AE584" s="165" t="s">
        <v>335</v>
      </c>
      <c r="AF584" s="165">
        <v>7</v>
      </c>
      <c r="AG584" s="165" t="s">
        <v>80</v>
      </c>
      <c r="AH584" s="165" t="s">
        <v>117</v>
      </c>
      <c r="AI584" s="165">
        <v>31</v>
      </c>
      <c r="AJ584" s="165">
        <v>49</v>
      </c>
      <c r="AK584" s="166">
        <v>81.8</v>
      </c>
      <c r="AL584" s="166" t="s">
        <v>81</v>
      </c>
      <c r="AM584" s="166" t="s">
        <v>335</v>
      </c>
      <c r="AN584" s="166">
        <v>15.4</v>
      </c>
      <c r="AO584" s="166" t="s">
        <v>81</v>
      </c>
      <c r="AP584" s="166" t="s">
        <v>117</v>
      </c>
      <c r="AQ584" s="166">
        <v>65</v>
      </c>
      <c r="AR584" s="166">
        <v>102.6</v>
      </c>
      <c r="AS584" s="165">
        <v>172.5</v>
      </c>
      <c r="AT584" s="165" t="s">
        <v>119</v>
      </c>
      <c r="AU584" s="165" t="s">
        <v>335</v>
      </c>
      <c r="AV584" s="165">
        <v>6.1</v>
      </c>
      <c r="AW584" s="165" t="s">
        <v>119</v>
      </c>
      <c r="AX584" s="165" t="s">
        <v>117</v>
      </c>
      <c r="AY584" s="165">
        <v>166</v>
      </c>
      <c r="AZ584" s="165">
        <v>184</v>
      </c>
      <c r="BA584" s="166">
        <v>27.4</v>
      </c>
      <c r="BB584" s="166" t="s">
        <v>204</v>
      </c>
      <c r="BC584" s="166" t="s">
        <v>335</v>
      </c>
      <c r="BD584" s="166">
        <v>4.5999999999999996</v>
      </c>
      <c r="BE584" s="166" t="s">
        <v>204</v>
      </c>
      <c r="BF584" s="166" t="s">
        <v>117</v>
      </c>
      <c r="BG584" s="166">
        <v>23.3</v>
      </c>
      <c r="BH584" s="166">
        <v>34.299999999999997</v>
      </c>
      <c r="BI584" s="165"/>
      <c r="BJ584" s="165"/>
      <c r="BK584" s="165"/>
      <c r="BL584" s="165"/>
      <c r="BM584" s="165"/>
      <c r="BN584" s="165"/>
      <c r="BO584" s="165"/>
      <c r="BP584" s="165"/>
      <c r="BQ584" s="166"/>
      <c r="BR584" s="165" t="s">
        <v>240</v>
      </c>
    </row>
    <row r="585" spans="1:70" ht="14.25" hidden="1" x14ac:dyDescent="0.2">
      <c r="A585" s="91">
        <v>652</v>
      </c>
      <c r="B585" s="231" t="s">
        <v>1680</v>
      </c>
      <c r="C585" s="265" t="s">
        <v>1681</v>
      </c>
      <c r="D585" s="231" t="s">
        <v>1682</v>
      </c>
      <c r="E585" s="125" t="s">
        <v>1622</v>
      </c>
      <c r="F585" s="181" t="s">
        <v>103</v>
      </c>
      <c r="G585" s="181" t="s">
        <v>56</v>
      </c>
      <c r="H585" s="181" t="s">
        <v>535</v>
      </c>
      <c r="I585" s="181"/>
      <c r="J585" s="178">
        <v>10</v>
      </c>
      <c r="K585" s="182"/>
      <c r="L585" s="182" t="s">
        <v>58</v>
      </c>
      <c r="M585" s="178" t="s">
        <v>59</v>
      </c>
      <c r="N585" s="178">
        <v>0</v>
      </c>
      <c r="O585" s="178" t="s">
        <v>60</v>
      </c>
      <c r="P585" s="178" t="s">
        <v>79</v>
      </c>
      <c r="Q585" s="179"/>
      <c r="R585" s="179"/>
      <c r="S585" s="180"/>
      <c r="T585" s="179"/>
      <c r="U585" s="179"/>
      <c r="V585" s="167" t="s">
        <v>62</v>
      </c>
      <c r="W585" s="168">
        <v>6</v>
      </c>
      <c r="X585" s="106" t="s">
        <v>203</v>
      </c>
      <c r="Y585" s="167"/>
      <c r="Z585" s="169" t="s">
        <v>63</v>
      </c>
      <c r="AA585" s="166">
        <v>6</v>
      </c>
      <c r="AB585" s="166">
        <v>1</v>
      </c>
      <c r="AC585" s="165">
        <v>37</v>
      </c>
      <c r="AD585" s="165" t="s">
        <v>80</v>
      </c>
      <c r="AE585" s="165" t="s">
        <v>335</v>
      </c>
      <c r="AF585" s="165">
        <v>3</v>
      </c>
      <c r="AG585" s="165" t="s">
        <v>80</v>
      </c>
      <c r="AH585" s="165" t="s">
        <v>117</v>
      </c>
      <c r="AI585" s="165">
        <v>32</v>
      </c>
      <c r="AJ585" s="165">
        <v>40</v>
      </c>
      <c r="AK585" s="166">
        <v>80.900000000000006</v>
      </c>
      <c r="AL585" s="166" t="s">
        <v>81</v>
      </c>
      <c r="AM585" s="166" t="s">
        <v>335</v>
      </c>
      <c r="AN585" s="166">
        <v>16.5</v>
      </c>
      <c r="AO585" s="166" t="s">
        <v>81</v>
      </c>
      <c r="AP585" s="166" t="s">
        <v>117</v>
      </c>
      <c r="AQ585" s="166">
        <v>58</v>
      </c>
      <c r="AR585" s="166">
        <v>100.8</v>
      </c>
      <c r="AS585" s="165">
        <v>171.8</v>
      </c>
      <c r="AT585" s="165" t="s">
        <v>119</v>
      </c>
      <c r="AU585" s="165" t="s">
        <v>335</v>
      </c>
      <c r="AV585" s="165">
        <v>6.6</v>
      </c>
      <c r="AW585" s="165" t="s">
        <v>119</v>
      </c>
      <c r="AX585" s="165" t="s">
        <v>117</v>
      </c>
      <c r="AY585" s="165">
        <v>163</v>
      </c>
      <c r="AZ585" s="165">
        <v>181</v>
      </c>
      <c r="BA585" s="166">
        <v>27.3</v>
      </c>
      <c r="BB585" s="166" t="s">
        <v>204</v>
      </c>
      <c r="BC585" s="166" t="s">
        <v>335</v>
      </c>
      <c r="BD585" s="166">
        <v>4.5999999999999996</v>
      </c>
      <c r="BE585" s="166" t="s">
        <v>204</v>
      </c>
      <c r="BF585" s="166" t="s">
        <v>117</v>
      </c>
      <c r="BG585" s="166">
        <v>21.5</v>
      </c>
      <c r="BH585" s="166">
        <v>31.3</v>
      </c>
      <c r="BI585" s="165"/>
      <c r="BJ585" s="165"/>
      <c r="BK585" s="165"/>
      <c r="BL585" s="165"/>
      <c r="BM585" s="165"/>
      <c r="BN585" s="165"/>
      <c r="BO585" s="165"/>
      <c r="BP585" s="165"/>
      <c r="BQ585" s="166"/>
      <c r="BR585" s="165" t="s">
        <v>240</v>
      </c>
    </row>
    <row r="586" spans="1:70" ht="14.25" hidden="1" x14ac:dyDescent="0.2">
      <c r="A586" s="91">
        <v>653</v>
      </c>
      <c r="B586" s="231" t="s">
        <v>1680</v>
      </c>
      <c r="C586" s="265" t="s">
        <v>1681</v>
      </c>
      <c r="D586" s="231" t="s">
        <v>1683</v>
      </c>
      <c r="E586" s="125" t="s">
        <v>1622</v>
      </c>
      <c r="F586" s="181" t="s">
        <v>103</v>
      </c>
      <c r="G586" s="26" t="s">
        <v>56</v>
      </c>
      <c r="H586" s="26" t="s">
        <v>535</v>
      </c>
      <c r="J586" s="22">
        <v>10</v>
      </c>
      <c r="L586" s="28" t="s">
        <v>58</v>
      </c>
      <c r="M586" s="22" t="s">
        <v>59</v>
      </c>
      <c r="N586" s="22">
        <v>0</v>
      </c>
      <c r="O586" s="22" t="s">
        <v>60</v>
      </c>
      <c r="P586" s="22" t="s">
        <v>79</v>
      </c>
      <c r="V586" s="25" t="s">
        <v>62</v>
      </c>
      <c r="W586" s="65">
        <v>6</v>
      </c>
      <c r="X586" s="106" t="s">
        <v>203</v>
      </c>
      <c r="Z586" s="169" t="s">
        <v>63</v>
      </c>
      <c r="AA586" s="6">
        <v>6</v>
      </c>
      <c r="AB586" s="6">
        <v>3</v>
      </c>
      <c r="AC586" s="5">
        <v>54</v>
      </c>
      <c r="AD586" s="5" t="s">
        <v>80</v>
      </c>
      <c r="AE586" s="5" t="s">
        <v>335</v>
      </c>
      <c r="AF586" s="5">
        <v>7</v>
      </c>
      <c r="AG586" s="5" t="s">
        <v>80</v>
      </c>
      <c r="AH586" s="5" t="s">
        <v>117</v>
      </c>
      <c r="AI586" s="5">
        <v>46</v>
      </c>
      <c r="AJ586" s="5">
        <v>64</v>
      </c>
      <c r="AK586" s="6">
        <v>87.5</v>
      </c>
      <c r="AL586" s="6" t="s">
        <v>81</v>
      </c>
      <c r="AM586" s="6" t="s">
        <v>335</v>
      </c>
      <c r="AN586" s="6">
        <v>20.7</v>
      </c>
      <c r="AO586" s="6" t="s">
        <v>81</v>
      </c>
      <c r="AP586" s="6" t="s">
        <v>117</v>
      </c>
      <c r="AQ586" s="6">
        <v>68</v>
      </c>
      <c r="AR586" s="6">
        <v>126</v>
      </c>
      <c r="AS586" s="5">
        <v>166.9</v>
      </c>
      <c r="AT586" s="5" t="s">
        <v>119</v>
      </c>
      <c r="AU586" s="5" t="s">
        <v>335</v>
      </c>
      <c r="AV586" s="5">
        <v>11.8</v>
      </c>
      <c r="AW586" s="5" t="s">
        <v>119</v>
      </c>
      <c r="AX586" s="5" t="s">
        <v>117</v>
      </c>
      <c r="AY586" s="5">
        <v>151.19999999999999</v>
      </c>
      <c r="AZ586" s="5">
        <v>183</v>
      </c>
      <c r="BA586" s="6">
        <v>31.3</v>
      </c>
      <c r="BB586" s="166" t="s">
        <v>204</v>
      </c>
      <c r="BC586" s="166" t="s">
        <v>335</v>
      </c>
      <c r="BD586" s="166">
        <v>5.2</v>
      </c>
      <c r="BE586" s="166" t="s">
        <v>204</v>
      </c>
      <c r="BF586" s="166" t="s">
        <v>117</v>
      </c>
      <c r="BG586" s="6">
        <v>25.3</v>
      </c>
      <c r="BH586" s="6">
        <v>37.700000000000003</v>
      </c>
      <c r="BR586" s="5" t="s">
        <v>240</v>
      </c>
    </row>
    <row r="587" spans="1:70" ht="14.25" hidden="1" x14ac:dyDescent="0.2">
      <c r="A587" s="91">
        <v>654</v>
      </c>
      <c r="B587" s="231" t="s">
        <v>1680</v>
      </c>
      <c r="C587" s="265" t="s">
        <v>1681</v>
      </c>
      <c r="D587" s="231" t="s">
        <v>1684</v>
      </c>
      <c r="E587" s="125" t="s">
        <v>1622</v>
      </c>
      <c r="F587" s="181" t="s">
        <v>103</v>
      </c>
      <c r="G587" s="181" t="s">
        <v>56</v>
      </c>
      <c r="H587" s="26" t="s">
        <v>535</v>
      </c>
      <c r="J587" s="22">
        <v>10</v>
      </c>
      <c r="L587" s="28" t="s">
        <v>58</v>
      </c>
      <c r="M587" s="22" t="s">
        <v>59</v>
      </c>
      <c r="N587" s="178">
        <v>0</v>
      </c>
      <c r="O587" s="22" t="s">
        <v>60</v>
      </c>
      <c r="P587" s="22" t="s">
        <v>79</v>
      </c>
      <c r="V587" s="25" t="s">
        <v>62</v>
      </c>
      <c r="W587" s="65">
        <v>6</v>
      </c>
      <c r="X587" s="106" t="s">
        <v>203</v>
      </c>
      <c r="Z587" s="83" t="s">
        <v>63</v>
      </c>
      <c r="AA587" s="6">
        <v>6</v>
      </c>
      <c r="AB587" s="6">
        <v>2</v>
      </c>
      <c r="AC587" s="5">
        <v>49</v>
      </c>
      <c r="AD587" s="5" t="s">
        <v>80</v>
      </c>
      <c r="AE587" s="5" t="s">
        <v>335</v>
      </c>
      <c r="AF587" s="5">
        <v>6</v>
      </c>
      <c r="AG587" s="5" t="s">
        <v>80</v>
      </c>
      <c r="AH587" s="5" t="s">
        <v>117</v>
      </c>
      <c r="AI587" s="5">
        <v>41</v>
      </c>
      <c r="AJ587" s="5">
        <v>56</v>
      </c>
      <c r="AK587" s="6">
        <v>89.2</v>
      </c>
      <c r="AL587" s="6" t="s">
        <v>81</v>
      </c>
      <c r="AM587" s="6" t="s">
        <v>335</v>
      </c>
      <c r="AN587" s="6">
        <v>16.2</v>
      </c>
      <c r="AO587" s="6" t="s">
        <v>81</v>
      </c>
      <c r="AP587" s="6" t="s">
        <v>117</v>
      </c>
      <c r="AQ587" s="6">
        <v>65.3</v>
      </c>
      <c r="AR587" s="6">
        <v>110</v>
      </c>
      <c r="AS587" s="5">
        <v>172.7</v>
      </c>
      <c r="AT587" s="5" t="s">
        <v>119</v>
      </c>
      <c r="AU587" s="5" t="s">
        <v>335</v>
      </c>
      <c r="AV587" s="5">
        <v>11.2</v>
      </c>
      <c r="AW587" s="5" t="s">
        <v>119</v>
      </c>
      <c r="AX587" s="5" t="s">
        <v>117</v>
      </c>
      <c r="AY587" s="5">
        <v>161</v>
      </c>
      <c r="AZ587" s="5">
        <v>190</v>
      </c>
      <c r="BA587" s="6">
        <v>29.9</v>
      </c>
      <c r="BB587" s="166" t="s">
        <v>204</v>
      </c>
      <c r="BC587" s="6" t="s">
        <v>335</v>
      </c>
      <c r="BD587" s="6">
        <v>5.0999999999999996</v>
      </c>
      <c r="BE587" s="6" t="s">
        <v>204</v>
      </c>
      <c r="BF587" s="6" t="s">
        <v>117</v>
      </c>
      <c r="BG587" s="6">
        <v>22.5</v>
      </c>
      <c r="BH587" s="6">
        <v>37.1</v>
      </c>
      <c r="BR587" s="5" t="s">
        <v>1685</v>
      </c>
    </row>
    <row r="588" spans="1:70" ht="14.25" hidden="1" x14ac:dyDescent="0.2">
      <c r="A588" s="91">
        <v>655</v>
      </c>
      <c r="B588" s="231" t="s">
        <v>1698</v>
      </c>
      <c r="C588" s="265" t="s">
        <v>1686</v>
      </c>
      <c r="D588" s="231" t="s">
        <v>1689</v>
      </c>
      <c r="E588" s="125" t="s">
        <v>1622</v>
      </c>
      <c r="F588" s="181" t="s">
        <v>103</v>
      </c>
      <c r="G588" s="181" t="s">
        <v>56</v>
      </c>
      <c r="H588" s="26" t="s">
        <v>1702</v>
      </c>
      <c r="J588" s="178">
        <v>2.5</v>
      </c>
      <c r="K588" s="182"/>
      <c r="L588" s="182" t="s">
        <v>58</v>
      </c>
      <c r="M588" s="178" t="s">
        <v>59</v>
      </c>
      <c r="N588" s="22">
        <v>0</v>
      </c>
      <c r="O588" s="22" t="s">
        <v>60</v>
      </c>
      <c r="P588" s="22" t="s">
        <v>79</v>
      </c>
      <c r="R588" s="23" t="s">
        <v>171</v>
      </c>
      <c r="V588" s="25" t="s">
        <v>62</v>
      </c>
      <c r="W588" s="65">
        <v>10</v>
      </c>
      <c r="Z588" s="169" t="s">
        <v>63</v>
      </c>
      <c r="AA588" s="6">
        <v>6</v>
      </c>
      <c r="AD588" s="165"/>
      <c r="AE588" s="165"/>
      <c r="AG588" s="165" t="s">
        <v>80</v>
      </c>
      <c r="AH588" s="165"/>
      <c r="AI588" s="5">
        <v>28</v>
      </c>
      <c r="AJ588" s="5">
        <v>37</v>
      </c>
      <c r="AL588" s="166" t="s">
        <v>81</v>
      </c>
      <c r="AM588" s="166"/>
      <c r="AO588" s="166"/>
      <c r="AP588" s="166"/>
      <c r="AQ588" s="6">
        <v>74</v>
      </c>
      <c r="AR588" s="6">
        <v>84</v>
      </c>
      <c r="AT588" s="165"/>
      <c r="AU588" s="165"/>
      <c r="AW588" s="165"/>
      <c r="AX588" s="165"/>
      <c r="BB588" s="166"/>
      <c r="BC588" s="166"/>
      <c r="BE588" s="166"/>
      <c r="BF588" s="166"/>
      <c r="BR588" s="5" t="s">
        <v>1687</v>
      </c>
    </row>
    <row r="589" spans="1:70" ht="14.25" hidden="1" x14ac:dyDescent="0.2">
      <c r="A589" s="91">
        <v>656</v>
      </c>
      <c r="B589" s="231" t="s">
        <v>1698</v>
      </c>
      <c r="C589" s="265" t="s">
        <v>1686</v>
      </c>
      <c r="D589" s="231" t="s">
        <v>1688</v>
      </c>
      <c r="E589" s="125" t="s">
        <v>1622</v>
      </c>
      <c r="F589" s="181" t="s">
        <v>103</v>
      </c>
      <c r="G589" s="181" t="s">
        <v>56</v>
      </c>
      <c r="H589" s="181" t="s">
        <v>1702</v>
      </c>
      <c r="J589" s="178">
        <v>5</v>
      </c>
      <c r="K589" s="182"/>
      <c r="L589" s="182" t="s">
        <v>58</v>
      </c>
      <c r="M589" s="178" t="s">
        <v>59</v>
      </c>
      <c r="N589" s="178">
        <v>0</v>
      </c>
      <c r="O589" s="178" t="s">
        <v>60</v>
      </c>
      <c r="P589" s="178" t="s">
        <v>79</v>
      </c>
      <c r="R589" s="23" t="s">
        <v>171</v>
      </c>
      <c r="V589" s="167" t="s">
        <v>62</v>
      </c>
      <c r="W589" s="168">
        <v>11</v>
      </c>
      <c r="Z589" s="169" t="s">
        <v>63</v>
      </c>
      <c r="AA589" s="6">
        <v>6</v>
      </c>
      <c r="AD589" s="165"/>
      <c r="AE589" s="165"/>
      <c r="AG589" s="165" t="s">
        <v>80</v>
      </c>
      <c r="AH589" s="165"/>
      <c r="AI589" s="5">
        <v>28</v>
      </c>
      <c r="AJ589" s="5">
        <v>37</v>
      </c>
      <c r="AL589" s="166" t="s">
        <v>81</v>
      </c>
      <c r="AM589" s="166"/>
      <c r="AO589" s="166"/>
      <c r="AP589" s="166"/>
      <c r="AQ589" s="6">
        <v>74</v>
      </c>
      <c r="AR589" s="6">
        <v>84</v>
      </c>
      <c r="AT589" s="165"/>
      <c r="AU589" s="165"/>
      <c r="AW589" s="165"/>
      <c r="AX589" s="165"/>
      <c r="BB589" s="166"/>
      <c r="BC589" s="166"/>
      <c r="BE589" s="166"/>
      <c r="BF589" s="166"/>
    </row>
    <row r="590" spans="1:70" ht="14.25" hidden="1" x14ac:dyDescent="0.2">
      <c r="A590" s="91">
        <v>657</v>
      </c>
      <c r="B590" s="231" t="s">
        <v>1698</v>
      </c>
      <c r="C590" s="265" t="s">
        <v>1686</v>
      </c>
      <c r="D590" s="231" t="s">
        <v>1690</v>
      </c>
      <c r="E590" s="125" t="s">
        <v>1622</v>
      </c>
      <c r="F590" s="181" t="s">
        <v>103</v>
      </c>
      <c r="G590" s="181" t="s">
        <v>56</v>
      </c>
      <c r="H590" s="181" t="s">
        <v>1702</v>
      </c>
      <c r="J590" s="178">
        <v>10</v>
      </c>
      <c r="K590" s="182"/>
      <c r="L590" s="182" t="s">
        <v>58</v>
      </c>
      <c r="M590" s="178" t="s">
        <v>59</v>
      </c>
      <c r="N590" s="178">
        <v>0</v>
      </c>
      <c r="O590" s="178" t="s">
        <v>60</v>
      </c>
      <c r="P590" s="178" t="s">
        <v>79</v>
      </c>
      <c r="R590" s="23" t="s">
        <v>150</v>
      </c>
      <c r="V590" s="167" t="s">
        <v>62</v>
      </c>
      <c r="W590" s="168">
        <v>12</v>
      </c>
      <c r="Z590" s="169" t="s">
        <v>63</v>
      </c>
      <c r="AA590" s="6">
        <v>6</v>
      </c>
      <c r="AD590" s="165"/>
      <c r="AE590" s="165"/>
      <c r="AG590" s="165" t="s">
        <v>80</v>
      </c>
      <c r="AH590" s="165"/>
      <c r="AI590" s="5">
        <v>28</v>
      </c>
      <c r="AJ590" s="5">
        <v>37</v>
      </c>
      <c r="AL590" s="166" t="s">
        <v>81</v>
      </c>
      <c r="AM590" s="166"/>
      <c r="AO590" s="166"/>
      <c r="AP590" s="166"/>
      <c r="AQ590" s="6">
        <v>74</v>
      </c>
      <c r="AR590" s="6">
        <v>84</v>
      </c>
      <c r="AT590" s="165"/>
      <c r="AU590" s="165"/>
      <c r="AW590" s="165"/>
      <c r="AX590" s="165"/>
      <c r="BB590" s="166"/>
      <c r="BC590" s="166"/>
      <c r="BE590" s="166"/>
      <c r="BF590" s="166"/>
    </row>
    <row r="591" spans="1:70" ht="14.25" hidden="1" x14ac:dyDescent="0.2">
      <c r="A591" s="91">
        <v>658</v>
      </c>
      <c r="B591" s="231" t="s">
        <v>1698</v>
      </c>
      <c r="C591" s="265" t="s">
        <v>1686</v>
      </c>
      <c r="D591" s="231" t="s">
        <v>1691</v>
      </c>
      <c r="E591" s="125" t="s">
        <v>1622</v>
      </c>
      <c r="F591" s="181" t="s">
        <v>103</v>
      </c>
      <c r="G591" s="181" t="s">
        <v>56</v>
      </c>
      <c r="H591" s="181" t="s">
        <v>1702</v>
      </c>
      <c r="J591" s="178">
        <v>20</v>
      </c>
      <c r="K591" s="182"/>
      <c r="L591" s="182" t="s">
        <v>58</v>
      </c>
      <c r="M591" s="178" t="s">
        <v>59</v>
      </c>
      <c r="N591" s="178">
        <v>0</v>
      </c>
      <c r="O591" s="178" t="s">
        <v>60</v>
      </c>
      <c r="P591" s="178" t="s">
        <v>79</v>
      </c>
      <c r="R591" s="23" t="s">
        <v>150</v>
      </c>
      <c r="V591" s="167" t="s">
        <v>62</v>
      </c>
      <c r="W591" s="168">
        <v>13</v>
      </c>
      <c r="Z591" s="169" t="s">
        <v>63</v>
      </c>
      <c r="AA591" s="6">
        <v>6</v>
      </c>
      <c r="AD591" s="165"/>
      <c r="AE591" s="165"/>
      <c r="AG591" s="165" t="s">
        <v>80</v>
      </c>
      <c r="AH591" s="165"/>
      <c r="AI591" s="5">
        <v>28</v>
      </c>
      <c r="AJ591" s="5">
        <v>37</v>
      </c>
      <c r="AL591" s="166" t="s">
        <v>81</v>
      </c>
      <c r="AM591" s="166"/>
      <c r="AO591" s="166"/>
      <c r="AP591" s="166"/>
      <c r="AQ591" s="6">
        <v>74</v>
      </c>
      <c r="AR591" s="6">
        <v>84</v>
      </c>
      <c r="AT591" s="165"/>
      <c r="AU591" s="165"/>
      <c r="AW591" s="165"/>
      <c r="AX591" s="165"/>
      <c r="BB591" s="166"/>
      <c r="BC591" s="166"/>
      <c r="BE591" s="166"/>
      <c r="BF591" s="166"/>
    </row>
    <row r="592" spans="1:70" ht="14.25" hidden="1" customHeight="1" x14ac:dyDescent="0.2">
      <c r="A592" s="91">
        <v>659</v>
      </c>
      <c r="B592" s="231" t="s">
        <v>1698</v>
      </c>
      <c r="C592" s="265" t="s">
        <v>1686</v>
      </c>
      <c r="D592" s="231" t="s">
        <v>1692</v>
      </c>
      <c r="E592" s="125" t="s">
        <v>1622</v>
      </c>
      <c r="F592" s="181" t="s">
        <v>103</v>
      </c>
      <c r="G592" s="181" t="s">
        <v>56</v>
      </c>
      <c r="H592" s="26" t="s">
        <v>1702</v>
      </c>
      <c r="J592" s="22">
        <v>50</v>
      </c>
      <c r="L592" s="182" t="s">
        <v>58</v>
      </c>
      <c r="M592" s="178" t="s">
        <v>59</v>
      </c>
      <c r="N592" s="178">
        <v>0</v>
      </c>
      <c r="O592" s="178" t="s">
        <v>60</v>
      </c>
      <c r="P592" s="178" t="s">
        <v>79</v>
      </c>
      <c r="R592" s="23" t="s">
        <v>150</v>
      </c>
      <c r="V592" s="25" t="s">
        <v>62</v>
      </c>
      <c r="W592" s="65">
        <v>14</v>
      </c>
      <c r="Z592" s="169" t="s">
        <v>63</v>
      </c>
      <c r="AA592" s="6">
        <v>6</v>
      </c>
      <c r="AG592" s="5" t="s">
        <v>80</v>
      </c>
      <c r="AI592" s="5">
        <v>28</v>
      </c>
      <c r="AJ592" s="5">
        <v>37</v>
      </c>
      <c r="AL592" s="6" t="s">
        <v>81</v>
      </c>
      <c r="AQ592" s="6">
        <v>74</v>
      </c>
      <c r="AR592" s="6">
        <v>84</v>
      </c>
    </row>
    <row r="593" spans="1:44" ht="14.25" hidden="1" customHeight="1" x14ac:dyDescent="0.2">
      <c r="A593" s="91">
        <v>660</v>
      </c>
      <c r="B593" s="231" t="s">
        <v>1698</v>
      </c>
      <c r="C593" s="265" t="s">
        <v>1686</v>
      </c>
      <c r="D593" s="231" t="s">
        <v>1693</v>
      </c>
      <c r="E593" s="125" t="s">
        <v>1622</v>
      </c>
      <c r="F593" s="181" t="s">
        <v>103</v>
      </c>
      <c r="G593" s="181" t="s">
        <v>56</v>
      </c>
      <c r="H593" s="181" t="s">
        <v>1702</v>
      </c>
      <c r="J593" s="22">
        <v>100</v>
      </c>
      <c r="L593" s="182" t="s">
        <v>58</v>
      </c>
      <c r="M593" s="178" t="s">
        <v>59</v>
      </c>
      <c r="N593" s="178">
        <v>0</v>
      </c>
      <c r="O593" s="178" t="s">
        <v>60</v>
      </c>
      <c r="P593" s="178" t="s">
        <v>79</v>
      </c>
      <c r="R593" s="179" t="s">
        <v>150</v>
      </c>
      <c r="V593" s="167" t="s">
        <v>62</v>
      </c>
      <c r="W593" s="168">
        <v>15</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hidden="1" customHeight="1" x14ac:dyDescent="0.2">
      <c r="A594" s="91">
        <v>661</v>
      </c>
      <c r="B594" s="231" t="s">
        <v>1698</v>
      </c>
      <c r="C594" s="265" t="s">
        <v>1686</v>
      </c>
      <c r="D594" s="231" t="s">
        <v>1695</v>
      </c>
      <c r="E594" s="125" t="s">
        <v>1622</v>
      </c>
      <c r="F594" s="181" t="s">
        <v>103</v>
      </c>
      <c r="G594" s="181" t="s">
        <v>56</v>
      </c>
      <c r="H594" s="181" t="s">
        <v>1703</v>
      </c>
      <c r="J594" s="22">
        <v>250</v>
      </c>
      <c r="L594" s="182" t="s">
        <v>58</v>
      </c>
      <c r="M594" s="178" t="s">
        <v>59</v>
      </c>
      <c r="N594" s="178">
        <v>0</v>
      </c>
      <c r="O594" s="178" t="s">
        <v>60</v>
      </c>
      <c r="P594" s="178" t="s">
        <v>79</v>
      </c>
      <c r="R594" s="23" t="s">
        <v>150</v>
      </c>
      <c r="V594" s="167" t="s">
        <v>62</v>
      </c>
      <c r="W594" s="168">
        <v>16</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hidden="1" customHeight="1" x14ac:dyDescent="0.2">
      <c r="A595" s="91">
        <v>662</v>
      </c>
      <c r="B595" s="231" t="s">
        <v>1698</v>
      </c>
      <c r="C595" s="265" t="s">
        <v>1686</v>
      </c>
      <c r="D595" s="231" t="s">
        <v>1694</v>
      </c>
      <c r="E595" s="125" t="s">
        <v>1622</v>
      </c>
      <c r="F595" s="181" t="s">
        <v>103</v>
      </c>
      <c r="G595" s="181" t="s">
        <v>56</v>
      </c>
      <c r="H595" s="181" t="s">
        <v>1702</v>
      </c>
      <c r="J595" s="22">
        <v>500</v>
      </c>
      <c r="L595" s="182" t="s">
        <v>58</v>
      </c>
      <c r="M595" s="178" t="s">
        <v>59</v>
      </c>
      <c r="N595" s="178">
        <v>0</v>
      </c>
      <c r="O595" s="178" t="s">
        <v>60</v>
      </c>
      <c r="P595" s="178" t="s">
        <v>79</v>
      </c>
      <c r="R595" s="179" t="s">
        <v>150</v>
      </c>
      <c r="V595" s="167" t="s">
        <v>62</v>
      </c>
      <c r="W595" s="168">
        <v>17</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hidden="1" customHeight="1" x14ac:dyDescent="0.2">
      <c r="A596" s="92">
        <v>663</v>
      </c>
      <c r="B596" s="231" t="s">
        <v>1698</v>
      </c>
      <c r="C596" s="265" t="s">
        <v>1686</v>
      </c>
      <c r="D596" s="231" t="s">
        <v>1696</v>
      </c>
      <c r="E596" s="125" t="s">
        <v>1622</v>
      </c>
      <c r="F596" s="181" t="s">
        <v>103</v>
      </c>
      <c r="G596" s="181" t="s">
        <v>56</v>
      </c>
      <c r="H596" s="181" t="s">
        <v>157</v>
      </c>
      <c r="J596" s="22">
        <v>250</v>
      </c>
      <c r="L596" s="182" t="s">
        <v>58</v>
      </c>
      <c r="M596" s="178" t="s">
        <v>59</v>
      </c>
      <c r="N596" s="178">
        <v>0</v>
      </c>
      <c r="O596" s="178" t="s">
        <v>60</v>
      </c>
      <c r="P596" s="178" t="s">
        <v>79</v>
      </c>
      <c r="R596" s="179" t="s">
        <v>150</v>
      </c>
      <c r="V596" s="167" t="s">
        <v>436</v>
      </c>
      <c r="W596" s="168"/>
      <c r="Y596" s="25" t="s">
        <v>1697</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hidden="1" customHeight="1" x14ac:dyDescent="0.2">
      <c r="A597" s="91">
        <v>664</v>
      </c>
      <c r="B597" s="231" t="s">
        <v>1698</v>
      </c>
      <c r="C597" s="265" t="s">
        <v>1686</v>
      </c>
      <c r="D597" s="231" t="s">
        <v>1730</v>
      </c>
      <c r="E597" s="125" t="s">
        <v>1622</v>
      </c>
      <c r="F597" s="181" t="s">
        <v>103</v>
      </c>
      <c r="G597" s="181" t="s">
        <v>56</v>
      </c>
      <c r="H597" s="181" t="s">
        <v>1704</v>
      </c>
      <c r="J597" s="22">
        <v>2.5</v>
      </c>
      <c r="L597" s="182" t="s">
        <v>58</v>
      </c>
      <c r="M597" s="178" t="s">
        <v>59</v>
      </c>
      <c r="N597" s="178" t="s">
        <v>435</v>
      </c>
      <c r="O597" s="178" t="s">
        <v>60</v>
      </c>
      <c r="P597" s="178" t="s">
        <v>461</v>
      </c>
      <c r="R597" s="179" t="s">
        <v>150</v>
      </c>
      <c r="V597" s="167"/>
      <c r="W597" s="168"/>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c r="AR597" s="166"/>
    </row>
    <row r="598" spans="1:44" ht="14.25" hidden="1" customHeight="1" x14ac:dyDescent="0.2">
      <c r="A598" s="91">
        <v>665</v>
      </c>
      <c r="B598" s="231" t="s">
        <v>1698</v>
      </c>
      <c r="C598" s="265" t="s">
        <v>1686</v>
      </c>
      <c r="D598" s="231" t="s">
        <v>1731</v>
      </c>
      <c r="E598" s="125" t="s">
        <v>1622</v>
      </c>
      <c r="F598" s="181" t="s">
        <v>103</v>
      </c>
      <c r="G598" s="181" t="s">
        <v>56</v>
      </c>
      <c r="H598" s="26" t="s">
        <v>1704</v>
      </c>
      <c r="J598" s="22">
        <v>10</v>
      </c>
      <c r="L598" s="182" t="s">
        <v>58</v>
      </c>
      <c r="M598" s="178" t="s">
        <v>59</v>
      </c>
      <c r="N598" s="178" t="s">
        <v>435</v>
      </c>
      <c r="O598" s="178" t="s">
        <v>60</v>
      </c>
      <c r="P598" s="178" t="s">
        <v>461</v>
      </c>
      <c r="R598" s="179" t="s">
        <v>150</v>
      </c>
      <c r="V598" s="167"/>
      <c r="W598" s="168"/>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c r="AR598" s="166"/>
    </row>
    <row r="599" spans="1:44" ht="14.25" hidden="1" customHeight="1" x14ac:dyDescent="0.2">
      <c r="A599" s="91">
        <v>666</v>
      </c>
      <c r="B599" s="231" t="s">
        <v>1698</v>
      </c>
      <c r="C599" s="265" t="s">
        <v>1686</v>
      </c>
      <c r="D599" s="231" t="s">
        <v>1732</v>
      </c>
      <c r="E599" s="125" t="s">
        <v>1622</v>
      </c>
      <c r="F599" s="181" t="s">
        <v>103</v>
      </c>
      <c r="G599" s="181" t="s">
        <v>56</v>
      </c>
      <c r="H599" s="181" t="s">
        <v>1704</v>
      </c>
      <c r="J599" s="22">
        <v>20</v>
      </c>
      <c r="L599" s="182" t="s">
        <v>58</v>
      </c>
      <c r="M599" s="178" t="s">
        <v>59</v>
      </c>
      <c r="N599" s="178" t="s">
        <v>435</v>
      </c>
      <c r="O599" s="178" t="s">
        <v>60</v>
      </c>
      <c r="P599" s="178" t="s">
        <v>461</v>
      </c>
      <c r="R599" s="179" t="s">
        <v>150</v>
      </c>
      <c r="V599" s="167"/>
      <c r="W599" s="168"/>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c r="AR599" s="166"/>
    </row>
    <row r="600" spans="1:44" ht="14.25" hidden="1" customHeight="1" x14ac:dyDescent="0.2">
      <c r="A600" s="91">
        <v>667</v>
      </c>
      <c r="B600" s="231" t="s">
        <v>1698</v>
      </c>
      <c r="C600" s="265" t="s">
        <v>1686</v>
      </c>
      <c r="D600" s="231" t="s">
        <v>1733</v>
      </c>
      <c r="E600" s="125" t="s">
        <v>1622</v>
      </c>
      <c r="F600" s="181" t="s">
        <v>103</v>
      </c>
      <c r="G600" s="181" t="s">
        <v>56</v>
      </c>
      <c r="H600" s="181" t="s">
        <v>1704</v>
      </c>
      <c r="J600" s="22">
        <v>50</v>
      </c>
      <c r="L600" s="28" t="s">
        <v>58</v>
      </c>
      <c r="M600" s="178" t="s">
        <v>59</v>
      </c>
      <c r="N600" s="178" t="s">
        <v>435</v>
      </c>
      <c r="O600" s="178" t="s">
        <v>60</v>
      </c>
      <c r="P600" s="178" t="s">
        <v>461</v>
      </c>
      <c r="R600" s="179" t="s">
        <v>150</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c r="AR600" s="166"/>
    </row>
    <row r="601" spans="1:44" ht="14.25" hidden="1" customHeight="1" x14ac:dyDescent="0.2">
      <c r="A601" s="91">
        <v>668</v>
      </c>
      <c r="B601" s="231" t="s">
        <v>1698</v>
      </c>
      <c r="C601" s="265" t="s">
        <v>1686</v>
      </c>
      <c r="D601" s="231" t="s">
        <v>1734</v>
      </c>
      <c r="E601" s="125" t="s">
        <v>1622</v>
      </c>
      <c r="F601" s="181" t="s">
        <v>103</v>
      </c>
      <c r="G601" s="181" t="s">
        <v>56</v>
      </c>
      <c r="H601" s="26" t="s">
        <v>1704</v>
      </c>
      <c r="J601" s="22">
        <v>100</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hidden="1" customHeight="1" x14ac:dyDescent="0.2">
      <c r="A602" s="92">
        <v>669</v>
      </c>
      <c r="B602" s="231" t="s">
        <v>1736</v>
      </c>
      <c r="C602" s="265" t="s">
        <v>1735</v>
      </c>
      <c r="D602" s="231" t="s">
        <v>1737</v>
      </c>
      <c r="E602" s="125" t="s">
        <v>573</v>
      </c>
      <c r="F602" s="181" t="s">
        <v>103</v>
      </c>
      <c r="G602" s="181" t="s">
        <v>56</v>
      </c>
      <c r="H602" s="181" t="s">
        <v>1738</v>
      </c>
      <c r="J602" s="22">
        <v>500</v>
      </c>
      <c r="L602" s="182" t="s">
        <v>58</v>
      </c>
      <c r="M602" s="178" t="s">
        <v>59</v>
      </c>
      <c r="N602" s="178">
        <v>0</v>
      </c>
      <c r="O602" s="178" t="s">
        <v>60</v>
      </c>
      <c r="P602" s="178" t="s">
        <v>79</v>
      </c>
      <c r="R602" s="179"/>
      <c r="Z602" s="169" t="s">
        <v>63</v>
      </c>
      <c r="AA602" s="166"/>
      <c r="AB602" s="166"/>
      <c r="AC602" s="165"/>
      <c r="AD602" s="165"/>
      <c r="AE602" s="165"/>
      <c r="AF602" s="165"/>
      <c r="AG602" s="165"/>
      <c r="AH602" s="165"/>
      <c r="AI602" s="165"/>
      <c r="AJ602" s="165"/>
      <c r="AK602" s="166"/>
      <c r="AL602" s="166"/>
    </row>
    <row r="603" spans="1:44" ht="14.25" hidden="1" customHeight="1" x14ac:dyDescent="0.2">
      <c r="A603" s="91">
        <v>670</v>
      </c>
      <c r="B603" s="231" t="s">
        <v>1711</v>
      </c>
      <c r="C603" s="265" t="s">
        <v>1712</v>
      </c>
      <c r="D603" s="231" t="s">
        <v>1743</v>
      </c>
      <c r="E603" s="125" t="s">
        <v>1705</v>
      </c>
      <c r="F603" s="181" t="s">
        <v>1713</v>
      </c>
      <c r="G603" s="181" t="s">
        <v>56</v>
      </c>
      <c r="H603" s="181" t="s">
        <v>1714</v>
      </c>
      <c r="I603" s="26" t="s">
        <v>1715</v>
      </c>
      <c r="J603" s="22">
        <v>50</v>
      </c>
      <c r="L603" s="182" t="s">
        <v>58</v>
      </c>
      <c r="M603" s="178" t="s">
        <v>59</v>
      </c>
      <c r="N603" s="178">
        <v>0</v>
      </c>
      <c r="O603" s="178" t="s">
        <v>60</v>
      </c>
      <c r="P603" s="178" t="s">
        <v>79</v>
      </c>
      <c r="Q603" s="23" t="s">
        <v>1709</v>
      </c>
      <c r="R603" s="179" t="s">
        <v>171</v>
      </c>
      <c r="Z603" s="169" t="s">
        <v>63</v>
      </c>
      <c r="AA603" s="166">
        <v>6</v>
      </c>
      <c r="AB603" s="166">
        <v>0</v>
      </c>
      <c r="AC603" s="165"/>
      <c r="AD603" s="165"/>
      <c r="AE603" s="165"/>
      <c r="AF603" s="165"/>
      <c r="AG603" s="165"/>
      <c r="AH603" s="165"/>
      <c r="AI603" s="165"/>
      <c r="AJ603" s="165"/>
      <c r="AK603" s="166"/>
      <c r="AL603" s="166"/>
    </row>
    <row r="604" spans="1:44" ht="14.25" hidden="1" customHeight="1" x14ac:dyDescent="0.2">
      <c r="A604" s="91">
        <v>671</v>
      </c>
      <c r="B604" s="231" t="s">
        <v>1711</v>
      </c>
      <c r="C604" s="265" t="s">
        <v>1712</v>
      </c>
      <c r="D604" s="231" t="s">
        <v>1744</v>
      </c>
      <c r="E604" s="125" t="s">
        <v>1706</v>
      </c>
      <c r="F604" s="181" t="s">
        <v>1713</v>
      </c>
      <c r="G604" s="181" t="s">
        <v>56</v>
      </c>
      <c r="H604" s="181" t="s">
        <v>1714</v>
      </c>
      <c r="I604" s="26" t="s">
        <v>1715</v>
      </c>
      <c r="J604" s="22">
        <v>50</v>
      </c>
      <c r="L604" s="182" t="s">
        <v>58</v>
      </c>
      <c r="M604" s="178" t="s">
        <v>59</v>
      </c>
      <c r="N604" s="178">
        <v>0</v>
      </c>
      <c r="O604" s="178" t="s">
        <v>60</v>
      </c>
      <c r="P604" s="178" t="s">
        <v>79</v>
      </c>
      <c r="Q604" s="23" t="s">
        <v>1709</v>
      </c>
      <c r="R604" s="179" t="s">
        <v>171</v>
      </c>
      <c r="Z604" s="169" t="s">
        <v>63</v>
      </c>
      <c r="AA604" s="166">
        <v>6</v>
      </c>
      <c r="AB604" s="166">
        <v>0</v>
      </c>
      <c r="AC604" s="165"/>
      <c r="AD604" s="165"/>
      <c r="AE604" s="165"/>
      <c r="AF604" s="165"/>
      <c r="AG604" s="165"/>
      <c r="AH604" s="165"/>
      <c r="AI604" s="165"/>
      <c r="AJ604" s="165"/>
      <c r="AK604" s="166"/>
      <c r="AL604" s="166"/>
    </row>
    <row r="605" spans="1:44" ht="14.25" hidden="1" customHeight="1" x14ac:dyDescent="0.2">
      <c r="A605" s="91">
        <v>672</v>
      </c>
      <c r="B605" s="231" t="s">
        <v>1711</v>
      </c>
      <c r="C605" s="265" t="s">
        <v>1712</v>
      </c>
      <c r="D605" s="231" t="s">
        <v>1745</v>
      </c>
      <c r="E605" s="125" t="s">
        <v>1707</v>
      </c>
      <c r="F605" s="181" t="s">
        <v>1713</v>
      </c>
      <c r="G605" s="181" t="s">
        <v>56</v>
      </c>
      <c r="H605" s="181" t="s">
        <v>1714</v>
      </c>
      <c r="I605" s="26" t="s">
        <v>1715</v>
      </c>
      <c r="J605" s="22">
        <v>50</v>
      </c>
      <c r="L605" s="182" t="s">
        <v>58</v>
      </c>
      <c r="M605" s="178" t="s">
        <v>59</v>
      </c>
      <c r="N605" s="178">
        <v>0</v>
      </c>
      <c r="O605" s="178" t="s">
        <v>60</v>
      </c>
      <c r="P605" s="178" t="s">
        <v>79</v>
      </c>
      <c r="Q605" s="23" t="s">
        <v>1709</v>
      </c>
      <c r="R605" s="179" t="s">
        <v>171</v>
      </c>
      <c r="Z605" s="169" t="s">
        <v>63</v>
      </c>
      <c r="AA605" s="166">
        <v>6</v>
      </c>
      <c r="AB605" s="166">
        <v>0</v>
      </c>
      <c r="AC605" s="165"/>
      <c r="AD605" s="165"/>
      <c r="AE605" s="165"/>
      <c r="AF605" s="165"/>
      <c r="AG605" s="165"/>
      <c r="AH605" s="165"/>
      <c r="AI605" s="165"/>
      <c r="AJ605" s="165"/>
      <c r="AK605" s="166"/>
      <c r="AL605" s="166"/>
    </row>
    <row r="606" spans="1:44" ht="14.25" hidden="1" customHeight="1" x14ac:dyDescent="0.2">
      <c r="A606" s="91">
        <v>673</v>
      </c>
      <c r="B606" s="231" t="s">
        <v>1711</v>
      </c>
      <c r="C606" s="265" t="s">
        <v>1712</v>
      </c>
      <c r="D606" s="231" t="s">
        <v>1746</v>
      </c>
      <c r="E606" s="125" t="s">
        <v>1622</v>
      </c>
      <c r="F606" s="26" t="s">
        <v>71</v>
      </c>
      <c r="G606" s="26" t="s">
        <v>56</v>
      </c>
      <c r="H606" s="26" t="s">
        <v>1714</v>
      </c>
      <c r="I606" s="26" t="s">
        <v>1715</v>
      </c>
      <c r="J606" s="178">
        <v>50</v>
      </c>
      <c r="K606" s="182"/>
      <c r="L606" s="182" t="s">
        <v>58</v>
      </c>
      <c r="M606" s="178" t="s">
        <v>59</v>
      </c>
      <c r="N606" s="178">
        <v>0</v>
      </c>
      <c r="O606" s="178" t="s">
        <v>60</v>
      </c>
      <c r="P606" s="178" t="s">
        <v>79</v>
      </c>
      <c r="Q606" s="23" t="s">
        <v>1709</v>
      </c>
      <c r="R606" s="179" t="s">
        <v>171</v>
      </c>
      <c r="S606" s="180"/>
      <c r="T606" s="179"/>
      <c r="U606" s="179"/>
      <c r="V606" s="167"/>
      <c r="W606" s="168"/>
      <c r="Y606" s="167"/>
      <c r="Z606" s="169" t="s">
        <v>63</v>
      </c>
      <c r="AA606" s="166">
        <v>6</v>
      </c>
      <c r="AB606" s="166">
        <v>0</v>
      </c>
      <c r="AC606" s="165"/>
      <c r="AD606" s="165"/>
      <c r="AE606" s="165"/>
      <c r="AF606" s="165"/>
      <c r="AG606" s="165"/>
      <c r="AH606" s="165"/>
      <c r="AI606" s="165"/>
      <c r="AJ606" s="165"/>
      <c r="AK606" s="166"/>
      <c r="AL606" s="166"/>
      <c r="AM606" s="166"/>
      <c r="AN606" s="166"/>
      <c r="AO606" s="166"/>
      <c r="AP606" s="166"/>
      <c r="AQ606" s="166"/>
      <c r="AR606" s="166"/>
    </row>
    <row r="607" spans="1:44" ht="14.25" hidden="1" customHeight="1" x14ac:dyDescent="0.2">
      <c r="A607" s="91">
        <v>674</v>
      </c>
      <c r="B607" s="231" t="s">
        <v>1711</v>
      </c>
      <c r="C607" s="265" t="s">
        <v>1712</v>
      </c>
      <c r="D607" s="231" t="s">
        <v>1747</v>
      </c>
      <c r="E607" s="3" t="s">
        <v>1622</v>
      </c>
      <c r="F607" s="26" t="s">
        <v>1708</v>
      </c>
      <c r="G607" s="181" t="s">
        <v>56</v>
      </c>
      <c r="H607" s="26" t="s">
        <v>1714</v>
      </c>
      <c r="I607" s="26" t="s">
        <v>1715</v>
      </c>
      <c r="J607" s="22">
        <v>50</v>
      </c>
      <c r="L607" s="28" t="s">
        <v>58</v>
      </c>
      <c r="M607" s="178" t="s">
        <v>59</v>
      </c>
      <c r="N607" s="178">
        <v>0</v>
      </c>
      <c r="O607" s="178" t="s">
        <v>60</v>
      </c>
      <c r="P607" s="178" t="s">
        <v>79</v>
      </c>
      <c r="Q607" s="23" t="s">
        <v>1709</v>
      </c>
      <c r="R607" s="23" t="s">
        <v>171</v>
      </c>
      <c r="Z607" s="169" t="s">
        <v>63</v>
      </c>
      <c r="AA607" s="166">
        <v>6</v>
      </c>
      <c r="AB607" s="6">
        <v>0</v>
      </c>
    </row>
    <row r="608" spans="1:44" ht="14.25" hidden="1" customHeight="1" x14ac:dyDescent="0.2">
      <c r="A608" s="91">
        <v>675</v>
      </c>
      <c r="B608" s="231" t="s">
        <v>1711</v>
      </c>
      <c r="C608" s="265" t="s">
        <v>1712</v>
      </c>
      <c r="D608" s="231" t="s">
        <v>1748</v>
      </c>
      <c r="E608" s="3" t="s">
        <v>1705</v>
      </c>
      <c r="F608" s="181" t="s">
        <v>1713</v>
      </c>
      <c r="G608" s="181" t="s">
        <v>56</v>
      </c>
      <c r="H608" s="181" t="s">
        <v>1714</v>
      </c>
      <c r="I608" s="181" t="s">
        <v>1716</v>
      </c>
      <c r="J608" s="178">
        <v>50</v>
      </c>
      <c r="K608" s="182"/>
      <c r="L608" s="182" t="s">
        <v>58</v>
      </c>
      <c r="M608" s="178" t="s">
        <v>59</v>
      </c>
      <c r="N608" s="178">
        <v>0</v>
      </c>
      <c r="O608" s="178" t="s">
        <v>60</v>
      </c>
      <c r="P608" s="178" t="s">
        <v>79</v>
      </c>
      <c r="Q608" s="179" t="s">
        <v>1709</v>
      </c>
      <c r="R608" s="179" t="s">
        <v>171</v>
      </c>
      <c r="Z608" s="169" t="s">
        <v>63</v>
      </c>
      <c r="AA608" s="166">
        <v>6</v>
      </c>
      <c r="AB608" s="166">
        <v>0</v>
      </c>
    </row>
    <row r="609" spans="1:70" ht="14.25" hidden="1" customHeight="1" x14ac:dyDescent="0.2">
      <c r="A609" s="91">
        <v>676</v>
      </c>
      <c r="B609" s="231" t="s">
        <v>1711</v>
      </c>
      <c r="C609" s="265" t="s">
        <v>1712</v>
      </c>
      <c r="D609" s="231" t="s">
        <v>1749</v>
      </c>
      <c r="E609" s="3" t="s">
        <v>1706</v>
      </c>
      <c r="F609" s="181" t="s">
        <v>1713</v>
      </c>
      <c r="G609" s="181" t="s">
        <v>56</v>
      </c>
      <c r="H609" s="181" t="s">
        <v>1714</v>
      </c>
      <c r="I609" s="181" t="s">
        <v>1716</v>
      </c>
      <c r="J609" s="178">
        <v>50</v>
      </c>
      <c r="K609" s="182"/>
      <c r="L609" s="182" t="s">
        <v>58</v>
      </c>
      <c r="M609" s="178" t="s">
        <v>59</v>
      </c>
      <c r="N609" s="178">
        <v>0</v>
      </c>
      <c r="O609" s="178" t="s">
        <v>60</v>
      </c>
      <c r="P609" s="178" t="s">
        <v>79</v>
      </c>
      <c r="Q609" s="179" t="s">
        <v>1709</v>
      </c>
      <c r="R609" s="179" t="s">
        <v>171</v>
      </c>
      <c r="Z609" s="169" t="s">
        <v>63</v>
      </c>
      <c r="AA609" s="166">
        <v>6</v>
      </c>
      <c r="AB609" s="166">
        <v>0</v>
      </c>
    </row>
    <row r="610" spans="1:70" ht="14.25" hidden="1" customHeight="1" x14ac:dyDescent="0.2">
      <c r="A610" s="91">
        <v>677</v>
      </c>
      <c r="B610" s="231" t="s">
        <v>1698</v>
      </c>
      <c r="C610" s="265" t="s">
        <v>1686</v>
      </c>
      <c r="D610" s="231" t="s">
        <v>1717</v>
      </c>
      <c r="E610" s="125" t="s">
        <v>1622</v>
      </c>
      <c r="F610" s="26" t="s">
        <v>71</v>
      </c>
      <c r="G610" s="181" t="s">
        <v>56</v>
      </c>
      <c r="H610" s="181" t="s">
        <v>1724</v>
      </c>
      <c r="I610" s="181"/>
      <c r="J610" s="178">
        <v>2.5</v>
      </c>
      <c r="K610" s="182"/>
      <c r="L610" s="182" t="s">
        <v>58</v>
      </c>
      <c r="M610" s="178" t="s">
        <v>59</v>
      </c>
      <c r="N610" s="178">
        <v>0</v>
      </c>
      <c r="O610" s="178" t="s">
        <v>60</v>
      </c>
      <c r="P610" s="178" t="s">
        <v>79</v>
      </c>
      <c r="Q610" s="179"/>
      <c r="R610" s="179" t="s">
        <v>171</v>
      </c>
      <c r="V610" s="25" t="s">
        <v>62</v>
      </c>
      <c r="W610" s="65">
        <v>10</v>
      </c>
      <c r="Z610" s="169" t="s">
        <v>63</v>
      </c>
      <c r="AA610" s="166">
        <v>6</v>
      </c>
      <c r="AB610" s="166"/>
      <c r="AG610" s="5" t="s">
        <v>80</v>
      </c>
      <c r="AI610" s="5">
        <v>28</v>
      </c>
      <c r="AJ610" s="5">
        <v>37</v>
      </c>
      <c r="AL610" s="6" t="s">
        <v>81</v>
      </c>
      <c r="AQ610" s="6">
        <v>74</v>
      </c>
      <c r="AR610" s="6">
        <v>84</v>
      </c>
      <c r="BR610" s="5" t="s">
        <v>1687</v>
      </c>
    </row>
    <row r="611" spans="1:70" ht="14.25" hidden="1" customHeight="1" x14ac:dyDescent="0.2">
      <c r="A611" s="91">
        <v>678</v>
      </c>
      <c r="B611" s="231" t="s">
        <v>1698</v>
      </c>
      <c r="C611" s="265" t="s">
        <v>1686</v>
      </c>
      <c r="D611" s="231" t="s">
        <v>1718</v>
      </c>
      <c r="E611" s="125" t="s">
        <v>1622</v>
      </c>
      <c r="F611" s="26" t="s">
        <v>71</v>
      </c>
      <c r="G611" s="181" t="s">
        <v>56</v>
      </c>
      <c r="H611" s="181" t="s">
        <v>1724</v>
      </c>
      <c r="I611" s="181"/>
      <c r="J611" s="178">
        <v>5</v>
      </c>
      <c r="K611" s="182"/>
      <c r="L611" s="182" t="s">
        <v>58</v>
      </c>
      <c r="M611" s="178" t="s">
        <v>59</v>
      </c>
      <c r="N611" s="178">
        <v>0</v>
      </c>
      <c r="O611" s="178" t="s">
        <v>60</v>
      </c>
      <c r="P611" s="178" t="s">
        <v>79</v>
      </c>
      <c r="Q611" s="179"/>
      <c r="R611" s="179" t="s">
        <v>171</v>
      </c>
      <c r="V611" s="25" t="s">
        <v>62</v>
      </c>
      <c r="W611" s="65">
        <v>11</v>
      </c>
      <c r="Z611" s="169" t="s">
        <v>63</v>
      </c>
      <c r="AA611" s="166">
        <v>6</v>
      </c>
      <c r="AB611" s="166"/>
      <c r="AG611" s="5" t="s">
        <v>80</v>
      </c>
      <c r="AI611" s="5">
        <v>28</v>
      </c>
      <c r="AJ611" s="5">
        <v>37</v>
      </c>
      <c r="AL611" s="6" t="s">
        <v>81</v>
      </c>
      <c r="AQ611" s="6">
        <v>74</v>
      </c>
      <c r="AR611" s="6">
        <v>84</v>
      </c>
    </row>
    <row r="612" spans="1:70" s="124" customFormat="1" ht="14.25" hidden="1" customHeight="1" x14ac:dyDescent="0.2">
      <c r="A612" s="91">
        <v>679</v>
      </c>
      <c r="B612" s="231" t="s">
        <v>1698</v>
      </c>
      <c r="C612" s="265" t="s">
        <v>1686</v>
      </c>
      <c r="D612" s="231" t="s">
        <v>1719</v>
      </c>
      <c r="E612" s="125" t="s">
        <v>1622</v>
      </c>
      <c r="F612" s="181" t="s">
        <v>71</v>
      </c>
      <c r="G612" s="181" t="s">
        <v>56</v>
      </c>
      <c r="H612" s="181" t="s">
        <v>1724</v>
      </c>
      <c r="I612" s="181"/>
      <c r="J612" s="178">
        <v>10</v>
      </c>
      <c r="K612" s="182"/>
      <c r="L612" s="182" t="s">
        <v>58</v>
      </c>
      <c r="M612" s="178" t="s">
        <v>59</v>
      </c>
      <c r="N612" s="178">
        <v>0</v>
      </c>
      <c r="O612" s="178" t="s">
        <v>60</v>
      </c>
      <c r="P612" s="178" t="s">
        <v>79</v>
      </c>
      <c r="Q612" s="179"/>
      <c r="R612" s="179" t="s">
        <v>150</v>
      </c>
      <c r="S612" s="180"/>
      <c r="T612" s="179"/>
      <c r="U612" s="179"/>
      <c r="V612" s="167" t="s">
        <v>62</v>
      </c>
      <c r="W612" s="168">
        <v>12</v>
      </c>
      <c r="X612" s="106"/>
      <c r="Y612" s="167"/>
      <c r="Z612" s="169" t="s">
        <v>63</v>
      </c>
      <c r="AA612" s="166">
        <v>6</v>
      </c>
      <c r="AB612" s="166"/>
      <c r="AC612" s="165"/>
      <c r="AD612" s="165"/>
      <c r="AE612" s="165"/>
      <c r="AF612" s="165"/>
      <c r="AG612" s="165" t="s">
        <v>80</v>
      </c>
      <c r="AH612" s="165"/>
      <c r="AI612" s="165">
        <v>28</v>
      </c>
      <c r="AJ612" s="165">
        <v>37</v>
      </c>
      <c r="AK612" s="166"/>
      <c r="AL612" s="166" t="s">
        <v>81</v>
      </c>
      <c r="AM612" s="166"/>
      <c r="AN612" s="166"/>
      <c r="AO612" s="166"/>
      <c r="AP612" s="166"/>
      <c r="AQ612" s="166">
        <v>74</v>
      </c>
      <c r="AR612" s="166">
        <v>84</v>
      </c>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hidden="1" customHeight="1" x14ac:dyDescent="0.2">
      <c r="A613" s="91">
        <v>680</v>
      </c>
      <c r="B613" s="231" t="s">
        <v>1698</v>
      </c>
      <c r="C613" s="265" t="s">
        <v>1686</v>
      </c>
      <c r="D613" s="231" t="s">
        <v>1720</v>
      </c>
      <c r="E613" s="125" t="s">
        <v>1622</v>
      </c>
      <c r="F613" s="181" t="s">
        <v>71</v>
      </c>
      <c r="G613" s="181" t="s">
        <v>56</v>
      </c>
      <c r="H613" s="181" t="s">
        <v>1724</v>
      </c>
      <c r="I613" s="181"/>
      <c r="J613" s="178">
        <v>20</v>
      </c>
      <c r="K613" s="182"/>
      <c r="L613" s="182" t="s">
        <v>58</v>
      </c>
      <c r="M613" s="178" t="s">
        <v>59</v>
      </c>
      <c r="N613" s="178">
        <v>0</v>
      </c>
      <c r="O613" s="178" t="s">
        <v>60</v>
      </c>
      <c r="P613" s="178" t="s">
        <v>79</v>
      </c>
      <c r="Q613" s="179"/>
      <c r="R613" s="179" t="s">
        <v>150</v>
      </c>
      <c r="S613" s="180"/>
      <c r="T613" s="179"/>
      <c r="U613" s="179"/>
      <c r="V613" s="167" t="s">
        <v>62</v>
      </c>
      <c r="W613" s="168">
        <v>13</v>
      </c>
      <c r="X613" s="106"/>
      <c r="Y613" s="167"/>
      <c r="Z613" s="169" t="s">
        <v>63</v>
      </c>
      <c r="AA613" s="166">
        <v>6</v>
      </c>
      <c r="AB613" s="166"/>
      <c r="AC613" s="165"/>
      <c r="AD613" s="165"/>
      <c r="AE613" s="165"/>
      <c r="AF613" s="165"/>
      <c r="AG613" s="165" t="s">
        <v>80</v>
      </c>
      <c r="AH613" s="165"/>
      <c r="AI613" s="165">
        <v>28</v>
      </c>
      <c r="AJ613" s="165">
        <v>37</v>
      </c>
      <c r="AK613" s="166"/>
      <c r="AL613" s="166" t="s">
        <v>81</v>
      </c>
      <c r="AM613" s="166"/>
      <c r="AN613" s="166"/>
      <c r="AO613" s="166"/>
      <c r="AP613" s="166"/>
      <c r="AQ613" s="166">
        <v>74</v>
      </c>
      <c r="AR613" s="166">
        <v>84</v>
      </c>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hidden="1" customHeight="1" x14ac:dyDescent="0.2">
      <c r="A614" s="91">
        <v>681</v>
      </c>
      <c r="B614" s="231" t="s">
        <v>1698</v>
      </c>
      <c r="C614" s="265" t="s">
        <v>1686</v>
      </c>
      <c r="D614" s="231" t="s">
        <v>1721</v>
      </c>
      <c r="E614" s="125" t="s">
        <v>1622</v>
      </c>
      <c r="F614" s="181" t="s">
        <v>71</v>
      </c>
      <c r="G614" s="181" t="s">
        <v>56</v>
      </c>
      <c r="H614" s="181" t="s">
        <v>1724</v>
      </c>
      <c r="I614" s="181"/>
      <c r="J614" s="178">
        <v>50</v>
      </c>
      <c r="K614" s="182"/>
      <c r="L614" s="182" t="s">
        <v>58</v>
      </c>
      <c r="M614" s="178" t="s">
        <v>59</v>
      </c>
      <c r="N614" s="178">
        <v>0</v>
      </c>
      <c r="O614" s="178" t="s">
        <v>60</v>
      </c>
      <c r="P614" s="178" t="s">
        <v>79</v>
      </c>
      <c r="Q614" s="179"/>
      <c r="R614" s="179" t="s">
        <v>150</v>
      </c>
      <c r="S614" s="180"/>
      <c r="T614" s="179"/>
      <c r="U614" s="179"/>
      <c r="V614" s="167" t="s">
        <v>62</v>
      </c>
      <c r="W614" s="168">
        <v>14</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row>
    <row r="615" spans="1:70" ht="14.25" hidden="1" customHeight="1" x14ac:dyDescent="0.2">
      <c r="A615" s="91">
        <v>682</v>
      </c>
      <c r="B615" s="231" t="s">
        <v>1698</v>
      </c>
      <c r="C615" s="265" t="s">
        <v>1686</v>
      </c>
      <c r="D615" s="231" t="s">
        <v>1722</v>
      </c>
      <c r="E615" s="125" t="s">
        <v>1622</v>
      </c>
      <c r="F615" s="181" t="s">
        <v>71</v>
      </c>
      <c r="G615" s="181" t="s">
        <v>56</v>
      </c>
      <c r="H615" s="181" t="s">
        <v>1724</v>
      </c>
      <c r="I615" s="181"/>
      <c r="J615" s="178">
        <v>100</v>
      </c>
      <c r="K615" s="182"/>
      <c r="L615" s="182" t="s">
        <v>58</v>
      </c>
      <c r="M615" s="178" t="s">
        <v>59</v>
      </c>
      <c r="N615" s="178">
        <v>0</v>
      </c>
      <c r="O615" s="178" t="s">
        <v>60</v>
      </c>
      <c r="P615" s="178" t="s">
        <v>79</v>
      </c>
      <c r="Q615" s="179"/>
      <c r="R615" s="179" t="s">
        <v>150</v>
      </c>
      <c r="S615" s="180"/>
      <c r="T615" s="179"/>
      <c r="U615" s="179"/>
      <c r="V615" s="167" t="s">
        <v>62</v>
      </c>
      <c r="W615" s="168">
        <v>15</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hidden="1" customHeight="1" x14ac:dyDescent="0.2">
      <c r="A616" s="91">
        <v>683</v>
      </c>
      <c r="B616" s="231" t="s">
        <v>1698</v>
      </c>
      <c r="C616" s="265" t="s">
        <v>1686</v>
      </c>
      <c r="D616" s="231" t="s">
        <v>1699</v>
      </c>
      <c r="E616" s="125" t="s">
        <v>1622</v>
      </c>
      <c r="F616" s="181" t="s">
        <v>71</v>
      </c>
      <c r="G616" s="181" t="s">
        <v>56</v>
      </c>
      <c r="H616" s="181" t="s">
        <v>1724</v>
      </c>
      <c r="I616" s="181"/>
      <c r="J616" s="178">
        <v>250</v>
      </c>
      <c r="K616" s="182"/>
      <c r="L616" s="182" t="s">
        <v>58</v>
      </c>
      <c r="M616" s="178" t="s">
        <v>59</v>
      </c>
      <c r="N616" s="178">
        <v>0</v>
      </c>
      <c r="O616" s="178" t="s">
        <v>60</v>
      </c>
      <c r="P616" s="178" t="s">
        <v>79</v>
      </c>
      <c r="Q616" s="179"/>
      <c r="R616" s="179" t="s">
        <v>150</v>
      </c>
      <c r="S616" s="180"/>
      <c r="T616" s="179"/>
      <c r="U616" s="179"/>
      <c r="V616" s="167" t="s">
        <v>62</v>
      </c>
      <c r="W616" s="168">
        <v>16</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hidden="1" customHeight="1" x14ac:dyDescent="0.2">
      <c r="A617" s="91">
        <v>684</v>
      </c>
      <c r="B617" s="231" t="s">
        <v>1698</v>
      </c>
      <c r="C617" s="265" t="s">
        <v>1686</v>
      </c>
      <c r="D617" s="231" t="s">
        <v>1723</v>
      </c>
      <c r="E617" s="125" t="s">
        <v>1622</v>
      </c>
      <c r="F617" s="181" t="s">
        <v>71</v>
      </c>
      <c r="G617" s="181" t="s">
        <v>56</v>
      </c>
      <c r="H617" s="181" t="s">
        <v>1724</v>
      </c>
      <c r="I617" s="181"/>
      <c r="J617" s="178">
        <v>500</v>
      </c>
      <c r="K617" s="182"/>
      <c r="L617" s="182" t="s">
        <v>58</v>
      </c>
      <c r="M617" s="178" t="s">
        <v>59</v>
      </c>
      <c r="N617" s="178">
        <v>0</v>
      </c>
      <c r="O617" s="178" t="s">
        <v>60</v>
      </c>
      <c r="P617" s="178" t="s">
        <v>79</v>
      </c>
      <c r="Q617" s="179"/>
      <c r="R617" s="179" t="s">
        <v>150</v>
      </c>
      <c r="S617" s="180"/>
      <c r="T617" s="179"/>
      <c r="U617" s="179"/>
      <c r="V617" s="167" t="s">
        <v>62</v>
      </c>
      <c r="W617" s="168">
        <v>17</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hidden="1" customHeight="1" x14ac:dyDescent="0.2">
      <c r="A618" s="91">
        <v>685</v>
      </c>
      <c r="B618" s="231" t="s">
        <v>1698</v>
      </c>
      <c r="C618" s="265" t="s">
        <v>1686</v>
      </c>
      <c r="D618" s="231" t="s">
        <v>1725</v>
      </c>
      <c r="E618" s="125" t="s">
        <v>1622</v>
      </c>
      <c r="F618" s="181" t="s">
        <v>103</v>
      </c>
      <c r="G618" s="181" t="s">
        <v>56</v>
      </c>
      <c r="H618" s="181" t="s">
        <v>1704</v>
      </c>
      <c r="I618" s="181"/>
      <c r="J618" s="178">
        <v>2.5</v>
      </c>
      <c r="K618" s="182"/>
      <c r="L618" s="182" t="s">
        <v>58</v>
      </c>
      <c r="M618" s="178" t="s">
        <v>59</v>
      </c>
      <c r="N618" s="178" t="s">
        <v>435</v>
      </c>
      <c r="O618" s="178" t="s">
        <v>60</v>
      </c>
      <c r="P618" s="178" t="s">
        <v>461</v>
      </c>
      <c r="Q618" s="179"/>
      <c r="R618" s="179" t="s">
        <v>150</v>
      </c>
      <c r="S618" s="180"/>
      <c r="T618" s="179"/>
      <c r="U618" s="179"/>
      <c r="V618" s="167"/>
      <c r="W618" s="168"/>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c r="AR618" s="166"/>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hidden="1" customHeight="1" x14ac:dyDescent="0.2">
      <c r="A619" s="91">
        <v>686</v>
      </c>
      <c r="B619" s="231" t="s">
        <v>1698</v>
      </c>
      <c r="C619" s="265" t="s">
        <v>1686</v>
      </c>
      <c r="D619" s="231" t="s">
        <v>1726</v>
      </c>
      <c r="E619" s="125" t="s">
        <v>1622</v>
      </c>
      <c r="F619" s="181" t="s">
        <v>103</v>
      </c>
      <c r="G619" s="181" t="s">
        <v>56</v>
      </c>
      <c r="H619" s="181" t="s">
        <v>1704</v>
      </c>
      <c r="I619" s="181"/>
      <c r="J619" s="178">
        <v>10</v>
      </c>
      <c r="K619" s="182"/>
      <c r="L619" s="182" t="s">
        <v>58</v>
      </c>
      <c r="M619" s="178" t="s">
        <v>59</v>
      </c>
      <c r="N619" s="178" t="s">
        <v>435</v>
      </c>
      <c r="O619" s="178" t="s">
        <v>60</v>
      </c>
      <c r="P619" s="178" t="s">
        <v>461</v>
      </c>
      <c r="Q619" s="179"/>
      <c r="R619" s="179" t="s">
        <v>150</v>
      </c>
      <c r="S619" s="180"/>
      <c r="T619" s="179"/>
      <c r="U619" s="179"/>
      <c r="V619" s="167"/>
      <c r="W619" s="168"/>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c r="AR619" s="166"/>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hidden="1" customHeight="1" x14ac:dyDescent="0.2">
      <c r="A620" s="91">
        <v>687</v>
      </c>
      <c r="B620" s="231" t="s">
        <v>1698</v>
      </c>
      <c r="C620" s="265" t="s">
        <v>1686</v>
      </c>
      <c r="D620" s="231" t="s">
        <v>1727</v>
      </c>
      <c r="E620" s="125" t="s">
        <v>1622</v>
      </c>
      <c r="F620" s="181" t="s">
        <v>103</v>
      </c>
      <c r="G620" s="181" t="s">
        <v>56</v>
      </c>
      <c r="H620" s="181" t="s">
        <v>1704</v>
      </c>
      <c r="I620" s="181"/>
      <c r="J620" s="178">
        <v>20</v>
      </c>
      <c r="K620" s="182"/>
      <c r="L620" s="182" t="s">
        <v>58</v>
      </c>
      <c r="M620" s="178" t="s">
        <v>59</v>
      </c>
      <c r="N620" s="178" t="s">
        <v>435</v>
      </c>
      <c r="O620" s="178" t="s">
        <v>60</v>
      </c>
      <c r="P620" s="178" t="s">
        <v>461</v>
      </c>
      <c r="Q620" s="179"/>
      <c r="R620" s="179" t="s">
        <v>150</v>
      </c>
      <c r="S620" s="180"/>
      <c r="T620" s="179"/>
      <c r="U620" s="179"/>
      <c r="V620" s="167"/>
      <c r="W620" s="168"/>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c r="AR620" s="166"/>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hidden="1" customHeight="1" x14ac:dyDescent="0.2">
      <c r="A621" s="91">
        <v>688</v>
      </c>
      <c r="B621" s="231" t="s">
        <v>1698</v>
      </c>
      <c r="C621" s="265" t="s">
        <v>1686</v>
      </c>
      <c r="D621" s="231" t="s">
        <v>1728</v>
      </c>
      <c r="E621" s="125" t="s">
        <v>1622</v>
      </c>
      <c r="F621" s="181" t="s">
        <v>103</v>
      </c>
      <c r="G621" s="181" t="s">
        <v>56</v>
      </c>
      <c r="H621" s="181" t="s">
        <v>1704</v>
      </c>
      <c r="I621" s="181"/>
      <c r="J621" s="178">
        <v>50</v>
      </c>
      <c r="K621" s="182"/>
      <c r="L621" s="182" t="s">
        <v>58</v>
      </c>
      <c r="M621" s="178" t="s">
        <v>59</v>
      </c>
      <c r="N621" s="178" t="s">
        <v>435</v>
      </c>
      <c r="O621" s="178" t="s">
        <v>60</v>
      </c>
      <c r="P621" s="178" t="s">
        <v>461</v>
      </c>
      <c r="Q621" s="179"/>
      <c r="R621" s="179" t="s">
        <v>150</v>
      </c>
      <c r="S621" s="180"/>
      <c r="T621" s="179"/>
      <c r="U621" s="179"/>
      <c r="V621" s="167"/>
      <c r="W621" s="168"/>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c r="AR621" s="166"/>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hidden="1" customHeight="1" x14ac:dyDescent="0.2">
      <c r="A622" s="91">
        <v>689</v>
      </c>
      <c r="B622" s="231" t="s">
        <v>1698</v>
      </c>
      <c r="C622" s="265" t="s">
        <v>1686</v>
      </c>
      <c r="D622" s="231" t="s">
        <v>1729</v>
      </c>
      <c r="E622" s="125" t="s">
        <v>1622</v>
      </c>
      <c r="F622" s="181" t="s">
        <v>103</v>
      </c>
      <c r="G622" s="181" t="s">
        <v>56</v>
      </c>
      <c r="H622" s="181" t="s">
        <v>1704</v>
      </c>
      <c r="I622" s="181"/>
      <c r="J622" s="178">
        <v>100</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hidden="1" customHeight="1" x14ac:dyDescent="0.2">
      <c r="A623" s="91">
        <v>690</v>
      </c>
      <c r="B623" s="231" t="s">
        <v>1840</v>
      </c>
      <c r="C623" s="265" t="s">
        <v>1841</v>
      </c>
      <c r="D623" s="231" t="s">
        <v>1737</v>
      </c>
      <c r="E623" s="125" t="s">
        <v>573</v>
      </c>
      <c r="F623" s="181" t="s">
        <v>103</v>
      </c>
      <c r="G623" s="181" t="s">
        <v>56</v>
      </c>
      <c r="H623" s="181" t="s">
        <v>1842</v>
      </c>
      <c r="I623" s="181"/>
      <c r="J623" s="178">
        <v>500</v>
      </c>
      <c r="K623" s="182"/>
      <c r="L623" s="182" t="s">
        <v>58</v>
      </c>
      <c r="M623" s="178" t="s">
        <v>59</v>
      </c>
      <c r="N623" s="178">
        <v>0</v>
      </c>
      <c r="O623" s="178" t="s">
        <v>60</v>
      </c>
      <c r="P623" s="178" t="s">
        <v>79</v>
      </c>
      <c r="Q623" s="179"/>
      <c r="R623" s="179"/>
      <c r="S623" s="180"/>
      <c r="T623" s="179"/>
      <c r="U623" s="179"/>
      <c r="V623" s="167"/>
      <c r="W623" s="168"/>
      <c r="X623" s="106"/>
      <c r="Y623" s="167"/>
      <c r="Z623" s="169" t="s">
        <v>63</v>
      </c>
      <c r="AA623" s="166"/>
      <c r="AB623" s="166"/>
      <c r="AC623" s="165"/>
      <c r="AD623" s="165"/>
      <c r="AE623" s="165"/>
      <c r="AF623" s="165"/>
      <c r="AG623" s="165"/>
      <c r="AH623" s="165"/>
      <c r="AI623" s="165"/>
      <c r="AJ623" s="165"/>
      <c r="AK623" s="166"/>
      <c r="AL623" s="166"/>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hidden="1" customHeight="1" x14ac:dyDescent="0.2">
      <c r="A624" s="91">
        <v>691</v>
      </c>
      <c r="B624" s="231" t="s">
        <v>1542</v>
      </c>
      <c r="C624" s="265" t="s">
        <v>1543</v>
      </c>
      <c r="D624" s="231" t="s">
        <v>1610</v>
      </c>
      <c r="E624" s="125" t="s">
        <v>356</v>
      </c>
      <c r="F624" s="181" t="s">
        <v>71</v>
      </c>
      <c r="G624" s="181" t="s">
        <v>56</v>
      </c>
      <c r="H624" s="181" t="s">
        <v>238</v>
      </c>
      <c r="I624" s="181"/>
      <c r="J624" s="178">
        <v>250</v>
      </c>
      <c r="K624" s="182"/>
      <c r="L624" s="182" t="s">
        <v>58</v>
      </c>
      <c r="M624" s="178" t="s">
        <v>78</v>
      </c>
      <c r="N624" s="178">
        <v>0</v>
      </c>
      <c r="O624" s="178" t="s">
        <v>60</v>
      </c>
      <c r="P624" s="178" t="s">
        <v>79</v>
      </c>
      <c r="Q624" s="179" t="s">
        <v>1843</v>
      </c>
      <c r="R624" s="179" t="s">
        <v>1844</v>
      </c>
      <c r="S624" s="180">
        <v>3</v>
      </c>
      <c r="T624" s="179"/>
      <c r="U624" s="179" t="s">
        <v>1845</v>
      </c>
      <c r="V624" s="167" t="s">
        <v>615</v>
      </c>
      <c r="W624" s="168" t="s">
        <v>732</v>
      </c>
      <c r="X624" s="106"/>
      <c r="Y624" s="167" t="s">
        <v>1846</v>
      </c>
      <c r="Z624" s="169" t="s">
        <v>63</v>
      </c>
      <c r="AA624" s="166">
        <v>24</v>
      </c>
      <c r="AB624" s="166">
        <v>12</v>
      </c>
      <c r="AC624" s="165">
        <v>19.2</v>
      </c>
      <c r="AD624" s="165" t="s">
        <v>80</v>
      </c>
      <c r="AE624" s="165" t="s">
        <v>116</v>
      </c>
      <c r="AF624" s="165">
        <v>1.4</v>
      </c>
      <c r="AG624" s="165" t="s">
        <v>80</v>
      </c>
      <c r="AH624" s="165" t="s">
        <v>117</v>
      </c>
      <c r="AI624" s="165">
        <v>17</v>
      </c>
      <c r="AJ624" s="165">
        <v>23</v>
      </c>
      <c r="AK624" s="166">
        <v>64</v>
      </c>
      <c r="AL624" s="166" t="s">
        <v>81</v>
      </c>
      <c r="AM624" s="166" t="s">
        <v>116</v>
      </c>
      <c r="AN624" s="166">
        <v>9.4</v>
      </c>
      <c r="AO624" s="166" t="s">
        <v>81</v>
      </c>
      <c r="AP624" s="166" t="s">
        <v>117</v>
      </c>
      <c r="AQ624" s="166"/>
      <c r="AR624" s="166"/>
      <c r="AS624" s="165">
        <v>172</v>
      </c>
      <c r="AT624" s="165" t="s">
        <v>119</v>
      </c>
      <c r="AU624" s="165" t="s">
        <v>116</v>
      </c>
      <c r="AV624" s="165">
        <v>8</v>
      </c>
      <c r="AW624" s="165" t="s">
        <v>119</v>
      </c>
      <c r="AX624" s="165" t="s">
        <v>117</v>
      </c>
      <c r="AY624" s="165"/>
      <c r="AZ624" s="165"/>
      <c r="BA624" s="166"/>
      <c r="BB624" s="166"/>
      <c r="BC624" s="166"/>
      <c r="BD624" s="166"/>
      <c r="BE624" s="166"/>
      <c r="BF624" s="166"/>
      <c r="BG624" s="166"/>
      <c r="BH624" s="166"/>
      <c r="BI624" s="165">
        <v>1.76</v>
      </c>
      <c r="BJ624" s="165" t="s">
        <v>120</v>
      </c>
      <c r="BK624" s="165" t="s">
        <v>116</v>
      </c>
      <c r="BL624" s="165">
        <v>0.16</v>
      </c>
      <c r="BM624" s="165" t="s">
        <v>120</v>
      </c>
      <c r="BN624" s="165" t="s">
        <v>117</v>
      </c>
      <c r="BO624" s="165"/>
      <c r="BP624" s="165"/>
      <c r="BQ624" s="166" t="s">
        <v>1847</v>
      </c>
      <c r="BR624" s="165" t="s">
        <v>1848</v>
      </c>
    </row>
    <row r="625" spans="1:70" s="124" customFormat="1" ht="14.25" hidden="1" customHeight="1" x14ac:dyDescent="0.2">
      <c r="A625" s="91">
        <v>692</v>
      </c>
      <c r="B625" s="231" t="s">
        <v>1542</v>
      </c>
      <c r="C625" s="265" t="s">
        <v>1543</v>
      </c>
      <c r="D625" s="231" t="s">
        <v>1606</v>
      </c>
      <c r="E625" s="125" t="s">
        <v>356</v>
      </c>
      <c r="F625" s="181" t="s">
        <v>71</v>
      </c>
      <c r="G625" s="181" t="s">
        <v>56</v>
      </c>
      <c r="H625" s="181" t="s">
        <v>324</v>
      </c>
      <c r="I625" s="181"/>
      <c r="J625" s="178">
        <v>125</v>
      </c>
      <c r="K625" s="182"/>
      <c r="L625" s="182" t="s">
        <v>58</v>
      </c>
      <c r="M625" s="178" t="s">
        <v>78</v>
      </c>
      <c r="N625" s="178">
        <v>0</v>
      </c>
      <c r="O625" s="178" t="s">
        <v>60</v>
      </c>
      <c r="P625" s="178" t="s">
        <v>79</v>
      </c>
      <c r="Q625" s="179" t="s">
        <v>1843</v>
      </c>
      <c r="R625" s="179" t="s">
        <v>1844</v>
      </c>
      <c r="S625" s="180">
        <v>15</v>
      </c>
      <c r="T625" s="179"/>
      <c r="U625" s="179" t="s">
        <v>1845</v>
      </c>
      <c r="V625" s="167" t="s">
        <v>615</v>
      </c>
      <c r="W625" s="168" t="s">
        <v>732</v>
      </c>
      <c r="X625" s="106"/>
      <c r="Y625" s="167" t="s">
        <v>1846</v>
      </c>
      <c r="Z625" s="169" t="s">
        <v>63</v>
      </c>
      <c r="AA625" s="166">
        <v>5</v>
      </c>
      <c r="AB625" s="166">
        <v>2</v>
      </c>
      <c r="AC625" s="165"/>
      <c r="AD625" s="165" t="s">
        <v>80</v>
      </c>
      <c r="AE625" s="165"/>
      <c r="AF625" s="165"/>
      <c r="AG625" s="165"/>
      <c r="AH625" s="165"/>
      <c r="AI625" s="165">
        <v>19</v>
      </c>
      <c r="AJ625" s="165">
        <v>20</v>
      </c>
      <c r="AK625" s="166"/>
      <c r="AL625" s="166" t="s">
        <v>81</v>
      </c>
      <c r="AM625" s="166"/>
      <c r="AN625" s="166"/>
      <c r="AO625" s="166"/>
      <c r="AP625" s="166"/>
      <c r="AQ625" s="166">
        <v>61.2</v>
      </c>
      <c r="AR625" s="166">
        <v>77.3</v>
      </c>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t="s">
        <v>1847</v>
      </c>
      <c r="BR625" s="165" t="s">
        <v>1849</v>
      </c>
    </row>
    <row r="626" spans="1:70" s="124" customFormat="1" ht="14.25" hidden="1" customHeight="1" x14ac:dyDescent="0.2">
      <c r="A626" s="91">
        <v>693</v>
      </c>
      <c r="B626" s="231" t="s">
        <v>1542</v>
      </c>
      <c r="C626" s="265" t="s">
        <v>1543</v>
      </c>
      <c r="D626" s="231" t="s">
        <v>1607</v>
      </c>
      <c r="E626" s="125" t="s">
        <v>356</v>
      </c>
      <c r="F626" s="181" t="s">
        <v>71</v>
      </c>
      <c r="G626" s="181" t="s">
        <v>56</v>
      </c>
      <c r="H626" s="181" t="s">
        <v>324</v>
      </c>
      <c r="I626" s="181"/>
      <c r="J626" s="178">
        <v>250</v>
      </c>
      <c r="K626" s="182"/>
      <c r="L626" s="182" t="s">
        <v>58</v>
      </c>
      <c r="M626" s="178" t="s">
        <v>78</v>
      </c>
      <c r="N626" s="178">
        <v>0</v>
      </c>
      <c r="O626" s="178" t="s">
        <v>60</v>
      </c>
      <c r="P626" s="178" t="s">
        <v>79</v>
      </c>
      <c r="Q626" s="179" t="s">
        <v>1843</v>
      </c>
      <c r="R626" s="179" t="s">
        <v>1844</v>
      </c>
      <c r="S626" s="180">
        <v>15</v>
      </c>
      <c r="T626" s="179"/>
      <c r="U626" s="179" t="s">
        <v>1845</v>
      </c>
      <c r="V626" s="167" t="s">
        <v>615</v>
      </c>
      <c r="W626" s="168" t="s">
        <v>732</v>
      </c>
      <c r="X626" s="106"/>
      <c r="Y626" s="167" t="s">
        <v>1846</v>
      </c>
      <c r="Z626" s="169" t="s">
        <v>63</v>
      </c>
      <c r="AA626" s="166">
        <v>5</v>
      </c>
      <c r="AB626" s="166">
        <v>2</v>
      </c>
      <c r="AC626" s="165"/>
      <c r="AD626" s="165" t="s">
        <v>80</v>
      </c>
      <c r="AE626" s="165"/>
      <c r="AF626" s="165"/>
      <c r="AG626" s="165"/>
      <c r="AH626" s="165"/>
      <c r="AI626" s="165">
        <v>19</v>
      </c>
      <c r="AJ626" s="165">
        <v>20</v>
      </c>
      <c r="AK626" s="166"/>
      <c r="AL626" s="166" t="s">
        <v>81</v>
      </c>
      <c r="AM626" s="166"/>
      <c r="AN626" s="166"/>
      <c r="AO626" s="166"/>
      <c r="AP626" s="166"/>
      <c r="AQ626" s="166">
        <v>61.2</v>
      </c>
      <c r="AR626" s="166">
        <v>77.3</v>
      </c>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t="s">
        <v>1847</v>
      </c>
      <c r="BR626" s="165" t="s">
        <v>1849</v>
      </c>
    </row>
    <row r="627" spans="1:70" ht="12.75" hidden="1" customHeight="1" x14ac:dyDescent="0.2">
      <c r="A627" s="91">
        <v>694</v>
      </c>
      <c r="B627" s="231" t="s">
        <v>1542</v>
      </c>
      <c r="C627" s="265" t="s">
        <v>1543</v>
      </c>
      <c r="D627" s="231" t="s">
        <v>1608</v>
      </c>
      <c r="E627" s="3" t="s">
        <v>356</v>
      </c>
      <c r="F627" s="26" t="s">
        <v>71</v>
      </c>
      <c r="G627" s="26" t="s">
        <v>56</v>
      </c>
      <c r="H627" s="26" t="s">
        <v>324</v>
      </c>
      <c r="J627" s="22">
        <v>500</v>
      </c>
      <c r="L627" s="28" t="s">
        <v>58</v>
      </c>
      <c r="M627" s="22" t="s">
        <v>78</v>
      </c>
      <c r="N627" s="22">
        <v>0</v>
      </c>
      <c r="O627" s="22" t="s">
        <v>60</v>
      </c>
      <c r="P627" s="22" t="s">
        <v>79</v>
      </c>
      <c r="Q627" s="23" t="s">
        <v>1843</v>
      </c>
      <c r="R627" s="23" t="s">
        <v>1844</v>
      </c>
      <c r="S627" s="24">
        <v>15</v>
      </c>
      <c r="U627" s="23" t="s">
        <v>1845</v>
      </c>
      <c r="V627" s="25" t="s">
        <v>615</v>
      </c>
      <c r="W627" s="65" t="s">
        <v>732</v>
      </c>
      <c r="Y627" s="25" t="s">
        <v>1846</v>
      </c>
      <c r="Z627" s="83" t="s">
        <v>63</v>
      </c>
      <c r="AA627" s="6">
        <v>4</v>
      </c>
      <c r="AB627" s="6">
        <v>1</v>
      </c>
      <c r="AD627" s="5" t="s">
        <v>80</v>
      </c>
      <c r="AI627" s="5">
        <v>19</v>
      </c>
      <c r="AJ627" s="5">
        <v>20</v>
      </c>
      <c r="AL627" s="6" t="s">
        <v>81</v>
      </c>
      <c r="AQ627" s="6">
        <v>61.2</v>
      </c>
      <c r="AR627" s="6">
        <v>77.3</v>
      </c>
      <c r="BQ627" s="6" t="s">
        <v>1847</v>
      </c>
      <c r="BR627" s="5" t="s">
        <v>1849</v>
      </c>
    </row>
    <row r="628" spans="1:70" ht="12.75" hidden="1" customHeight="1" x14ac:dyDescent="0.2">
      <c r="A628" s="91">
        <v>695</v>
      </c>
      <c r="B628" s="231" t="s">
        <v>1542</v>
      </c>
      <c r="C628" s="265" t="s">
        <v>1543</v>
      </c>
      <c r="D628" s="231" t="s">
        <v>1609</v>
      </c>
      <c r="E628" s="3" t="s">
        <v>356</v>
      </c>
      <c r="F628" s="26" t="s">
        <v>71</v>
      </c>
      <c r="G628" s="26" t="s">
        <v>56</v>
      </c>
      <c r="H628" s="26" t="s">
        <v>324</v>
      </c>
      <c r="J628" s="22">
        <v>900</v>
      </c>
      <c r="L628" s="28" t="s">
        <v>58</v>
      </c>
      <c r="M628" s="22" t="s">
        <v>78</v>
      </c>
      <c r="N628" s="22">
        <v>0</v>
      </c>
      <c r="O628" s="22" t="s">
        <v>60</v>
      </c>
      <c r="P628" s="22" t="s">
        <v>79</v>
      </c>
      <c r="Q628" s="23" t="s">
        <v>1843</v>
      </c>
      <c r="R628" s="23" t="s">
        <v>1844</v>
      </c>
      <c r="S628" s="24">
        <v>15</v>
      </c>
      <c r="U628" s="23" t="s">
        <v>1845</v>
      </c>
      <c r="V628" s="25" t="s">
        <v>615</v>
      </c>
      <c r="W628" s="65" t="s">
        <v>732</v>
      </c>
      <c r="Y628" s="25" t="s">
        <v>1846</v>
      </c>
      <c r="Z628" s="83" t="s">
        <v>63</v>
      </c>
      <c r="AA628" s="6">
        <v>3</v>
      </c>
      <c r="AB628" s="6">
        <v>1</v>
      </c>
      <c r="AD628" s="5" t="s">
        <v>80</v>
      </c>
      <c r="AI628" s="5">
        <v>19</v>
      </c>
      <c r="AJ628" s="5">
        <v>19</v>
      </c>
      <c r="AL628" s="6" t="s">
        <v>81</v>
      </c>
      <c r="AQ628" s="6">
        <v>62.2</v>
      </c>
      <c r="AR628" s="6">
        <v>77.3</v>
      </c>
      <c r="BQ628" s="6" t="s">
        <v>1847</v>
      </c>
      <c r="BR628" s="5" t="s">
        <v>1849</v>
      </c>
    </row>
    <row r="629" spans="1:70" ht="12.75" hidden="1" customHeight="1" x14ac:dyDescent="0.2">
      <c r="A629" s="91">
        <v>696</v>
      </c>
      <c r="B629" s="231" t="s">
        <v>1544</v>
      </c>
      <c r="C629" s="265" t="s">
        <v>1545</v>
      </c>
      <c r="D629" s="231" t="s">
        <v>1546</v>
      </c>
      <c r="E629" s="3" t="s">
        <v>356</v>
      </c>
      <c r="F629" s="26" t="s">
        <v>71</v>
      </c>
      <c r="G629" s="26" t="s">
        <v>56</v>
      </c>
      <c r="H629" s="26" t="s">
        <v>1967</v>
      </c>
      <c r="J629" s="22">
        <v>500</v>
      </c>
      <c r="L629" s="28" t="s">
        <v>58</v>
      </c>
      <c r="M629" s="22" t="s">
        <v>78</v>
      </c>
      <c r="N629" s="22">
        <v>0</v>
      </c>
      <c r="O629" s="22" t="s">
        <v>60</v>
      </c>
      <c r="P629" s="22" t="s">
        <v>79</v>
      </c>
      <c r="Q629" s="23" t="s">
        <v>1850</v>
      </c>
      <c r="R629" s="23" t="s">
        <v>1851</v>
      </c>
      <c r="S629" s="24">
        <v>30</v>
      </c>
      <c r="Z629" s="83" t="s">
        <v>63</v>
      </c>
      <c r="AA629" s="6">
        <v>6</v>
      </c>
      <c r="AB629" s="6">
        <v>1</v>
      </c>
      <c r="AC629" s="5">
        <v>24.5</v>
      </c>
      <c r="AD629" s="5" t="s">
        <v>80</v>
      </c>
      <c r="AE629" s="5" t="s">
        <v>116</v>
      </c>
      <c r="AF629" s="5">
        <v>1.6</v>
      </c>
      <c r="AG629" s="5" t="s">
        <v>80</v>
      </c>
      <c r="AH629" s="5" t="s">
        <v>1852</v>
      </c>
      <c r="AK629" s="6">
        <v>64</v>
      </c>
      <c r="AL629" s="6" t="s">
        <v>81</v>
      </c>
      <c r="AM629" s="6" t="s">
        <v>116</v>
      </c>
      <c r="AN629" s="6">
        <v>7.2</v>
      </c>
      <c r="AO629" s="6" t="s">
        <v>81</v>
      </c>
      <c r="AP629" s="6" t="s">
        <v>1852</v>
      </c>
      <c r="BQ629" s="6" t="s">
        <v>184</v>
      </c>
      <c r="BR629" s="5" t="s">
        <v>1853</v>
      </c>
    </row>
    <row r="630" spans="1:70" ht="12.75" hidden="1" customHeight="1" x14ac:dyDescent="0.2">
      <c r="A630" s="91">
        <v>697</v>
      </c>
      <c r="B630" s="231" t="s">
        <v>1583</v>
      </c>
      <c r="C630" s="265" t="s">
        <v>1584</v>
      </c>
      <c r="D630" s="231" t="s">
        <v>1585</v>
      </c>
      <c r="E630" s="3" t="s">
        <v>356</v>
      </c>
      <c r="F630" s="26" t="s">
        <v>71</v>
      </c>
      <c r="G630" s="26" t="s">
        <v>56</v>
      </c>
      <c r="H630" s="26" t="s">
        <v>1967</v>
      </c>
      <c r="J630" s="22">
        <v>300</v>
      </c>
      <c r="L630" s="28" t="s">
        <v>58</v>
      </c>
      <c r="M630" s="22" t="s">
        <v>78</v>
      </c>
      <c r="N630" s="22">
        <v>0</v>
      </c>
      <c r="O630" s="22" t="s">
        <v>60</v>
      </c>
      <c r="P630" s="22" t="s">
        <v>79</v>
      </c>
      <c r="Q630" s="23" t="s">
        <v>1843</v>
      </c>
      <c r="R630" s="23" t="s">
        <v>1910</v>
      </c>
      <c r="S630" s="24">
        <v>15</v>
      </c>
      <c r="U630" s="23" t="s">
        <v>1911</v>
      </c>
      <c r="Z630" s="83" t="s">
        <v>63</v>
      </c>
      <c r="AA630" s="6">
        <v>8</v>
      </c>
      <c r="AB630" s="6">
        <v>2</v>
      </c>
      <c r="AD630" s="5" t="s">
        <v>80</v>
      </c>
      <c r="AI630" s="5">
        <v>22</v>
      </c>
      <c r="AJ630" s="5">
        <v>33</v>
      </c>
      <c r="BQ630" s="6" t="s">
        <v>1875</v>
      </c>
      <c r="BR630" s="5" t="s">
        <v>1912</v>
      </c>
    </row>
    <row r="631" spans="1:70" ht="12.75" hidden="1" customHeight="1" x14ac:dyDescent="0.2">
      <c r="A631" s="91">
        <v>698</v>
      </c>
      <c r="B631" s="231" t="s">
        <v>1598</v>
      </c>
      <c r="C631" s="265" t="s">
        <v>1599</v>
      </c>
      <c r="D631" s="231" t="s">
        <v>1600</v>
      </c>
      <c r="E631" s="3" t="s">
        <v>356</v>
      </c>
      <c r="F631" s="26" t="s">
        <v>71</v>
      </c>
      <c r="G631" s="26" t="s">
        <v>56</v>
      </c>
      <c r="H631" s="26" t="s">
        <v>407</v>
      </c>
      <c r="J631" s="22">
        <v>125</v>
      </c>
      <c r="L631" s="28" t="s">
        <v>58</v>
      </c>
      <c r="M631" s="22" t="s">
        <v>78</v>
      </c>
      <c r="N631" s="22">
        <v>0</v>
      </c>
      <c r="O631" s="22" t="s">
        <v>60</v>
      </c>
      <c r="P631" s="22" t="s">
        <v>79</v>
      </c>
      <c r="Q631" s="23" t="s">
        <v>1167</v>
      </c>
      <c r="R631" s="23" t="s">
        <v>1929</v>
      </c>
      <c r="S631" s="24">
        <v>30</v>
      </c>
      <c r="V631" s="25" t="s">
        <v>615</v>
      </c>
      <c r="W631" s="65" t="s">
        <v>1930</v>
      </c>
      <c r="X631" s="106" t="s">
        <v>416</v>
      </c>
      <c r="Z631" s="83" t="s">
        <v>63</v>
      </c>
      <c r="AA631" s="6">
        <v>12</v>
      </c>
      <c r="AB631" s="6">
        <v>6</v>
      </c>
      <c r="AC631" s="5">
        <v>44.8</v>
      </c>
      <c r="AD631" s="5" t="s">
        <v>80</v>
      </c>
      <c r="AE631" s="5" t="s">
        <v>335</v>
      </c>
      <c r="AF631" s="5">
        <v>8.5</v>
      </c>
      <c r="AG631" s="5" t="s">
        <v>80</v>
      </c>
      <c r="AH631" s="5" t="s">
        <v>117</v>
      </c>
      <c r="AK631" s="6">
        <v>75</v>
      </c>
      <c r="AL631" s="6" t="s">
        <v>81</v>
      </c>
      <c r="AM631" s="6" t="s">
        <v>335</v>
      </c>
      <c r="AN631" s="6">
        <v>19.399999999999999</v>
      </c>
      <c r="AO631" s="6" t="s">
        <v>81</v>
      </c>
      <c r="AP631" s="6" t="s">
        <v>117</v>
      </c>
      <c r="BQ631" s="6" t="s">
        <v>1931</v>
      </c>
    </row>
    <row r="632" spans="1:70" ht="12.75" hidden="1" customHeight="1" x14ac:dyDescent="0.2">
      <c r="A632" s="91">
        <v>699</v>
      </c>
      <c r="B632" s="231" t="s">
        <v>1971</v>
      </c>
      <c r="C632" s="261" t="s">
        <v>1972</v>
      </c>
      <c r="D632" s="231" t="s">
        <v>1973</v>
      </c>
      <c r="E632" s="3" t="s">
        <v>1974</v>
      </c>
      <c r="F632" s="26" t="s">
        <v>103</v>
      </c>
      <c r="G632" s="26" t="s">
        <v>56</v>
      </c>
      <c r="H632" s="26" t="s">
        <v>57</v>
      </c>
      <c r="J632" s="22">
        <v>0.5</v>
      </c>
      <c r="L632" s="28" t="s">
        <v>58</v>
      </c>
      <c r="M632" s="22" t="s">
        <v>59</v>
      </c>
      <c r="N632" s="22">
        <v>0</v>
      </c>
      <c r="O632" s="22" t="s">
        <v>60</v>
      </c>
      <c r="P632" s="22" t="s">
        <v>79</v>
      </c>
      <c r="T632" s="23" t="s">
        <v>1975</v>
      </c>
      <c r="V632" s="25" t="s">
        <v>62</v>
      </c>
      <c r="W632" s="65" t="s">
        <v>1976</v>
      </c>
      <c r="X632" s="106">
        <v>3</v>
      </c>
      <c r="Z632" s="83" t="s">
        <v>63</v>
      </c>
      <c r="AA632" s="6">
        <v>54</v>
      </c>
      <c r="AB632" s="6">
        <v>0</v>
      </c>
      <c r="AC632" s="5">
        <v>28.6</v>
      </c>
      <c r="AD632" s="5" t="s">
        <v>80</v>
      </c>
      <c r="AE632" s="5" t="s">
        <v>116</v>
      </c>
      <c r="AI632" s="5">
        <v>20</v>
      </c>
      <c r="AJ632" s="5">
        <v>44</v>
      </c>
      <c r="AK632" s="6">
        <v>76.7</v>
      </c>
      <c r="AL632" s="6" t="s">
        <v>81</v>
      </c>
      <c r="AM632" s="6" t="s">
        <v>118</v>
      </c>
      <c r="AQ632" s="6">
        <v>58</v>
      </c>
      <c r="AR632" s="6">
        <v>101</v>
      </c>
      <c r="AS632" s="5">
        <v>176</v>
      </c>
      <c r="AT632" s="5" t="s">
        <v>119</v>
      </c>
      <c r="AU632" s="5" t="s">
        <v>118</v>
      </c>
      <c r="AY632" s="5">
        <v>165</v>
      </c>
      <c r="AZ632" s="5">
        <v>193</v>
      </c>
      <c r="BQ632" s="6" t="s">
        <v>121</v>
      </c>
    </row>
    <row r="633" spans="1:70" ht="12.75" hidden="1" customHeight="1" x14ac:dyDescent="0.2">
      <c r="A633" s="91">
        <v>700</v>
      </c>
      <c r="B633" s="231" t="s">
        <v>1977</v>
      </c>
      <c r="C633" s="261" t="s">
        <v>1978</v>
      </c>
      <c r="D633" s="231" t="s">
        <v>1979</v>
      </c>
      <c r="E633" s="3" t="s">
        <v>1974</v>
      </c>
      <c r="F633" s="26" t="s">
        <v>103</v>
      </c>
      <c r="G633" s="26" t="s">
        <v>56</v>
      </c>
      <c r="H633" s="26" t="s">
        <v>57</v>
      </c>
      <c r="J633" s="22">
        <v>0.5</v>
      </c>
      <c r="L633" s="28" t="s">
        <v>58</v>
      </c>
      <c r="M633" s="22" t="s">
        <v>59</v>
      </c>
      <c r="N633" s="22">
        <v>0</v>
      </c>
      <c r="O633" s="22" t="s">
        <v>60</v>
      </c>
      <c r="P633" s="22" t="s">
        <v>79</v>
      </c>
      <c r="R633" s="23" t="s">
        <v>1980</v>
      </c>
      <c r="T633" s="23" t="s">
        <v>1975</v>
      </c>
      <c r="V633" s="25" t="s">
        <v>62</v>
      </c>
      <c r="W633" s="65" t="s">
        <v>1976</v>
      </c>
      <c r="X633" s="106">
        <v>3</v>
      </c>
      <c r="Z633" s="83" t="s">
        <v>63</v>
      </c>
      <c r="AA633" s="6">
        <v>19</v>
      </c>
      <c r="AD633" s="5" t="s">
        <v>80</v>
      </c>
      <c r="AI633" s="5">
        <v>20</v>
      </c>
      <c r="AJ633" s="5">
        <v>45</v>
      </c>
      <c r="BQ633" s="6" t="s">
        <v>121</v>
      </c>
    </row>
    <row r="634" spans="1:70" ht="12.75" hidden="1" customHeight="1" x14ac:dyDescent="0.2">
      <c r="A634" s="91">
        <v>701</v>
      </c>
      <c r="B634" s="231" t="s">
        <v>1981</v>
      </c>
      <c r="C634" s="261" t="s">
        <v>1982</v>
      </c>
      <c r="D634" s="231" t="s">
        <v>1983</v>
      </c>
      <c r="E634" s="3" t="s">
        <v>1974</v>
      </c>
      <c r="F634" s="26" t="s">
        <v>103</v>
      </c>
      <c r="G634" s="26" t="s">
        <v>56</v>
      </c>
      <c r="H634" s="26" t="s">
        <v>57</v>
      </c>
      <c r="J634" s="22">
        <v>0.125</v>
      </c>
      <c r="L634" s="28" t="s">
        <v>58</v>
      </c>
      <c r="M634" s="22" t="s">
        <v>59</v>
      </c>
      <c r="N634" s="22">
        <v>0</v>
      </c>
      <c r="O634" s="22" t="s">
        <v>60</v>
      </c>
      <c r="P634" s="22" t="s">
        <v>79</v>
      </c>
      <c r="T634" s="23" t="s">
        <v>1975</v>
      </c>
      <c r="Y634" s="25" t="s">
        <v>1984</v>
      </c>
      <c r="Z634" s="83" t="s">
        <v>63</v>
      </c>
      <c r="AA634" s="6">
        <v>26</v>
      </c>
      <c r="AB634" s="6">
        <v>11</v>
      </c>
      <c r="AC634" s="5">
        <v>30</v>
      </c>
      <c r="AD634" s="5" t="s">
        <v>80</v>
      </c>
      <c r="AE634" s="5" t="s">
        <v>116</v>
      </c>
      <c r="AF634" s="5">
        <v>1.2</v>
      </c>
      <c r="AG634" s="5" t="s">
        <v>80</v>
      </c>
      <c r="AH634" s="5" t="s">
        <v>949</v>
      </c>
      <c r="AI634" s="5">
        <v>21</v>
      </c>
      <c r="AJ634" s="5">
        <v>41</v>
      </c>
      <c r="AK634" s="6">
        <v>72</v>
      </c>
      <c r="AL634" s="6" t="s">
        <v>81</v>
      </c>
      <c r="AM634" s="6" t="s">
        <v>118</v>
      </c>
      <c r="AN634" s="6">
        <v>2.5</v>
      </c>
      <c r="AO634" s="6" t="s">
        <v>81</v>
      </c>
      <c r="AP634" s="6" t="s">
        <v>949</v>
      </c>
      <c r="AS634" s="5">
        <v>173</v>
      </c>
      <c r="AT634" s="5" t="s">
        <v>119</v>
      </c>
      <c r="AU634" s="5" t="s">
        <v>118</v>
      </c>
      <c r="AV634" s="5">
        <v>2.2000000000000002</v>
      </c>
      <c r="AW634" s="5" t="s">
        <v>119</v>
      </c>
      <c r="AX634" s="5" t="s">
        <v>949</v>
      </c>
      <c r="BQ634" s="6" t="s">
        <v>121</v>
      </c>
    </row>
    <row r="635" spans="1:70" ht="12.75" hidden="1" customHeight="1" x14ac:dyDescent="0.2">
      <c r="A635" s="91">
        <v>702</v>
      </c>
      <c r="B635" s="231" t="s">
        <v>1981</v>
      </c>
      <c r="C635" s="261" t="s">
        <v>1982</v>
      </c>
      <c r="D635" s="231" t="s">
        <v>1985</v>
      </c>
      <c r="E635" s="3" t="s">
        <v>1974</v>
      </c>
      <c r="F635" s="26" t="s">
        <v>103</v>
      </c>
      <c r="G635" s="26" t="s">
        <v>56</v>
      </c>
      <c r="H635" s="26" t="s">
        <v>57</v>
      </c>
      <c r="J635" s="22">
        <v>0.25</v>
      </c>
      <c r="L635" s="28" t="s">
        <v>58</v>
      </c>
      <c r="M635" s="22" t="s">
        <v>59</v>
      </c>
      <c r="N635" s="22">
        <v>0</v>
      </c>
      <c r="O635" s="22" t="s">
        <v>60</v>
      </c>
      <c r="P635" s="22" t="s">
        <v>79</v>
      </c>
      <c r="T635" s="23" t="s">
        <v>1975</v>
      </c>
      <c r="Y635" s="25" t="s">
        <v>1984</v>
      </c>
      <c r="Z635" s="83" t="s">
        <v>63</v>
      </c>
      <c r="AA635" s="6">
        <v>26</v>
      </c>
      <c r="AB635" s="6">
        <v>11</v>
      </c>
      <c r="AC635" s="5">
        <v>30</v>
      </c>
      <c r="AD635" s="5" t="s">
        <v>80</v>
      </c>
      <c r="AE635" s="5" t="s">
        <v>116</v>
      </c>
      <c r="AF635" s="5">
        <v>1.2</v>
      </c>
      <c r="AG635" s="5" t="s">
        <v>80</v>
      </c>
      <c r="AH635" s="5" t="s">
        <v>949</v>
      </c>
      <c r="AI635" s="5">
        <v>21</v>
      </c>
      <c r="AJ635" s="5">
        <v>41</v>
      </c>
      <c r="AK635" s="6">
        <v>72</v>
      </c>
      <c r="AL635" s="6" t="s">
        <v>81</v>
      </c>
      <c r="AM635" s="6" t="s">
        <v>118</v>
      </c>
      <c r="AN635" s="6">
        <v>2.5</v>
      </c>
      <c r="AO635" s="6" t="s">
        <v>81</v>
      </c>
      <c r="AP635" s="6" t="s">
        <v>949</v>
      </c>
      <c r="BQ635" s="6" t="s">
        <v>121</v>
      </c>
    </row>
    <row r="636" spans="1:70" ht="12.75" hidden="1" customHeight="1" x14ac:dyDescent="0.2">
      <c r="A636" s="91">
        <v>703</v>
      </c>
      <c r="B636" s="231" t="s">
        <v>1986</v>
      </c>
      <c r="C636" s="261" t="s">
        <v>1987</v>
      </c>
      <c r="D636" s="231" t="s">
        <v>1988</v>
      </c>
      <c r="E636" s="3" t="s">
        <v>1974</v>
      </c>
      <c r="F636" s="26" t="s">
        <v>103</v>
      </c>
      <c r="G636" s="26" t="s">
        <v>56</v>
      </c>
      <c r="H636" s="26" t="s">
        <v>57</v>
      </c>
      <c r="J636" s="22">
        <v>0.25</v>
      </c>
      <c r="L636" s="28" t="s">
        <v>58</v>
      </c>
      <c r="M636" s="22" t="s">
        <v>59</v>
      </c>
      <c r="N636" s="22">
        <v>0</v>
      </c>
      <c r="O636" s="22" t="s">
        <v>60</v>
      </c>
      <c r="P636" s="22" t="s">
        <v>79</v>
      </c>
      <c r="T636" s="23" t="s">
        <v>1975</v>
      </c>
      <c r="U636" s="23" t="s">
        <v>1989</v>
      </c>
      <c r="X636" s="106">
        <v>3</v>
      </c>
      <c r="Y636" s="25" t="s">
        <v>1984</v>
      </c>
      <c r="Z636" s="83" t="s">
        <v>63</v>
      </c>
      <c r="AA636" s="6">
        <v>11</v>
      </c>
      <c r="AB636" s="6">
        <v>4</v>
      </c>
      <c r="AC636" s="5">
        <v>27</v>
      </c>
      <c r="AD636" s="5" t="s">
        <v>80</v>
      </c>
      <c r="AE636" s="5" t="s">
        <v>116</v>
      </c>
      <c r="AF636" s="5">
        <v>1</v>
      </c>
      <c r="AG636" s="5" t="s">
        <v>80</v>
      </c>
      <c r="AH636" s="5" t="s">
        <v>949</v>
      </c>
      <c r="AK636" s="6">
        <v>65</v>
      </c>
      <c r="AL636" s="6" t="s">
        <v>81</v>
      </c>
      <c r="AM636" s="6" t="s">
        <v>118</v>
      </c>
      <c r="AN636" s="6">
        <v>3</v>
      </c>
      <c r="AO636" s="6" t="s">
        <v>81</v>
      </c>
      <c r="AP636" s="6" t="s">
        <v>949</v>
      </c>
      <c r="BQ636" s="6" t="s">
        <v>121</v>
      </c>
    </row>
    <row r="637" spans="1:70" ht="12.75" hidden="1" customHeight="1" x14ac:dyDescent="0.2">
      <c r="A637" s="91">
        <v>704</v>
      </c>
      <c r="B637" s="231" t="s">
        <v>2188</v>
      </c>
      <c r="C637" s="265" t="s">
        <v>1990</v>
      </c>
      <c r="D637" s="231" t="s">
        <v>1991</v>
      </c>
      <c r="E637" s="3" t="s">
        <v>1974</v>
      </c>
      <c r="F637" s="26" t="s">
        <v>103</v>
      </c>
      <c r="G637" s="26" t="s">
        <v>56</v>
      </c>
      <c r="H637" s="26" t="s">
        <v>66</v>
      </c>
      <c r="J637" s="22">
        <v>0.125</v>
      </c>
      <c r="L637" s="28" t="s">
        <v>58</v>
      </c>
      <c r="M637" s="22" t="s">
        <v>59</v>
      </c>
      <c r="N637" s="22">
        <v>0</v>
      </c>
      <c r="O637" s="22" t="s">
        <v>60</v>
      </c>
      <c r="P637" s="22" t="s">
        <v>79</v>
      </c>
      <c r="R637" s="23" t="s">
        <v>2437</v>
      </c>
      <c r="U637" s="23" t="s">
        <v>1992</v>
      </c>
      <c r="V637" s="25" t="s">
        <v>436</v>
      </c>
      <c r="X637" s="106" t="s">
        <v>203</v>
      </c>
      <c r="Y637" s="25" t="s">
        <v>517</v>
      </c>
      <c r="Z637" s="83" t="s">
        <v>63</v>
      </c>
      <c r="AA637" s="6">
        <v>12</v>
      </c>
      <c r="AB637" s="6">
        <v>6</v>
      </c>
      <c r="AD637" s="5" t="s">
        <v>80</v>
      </c>
      <c r="AI637" s="5">
        <v>21</v>
      </c>
      <c r="AJ637" s="5">
        <v>39</v>
      </c>
      <c r="BQ637" s="6" t="s">
        <v>214</v>
      </c>
      <c r="BR637" s="5" t="s">
        <v>2439</v>
      </c>
    </row>
    <row r="638" spans="1:70" ht="12.75" hidden="1" customHeight="1" x14ac:dyDescent="0.2">
      <c r="A638" s="91">
        <v>705</v>
      </c>
      <c r="B638" s="231" t="s">
        <v>1993</v>
      </c>
      <c r="C638" s="261" t="s">
        <v>1994</v>
      </c>
      <c r="D638" s="231" t="s">
        <v>1995</v>
      </c>
      <c r="E638" s="3" t="s">
        <v>1974</v>
      </c>
      <c r="F638" s="26" t="s">
        <v>103</v>
      </c>
      <c r="G638" s="26" t="s">
        <v>56</v>
      </c>
      <c r="H638" s="26" t="s">
        <v>57</v>
      </c>
      <c r="J638" s="22">
        <v>0.25</v>
      </c>
      <c r="L638" s="28" t="s">
        <v>58</v>
      </c>
      <c r="M638" s="22" t="s">
        <v>59</v>
      </c>
      <c r="N638" s="22">
        <v>0</v>
      </c>
      <c r="O638" s="22" t="s">
        <v>60</v>
      </c>
      <c r="P638" s="22" t="s">
        <v>79</v>
      </c>
      <c r="T638" s="23">
        <v>240</v>
      </c>
      <c r="U638" s="23" t="s">
        <v>1996</v>
      </c>
      <c r="Z638" s="83" t="s">
        <v>63</v>
      </c>
      <c r="AA638" s="6">
        <v>10</v>
      </c>
      <c r="AB638" s="6">
        <v>0</v>
      </c>
      <c r="AC638" s="5">
        <v>26</v>
      </c>
      <c r="AD638" s="5" t="s">
        <v>80</v>
      </c>
      <c r="AE638" s="5" t="s">
        <v>116</v>
      </c>
      <c r="AF638" s="5">
        <v>4.0999999999999996</v>
      </c>
      <c r="AG638" s="5" t="s">
        <v>80</v>
      </c>
      <c r="AH638" s="5" t="s">
        <v>117</v>
      </c>
      <c r="AI638" s="5">
        <v>20</v>
      </c>
      <c r="AJ638" s="5">
        <v>33</v>
      </c>
      <c r="AK638" s="6">
        <v>75.3</v>
      </c>
      <c r="AL638" s="6" t="s">
        <v>81</v>
      </c>
      <c r="AM638" s="6" t="s">
        <v>116</v>
      </c>
      <c r="AN638" s="6">
        <v>10.5</v>
      </c>
      <c r="AO638" s="6" t="s">
        <v>81</v>
      </c>
      <c r="AP638" s="6" t="s">
        <v>117</v>
      </c>
      <c r="AQ638" s="6">
        <v>63</v>
      </c>
      <c r="AR638" s="6">
        <v>94</v>
      </c>
      <c r="AS638" s="5">
        <v>180</v>
      </c>
      <c r="AT638" s="5" t="s">
        <v>119</v>
      </c>
      <c r="AU638" s="5" t="s">
        <v>116</v>
      </c>
      <c r="AV638" s="5">
        <v>6</v>
      </c>
      <c r="AW638" s="5" t="s">
        <v>119</v>
      </c>
      <c r="AX638" s="5" t="s">
        <v>117</v>
      </c>
      <c r="AY638" s="5">
        <v>169</v>
      </c>
      <c r="AZ638" s="5">
        <v>189</v>
      </c>
      <c r="BQ638" s="6" t="s">
        <v>121</v>
      </c>
    </row>
    <row r="639" spans="1:70" ht="12.75" hidden="1" customHeight="1" x14ac:dyDescent="0.2">
      <c r="A639" s="91">
        <v>706</v>
      </c>
      <c r="B639" s="231" t="s">
        <v>1993</v>
      </c>
      <c r="C639" s="261" t="s">
        <v>1994</v>
      </c>
      <c r="D639" s="231" t="s">
        <v>1998</v>
      </c>
      <c r="E639" s="3" t="s">
        <v>1974</v>
      </c>
      <c r="F639" s="26" t="s">
        <v>103</v>
      </c>
      <c r="G639" s="26" t="s">
        <v>56</v>
      </c>
      <c r="H639" s="26" t="s">
        <v>57</v>
      </c>
      <c r="J639" s="22">
        <v>0.25</v>
      </c>
      <c r="L639" s="28" t="s">
        <v>58</v>
      </c>
      <c r="M639" s="22" t="s">
        <v>59</v>
      </c>
      <c r="N639" s="22">
        <v>0</v>
      </c>
      <c r="O639" s="22" t="s">
        <v>60</v>
      </c>
      <c r="P639" s="22" t="s">
        <v>79</v>
      </c>
      <c r="T639" s="23">
        <v>240</v>
      </c>
      <c r="U639" s="23" t="s">
        <v>1996</v>
      </c>
      <c r="X639" s="106">
        <v>3</v>
      </c>
      <c r="Y639" s="25" t="s">
        <v>1997</v>
      </c>
      <c r="Z639" s="83" t="s">
        <v>63</v>
      </c>
      <c r="AA639" s="6">
        <v>8</v>
      </c>
      <c r="AB639" s="6">
        <v>8</v>
      </c>
      <c r="AC639" s="5">
        <v>28</v>
      </c>
      <c r="AD639" s="5" t="s">
        <v>80</v>
      </c>
      <c r="AE639" s="5" t="s">
        <v>116</v>
      </c>
      <c r="AF639" s="5">
        <v>5.6</v>
      </c>
      <c r="AG639" s="5" t="s">
        <v>80</v>
      </c>
      <c r="AH639" s="5" t="s">
        <v>117</v>
      </c>
      <c r="AI639" s="5">
        <v>22</v>
      </c>
      <c r="AJ639" s="5">
        <v>48</v>
      </c>
      <c r="AK639" s="6">
        <v>66.8</v>
      </c>
      <c r="AL639" s="6" t="s">
        <v>81</v>
      </c>
      <c r="AM639" s="6" t="s">
        <v>116</v>
      </c>
      <c r="AN639" s="6">
        <v>8.6999999999999993</v>
      </c>
      <c r="AO639" s="6" t="s">
        <v>81</v>
      </c>
      <c r="AP639" s="6" t="s">
        <v>117</v>
      </c>
      <c r="AQ639" s="6">
        <v>58</v>
      </c>
      <c r="AR639" s="6">
        <v>84</v>
      </c>
      <c r="AS639" s="5">
        <v>168</v>
      </c>
      <c r="AT639" s="5" t="s">
        <v>119</v>
      </c>
      <c r="AU639" s="5" t="s">
        <v>116</v>
      </c>
      <c r="AV639" s="5">
        <v>9</v>
      </c>
      <c r="AW639" s="5" t="s">
        <v>119</v>
      </c>
      <c r="AX639" s="5" t="s">
        <v>117</v>
      </c>
      <c r="AY639" s="5">
        <v>152</v>
      </c>
      <c r="AZ639" s="5">
        <v>178</v>
      </c>
      <c r="BQ639" s="6" t="s">
        <v>121</v>
      </c>
    </row>
    <row r="640" spans="1:70" ht="12.75" hidden="1" customHeight="1" x14ac:dyDescent="0.2">
      <c r="A640" s="91">
        <v>707</v>
      </c>
      <c r="B640" s="231" t="s">
        <v>1999</v>
      </c>
      <c r="C640" s="261" t="s">
        <v>2000</v>
      </c>
      <c r="D640" s="231" t="s">
        <v>2001</v>
      </c>
      <c r="E640" s="3" t="s">
        <v>1974</v>
      </c>
      <c r="F640" s="26" t="s">
        <v>103</v>
      </c>
      <c r="G640" s="26" t="s">
        <v>56</v>
      </c>
      <c r="H640" s="26" t="s">
        <v>57</v>
      </c>
      <c r="J640" s="22">
        <v>0.25</v>
      </c>
      <c r="L640" s="28" t="s">
        <v>58</v>
      </c>
      <c r="M640" s="22" t="s">
        <v>59</v>
      </c>
      <c r="N640" s="22">
        <v>0</v>
      </c>
      <c r="O640" s="22" t="s">
        <v>60</v>
      </c>
      <c r="P640" s="22" t="s">
        <v>79</v>
      </c>
      <c r="T640" s="23">
        <v>240</v>
      </c>
      <c r="U640" s="23" t="s">
        <v>1996</v>
      </c>
      <c r="X640" s="106">
        <v>3</v>
      </c>
      <c r="Y640" s="25" t="s">
        <v>1997</v>
      </c>
      <c r="Z640" s="83" t="s">
        <v>63</v>
      </c>
      <c r="AA640" s="6">
        <v>10</v>
      </c>
      <c r="AB640" s="6">
        <v>0</v>
      </c>
      <c r="AC640" s="5">
        <v>29</v>
      </c>
      <c r="AD640" s="5" t="s">
        <v>80</v>
      </c>
      <c r="AE640" s="5" t="s">
        <v>116</v>
      </c>
      <c r="AF640" s="5">
        <v>1.6</v>
      </c>
      <c r="AG640" s="5" t="s">
        <v>80</v>
      </c>
      <c r="AH640" s="5" t="s">
        <v>949</v>
      </c>
      <c r="AI640" s="5">
        <v>20</v>
      </c>
      <c r="AJ640" s="5">
        <v>36</v>
      </c>
      <c r="AK640" s="6">
        <v>76.7</v>
      </c>
      <c r="AL640" s="6" t="s">
        <v>81</v>
      </c>
      <c r="AM640" s="6" t="s">
        <v>116</v>
      </c>
      <c r="AN640" s="6">
        <v>3.8</v>
      </c>
      <c r="AO640" s="6" t="s">
        <v>81</v>
      </c>
      <c r="AP640" s="6" t="s">
        <v>949</v>
      </c>
      <c r="AQ640" s="6">
        <v>59</v>
      </c>
      <c r="AR640" s="6">
        <v>105</v>
      </c>
      <c r="AS640" s="5">
        <v>178</v>
      </c>
      <c r="AT640" s="5" t="s">
        <v>119</v>
      </c>
      <c r="AU640" s="5" t="s">
        <v>116</v>
      </c>
      <c r="AV640" s="5">
        <v>2</v>
      </c>
      <c r="AW640" s="5" t="s">
        <v>119</v>
      </c>
      <c r="AX640" s="5" t="s">
        <v>949</v>
      </c>
      <c r="AY640" s="5">
        <v>168</v>
      </c>
      <c r="AZ640" s="5">
        <v>185</v>
      </c>
      <c r="BQ640" s="6" t="s">
        <v>121</v>
      </c>
    </row>
    <row r="641" spans="1:69" ht="12.75" hidden="1" customHeight="1" x14ac:dyDescent="0.2">
      <c r="A641" s="91">
        <v>708</v>
      </c>
      <c r="B641" s="231" t="s">
        <v>1999</v>
      </c>
      <c r="C641" s="261" t="s">
        <v>2000</v>
      </c>
      <c r="D641" s="231" t="s">
        <v>2002</v>
      </c>
      <c r="E641" s="3" t="s">
        <v>1974</v>
      </c>
      <c r="F641" s="26" t="s">
        <v>103</v>
      </c>
      <c r="G641" s="26" t="s">
        <v>56</v>
      </c>
      <c r="H641" s="26" t="s">
        <v>57</v>
      </c>
      <c r="J641" s="22">
        <v>0.25</v>
      </c>
      <c r="L641" s="28" t="s">
        <v>58</v>
      </c>
      <c r="M641" s="22" t="s">
        <v>59</v>
      </c>
      <c r="N641" s="22">
        <v>0</v>
      </c>
      <c r="O641" s="22" t="s">
        <v>60</v>
      </c>
      <c r="P641" s="22" t="s">
        <v>79</v>
      </c>
      <c r="T641" s="23">
        <v>240</v>
      </c>
      <c r="U641" s="23" t="s">
        <v>1996</v>
      </c>
      <c r="X641" s="106">
        <v>3</v>
      </c>
      <c r="Y641" s="25" t="s">
        <v>1997</v>
      </c>
      <c r="Z641" s="83" t="s">
        <v>63</v>
      </c>
      <c r="AA641" s="6">
        <v>13</v>
      </c>
      <c r="AB641" s="6">
        <v>13</v>
      </c>
      <c r="AC641" s="5">
        <v>29</v>
      </c>
      <c r="AD641" s="5" t="s">
        <v>80</v>
      </c>
      <c r="AE641" s="5" t="s">
        <v>116</v>
      </c>
      <c r="AF641" s="5">
        <v>1.6</v>
      </c>
      <c r="AG641" s="5" t="s">
        <v>80</v>
      </c>
      <c r="AH641" s="5" t="s">
        <v>949</v>
      </c>
      <c r="AI641" s="5">
        <v>20</v>
      </c>
      <c r="AJ641" s="5">
        <v>36</v>
      </c>
      <c r="AK641" s="6">
        <v>65</v>
      </c>
      <c r="AL641" s="6" t="s">
        <v>81</v>
      </c>
      <c r="AM641" s="6" t="s">
        <v>116</v>
      </c>
      <c r="AN641" s="6">
        <v>4.7</v>
      </c>
      <c r="AO641" s="6" t="s">
        <v>81</v>
      </c>
      <c r="AP641" s="6" t="s">
        <v>949</v>
      </c>
      <c r="AQ641" s="6">
        <v>48</v>
      </c>
      <c r="AR641" s="6">
        <v>109</v>
      </c>
      <c r="AS641" s="5">
        <v>167</v>
      </c>
      <c r="AT641" s="5" t="s">
        <v>119</v>
      </c>
      <c r="AU641" s="5" t="s">
        <v>116</v>
      </c>
      <c r="AV641" s="5">
        <v>2</v>
      </c>
      <c r="AW641" s="5" t="s">
        <v>119</v>
      </c>
      <c r="AX641" s="5" t="s">
        <v>949</v>
      </c>
      <c r="AY641" s="5">
        <v>152</v>
      </c>
      <c r="AZ641" s="5">
        <v>188</v>
      </c>
      <c r="BQ641" s="6" t="s">
        <v>121</v>
      </c>
    </row>
    <row r="642" spans="1:69" ht="12.75" hidden="1" customHeight="1" x14ac:dyDescent="0.2">
      <c r="A642" s="91">
        <v>709</v>
      </c>
      <c r="B642" s="231" t="s">
        <v>2003</v>
      </c>
      <c r="C642" s="261" t="s">
        <v>2004</v>
      </c>
      <c r="D642" s="231" t="s">
        <v>2005</v>
      </c>
      <c r="E642" s="3" t="s">
        <v>1974</v>
      </c>
      <c r="F642" s="26" t="s">
        <v>103</v>
      </c>
      <c r="G642" s="26" t="s">
        <v>56</v>
      </c>
      <c r="H642" s="26" t="s">
        <v>66</v>
      </c>
      <c r="J642" s="22">
        <v>0.25</v>
      </c>
      <c r="L642" s="28" t="s">
        <v>58</v>
      </c>
      <c r="M642" s="22" t="s">
        <v>59</v>
      </c>
      <c r="N642" s="22">
        <v>0</v>
      </c>
      <c r="O642" s="22" t="s">
        <v>60</v>
      </c>
      <c r="P642" s="22" t="s">
        <v>79</v>
      </c>
      <c r="R642" s="23" t="s">
        <v>1980</v>
      </c>
      <c r="T642" s="23">
        <v>250</v>
      </c>
      <c r="V642" s="25" t="s">
        <v>62</v>
      </c>
      <c r="W642" s="65">
        <v>5</v>
      </c>
      <c r="X642" s="106">
        <v>4</v>
      </c>
      <c r="Y642" s="25" t="s">
        <v>2006</v>
      </c>
      <c r="Z642" s="83" t="s">
        <v>63</v>
      </c>
      <c r="AA642" s="6">
        <v>10</v>
      </c>
      <c r="AB642" s="6">
        <v>4</v>
      </c>
      <c r="AD642" s="5" t="s">
        <v>80</v>
      </c>
      <c r="AI642" s="5">
        <v>22</v>
      </c>
      <c r="AJ642" s="5">
        <v>29</v>
      </c>
      <c r="AL642" s="6" t="s">
        <v>81</v>
      </c>
      <c r="AQ642" s="6">
        <v>49</v>
      </c>
      <c r="AR642" s="6">
        <v>107</v>
      </c>
      <c r="BQ642" s="6" t="s">
        <v>354</v>
      </c>
    </row>
    <row r="643" spans="1:69" ht="12.75" hidden="1" customHeight="1" x14ac:dyDescent="0.2">
      <c r="A643" s="91">
        <v>710</v>
      </c>
      <c r="B643" s="231" t="s">
        <v>2007</v>
      </c>
      <c r="C643" s="261" t="s">
        <v>2008</v>
      </c>
      <c r="D643" s="231" t="s">
        <v>2009</v>
      </c>
      <c r="E643" s="3" t="s">
        <v>1974</v>
      </c>
      <c r="F643" s="26" t="s">
        <v>103</v>
      </c>
      <c r="G643" s="26" t="s">
        <v>56</v>
      </c>
      <c r="H643" s="26" t="s">
        <v>57</v>
      </c>
      <c r="J643" s="22">
        <v>0.25</v>
      </c>
      <c r="L643" s="28" t="s">
        <v>58</v>
      </c>
      <c r="M643" s="22" t="s">
        <v>78</v>
      </c>
      <c r="N643" s="22">
        <v>0</v>
      </c>
      <c r="O643" s="22" t="s">
        <v>60</v>
      </c>
      <c r="P643" s="22" t="s">
        <v>79</v>
      </c>
      <c r="S643" s="24">
        <v>1</v>
      </c>
      <c r="V643" s="25" t="s">
        <v>62</v>
      </c>
      <c r="W643" s="65">
        <v>10</v>
      </c>
      <c r="X643" s="106">
        <v>4</v>
      </c>
      <c r="Y643" s="25" t="s">
        <v>2010</v>
      </c>
      <c r="Z643" s="83" t="s">
        <v>63</v>
      </c>
      <c r="AA643" s="6">
        <v>12</v>
      </c>
      <c r="AB643" s="6">
        <v>0</v>
      </c>
      <c r="AC643" s="5">
        <v>22.8</v>
      </c>
      <c r="AD643" s="5" t="s">
        <v>80</v>
      </c>
      <c r="AE643" s="5" t="s">
        <v>116</v>
      </c>
      <c r="AI643" s="5">
        <v>20</v>
      </c>
      <c r="AJ643" s="5">
        <v>35</v>
      </c>
      <c r="AK643" s="6">
        <v>83.1</v>
      </c>
      <c r="AL643" s="6" t="s">
        <v>81</v>
      </c>
      <c r="AM643" s="6" t="s">
        <v>116</v>
      </c>
      <c r="AQ643" s="6">
        <v>64</v>
      </c>
      <c r="AR643" s="6">
        <v>99.3</v>
      </c>
      <c r="AS643" s="5">
        <v>182</v>
      </c>
      <c r="AT643" s="5" t="s">
        <v>119</v>
      </c>
      <c r="AU643" s="5" t="s">
        <v>116</v>
      </c>
      <c r="AY643" s="5">
        <v>173</v>
      </c>
      <c r="AZ643" s="5">
        <v>193</v>
      </c>
      <c r="BQ643" s="6" t="s">
        <v>121</v>
      </c>
    </row>
    <row r="644" spans="1:69" ht="12.75" hidden="1" customHeight="1" x14ac:dyDescent="0.2">
      <c r="A644" s="91">
        <v>711</v>
      </c>
      <c r="B644" s="231" t="s">
        <v>2007</v>
      </c>
      <c r="C644" s="261" t="s">
        <v>2008</v>
      </c>
      <c r="D644" s="231" t="s">
        <v>2011</v>
      </c>
      <c r="E644" s="3" t="s">
        <v>1974</v>
      </c>
      <c r="F644" s="26" t="s">
        <v>103</v>
      </c>
      <c r="G644" s="26" t="s">
        <v>56</v>
      </c>
      <c r="H644" s="26" t="s">
        <v>57</v>
      </c>
      <c r="J644" s="22">
        <v>0.25</v>
      </c>
      <c r="L644" s="28" t="s">
        <v>58</v>
      </c>
      <c r="M644" s="22" t="s">
        <v>59</v>
      </c>
      <c r="N644" s="22">
        <v>0</v>
      </c>
      <c r="O644" s="22" t="s">
        <v>60</v>
      </c>
      <c r="P644" s="22" t="s">
        <v>79</v>
      </c>
      <c r="R644" s="23" t="s">
        <v>1980</v>
      </c>
      <c r="T644" s="23">
        <v>120</v>
      </c>
      <c r="V644" s="25" t="s">
        <v>62</v>
      </c>
      <c r="W644" s="65">
        <v>10</v>
      </c>
      <c r="X644" s="106">
        <v>4</v>
      </c>
      <c r="Y644" s="25" t="s">
        <v>2010</v>
      </c>
      <c r="Z644" s="83" t="s">
        <v>63</v>
      </c>
      <c r="AA644" s="6">
        <v>12</v>
      </c>
      <c r="AB644" s="6">
        <v>0</v>
      </c>
      <c r="AC644" s="5">
        <v>22.8</v>
      </c>
      <c r="AD644" s="5" t="s">
        <v>80</v>
      </c>
      <c r="AE644" s="5" t="s">
        <v>116</v>
      </c>
      <c r="AI644" s="5">
        <v>20</v>
      </c>
      <c r="AJ644" s="5">
        <v>35</v>
      </c>
      <c r="AK644" s="6">
        <v>83.1</v>
      </c>
      <c r="AL644" s="6" t="s">
        <v>81</v>
      </c>
      <c r="AM644" s="6" t="s">
        <v>116</v>
      </c>
      <c r="AQ644" s="6">
        <v>64</v>
      </c>
      <c r="AR644" s="6">
        <v>99.3</v>
      </c>
      <c r="AS644" s="5">
        <v>182</v>
      </c>
      <c r="AT644" s="5" t="s">
        <v>119</v>
      </c>
      <c r="AU644" s="5" t="s">
        <v>116</v>
      </c>
      <c r="AY644" s="5">
        <v>173</v>
      </c>
      <c r="AZ644" s="5">
        <v>193</v>
      </c>
      <c r="BQ644" s="6" t="s">
        <v>121</v>
      </c>
    </row>
    <row r="645" spans="1:69" ht="12.75" hidden="1" customHeight="1" x14ac:dyDescent="0.2">
      <c r="A645" s="91">
        <v>712</v>
      </c>
      <c r="B645" s="231" t="s">
        <v>2012</v>
      </c>
      <c r="C645" s="261" t="s">
        <v>2013</v>
      </c>
      <c r="D645" s="231" t="s">
        <v>2014</v>
      </c>
      <c r="E645" s="3" t="s">
        <v>1974</v>
      </c>
      <c r="F645" s="26" t="s">
        <v>103</v>
      </c>
      <c r="G645" s="26" t="s">
        <v>56</v>
      </c>
      <c r="H645" s="26" t="s">
        <v>57</v>
      </c>
      <c r="J645" s="22">
        <v>0.25</v>
      </c>
      <c r="L645" s="28" t="s">
        <v>58</v>
      </c>
      <c r="M645" s="22" t="s">
        <v>59</v>
      </c>
      <c r="N645" s="22">
        <v>0</v>
      </c>
      <c r="O645" s="22" t="s">
        <v>60</v>
      </c>
      <c r="P645" s="22" t="s">
        <v>79</v>
      </c>
      <c r="R645" s="23" t="s">
        <v>1980</v>
      </c>
      <c r="T645" s="23">
        <v>200</v>
      </c>
      <c r="V645" s="25" t="s">
        <v>62</v>
      </c>
      <c r="W645" s="65" t="s">
        <v>1976</v>
      </c>
      <c r="X645" s="106">
        <v>3</v>
      </c>
      <c r="Y645" s="25" t="s">
        <v>2015</v>
      </c>
      <c r="Z645" s="83" t="s">
        <v>63</v>
      </c>
      <c r="AA645" s="6">
        <v>12</v>
      </c>
      <c r="AB645" s="6">
        <v>6</v>
      </c>
      <c r="AD645" s="5" t="s">
        <v>80</v>
      </c>
      <c r="AI645" s="5">
        <v>19</v>
      </c>
      <c r="AJ645" s="5">
        <v>28</v>
      </c>
      <c r="AL645" s="6" t="s">
        <v>81</v>
      </c>
      <c r="AQ645" s="6">
        <v>53</v>
      </c>
      <c r="AR645" s="6">
        <v>97</v>
      </c>
      <c r="BQ645" s="6" t="s">
        <v>354</v>
      </c>
    </row>
    <row r="646" spans="1:69" ht="12.75" hidden="1" customHeight="1" x14ac:dyDescent="0.2">
      <c r="A646" s="91">
        <v>713</v>
      </c>
      <c r="B646" s="231" t="s">
        <v>2016</v>
      </c>
      <c r="C646" s="261" t="s">
        <v>2017</v>
      </c>
      <c r="D646" s="231" t="s">
        <v>2018</v>
      </c>
      <c r="E646" s="3" t="s">
        <v>1974</v>
      </c>
      <c r="F646" s="26" t="s">
        <v>103</v>
      </c>
      <c r="G646" s="26" t="s">
        <v>56</v>
      </c>
      <c r="H646" s="26" t="s">
        <v>430</v>
      </c>
      <c r="J646" s="22">
        <v>0.125</v>
      </c>
      <c r="L646" s="28" t="s">
        <v>58</v>
      </c>
      <c r="M646" s="22" t="s">
        <v>59</v>
      </c>
      <c r="N646" s="22">
        <v>0</v>
      </c>
      <c r="O646" s="22" t="s">
        <v>60</v>
      </c>
      <c r="P646" s="22" t="s">
        <v>79</v>
      </c>
      <c r="U646" s="23" t="s">
        <v>2019</v>
      </c>
      <c r="Z646" s="83" t="s">
        <v>63</v>
      </c>
      <c r="AA646" s="6">
        <v>9</v>
      </c>
      <c r="AB646" s="6">
        <v>2</v>
      </c>
      <c r="AD646" s="5" t="s">
        <v>80</v>
      </c>
      <c r="AI646" s="5">
        <v>23</v>
      </c>
      <c r="AJ646" s="5">
        <v>72</v>
      </c>
      <c r="BQ646" s="6" t="s">
        <v>121</v>
      </c>
    </row>
    <row r="647" spans="1:69" ht="12.75" hidden="1" customHeight="1" x14ac:dyDescent="0.2">
      <c r="A647" s="91">
        <v>714</v>
      </c>
      <c r="B647" s="231" t="s">
        <v>2020</v>
      </c>
      <c r="C647" s="261" t="s">
        <v>2021</v>
      </c>
      <c r="D647" s="231" t="s">
        <v>2022</v>
      </c>
      <c r="E647" s="3" t="s">
        <v>1974</v>
      </c>
      <c r="F647" s="26" t="s">
        <v>103</v>
      </c>
      <c r="G647" s="26" t="s">
        <v>56</v>
      </c>
      <c r="H647" s="26" t="s">
        <v>535</v>
      </c>
      <c r="J647" s="22">
        <v>0.25</v>
      </c>
      <c r="L647" s="28" t="s">
        <v>58</v>
      </c>
      <c r="M647" s="22" t="s">
        <v>59</v>
      </c>
      <c r="N647" s="22">
        <v>0</v>
      </c>
      <c r="O647" s="22" t="s">
        <v>60</v>
      </c>
      <c r="P647" s="22" t="s">
        <v>79</v>
      </c>
      <c r="R647" s="23" t="s">
        <v>1980</v>
      </c>
      <c r="Z647" s="83" t="s">
        <v>63</v>
      </c>
      <c r="AA647" s="6">
        <v>18</v>
      </c>
      <c r="AB647" s="6">
        <v>4</v>
      </c>
      <c r="AC647" s="5">
        <v>32</v>
      </c>
      <c r="AD647" s="5" t="s">
        <v>80</v>
      </c>
      <c r="AE647" s="5" t="s">
        <v>116</v>
      </c>
      <c r="AI647" s="5">
        <v>19</v>
      </c>
      <c r="AJ647" s="5">
        <v>60</v>
      </c>
      <c r="AK647" s="6">
        <v>76.2</v>
      </c>
      <c r="AL647" s="6" t="s">
        <v>81</v>
      </c>
      <c r="AM647" s="6" t="s">
        <v>116</v>
      </c>
      <c r="BQ647" s="6" t="s">
        <v>121</v>
      </c>
    </row>
    <row r="648" spans="1:69" ht="12.75" hidden="1" customHeight="1" x14ac:dyDescent="0.2">
      <c r="A648" s="91">
        <v>715</v>
      </c>
      <c r="B648" s="231" t="s">
        <v>2023</v>
      </c>
      <c r="C648" s="261" t="s">
        <v>2024</v>
      </c>
      <c r="D648" s="231" t="s">
        <v>1979</v>
      </c>
      <c r="E648" s="3" t="s">
        <v>1974</v>
      </c>
      <c r="F648" s="26" t="s">
        <v>103</v>
      </c>
      <c r="G648" s="26" t="s">
        <v>56</v>
      </c>
      <c r="H648" s="26" t="s">
        <v>57</v>
      </c>
      <c r="J648" s="22">
        <v>0.5</v>
      </c>
      <c r="L648" s="28" t="s">
        <v>58</v>
      </c>
      <c r="M648" s="22" t="s">
        <v>59</v>
      </c>
      <c r="N648" s="22">
        <v>0</v>
      </c>
      <c r="O648" s="22" t="s">
        <v>60</v>
      </c>
      <c r="P648" s="22" t="s">
        <v>79</v>
      </c>
      <c r="T648" s="23" t="s">
        <v>1975</v>
      </c>
      <c r="V648" s="25" t="s">
        <v>62</v>
      </c>
      <c r="W648" s="65" t="s">
        <v>1976</v>
      </c>
      <c r="Z648" s="83" t="s">
        <v>63</v>
      </c>
      <c r="AA648" s="6">
        <v>5</v>
      </c>
      <c r="AB648" s="6">
        <v>2</v>
      </c>
      <c r="AD648" s="5" t="s">
        <v>80</v>
      </c>
      <c r="AI648" s="5">
        <v>22</v>
      </c>
      <c r="AJ648" s="5">
        <v>28</v>
      </c>
      <c r="BQ648" s="6" t="s">
        <v>121</v>
      </c>
    </row>
    <row r="649" spans="1:69" ht="12.75" hidden="1" customHeight="1" x14ac:dyDescent="0.2">
      <c r="A649" s="91">
        <v>716</v>
      </c>
      <c r="B649" s="231" t="s">
        <v>2025</v>
      </c>
      <c r="C649" s="265" t="s">
        <v>2026</v>
      </c>
      <c r="D649" s="231" t="s">
        <v>2027</v>
      </c>
      <c r="E649" s="3" t="s">
        <v>1974</v>
      </c>
      <c r="F649" s="26" t="s">
        <v>103</v>
      </c>
      <c r="G649" s="26" t="s">
        <v>56</v>
      </c>
      <c r="H649" s="26" t="s">
        <v>57</v>
      </c>
      <c r="J649" s="22">
        <v>0.5</v>
      </c>
      <c r="L649" s="28" t="s">
        <v>58</v>
      </c>
      <c r="M649" s="22" t="s">
        <v>59</v>
      </c>
      <c r="N649" s="22">
        <v>0</v>
      </c>
      <c r="O649" s="22" t="s">
        <v>60</v>
      </c>
      <c r="P649" s="22" t="s">
        <v>79</v>
      </c>
      <c r="R649" s="23" t="s">
        <v>1980</v>
      </c>
      <c r="V649" s="25" t="s">
        <v>62</v>
      </c>
      <c r="W649" s="65">
        <v>3</v>
      </c>
      <c r="X649" s="106">
        <v>2</v>
      </c>
      <c r="Z649" s="83" t="s">
        <v>63</v>
      </c>
      <c r="AA649" s="6">
        <v>16</v>
      </c>
      <c r="AB649" s="6">
        <v>0</v>
      </c>
      <c r="AC649" s="5">
        <v>24.1</v>
      </c>
      <c r="AD649" s="5" t="s">
        <v>80</v>
      </c>
      <c r="AE649" s="5" t="s">
        <v>116</v>
      </c>
      <c r="AI649" s="5">
        <v>19</v>
      </c>
      <c r="AJ649" s="5">
        <v>42</v>
      </c>
      <c r="AK649" s="6">
        <v>78.3</v>
      </c>
      <c r="AL649" s="6" t="s">
        <v>81</v>
      </c>
      <c r="AM649" s="6" t="s">
        <v>116</v>
      </c>
      <c r="AQ649" s="6">
        <v>70</v>
      </c>
      <c r="AR649" s="6">
        <v>96.4</v>
      </c>
      <c r="BQ649" s="6" t="s">
        <v>121</v>
      </c>
    </row>
    <row r="650" spans="1:69" ht="12.75" hidden="1" customHeight="1" x14ac:dyDescent="0.2">
      <c r="A650" s="91">
        <v>717</v>
      </c>
      <c r="B650" s="231" t="s">
        <v>2028</v>
      </c>
      <c r="C650" s="261" t="s">
        <v>2029</v>
      </c>
      <c r="D650" s="231" t="s">
        <v>2030</v>
      </c>
      <c r="E650" s="3" t="s">
        <v>1974</v>
      </c>
      <c r="F650" s="26" t="s">
        <v>103</v>
      </c>
      <c r="G650" s="26" t="s">
        <v>56</v>
      </c>
      <c r="H650" s="26" t="s">
        <v>57</v>
      </c>
      <c r="J650" s="22">
        <v>0.125</v>
      </c>
      <c r="L650" s="28" t="s">
        <v>58</v>
      </c>
      <c r="M650" s="22" t="s">
        <v>78</v>
      </c>
      <c r="N650" s="22">
        <v>0</v>
      </c>
      <c r="O650" s="22" t="s">
        <v>60</v>
      </c>
      <c r="P650" s="22" t="s">
        <v>79</v>
      </c>
      <c r="S650" s="24">
        <v>1</v>
      </c>
      <c r="V650" s="25" t="s">
        <v>62</v>
      </c>
      <c r="W650" s="65" t="s">
        <v>1976</v>
      </c>
      <c r="Z650" s="83" t="s">
        <v>63</v>
      </c>
      <c r="AA650" s="6">
        <v>5</v>
      </c>
      <c r="BQ650" s="6" t="s">
        <v>121</v>
      </c>
    </row>
    <row r="651" spans="1:69" ht="12.75" hidden="1" customHeight="1" x14ac:dyDescent="0.2">
      <c r="A651" s="91">
        <v>718</v>
      </c>
      <c r="B651" s="231" t="s">
        <v>2028</v>
      </c>
      <c r="C651" s="261" t="s">
        <v>2029</v>
      </c>
      <c r="D651" s="231" t="s">
        <v>2031</v>
      </c>
      <c r="E651" s="3" t="s">
        <v>1974</v>
      </c>
      <c r="F651" s="26" t="s">
        <v>103</v>
      </c>
      <c r="G651" s="26" t="s">
        <v>56</v>
      </c>
      <c r="H651" s="26" t="s">
        <v>57</v>
      </c>
      <c r="J651" s="22">
        <v>0.25</v>
      </c>
      <c r="L651" s="28" t="s">
        <v>58</v>
      </c>
      <c r="M651" s="22" t="s">
        <v>78</v>
      </c>
      <c r="N651" s="22">
        <v>0</v>
      </c>
      <c r="O651" s="22" t="s">
        <v>60</v>
      </c>
      <c r="P651" s="22" t="s">
        <v>79</v>
      </c>
      <c r="S651" s="24">
        <v>1</v>
      </c>
      <c r="V651" s="25" t="s">
        <v>62</v>
      </c>
      <c r="W651" s="65" t="s">
        <v>1976</v>
      </c>
      <c r="Z651" s="83" t="s">
        <v>63</v>
      </c>
      <c r="AA651" s="6">
        <v>5</v>
      </c>
      <c r="BQ651" s="6" t="s">
        <v>121</v>
      </c>
    </row>
    <row r="652" spans="1:69" ht="12.75" hidden="1" customHeight="1" x14ac:dyDescent="0.2">
      <c r="A652" s="91">
        <v>719</v>
      </c>
      <c r="B652" s="231" t="s">
        <v>2028</v>
      </c>
      <c r="C652" s="261" t="s">
        <v>2029</v>
      </c>
      <c r="D652" s="231" t="s">
        <v>2032</v>
      </c>
      <c r="E652" s="3" t="s">
        <v>1974</v>
      </c>
      <c r="F652" s="26" t="s">
        <v>103</v>
      </c>
      <c r="G652" s="26" t="s">
        <v>56</v>
      </c>
      <c r="H652" s="26" t="s">
        <v>57</v>
      </c>
      <c r="J652" s="22">
        <v>0.5</v>
      </c>
      <c r="L652" s="28" t="s">
        <v>58</v>
      </c>
      <c r="M652" s="22" t="s">
        <v>78</v>
      </c>
      <c r="N652" s="22">
        <v>0</v>
      </c>
      <c r="O652" s="22" t="s">
        <v>60</v>
      </c>
      <c r="P652" s="22" t="s">
        <v>79</v>
      </c>
      <c r="S652" s="24">
        <v>1</v>
      </c>
      <c r="V652" s="25" t="s">
        <v>62</v>
      </c>
      <c r="W652" s="65" t="s">
        <v>1976</v>
      </c>
      <c r="Z652" s="83" t="s">
        <v>63</v>
      </c>
      <c r="AA652" s="6">
        <v>5</v>
      </c>
      <c r="BQ652" s="6" t="s">
        <v>121</v>
      </c>
    </row>
    <row r="653" spans="1:69" ht="12.75" hidden="1" customHeight="1" x14ac:dyDescent="0.2">
      <c r="A653" s="91">
        <v>720</v>
      </c>
      <c r="B653" s="231" t="s">
        <v>2028</v>
      </c>
      <c r="C653" s="261" t="s">
        <v>2029</v>
      </c>
      <c r="D653" s="231" t="s">
        <v>2033</v>
      </c>
      <c r="E653" s="3" t="s">
        <v>1974</v>
      </c>
      <c r="F653" s="26" t="s">
        <v>103</v>
      </c>
      <c r="G653" s="26" t="s">
        <v>56</v>
      </c>
      <c r="H653" s="26" t="s">
        <v>57</v>
      </c>
      <c r="J653" s="22">
        <v>0.75</v>
      </c>
      <c r="L653" s="28" t="s">
        <v>58</v>
      </c>
      <c r="M653" s="22" t="s">
        <v>78</v>
      </c>
      <c r="N653" s="22">
        <v>0</v>
      </c>
      <c r="O653" s="22" t="s">
        <v>60</v>
      </c>
      <c r="P653" s="22" t="s">
        <v>79</v>
      </c>
      <c r="S653" s="24">
        <v>1</v>
      </c>
      <c r="V653" s="25" t="s">
        <v>62</v>
      </c>
      <c r="W653" s="65" t="s">
        <v>1976</v>
      </c>
      <c r="Z653" s="83" t="s">
        <v>63</v>
      </c>
      <c r="AA653" s="6">
        <v>5</v>
      </c>
      <c r="BQ653" s="6" t="s">
        <v>121</v>
      </c>
    </row>
    <row r="654" spans="1:69" ht="12.75" hidden="1" customHeight="1" x14ac:dyDescent="0.2">
      <c r="A654" s="91">
        <v>721</v>
      </c>
      <c r="B654" s="231" t="s">
        <v>2028</v>
      </c>
      <c r="C654" s="261" t="s">
        <v>2029</v>
      </c>
      <c r="D654" s="231" t="s">
        <v>2034</v>
      </c>
      <c r="E654" s="3" t="s">
        <v>1974</v>
      </c>
      <c r="F654" s="26" t="s">
        <v>103</v>
      </c>
      <c r="G654" s="26" t="s">
        <v>56</v>
      </c>
      <c r="H654" s="26" t="s">
        <v>57</v>
      </c>
      <c r="J654" s="22">
        <v>1</v>
      </c>
      <c r="L654" s="28" t="s">
        <v>58</v>
      </c>
      <c r="M654" s="22" t="s">
        <v>78</v>
      </c>
      <c r="N654" s="22">
        <v>0</v>
      </c>
      <c r="O654" s="22" t="s">
        <v>60</v>
      </c>
      <c r="P654" s="22" t="s">
        <v>79</v>
      </c>
      <c r="S654" s="24">
        <v>1</v>
      </c>
      <c r="V654" s="25" t="s">
        <v>62</v>
      </c>
      <c r="W654" s="65" t="s">
        <v>1976</v>
      </c>
      <c r="Z654" s="83" t="s">
        <v>63</v>
      </c>
      <c r="AA654" s="6">
        <v>5</v>
      </c>
      <c r="BQ654" s="6" t="s">
        <v>121</v>
      </c>
    </row>
    <row r="655" spans="1:69" ht="12.75" hidden="1" customHeight="1" x14ac:dyDescent="0.2">
      <c r="A655" s="91">
        <v>723</v>
      </c>
      <c r="B655" s="231" t="s">
        <v>2039</v>
      </c>
      <c r="C655" s="261" t="s">
        <v>2040</v>
      </c>
      <c r="D655" s="231" t="s">
        <v>2037</v>
      </c>
      <c r="E655" s="3" t="s">
        <v>1974</v>
      </c>
      <c r="F655" s="26" t="s">
        <v>103</v>
      </c>
      <c r="G655" s="26" t="s">
        <v>56</v>
      </c>
      <c r="H655" s="26" t="s">
        <v>57</v>
      </c>
      <c r="J655" s="22">
        <v>0.25</v>
      </c>
      <c r="L655" s="28" t="s">
        <v>58</v>
      </c>
      <c r="M655" s="22" t="s">
        <v>59</v>
      </c>
      <c r="N655" s="22">
        <v>0</v>
      </c>
      <c r="O655" s="22" t="s">
        <v>60</v>
      </c>
      <c r="P655" s="22" t="s">
        <v>79</v>
      </c>
      <c r="R655" s="23" t="s">
        <v>1980</v>
      </c>
      <c r="T655" s="23">
        <v>150</v>
      </c>
      <c r="V655" s="25" t="s">
        <v>62</v>
      </c>
      <c r="W655" s="65">
        <v>3</v>
      </c>
      <c r="X655" s="106">
        <v>4</v>
      </c>
      <c r="Y655" s="25" t="s">
        <v>2038</v>
      </c>
      <c r="Z655" s="83" t="s">
        <v>63</v>
      </c>
      <c r="AA655" s="6">
        <v>12</v>
      </c>
      <c r="AB655" s="6">
        <v>10</v>
      </c>
      <c r="AD655" s="5" t="s">
        <v>80</v>
      </c>
      <c r="AI655" s="5">
        <v>19</v>
      </c>
      <c r="AJ655" s="5">
        <v>31</v>
      </c>
      <c r="AL655" s="6" t="s">
        <v>81</v>
      </c>
      <c r="AQ655" s="6">
        <v>48</v>
      </c>
      <c r="AR655" s="6">
        <v>80</v>
      </c>
      <c r="BQ655" s="6" t="s">
        <v>354</v>
      </c>
    </row>
    <row r="656" spans="1:69" ht="12.75" hidden="1" customHeight="1" x14ac:dyDescent="0.2">
      <c r="A656" s="91">
        <v>724</v>
      </c>
      <c r="B656" s="231" t="s">
        <v>2041</v>
      </c>
      <c r="C656" s="261" t="s">
        <v>2042</v>
      </c>
      <c r="D656" s="231" t="s">
        <v>2037</v>
      </c>
      <c r="E656" s="3" t="s">
        <v>1974</v>
      </c>
      <c r="F656" s="26" t="s">
        <v>103</v>
      </c>
      <c r="G656" s="26" t="s">
        <v>56</v>
      </c>
      <c r="H656" s="26" t="s">
        <v>57</v>
      </c>
      <c r="J656" s="22">
        <v>0.25</v>
      </c>
      <c r="L656" s="28" t="s">
        <v>58</v>
      </c>
      <c r="M656" s="22" t="s">
        <v>59</v>
      </c>
      <c r="N656" s="22">
        <v>0</v>
      </c>
      <c r="O656" s="22" t="s">
        <v>60</v>
      </c>
      <c r="P656" s="22" t="s">
        <v>79</v>
      </c>
      <c r="R656" s="23" t="s">
        <v>1980</v>
      </c>
      <c r="T656" s="23">
        <v>150</v>
      </c>
      <c r="V656" s="25" t="s">
        <v>62</v>
      </c>
      <c r="W656" s="65">
        <v>3</v>
      </c>
      <c r="X656" s="106">
        <v>4</v>
      </c>
      <c r="Y656" s="25" t="s">
        <v>2038</v>
      </c>
      <c r="Z656" s="83" t="s">
        <v>63</v>
      </c>
      <c r="AA656" s="6">
        <v>10</v>
      </c>
      <c r="AB656" s="6">
        <v>7</v>
      </c>
      <c r="AC656" s="5">
        <v>21.2</v>
      </c>
      <c r="AD656" s="5" t="s">
        <v>80</v>
      </c>
      <c r="AE656" s="5" t="s">
        <v>116</v>
      </c>
      <c r="AF656" s="5">
        <v>3.8</v>
      </c>
      <c r="AG656" s="5" t="s">
        <v>80</v>
      </c>
      <c r="AH656" s="5" t="s">
        <v>117</v>
      </c>
      <c r="AI656" s="5">
        <v>18</v>
      </c>
      <c r="AJ656" s="5">
        <v>31</v>
      </c>
      <c r="AK656" s="6">
        <v>64.400000000000006</v>
      </c>
      <c r="AL656" s="6" t="s">
        <v>81</v>
      </c>
      <c r="AM656" s="6" t="s">
        <v>116</v>
      </c>
      <c r="AN656" s="6">
        <v>9.9</v>
      </c>
      <c r="AO656" s="6" t="s">
        <v>81</v>
      </c>
      <c r="AP656" s="6" t="s">
        <v>117</v>
      </c>
      <c r="AQ656" s="6">
        <v>51</v>
      </c>
      <c r="AR656" s="6">
        <v>83</v>
      </c>
      <c r="BQ656" s="6" t="s">
        <v>354</v>
      </c>
    </row>
    <row r="657" spans="1:70" ht="12.75" hidden="1" customHeight="1" x14ac:dyDescent="0.2">
      <c r="A657" s="91">
        <v>725</v>
      </c>
      <c r="B657" s="231" t="s">
        <v>2043</v>
      </c>
      <c r="C657" s="261" t="s">
        <v>2044</v>
      </c>
      <c r="D657" s="231" t="s">
        <v>2037</v>
      </c>
      <c r="E657" s="3" t="s">
        <v>1974</v>
      </c>
      <c r="F657" s="26" t="s">
        <v>103</v>
      </c>
      <c r="G657" s="26" t="s">
        <v>56</v>
      </c>
      <c r="H657" s="26" t="s">
        <v>57</v>
      </c>
      <c r="J657" s="22">
        <v>0.25</v>
      </c>
      <c r="L657" s="28" t="s">
        <v>58</v>
      </c>
      <c r="M657" s="22" t="s">
        <v>59</v>
      </c>
      <c r="N657" s="22">
        <v>0</v>
      </c>
      <c r="O657" s="22" t="s">
        <v>60</v>
      </c>
      <c r="P657" s="22" t="s">
        <v>79</v>
      </c>
      <c r="R657" s="23" t="s">
        <v>1980</v>
      </c>
      <c r="T657" s="23">
        <v>150</v>
      </c>
      <c r="V657" s="25" t="s">
        <v>62</v>
      </c>
      <c r="W657" s="65">
        <v>3</v>
      </c>
      <c r="X657" s="106">
        <v>4</v>
      </c>
      <c r="Y657" s="25" t="s">
        <v>2038</v>
      </c>
      <c r="Z657" s="83" t="s">
        <v>63</v>
      </c>
      <c r="AA657" s="6">
        <v>8</v>
      </c>
      <c r="AB657" s="6">
        <v>5</v>
      </c>
      <c r="AD657" s="5" t="s">
        <v>80</v>
      </c>
      <c r="AI657" s="5">
        <v>20</v>
      </c>
      <c r="AJ657" s="5">
        <v>32</v>
      </c>
      <c r="AL657" s="6" t="s">
        <v>81</v>
      </c>
      <c r="AQ657" s="6">
        <v>53</v>
      </c>
      <c r="AR657" s="6">
        <v>83</v>
      </c>
      <c r="BQ657" s="6" t="s">
        <v>354</v>
      </c>
    </row>
    <row r="658" spans="1:70" ht="12.75" hidden="1" customHeight="1" x14ac:dyDescent="0.2">
      <c r="A658" s="91">
        <v>726</v>
      </c>
      <c r="B658" s="231" t="s">
        <v>2045</v>
      </c>
      <c r="C658" s="261" t="s">
        <v>2046</v>
      </c>
      <c r="D658" s="231" t="s">
        <v>2037</v>
      </c>
      <c r="E658" s="3" t="s">
        <v>1974</v>
      </c>
      <c r="F658" s="26" t="s">
        <v>103</v>
      </c>
      <c r="G658" s="26" t="s">
        <v>56</v>
      </c>
      <c r="H658" s="26" t="s">
        <v>57</v>
      </c>
      <c r="J658" s="22">
        <v>0.5</v>
      </c>
      <c r="L658" s="28" t="s">
        <v>58</v>
      </c>
      <c r="M658" s="22" t="s">
        <v>59</v>
      </c>
      <c r="N658" s="22">
        <v>0</v>
      </c>
      <c r="O658" s="22" t="s">
        <v>60</v>
      </c>
      <c r="P658" s="22" t="s">
        <v>79</v>
      </c>
      <c r="R658" s="23" t="s">
        <v>1980</v>
      </c>
      <c r="T658" s="23">
        <v>150</v>
      </c>
      <c r="V658" s="25" t="s">
        <v>62</v>
      </c>
      <c r="W658" s="65">
        <v>2</v>
      </c>
      <c r="X658" s="106">
        <v>3</v>
      </c>
      <c r="Y658" s="25" t="s">
        <v>2047</v>
      </c>
      <c r="Z658" s="169" t="s">
        <v>63</v>
      </c>
      <c r="AA658" s="6">
        <v>10</v>
      </c>
      <c r="AB658" s="6">
        <v>4</v>
      </c>
      <c r="AD658" s="5" t="s">
        <v>80</v>
      </c>
      <c r="AI658" s="5">
        <v>19</v>
      </c>
      <c r="AJ658" s="5">
        <v>25</v>
      </c>
      <c r="AL658" s="6" t="s">
        <v>81</v>
      </c>
      <c r="AQ658" s="6">
        <v>53</v>
      </c>
      <c r="AR658" s="6">
        <v>90</v>
      </c>
      <c r="BQ658" s="6" t="s">
        <v>354</v>
      </c>
      <c r="BR658" s="5" t="s">
        <v>2285</v>
      </c>
    </row>
    <row r="659" spans="1:70" ht="12.75" hidden="1" customHeight="1" x14ac:dyDescent="0.2">
      <c r="A659" s="91">
        <v>727</v>
      </c>
      <c r="B659" s="231" t="s">
        <v>2048</v>
      </c>
      <c r="C659" s="261" t="s">
        <v>2049</v>
      </c>
      <c r="D659" s="231" t="s">
        <v>2037</v>
      </c>
      <c r="E659" s="3" t="s">
        <v>1974</v>
      </c>
      <c r="F659" s="26" t="s">
        <v>103</v>
      </c>
      <c r="G659" s="26" t="s">
        <v>56</v>
      </c>
      <c r="H659" s="26" t="s">
        <v>57</v>
      </c>
      <c r="J659" s="22">
        <v>0.5</v>
      </c>
      <c r="L659" s="28" t="s">
        <v>58</v>
      </c>
      <c r="M659" s="22" t="s">
        <v>59</v>
      </c>
      <c r="N659" s="22">
        <v>0</v>
      </c>
      <c r="O659" s="22" t="s">
        <v>60</v>
      </c>
      <c r="P659" s="22" t="s">
        <v>79</v>
      </c>
      <c r="R659" s="23" t="s">
        <v>1980</v>
      </c>
      <c r="T659" s="23">
        <v>150</v>
      </c>
      <c r="V659" s="25" t="s">
        <v>62</v>
      </c>
      <c r="W659" s="65" t="s">
        <v>1976</v>
      </c>
      <c r="X659" s="106">
        <v>3</v>
      </c>
      <c r="Y659" s="25" t="s">
        <v>2047</v>
      </c>
      <c r="Z659" s="169" t="s">
        <v>63</v>
      </c>
      <c r="AA659" s="6">
        <v>10</v>
      </c>
      <c r="AB659" s="6">
        <v>2</v>
      </c>
      <c r="AD659" s="5" t="s">
        <v>80</v>
      </c>
      <c r="AI659" s="5">
        <v>21</v>
      </c>
      <c r="AJ659" s="5">
        <v>28</v>
      </c>
      <c r="AL659" s="6" t="s">
        <v>81</v>
      </c>
      <c r="AQ659" s="6">
        <v>52</v>
      </c>
      <c r="AR659" s="6">
        <v>82</v>
      </c>
      <c r="BQ659" s="6" t="s">
        <v>354</v>
      </c>
    </row>
    <row r="660" spans="1:70" ht="14.25" hidden="1" customHeight="1" x14ac:dyDescent="0.2">
      <c r="A660" s="91">
        <v>728</v>
      </c>
      <c r="B660" s="231" t="s">
        <v>2050</v>
      </c>
      <c r="C660" s="261" t="s">
        <v>2051</v>
      </c>
      <c r="D660" s="231" t="s">
        <v>2052</v>
      </c>
      <c r="E660" s="3" t="s">
        <v>2053</v>
      </c>
      <c r="F660" s="26" t="s">
        <v>103</v>
      </c>
      <c r="G660" s="26" t="s">
        <v>76</v>
      </c>
      <c r="H660" s="26" t="s">
        <v>168</v>
      </c>
      <c r="J660" s="22">
        <v>0.25</v>
      </c>
      <c r="L660" s="28" t="s">
        <v>58</v>
      </c>
      <c r="M660" s="22" t="s">
        <v>78</v>
      </c>
      <c r="N660" s="22">
        <v>0</v>
      </c>
      <c r="O660" s="22" t="s">
        <v>60</v>
      </c>
      <c r="P660" s="22" t="s">
        <v>79</v>
      </c>
      <c r="S660" s="24">
        <v>0</v>
      </c>
      <c r="U660" s="23" t="s">
        <v>2054</v>
      </c>
      <c r="V660" s="25" t="s">
        <v>62</v>
      </c>
      <c r="W660" s="65">
        <v>9</v>
      </c>
      <c r="X660" s="106">
        <v>6</v>
      </c>
      <c r="Z660" s="83" t="s">
        <v>63</v>
      </c>
      <c r="AA660" s="6">
        <v>1</v>
      </c>
      <c r="AB660" s="6">
        <v>0</v>
      </c>
      <c r="BQ660" s="6" t="s">
        <v>121</v>
      </c>
    </row>
    <row r="661" spans="1:70" hidden="1" x14ac:dyDescent="0.2">
      <c r="A661" s="91">
        <v>729</v>
      </c>
      <c r="B661" s="231" t="s">
        <v>2050</v>
      </c>
      <c r="C661" s="261" t="s">
        <v>2051</v>
      </c>
      <c r="D661" s="231" t="s">
        <v>2055</v>
      </c>
      <c r="E661" s="125" t="s">
        <v>2053</v>
      </c>
      <c r="F661" s="181" t="s">
        <v>103</v>
      </c>
      <c r="G661" s="181" t="s">
        <v>76</v>
      </c>
      <c r="H661" s="181" t="s">
        <v>168</v>
      </c>
      <c r="I661" s="181"/>
      <c r="J661" s="178">
        <v>0.25</v>
      </c>
      <c r="K661" s="182"/>
      <c r="L661" s="182" t="s">
        <v>58</v>
      </c>
      <c r="M661" s="178" t="s">
        <v>78</v>
      </c>
      <c r="N661" s="178">
        <v>0</v>
      </c>
      <c r="O661" s="178" t="s">
        <v>60</v>
      </c>
      <c r="P661" s="178" t="s">
        <v>79</v>
      </c>
      <c r="Q661" s="179"/>
      <c r="R661" s="179"/>
      <c r="S661" s="180">
        <v>0</v>
      </c>
      <c r="T661" s="179"/>
      <c r="U661" s="179" t="s">
        <v>2054</v>
      </c>
      <c r="V661" s="167" t="s">
        <v>62</v>
      </c>
      <c r="W661" s="168">
        <v>9</v>
      </c>
      <c r="X661" s="106">
        <v>6</v>
      </c>
      <c r="Y661" s="167"/>
      <c r="Z661" s="169" t="s">
        <v>63</v>
      </c>
      <c r="AA661" s="166">
        <v>1</v>
      </c>
      <c r="AB661" s="166">
        <v>0</v>
      </c>
      <c r="AC661" s="165"/>
      <c r="AD661" s="165"/>
      <c r="AE661" s="165"/>
      <c r="AF661" s="165"/>
      <c r="AG661" s="165"/>
      <c r="AH661" s="165"/>
      <c r="AI661" s="165"/>
      <c r="AJ661" s="165"/>
      <c r="AK661" s="166"/>
      <c r="AL661" s="166"/>
      <c r="AM661" s="166"/>
      <c r="AN661" s="166"/>
      <c r="AO661" s="166"/>
      <c r="AP661" s="166"/>
      <c r="AQ661" s="166"/>
      <c r="AR661" s="166"/>
      <c r="AS661" s="165"/>
      <c r="AT661" s="165"/>
      <c r="AU661" s="165"/>
      <c r="AV661" s="165"/>
      <c r="AW661" s="165"/>
      <c r="AX661" s="165"/>
      <c r="AY661" s="165"/>
      <c r="AZ661" s="165"/>
      <c r="BA661" s="166"/>
      <c r="BB661" s="166"/>
      <c r="BC661" s="166"/>
      <c r="BD661" s="166"/>
      <c r="BE661" s="166"/>
      <c r="BF661" s="166"/>
      <c r="BG661" s="166"/>
      <c r="BH661" s="166"/>
      <c r="BI661" s="165"/>
      <c r="BJ661" s="165"/>
      <c r="BK661" s="165"/>
      <c r="BL661" s="165"/>
      <c r="BM661" s="165"/>
      <c r="BN661" s="165"/>
      <c r="BO661" s="165"/>
      <c r="BP661" s="165"/>
      <c r="BQ661" s="166" t="s">
        <v>121</v>
      </c>
      <c r="BR661" s="165"/>
    </row>
    <row r="662" spans="1:70" hidden="1" x14ac:dyDescent="0.2">
      <c r="A662" s="91">
        <v>730</v>
      </c>
      <c r="B662" s="231" t="s">
        <v>2050</v>
      </c>
      <c r="C662" s="261" t="s">
        <v>2051</v>
      </c>
      <c r="D662" s="231" t="s">
        <v>2056</v>
      </c>
      <c r="E662" s="125" t="s">
        <v>2053</v>
      </c>
      <c r="F662" s="181" t="s">
        <v>103</v>
      </c>
      <c r="G662" s="181" t="s">
        <v>76</v>
      </c>
      <c r="H662" s="181" t="s">
        <v>157</v>
      </c>
      <c r="I662" s="181"/>
      <c r="J662" s="178">
        <v>4</v>
      </c>
      <c r="K662" s="182"/>
      <c r="L662" s="182" t="s">
        <v>58</v>
      </c>
      <c r="M662" s="178" t="s">
        <v>78</v>
      </c>
      <c r="N662" s="178">
        <v>0</v>
      </c>
      <c r="O662" s="178" t="s">
        <v>60</v>
      </c>
      <c r="P662" s="178" t="s">
        <v>79</v>
      </c>
      <c r="Q662" s="179"/>
      <c r="R662" s="179"/>
      <c r="S662" s="180">
        <v>0</v>
      </c>
      <c r="T662" s="179"/>
      <c r="U662" s="179" t="s">
        <v>2054</v>
      </c>
      <c r="V662" s="167" t="s">
        <v>62</v>
      </c>
      <c r="W662" s="168">
        <v>9</v>
      </c>
      <c r="X662" s="106">
        <v>6</v>
      </c>
      <c r="Y662" s="167"/>
      <c r="Z662" s="169" t="s">
        <v>63</v>
      </c>
      <c r="AA662" s="166">
        <v>1</v>
      </c>
      <c r="AB662" s="166">
        <v>0</v>
      </c>
      <c r="AC662" s="165"/>
      <c r="AD662" s="165"/>
      <c r="AE662" s="165"/>
      <c r="AF662" s="165"/>
      <c r="AG662" s="165"/>
      <c r="AH662" s="165"/>
      <c r="AI662" s="165"/>
      <c r="AJ662" s="165"/>
      <c r="AK662" s="166"/>
      <c r="AL662" s="166"/>
      <c r="AM662" s="166"/>
      <c r="AN662" s="166"/>
      <c r="AO662" s="166"/>
      <c r="AP662" s="166"/>
      <c r="AQ662" s="166"/>
      <c r="AR662" s="166"/>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121</v>
      </c>
      <c r="BR662" s="165"/>
    </row>
    <row r="663" spans="1:70" hidden="1" x14ac:dyDescent="0.2">
      <c r="A663" s="91">
        <v>731</v>
      </c>
      <c r="B663" s="231" t="s">
        <v>2050</v>
      </c>
      <c r="C663" s="261" t="s">
        <v>2051</v>
      </c>
      <c r="D663" s="231" t="s">
        <v>2057</v>
      </c>
      <c r="E663" s="125" t="s">
        <v>2053</v>
      </c>
      <c r="F663" s="181" t="s">
        <v>103</v>
      </c>
      <c r="G663" s="181" t="s">
        <v>76</v>
      </c>
      <c r="H663" s="181" t="s">
        <v>157</v>
      </c>
      <c r="I663" s="181"/>
      <c r="J663" s="178">
        <v>4</v>
      </c>
      <c r="K663" s="182"/>
      <c r="L663" s="182" t="s">
        <v>58</v>
      </c>
      <c r="M663" s="178" t="s">
        <v>78</v>
      </c>
      <c r="N663" s="178">
        <v>0</v>
      </c>
      <c r="O663" s="178" t="s">
        <v>60</v>
      </c>
      <c r="P663" s="178" t="s">
        <v>79</v>
      </c>
      <c r="Q663" s="179"/>
      <c r="R663" s="179"/>
      <c r="S663" s="180">
        <v>0</v>
      </c>
      <c r="T663" s="179"/>
      <c r="U663" s="179" t="s">
        <v>2054</v>
      </c>
      <c r="V663" s="167" t="s">
        <v>62</v>
      </c>
      <c r="W663" s="168">
        <v>9</v>
      </c>
      <c r="X663" s="106">
        <v>6</v>
      </c>
      <c r="Y663" s="167"/>
      <c r="Z663" s="169" t="s">
        <v>63</v>
      </c>
      <c r="AA663" s="166">
        <v>1</v>
      </c>
      <c r="AB663" s="166">
        <v>0</v>
      </c>
      <c r="AC663" s="165"/>
      <c r="AD663" s="165"/>
      <c r="AE663" s="165"/>
      <c r="AF663" s="165"/>
      <c r="AG663" s="165"/>
      <c r="AH663" s="165"/>
      <c r="AI663" s="165"/>
      <c r="AJ663" s="165"/>
      <c r="AK663" s="166"/>
      <c r="AL663" s="166"/>
      <c r="AM663" s="166"/>
      <c r="AN663" s="166"/>
      <c r="AO663" s="166"/>
      <c r="AP663" s="166"/>
      <c r="AQ663" s="166"/>
      <c r="AR663" s="166"/>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121</v>
      </c>
      <c r="BR663" s="165"/>
    </row>
    <row r="664" spans="1:70" hidden="1" x14ac:dyDescent="0.2">
      <c r="A664" s="91">
        <v>732</v>
      </c>
      <c r="B664" s="231" t="s">
        <v>2050</v>
      </c>
      <c r="C664" s="261" t="s">
        <v>2051</v>
      </c>
      <c r="D664" s="231" t="s">
        <v>2058</v>
      </c>
      <c r="E664" s="125" t="s">
        <v>2053</v>
      </c>
      <c r="F664" s="181" t="s">
        <v>103</v>
      </c>
      <c r="G664" s="181" t="s">
        <v>76</v>
      </c>
      <c r="H664" s="181" t="s">
        <v>157</v>
      </c>
      <c r="I664" s="181"/>
      <c r="J664" s="178">
        <v>4</v>
      </c>
      <c r="K664" s="182"/>
      <c r="L664" s="182" t="s">
        <v>58</v>
      </c>
      <c r="M664" s="178" t="s">
        <v>78</v>
      </c>
      <c r="N664" s="178">
        <v>0</v>
      </c>
      <c r="O664" s="178" t="s">
        <v>60</v>
      </c>
      <c r="P664" s="178" t="s">
        <v>79</v>
      </c>
      <c r="Q664" s="179"/>
      <c r="R664" s="179"/>
      <c r="S664" s="180">
        <v>0</v>
      </c>
      <c r="T664" s="179"/>
      <c r="U664" s="179" t="s">
        <v>2054</v>
      </c>
      <c r="V664" s="167" t="s">
        <v>62</v>
      </c>
      <c r="W664" s="168">
        <v>9</v>
      </c>
      <c r="X664" s="106">
        <v>6</v>
      </c>
      <c r="Y664" s="167"/>
      <c r="Z664" s="169" t="s">
        <v>63</v>
      </c>
      <c r="AA664" s="166">
        <v>1</v>
      </c>
      <c r="AB664" s="166">
        <v>0</v>
      </c>
      <c r="AC664" s="165"/>
      <c r="AD664" s="165"/>
      <c r="AE664" s="165"/>
      <c r="AF664" s="165"/>
      <c r="AG664" s="165"/>
      <c r="AH664" s="165"/>
      <c r="AI664" s="165"/>
      <c r="AJ664" s="165"/>
      <c r="AK664" s="166"/>
      <c r="AL664" s="166"/>
      <c r="AM664" s="166"/>
      <c r="AN664" s="166"/>
      <c r="AO664" s="166"/>
      <c r="AP664" s="166"/>
      <c r="AQ664" s="166"/>
      <c r="AR664" s="166"/>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121</v>
      </c>
      <c r="BR664" s="165"/>
    </row>
    <row r="665" spans="1:70" hidden="1" x14ac:dyDescent="0.2">
      <c r="A665" s="91">
        <v>733</v>
      </c>
      <c r="B665" s="231" t="s">
        <v>2059</v>
      </c>
      <c r="C665" s="261" t="s">
        <v>2060</v>
      </c>
      <c r="D665" s="231" t="s">
        <v>2061</v>
      </c>
      <c r="E665" s="125" t="s">
        <v>2053</v>
      </c>
      <c r="F665" s="181" t="s">
        <v>103</v>
      </c>
      <c r="G665" s="181" t="s">
        <v>56</v>
      </c>
      <c r="H665" s="181" t="s">
        <v>535</v>
      </c>
      <c r="I665" s="181"/>
      <c r="J665" s="178">
        <v>2</v>
      </c>
      <c r="K665" s="182"/>
      <c r="L665" s="182" t="s">
        <v>58</v>
      </c>
      <c r="M665" s="178" t="s">
        <v>78</v>
      </c>
      <c r="N665" s="178">
        <v>0</v>
      </c>
      <c r="O665" s="178" t="s">
        <v>60</v>
      </c>
      <c r="P665" s="178" t="s">
        <v>79</v>
      </c>
      <c r="Q665" s="179"/>
      <c r="R665" s="179"/>
      <c r="S665" s="180">
        <v>2</v>
      </c>
      <c r="T665" s="179"/>
      <c r="U665" s="179"/>
      <c r="V665" s="167"/>
      <c r="W665" s="168"/>
      <c r="Y665" s="167"/>
      <c r="Z665" s="169" t="s">
        <v>63</v>
      </c>
      <c r="AA665" s="166">
        <v>25</v>
      </c>
      <c r="AB665" s="166">
        <v>0</v>
      </c>
      <c r="AC665" s="165">
        <v>27.5</v>
      </c>
      <c r="AD665" s="165" t="s">
        <v>80</v>
      </c>
      <c r="AE665" s="165" t="s">
        <v>116</v>
      </c>
      <c r="AF665" s="165"/>
      <c r="AG665" s="165"/>
      <c r="AH665" s="165"/>
      <c r="AI665" s="165">
        <v>22</v>
      </c>
      <c r="AJ665" s="165">
        <v>35</v>
      </c>
      <c r="AK665" s="166">
        <v>77.900000000000006</v>
      </c>
      <c r="AL665" s="166" t="s">
        <v>81</v>
      </c>
      <c r="AM665" s="166" t="s">
        <v>116</v>
      </c>
      <c r="AN665" s="166"/>
      <c r="AO665" s="166"/>
      <c r="AP665" s="166"/>
      <c r="AQ665" s="166">
        <v>61.2</v>
      </c>
      <c r="AR665" s="166">
        <v>98.6</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121</v>
      </c>
      <c r="BR665" s="165"/>
    </row>
    <row r="666" spans="1:70" hidden="1" x14ac:dyDescent="0.2">
      <c r="A666" s="91">
        <v>734</v>
      </c>
      <c r="B666" s="231" t="s">
        <v>2062</v>
      </c>
      <c r="C666" s="261" t="s">
        <v>2063</v>
      </c>
      <c r="D666" s="231" t="s">
        <v>2064</v>
      </c>
      <c r="E666" s="125" t="s">
        <v>2053</v>
      </c>
      <c r="F666" s="181" t="s">
        <v>103</v>
      </c>
      <c r="G666" s="181" t="s">
        <v>56</v>
      </c>
      <c r="H666" s="181" t="s">
        <v>57</v>
      </c>
      <c r="I666" s="181"/>
      <c r="J666" s="178">
        <v>1</v>
      </c>
      <c r="K666" s="182"/>
      <c r="L666" s="182" t="s">
        <v>58</v>
      </c>
      <c r="M666" s="178" t="s">
        <v>59</v>
      </c>
      <c r="N666" s="178">
        <v>0</v>
      </c>
      <c r="O666" s="178" t="s">
        <v>60</v>
      </c>
      <c r="P666" s="178" t="s">
        <v>79</v>
      </c>
      <c r="Q666" s="179"/>
      <c r="R666" s="179" t="s">
        <v>2065</v>
      </c>
      <c r="S666" s="180"/>
      <c r="T666" s="179">
        <v>170</v>
      </c>
      <c r="U666" s="179"/>
      <c r="V666" s="167" t="s">
        <v>62</v>
      </c>
      <c r="W666" s="168">
        <v>10</v>
      </c>
      <c r="X666" s="106">
        <v>4</v>
      </c>
      <c r="Y666" s="167"/>
      <c r="Z666" s="169" t="s">
        <v>63</v>
      </c>
      <c r="AA666" s="166">
        <v>21</v>
      </c>
      <c r="AB666" s="166">
        <v>9</v>
      </c>
      <c r="AC666" s="165">
        <v>31</v>
      </c>
      <c r="AD666" s="165" t="s">
        <v>80</v>
      </c>
      <c r="AE666" s="165" t="s">
        <v>116</v>
      </c>
      <c r="AF666" s="165">
        <v>7</v>
      </c>
      <c r="AG666" s="165" t="s">
        <v>80</v>
      </c>
      <c r="AH666" s="165" t="s">
        <v>117</v>
      </c>
      <c r="AI666" s="165"/>
      <c r="AJ666" s="165"/>
      <c r="AK666" s="166">
        <v>73</v>
      </c>
      <c r="AL666" s="166" t="s">
        <v>81</v>
      </c>
      <c r="AM666" s="166" t="s">
        <v>116</v>
      </c>
      <c r="AN666" s="166">
        <v>11</v>
      </c>
      <c r="AO666" s="166" t="s">
        <v>81</v>
      </c>
      <c r="AP666" s="166" t="s">
        <v>117</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121</v>
      </c>
      <c r="BR666" s="165"/>
    </row>
    <row r="667" spans="1:70" ht="14.25" hidden="1" customHeight="1" x14ac:dyDescent="0.2">
      <c r="A667" s="91">
        <v>735</v>
      </c>
      <c r="B667" s="231" t="s">
        <v>2066</v>
      </c>
      <c r="C667" s="261" t="s">
        <v>2067</v>
      </c>
      <c r="D667" s="231" t="s">
        <v>2068</v>
      </c>
      <c r="E667" s="125" t="s">
        <v>2053</v>
      </c>
      <c r="F667" s="181" t="s">
        <v>103</v>
      </c>
      <c r="G667" s="181" t="s">
        <v>56</v>
      </c>
      <c r="H667" s="181" t="s">
        <v>57</v>
      </c>
      <c r="I667" s="181"/>
      <c r="J667" s="178">
        <v>1</v>
      </c>
      <c r="K667" s="182"/>
      <c r="L667" s="182" t="s">
        <v>58</v>
      </c>
      <c r="M667" s="178" t="s">
        <v>78</v>
      </c>
      <c r="N667" s="178">
        <v>0</v>
      </c>
      <c r="O667" s="178" t="s">
        <v>60</v>
      </c>
      <c r="P667" s="178" t="s">
        <v>79</v>
      </c>
      <c r="Q667" s="179"/>
      <c r="R667" s="179"/>
      <c r="S667" s="180"/>
      <c r="T667" s="179"/>
      <c r="U667" s="179"/>
      <c r="V667" s="167" t="s">
        <v>62</v>
      </c>
      <c r="W667" s="168">
        <v>12</v>
      </c>
      <c r="X667" s="106">
        <v>4</v>
      </c>
      <c r="Y667" s="167"/>
      <c r="Z667" s="169" t="s">
        <v>63</v>
      </c>
      <c r="AA667" s="166">
        <v>42</v>
      </c>
      <c r="AB667" s="166">
        <v>0</v>
      </c>
      <c r="AC667" s="165"/>
      <c r="AD667" s="165" t="s">
        <v>80</v>
      </c>
      <c r="AE667" s="165"/>
      <c r="AF667" s="165"/>
      <c r="AG667" s="165"/>
      <c r="AH667" s="165"/>
      <c r="AI667" s="165">
        <v>18</v>
      </c>
      <c r="AJ667" s="165">
        <v>54</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121</v>
      </c>
      <c r="BR667" s="165"/>
    </row>
    <row r="668" spans="1:70" ht="14.25" hidden="1" customHeight="1" x14ac:dyDescent="0.2">
      <c r="A668" s="91">
        <v>736</v>
      </c>
      <c r="B668" s="231" t="s">
        <v>2069</v>
      </c>
      <c r="C668" s="261" t="s">
        <v>2070</v>
      </c>
      <c r="D668" s="231" t="s">
        <v>2071</v>
      </c>
      <c r="E668" s="125" t="s">
        <v>2053</v>
      </c>
      <c r="F668" s="181" t="s">
        <v>103</v>
      </c>
      <c r="G668" s="181" t="s">
        <v>56</v>
      </c>
      <c r="H668" s="181" t="s">
        <v>66</v>
      </c>
      <c r="I668" s="181"/>
      <c r="J668" s="178">
        <v>1</v>
      </c>
      <c r="K668" s="182"/>
      <c r="L668" s="182" t="s">
        <v>58</v>
      </c>
      <c r="M668" s="178" t="s">
        <v>59</v>
      </c>
      <c r="N668" s="178">
        <v>0</v>
      </c>
      <c r="O668" s="178" t="s">
        <v>60</v>
      </c>
      <c r="P668" s="178" t="s">
        <v>79</v>
      </c>
      <c r="Q668" s="179"/>
      <c r="R668" s="179"/>
      <c r="S668" s="180"/>
      <c r="T668" s="179">
        <v>240</v>
      </c>
      <c r="U668" s="179"/>
      <c r="V668" s="167" t="s">
        <v>62</v>
      </c>
      <c r="W668" s="168" t="s">
        <v>1976</v>
      </c>
      <c r="X668" s="106">
        <v>3</v>
      </c>
      <c r="Y668" s="167" t="s">
        <v>2072</v>
      </c>
      <c r="Z668" s="169" t="s">
        <v>63</v>
      </c>
      <c r="AA668" s="166">
        <v>22</v>
      </c>
      <c r="AB668" s="166">
        <v>0</v>
      </c>
      <c r="AC668" s="165">
        <v>27.3</v>
      </c>
      <c r="AD668" s="165" t="s">
        <v>80</v>
      </c>
      <c r="AE668" s="165" t="s">
        <v>116</v>
      </c>
      <c r="AF668" s="165">
        <v>1.2</v>
      </c>
      <c r="AG668" s="165" t="s">
        <v>80</v>
      </c>
      <c r="AH668" s="165" t="s">
        <v>949</v>
      </c>
      <c r="AI668" s="165">
        <v>18</v>
      </c>
      <c r="AJ668" s="165">
        <v>40</v>
      </c>
      <c r="AK668" s="166">
        <v>77.3</v>
      </c>
      <c r="AL668" s="166" t="s">
        <v>81</v>
      </c>
      <c r="AM668" s="166" t="s">
        <v>116</v>
      </c>
      <c r="AN668" s="166">
        <v>2.4</v>
      </c>
      <c r="AO668" s="166" t="s">
        <v>81</v>
      </c>
      <c r="AP668" s="166" t="s">
        <v>949</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121</v>
      </c>
      <c r="BR668" s="165"/>
    </row>
    <row r="669" spans="1:70" ht="12.75" hidden="1" customHeight="1" x14ac:dyDescent="0.2">
      <c r="A669" s="91">
        <v>737</v>
      </c>
      <c r="B669" s="231" t="s">
        <v>2073</v>
      </c>
      <c r="C669" s="261" t="s">
        <v>2074</v>
      </c>
      <c r="D669" s="231" t="s">
        <v>2071</v>
      </c>
      <c r="E669" s="3" t="s">
        <v>2053</v>
      </c>
      <c r="F669" s="26" t="s">
        <v>103</v>
      </c>
      <c r="G669" s="26" t="s">
        <v>56</v>
      </c>
      <c r="H669" s="26" t="s">
        <v>57</v>
      </c>
      <c r="J669" s="22">
        <v>1</v>
      </c>
      <c r="L669" s="28" t="s">
        <v>58</v>
      </c>
      <c r="M669" s="22" t="s">
        <v>59</v>
      </c>
      <c r="N669" s="22">
        <v>0</v>
      </c>
      <c r="O669" s="22" t="s">
        <v>60</v>
      </c>
      <c r="P669" s="22" t="s">
        <v>79</v>
      </c>
      <c r="T669" s="23" t="s">
        <v>1975</v>
      </c>
      <c r="V669" s="25" t="s">
        <v>62</v>
      </c>
      <c r="W669" s="65">
        <v>2</v>
      </c>
      <c r="X669" s="106">
        <v>3</v>
      </c>
      <c r="Y669" s="25" t="s">
        <v>2072</v>
      </c>
      <c r="Z669" s="83" t="s">
        <v>63</v>
      </c>
      <c r="AA669" s="6">
        <v>12</v>
      </c>
      <c r="AB669" s="6">
        <v>3</v>
      </c>
      <c r="AC669" s="5">
        <v>27</v>
      </c>
      <c r="AD669" s="5" t="s">
        <v>80</v>
      </c>
      <c r="AE669" s="5" t="s">
        <v>116</v>
      </c>
      <c r="AF669" s="5">
        <v>1</v>
      </c>
      <c r="AG669" s="5" t="s">
        <v>80</v>
      </c>
      <c r="AH669" s="5" t="s">
        <v>949</v>
      </c>
      <c r="AK669" s="6">
        <v>69</v>
      </c>
      <c r="AL669" s="6" t="s">
        <v>81</v>
      </c>
      <c r="AM669" s="6" t="s">
        <v>116</v>
      </c>
      <c r="AN669" s="6">
        <v>2</v>
      </c>
      <c r="AO669" s="6" t="s">
        <v>81</v>
      </c>
      <c r="AP669" s="6" t="s">
        <v>949</v>
      </c>
      <c r="BQ669" s="6" t="s">
        <v>121</v>
      </c>
    </row>
    <row r="670" spans="1:70" hidden="1" x14ac:dyDescent="0.2">
      <c r="A670" s="91">
        <v>738</v>
      </c>
      <c r="B670" s="231" t="s">
        <v>2075</v>
      </c>
      <c r="C670" s="261" t="s">
        <v>2076</v>
      </c>
      <c r="D670" s="231" t="s">
        <v>2077</v>
      </c>
      <c r="E670" s="3" t="s">
        <v>2053</v>
      </c>
      <c r="F670" s="26" t="s">
        <v>103</v>
      </c>
      <c r="G670" s="26" t="s">
        <v>56</v>
      </c>
      <c r="H670" s="26" t="s">
        <v>168</v>
      </c>
      <c r="J670" s="22">
        <v>1</v>
      </c>
      <c r="L670" s="28" t="s">
        <v>58</v>
      </c>
      <c r="M670" s="22" t="s">
        <v>59</v>
      </c>
      <c r="N670" s="22">
        <v>0</v>
      </c>
      <c r="O670" s="22" t="s">
        <v>60</v>
      </c>
      <c r="P670" s="22" t="s">
        <v>79</v>
      </c>
      <c r="T670" s="23">
        <v>180</v>
      </c>
      <c r="V670" s="25" t="s">
        <v>62</v>
      </c>
      <c r="W670" s="65">
        <v>2</v>
      </c>
      <c r="X670" s="106">
        <v>3.5</v>
      </c>
      <c r="Y670" s="25" t="s">
        <v>2078</v>
      </c>
      <c r="Z670" s="83" t="s">
        <v>63</v>
      </c>
      <c r="AA670" s="6">
        <v>11</v>
      </c>
      <c r="AB670" s="6">
        <v>11</v>
      </c>
      <c r="AD670" s="5" t="s">
        <v>80</v>
      </c>
      <c r="AI670" s="5">
        <v>18</v>
      </c>
      <c r="AJ670" s="5">
        <v>37</v>
      </c>
      <c r="BQ670" s="6" t="s">
        <v>121</v>
      </c>
    </row>
    <row r="671" spans="1:70" ht="12.75" hidden="1" customHeight="1" x14ac:dyDescent="0.2">
      <c r="A671" s="91">
        <v>739</v>
      </c>
      <c r="B671" s="231" t="s">
        <v>2079</v>
      </c>
      <c r="C671" s="261" t="s">
        <v>2080</v>
      </c>
      <c r="D671" s="231" t="s">
        <v>2081</v>
      </c>
      <c r="E671" s="3" t="s">
        <v>2053</v>
      </c>
      <c r="F671" s="181" t="s">
        <v>103</v>
      </c>
      <c r="G671" s="26" t="s">
        <v>56</v>
      </c>
      <c r="H671" s="26" t="s">
        <v>66</v>
      </c>
      <c r="J671" s="22">
        <v>1</v>
      </c>
      <c r="L671" s="28" t="s">
        <v>58</v>
      </c>
      <c r="M671" s="22" t="s">
        <v>59</v>
      </c>
      <c r="N671" s="22">
        <v>0</v>
      </c>
      <c r="O671" s="22" t="s">
        <v>60</v>
      </c>
      <c r="P671" s="22" t="s">
        <v>79</v>
      </c>
      <c r="U671" s="23" t="s">
        <v>1992</v>
      </c>
      <c r="V671" s="25" t="s">
        <v>62</v>
      </c>
      <c r="W671" s="65">
        <v>1.5</v>
      </c>
      <c r="X671" s="106">
        <v>3</v>
      </c>
      <c r="Y671" s="25" t="s">
        <v>2082</v>
      </c>
      <c r="Z671" s="83" t="s">
        <v>63</v>
      </c>
      <c r="AA671" s="6">
        <v>7</v>
      </c>
      <c r="AB671" s="6">
        <v>0</v>
      </c>
      <c r="AD671" s="5" t="s">
        <v>80</v>
      </c>
      <c r="AI671" s="5">
        <v>21</v>
      </c>
      <c r="AJ671" s="5">
        <v>44</v>
      </c>
      <c r="BQ671" s="6" t="s">
        <v>121</v>
      </c>
    </row>
    <row r="672" spans="1:70" ht="12.75" hidden="1" customHeight="1" x14ac:dyDescent="0.2">
      <c r="A672" s="91">
        <v>740</v>
      </c>
      <c r="B672" s="231" t="s">
        <v>1993</v>
      </c>
      <c r="C672" s="261" t="s">
        <v>2083</v>
      </c>
      <c r="D672" s="231" t="s">
        <v>1979</v>
      </c>
      <c r="E672" s="3" t="s">
        <v>2053</v>
      </c>
      <c r="F672" s="181" t="s">
        <v>103</v>
      </c>
      <c r="G672" s="26" t="s">
        <v>56</v>
      </c>
      <c r="H672" s="26" t="s">
        <v>66</v>
      </c>
      <c r="J672" s="22">
        <v>1</v>
      </c>
      <c r="L672" s="28" t="s">
        <v>58</v>
      </c>
      <c r="M672" s="22" t="s">
        <v>59</v>
      </c>
      <c r="N672" s="22">
        <v>0</v>
      </c>
      <c r="O672" s="22" t="s">
        <v>60</v>
      </c>
      <c r="P672" s="22" t="s">
        <v>79</v>
      </c>
      <c r="V672" s="25" t="s">
        <v>62</v>
      </c>
      <c r="W672" s="65">
        <v>1</v>
      </c>
      <c r="X672" s="106">
        <v>3.5</v>
      </c>
      <c r="Y672" s="25" t="s">
        <v>2078</v>
      </c>
      <c r="Z672" s="83" t="s">
        <v>63</v>
      </c>
      <c r="AA672" s="6">
        <v>8</v>
      </c>
      <c r="AB672" s="6">
        <v>1</v>
      </c>
      <c r="AD672" s="5" t="s">
        <v>80</v>
      </c>
      <c r="AI672" s="5">
        <v>21</v>
      </c>
      <c r="AJ672" s="5">
        <v>44</v>
      </c>
      <c r="BQ672" s="6" t="s">
        <v>121</v>
      </c>
    </row>
    <row r="673" spans="1:72" ht="12.75" hidden="1" customHeight="1" x14ac:dyDescent="0.2">
      <c r="A673" s="91">
        <v>741</v>
      </c>
      <c r="B673" s="231" t="s">
        <v>2084</v>
      </c>
      <c r="C673" s="261" t="s">
        <v>2085</v>
      </c>
      <c r="D673" s="231" t="s">
        <v>2086</v>
      </c>
      <c r="E673" s="3" t="s">
        <v>2053</v>
      </c>
      <c r="F673" s="181" t="s">
        <v>103</v>
      </c>
      <c r="G673" s="26" t="s">
        <v>56</v>
      </c>
      <c r="H673" s="26" t="s">
        <v>57</v>
      </c>
      <c r="J673" s="22">
        <v>1</v>
      </c>
      <c r="L673" s="28" t="s">
        <v>58</v>
      </c>
      <c r="M673" s="22" t="s">
        <v>59</v>
      </c>
      <c r="N673" s="22">
        <v>0</v>
      </c>
      <c r="O673" s="22" t="s">
        <v>60</v>
      </c>
      <c r="P673" s="22" t="s">
        <v>79</v>
      </c>
      <c r="V673" s="25" t="s">
        <v>62</v>
      </c>
      <c r="W673" s="65" t="s">
        <v>1976</v>
      </c>
      <c r="Z673" s="83" t="s">
        <v>63</v>
      </c>
      <c r="AA673" s="6">
        <v>17</v>
      </c>
      <c r="AC673" s="5">
        <v>45.3</v>
      </c>
      <c r="AD673" s="5" t="s">
        <v>80</v>
      </c>
      <c r="AE673" s="5" t="s">
        <v>116</v>
      </c>
      <c r="AF673" s="5">
        <v>19.3</v>
      </c>
      <c r="AG673" s="5" t="s">
        <v>80</v>
      </c>
      <c r="AH673" s="5" t="s">
        <v>117</v>
      </c>
      <c r="AI673" s="5">
        <v>24</v>
      </c>
      <c r="AJ673" s="5">
        <v>71</v>
      </c>
      <c r="AK673" s="6">
        <v>69.8</v>
      </c>
      <c r="AL673" s="6" t="s">
        <v>81</v>
      </c>
      <c r="AM673" s="6" t="s">
        <v>116</v>
      </c>
      <c r="AN673" s="6">
        <v>13</v>
      </c>
      <c r="AO673" s="6" t="s">
        <v>81</v>
      </c>
      <c r="AP673" s="6" t="s">
        <v>117</v>
      </c>
      <c r="AQ673" s="6">
        <v>47.7</v>
      </c>
      <c r="AR673" s="6">
        <v>95.5</v>
      </c>
      <c r="BQ673" s="6" t="s">
        <v>121</v>
      </c>
      <c r="BT673" s="124"/>
    </row>
    <row r="674" spans="1:72" ht="14.25" hidden="1" customHeight="1" x14ac:dyDescent="0.2">
      <c r="A674" s="91">
        <v>742</v>
      </c>
      <c r="B674" s="231" t="s">
        <v>2087</v>
      </c>
      <c r="C674" s="261" t="s">
        <v>2088</v>
      </c>
      <c r="D674" s="231" t="s">
        <v>2089</v>
      </c>
      <c r="E674" s="3" t="s">
        <v>2053</v>
      </c>
      <c r="F674" s="26" t="s">
        <v>103</v>
      </c>
      <c r="G674" s="26" t="s">
        <v>56</v>
      </c>
      <c r="H674" s="26" t="s">
        <v>57</v>
      </c>
      <c r="J674" s="22">
        <v>1</v>
      </c>
      <c r="L674" s="28" t="s">
        <v>58</v>
      </c>
      <c r="M674" s="22" t="s">
        <v>59</v>
      </c>
      <c r="N674" s="22">
        <v>0</v>
      </c>
      <c r="O674" s="22" t="s">
        <v>60</v>
      </c>
      <c r="P674" s="22" t="s">
        <v>79</v>
      </c>
      <c r="T674" s="23">
        <v>250</v>
      </c>
      <c r="U674" s="23" t="s">
        <v>2090</v>
      </c>
      <c r="V674" s="167" t="s">
        <v>62</v>
      </c>
      <c r="W674" s="168">
        <v>1.5</v>
      </c>
      <c r="X674" s="106">
        <v>3</v>
      </c>
      <c r="Y674" s="167" t="s">
        <v>2072</v>
      </c>
      <c r="Z674" s="83" t="s">
        <v>63</v>
      </c>
      <c r="AA674" s="6">
        <v>8</v>
      </c>
      <c r="AB674" s="6">
        <v>3</v>
      </c>
      <c r="AC674" s="5">
        <v>29.8</v>
      </c>
      <c r="AD674" s="5" t="s">
        <v>80</v>
      </c>
      <c r="AE674" s="5" t="s">
        <v>116</v>
      </c>
      <c r="AF674" s="5">
        <v>2.5</v>
      </c>
      <c r="AG674" s="5" t="s">
        <v>80</v>
      </c>
      <c r="AH674" s="5" t="s">
        <v>949</v>
      </c>
      <c r="AK674" s="6">
        <v>71.599999999999994</v>
      </c>
      <c r="AL674" s="6" t="s">
        <v>81</v>
      </c>
      <c r="AM674" s="6" t="s">
        <v>116</v>
      </c>
      <c r="AN674" s="6">
        <v>3.5</v>
      </c>
      <c r="AO674" s="6" t="s">
        <v>81</v>
      </c>
      <c r="AP674" s="6" t="s">
        <v>949</v>
      </c>
      <c r="BQ674" s="6" t="s">
        <v>121</v>
      </c>
      <c r="BT674" s="124"/>
    </row>
    <row r="675" spans="1:72" ht="12.75" hidden="1" customHeight="1" x14ac:dyDescent="0.2">
      <c r="A675" s="91">
        <v>743</v>
      </c>
      <c r="B675" s="231" t="s">
        <v>2091</v>
      </c>
      <c r="C675" s="261" t="s">
        <v>2092</v>
      </c>
      <c r="D675" s="231" t="s">
        <v>2093</v>
      </c>
      <c r="E675" s="3" t="s">
        <v>2053</v>
      </c>
      <c r="F675" s="26" t="s">
        <v>103</v>
      </c>
      <c r="G675" s="26" t="s">
        <v>56</v>
      </c>
      <c r="H675" s="26" t="s">
        <v>57</v>
      </c>
      <c r="J675" s="22">
        <v>1</v>
      </c>
      <c r="L675" s="28" t="s">
        <v>58</v>
      </c>
      <c r="M675" s="22" t="s">
        <v>59</v>
      </c>
      <c r="N675" s="22">
        <v>0</v>
      </c>
      <c r="O675" s="22" t="s">
        <v>60</v>
      </c>
      <c r="P675" s="22" t="s">
        <v>79</v>
      </c>
      <c r="T675" s="23">
        <v>120</v>
      </c>
      <c r="V675" s="25" t="s">
        <v>62</v>
      </c>
      <c r="W675" s="65" t="s">
        <v>1976</v>
      </c>
      <c r="X675" s="106">
        <v>3</v>
      </c>
      <c r="Z675" s="83" t="s">
        <v>63</v>
      </c>
      <c r="AA675" s="6">
        <v>8</v>
      </c>
      <c r="AB675" s="6">
        <v>0</v>
      </c>
      <c r="AC675" s="5">
        <v>24.4</v>
      </c>
      <c r="AD675" s="5" t="s">
        <v>80</v>
      </c>
      <c r="AE675" s="5" t="s">
        <v>116</v>
      </c>
      <c r="AI675" s="5">
        <v>20</v>
      </c>
      <c r="AJ675" s="5">
        <v>29</v>
      </c>
      <c r="AK675" s="6">
        <v>71.8</v>
      </c>
      <c r="AL675" s="6" t="s">
        <v>81</v>
      </c>
      <c r="AM675" s="6" t="s">
        <v>116</v>
      </c>
      <c r="AQ675" s="6">
        <v>59.1</v>
      </c>
      <c r="AR675" s="6">
        <v>82.7</v>
      </c>
      <c r="BQ675" s="6" t="s">
        <v>121</v>
      </c>
      <c r="BT675" s="124"/>
    </row>
    <row r="676" spans="1:72" ht="12.75" hidden="1" customHeight="1" x14ac:dyDescent="0.2">
      <c r="A676" s="91">
        <v>744</v>
      </c>
      <c r="B676" s="231" t="s">
        <v>2094</v>
      </c>
      <c r="C676" s="261" t="s">
        <v>2095</v>
      </c>
      <c r="D676" s="231" t="s">
        <v>2096</v>
      </c>
      <c r="E676" s="3" t="s">
        <v>2053</v>
      </c>
      <c r="F676" s="26" t="s">
        <v>103</v>
      </c>
      <c r="G676" s="26" t="s">
        <v>56</v>
      </c>
      <c r="H676" s="26" t="s">
        <v>535</v>
      </c>
      <c r="J676" s="22">
        <v>0.5</v>
      </c>
      <c r="L676" s="28" t="s">
        <v>58</v>
      </c>
      <c r="M676" s="22" t="s">
        <v>78</v>
      </c>
      <c r="N676" s="22">
        <v>0</v>
      </c>
      <c r="O676" s="22" t="s">
        <v>60</v>
      </c>
      <c r="P676" s="22" t="s">
        <v>79</v>
      </c>
      <c r="S676" s="24">
        <v>2</v>
      </c>
      <c r="Z676" s="83" t="s">
        <v>63</v>
      </c>
      <c r="AA676" s="6">
        <v>4</v>
      </c>
      <c r="AB676" s="6">
        <v>0</v>
      </c>
      <c r="AC676" s="5">
        <v>22</v>
      </c>
      <c r="AD676" s="5" t="s">
        <v>80</v>
      </c>
      <c r="AE676" s="5" t="s">
        <v>116</v>
      </c>
      <c r="AI676" s="5">
        <v>20</v>
      </c>
      <c r="AJ676" s="5">
        <v>27</v>
      </c>
      <c r="AK676" s="6">
        <v>75.3</v>
      </c>
      <c r="AL676" s="6" t="s">
        <v>81</v>
      </c>
      <c r="AM676" s="6" t="s">
        <v>116</v>
      </c>
      <c r="AQ676" s="6">
        <v>68.5</v>
      </c>
      <c r="AR676" s="6">
        <v>79.400000000000006</v>
      </c>
      <c r="AS676" s="5">
        <v>176.3</v>
      </c>
      <c r="AT676" s="5" t="s">
        <v>119</v>
      </c>
      <c r="AU676" s="5" t="s">
        <v>116</v>
      </c>
      <c r="AY676" s="5">
        <v>173</v>
      </c>
      <c r="AZ676" s="5">
        <v>178</v>
      </c>
      <c r="BQ676" s="6" t="s">
        <v>121</v>
      </c>
      <c r="BT676" s="124"/>
    </row>
    <row r="677" spans="1:72" ht="12.75" hidden="1" customHeight="1" x14ac:dyDescent="0.2">
      <c r="A677" s="91">
        <v>745</v>
      </c>
      <c r="B677" s="231" t="s">
        <v>2094</v>
      </c>
      <c r="C677" s="261" t="s">
        <v>2095</v>
      </c>
      <c r="D677" s="231" t="s">
        <v>2097</v>
      </c>
      <c r="E677" s="3" t="s">
        <v>2053</v>
      </c>
      <c r="F677" s="26" t="s">
        <v>103</v>
      </c>
      <c r="G677" s="26" t="s">
        <v>56</v>
      </c>
      <c r="H677" s="26" t="s">
        <v>535</v>
      </c>
      <c r="J677" s="22">
        <v>2</v>
      </c>
      <c r="L677" s="28" t="s">
        <v>58</v>
      </c>
      <c r="M677" s="22" t="s">
        <v>78</v>
      </c>
      <c r="N677" s="22">
        <v>0</v>
      </c>
      <c r="O677" s="22" t="s">
        <v>60</v>
      </c>
      <c r="P677" s="22" t="s">
        <v>79</v>
      </c>
      <c r="S677" s="24">
        <v>2</v>
      </c>
      <c r="Z677" s="83" t="s">
        <v>63</v>
      </c>
      <c r="AA677" s="6">
        <v>4</v>
      </c>
      <c r="AB677" s="6">
        <v>0</v>
      </c>
      <c r="AC677" s="5">
        <v>22</v>
      </c>
      <c r="AD677" s="5" t="s">
        <v>80</v>
      </c>
      <c r="AE677" s="5" t="s">
        <v>116</v>
      </c>
      <c r="AI677" s="5">
        <v>20</v>
      </c>
      <c r="AJ677" s="5">
        <v>27</v>
      </c>
      <c r="AK677" s="6">
        <v>75.3</v>
      </c>
      <c r="AL677" s="6" t="s">
        <v>81</v>
      </c>
      <c r="AM677" s="6" t="s">
        <v>116</v>
      </c>
      <c r="AQ677" s="6">
        <v>68.5</v>
      </c>
      <c r="AR677" s="6">
        <v>79.400000000000006</v>
      </c>
      <c r="AS677" s="5">
        <v>176.3</v>
      </c>
      <c r="AT677" s="5" t="s">
        <v>119</v>
      </c>
      <c r="AU677" s="5" t="s">
        <v>116</v>
      </c>
      <c r="AY677" s="5">
        <v>173</v>
      </c>
      <c r="AZ677" s="5">
        <v>178</v>
      </c>
      <c r="BQ677" s="6" t="s">
        <v>121</v>
      </c>
    </row>
    <row r="678" spans="1:72" ht="12.75" hidden="1" customHeight="1" x14ac:dyDescent="0.2">
      <c r="A678" s="91">
        <v>746</v>
      </c>
      <c r="B678" s="231" t="s">
        <v>2094</v>
      </c>
      <c r="C678" s="261" t="s">
        <v>2095</v>
      </c>
      <c r="D678" s="231" t="s">
        <v>2098</v>
      </c>
      <c r="E678" s="3" t="s">
        <v>2053</v>
      </c>
      <c r="F678" s="26" t="s">
        <v>103</v>
      </c>
      <c r="G678" s="26" t="s">
        <v>56</v>
      </c>
      <c r="H678" s="26" t="s">
        <v>535</v>
      </c>
      <c r="J678" s="22">
        <v>1.5760000000000001</v>
      </c>
      <c r="L678" s="28" t="s">
        <v>58</v>
      </c>
      <c r="M678" s="22" t="s">
        <v>78</v>
      </c>
      <c r="N678" s="22" t="s">
        <v>2099</v>
      </c>
      <c r="O678" s="22" t="s">
        <v>953</v>
      </c>
      <c r="P678" s="22" t="s">
        <v>79</v>
      </c>
      <c r="S678" s="24" t="s">
        <v>2100</v>
      </c>
      <c r="Z678" s="83" t="s">
        <v>63</v>
      </c>
      <c r="AA678" s="6">
        <v>4</v>
      </c>
      <c r="AB678" s="6">
        <v>0</v>
      </c>
      <c r="AC678" s="5">
        <v>22</v>
      </c>
      <c r="AD678" s="5" t="s">
        <v>80</v>
      </c>
      <c r="AE678" s="5" t="s">
        <v>116</v>
      </c>
      <c r="AI678" s="5">
        <v>20</v>
      </c>
      <c r="AJ678" s="5">
        <v>27</v>
      </c>
      <c r="AK678" s="6">
        <v>75.3</v>
      </c>
      <c r="AL678" s="6" t="s">
        <v>81</v>
      </c>
      <c r="AM678" s="6" t="s">
        <v>116</v>
      </c>
      <c r="AQ678" s="6">
        <v>68.5</v>
      </c>
      <c r="AR678" s="6">
        <v>79.400000000000006</v>
      </c>
      <c r="AS678" s="5">
        <v>176.3</v>
      </c>
      <c r="AT678" s="5" t="s">
        <v>119</v>
      </c>
      <c r="AU678" s="5" t="s">
        <v>116</v>
      </c>
      <c r="AY678" s="5">
        <v>173</v>
      </c>
      <c r="AZ678" s="5">
        <v>178</v>
      </c>
      <c r="BQ678" s="6" t="s">
        <v>121</v>
      </c>
    </row>
    <row r="679" spans="1:72" hidden="1" x14ac:dyDescent="0.2">
      <c r="A679" s="91">
        <v>747</v>
      </c>
      <c r="B679" s="231" t="s">
        <v>2101</v>
      </c>
      <c r="C679" s="261" t="s">
        <v>2102</v>
      </c>
      <c r="D679" s="231" t="s">
        <v>2103</v>
      </c>
      <c r="E679" s="3" t="s">
        <v>2053</v>
      </c>
      <c r="F679" s="26" t="s">
        <v>103</v>
      </c>
      <c r="G679" s="26" t="s">
        <v>56</v>
      </c>
      <c r="H679" s="26" t="s">
        <v>57</v>
      </c>
      <c r="J679" s="22">
        <v>0.5</v>
      </c>
      <c r="L679" s="28" t="s">
        <v>58</v>
      </c>
      <c r="M679" s="22" t="s">
        <v>78</v>
      </c>
      <c r="N679" s="22">
        <v>0</v>
      </c>
      <c r="O679" s="22" t="s">
        <v>60</v>
      </c>
      <c r="P679" s="22" t="s">
        <v>79</v>
      </c>
      <c r="S679" s="24">
        <v>1</v>
      </c>
      <c r="U679" s="23" t="s">
        <v>2104</v>
      </c>
      <c r="V679" s="25" t="s">
        <v>62</v>
      </c>
      <c r="W679" s="65">
        <v>12</v>
      </c>
      <c r="X679" s="106">
        <v>4</v>
      </c>
      <c r="Z679" s="83" t="s">
        <v>63</v>
      </c>
      <c r="AA679" s="6">
        <v>14</v>
      </c>
      <c r="AB679" s="6">
        <v>0</v>
      </c>
      <c r="AC679" s="5">
        <v>25.1</v>
      </c>
      <c r="AD679" s="5" t="s">
        <v>80</v>
      </c>
      <c r="AE679" s="5" t="s">
        <v>116</v>
      </c>
      <c r="AF679" s="5">
        <v>5.84</v>
      </c>
      <c r="AG679" s="5" t="s">
        <v>80</v>
      </c>
      <c r="AH679" s="5" t="s">
        <v>117</v>
      </c>
      <c r="AK679" s="6">
        <v>77.099999999999994</v>
      </c>
      <c r="AL679" s="6" t="s">
        <v>81</v>
      </c>
      <c r="AM679" s="6" t="s">
        <v>116</v>
      </c>
      <c r="AN679" s="6">
        <v>10.75</v>
      </c>
      <c r="AO679" s="6" t="s">
        <v>81</v>
      </c>
      <c r="AP679" s="6" t="s">
        <v>117</v>
      </c>
      <c r="AS679" s="5">
        <v>177.8</v>
      </c>
      <c r="AT679" s="5" t="s">
        <v>119</v>
      </c>
      <c r="AU679" s="5" t="s">
        <v>116</v>
      </c>
      <c r="AV679" s="5">
        <v>4.66</v>
      </c>
      <c r="AW679" s="5" t="s">
        <v>119</v>
      </c>
      <c r="AX679" s="5" t="s">
        <v>117</v>
      </c>
      <c r="BQ679" s="6" t="s">
        <v>2105</v>
      </c>
    </row>
    <row r="680" spans="1:72" ht="12.75" hidden="1" customHeight="1" x14ac:dyDescent="0.2">
      <c r="A680" s="91">
        <v>748</v>
      </c>
      <c r="B680" s="231" t="s">
        <v>2101</v>
      </c>
      <c r="C680" s="261" t="s">
        <v>2102</v>
      </c>
      <c r="D680" s="231" t="s">
        <v>2106</v>
      </c>
      <c r="E680" s="3" t="s">
        <v>2053</v>
      </c>
      <c r="F680" s="26" t="s">
        <v>103</v>
      </c>
      <c r="G680" s="26" t="s">
        <v>56</v>
      </c>
      <c r="H680" s="26" t="s">
        <v>66</v>
      </c>
      <c r="J680" s="22">
        <v>0.5</v>
      </c>
      <c r="L680" s="28" t="s">
        <v>58</v>
      </c>
      <c r="M680" s="22" t="s">
        <v>59</v>
      </c>
      <c r="N680" s="22">
        <v>0</v>
      </c>
      <c r="O680" s="22" t="s">
        <v>60</v>
      </c>
      <c r="P680" s="22" t="s">
        <v>79</v>
      </c>
      <c r="R680" s="23" t="s">
        <v>2065</v>
      </c>
      <c r="T680" s="23">
        <v>180</v>
      </c>
      <c r="V680" s="25" t="s">
        <v>62</v>
      </c>
      <c r="W680" s="65">
        <v>12</v>
      </c>
      <c r="X680" s="106">
        <v>4</v>
      </c>
      <c r="Z680" s="83" t="s">
        <v>63</v>
      </c>
      <c r="AA680" s="6">
        <v>14</v>
      </c>
      <c r="AB680" s="6">
        <v>0</v>
      </c>
      <c r="AC680" s="5">
        <v>25.1</v>
      </c>
      <c r="AD680" s="5" t="s">
        <v>80</v>
      </c>
      <c r="AE680" s="5" t="s">
        <v>116</v>
      </c>
      <c r="AF680" s="5">
        <v>5.84</v>
      </c>
      <c r="AG680" s="5" t="s">
        <v>80</v>
      </c>
      <c r="AH680" s="5" t="s">
        <v>117</v>
      </c>
      <c r="AK680" s="6">
        <v>77.099999999999994</v>
      </c>
      <c r="AL680" s="6" t="s">
        <v>81</v>
      </c>
      <c r="AM680" s="6" t="s">
        <v>116</v>
      </c>
      <c r="AN680" s="6">
        <v>10.75</v>
      </c>
      <c r="AO680" s="6" t="s">
        <v>81</v>
      </c>
      <c r="AP680" s="6" t="s">
        <v>117</v>
      </c>
      <c r="AS680" s="5">
        <v>177.8</v>
      </c>
      <c r="AT680" s="5" t="s">
        <v>119</v>
      </c>
      <c r="AU680" s="5" t="s">
        <v>116</v>
      </c>
      <c r="AV680" s="5">
        <v>4.66</v>
      </c>
      <c r="AW680" s="5" t="s">
        <v>119</v>
      </c>
      <c r="AX680" s="5" t="s">
        <v>117</v>
      </c>
      <c r="BQ680" s="6" t="s">
        <v>2105</v>
      </c>
    </row>
    <row r="681" spans="1:72" hidden="1" x14ac:dyDescent="0.2">
      <c r="A681" s="91">
        <v>749</v>
      </c>
      <c r="B681" s="231" t="s">
        <v>2107</v>
      </c>
      <c r="C681" s="261" t="s">
        <v>2108</v>
      </c>
      <c r="D681" s="231" t="s">
        <v>2109</v>
      </c>
      <c r="E681" s="3" t="s">
        <v>2053</v>
      </c>
      <c r="F681" s="26" t="s">
        <v>103</v>
      </c>
      <c r="G681" s="26" t="s">
        <v>56</v>
      </c>
      <c r="H681" s="26" t="s">
        <v>57</v>
      </c>
      <c r="J681" s="22">
        <v>1</v>
      </c>
      <c r="L681" s="28" t="s">
        <v>58</v>
      </c>
      <c r="M681" s="22" t="s">
        <v>59</v>
      </c>
      <c r="N681" s="22">
        <v>0</v>
      </c>
      <c r="O681" s="22" t="s">
        <v>60</v>
      </c>
      <c r="P681" s="22" t="s">
        <v>79</v>
      </c>
      <c r="R681" s="23" t="s">
        <v>2110</v>
      </c>
      <c r="V681" s="25" t="s">
        <v>62</v>
      </c>
      <c r="W681" s="65" t="s">
        <v>1976</v>
      </c>
      <c r="X681" s="106">
        <v>4</v>
      </c>
      <c r="Z681" s="83" t="s">
        <v>63</v>
      </c>
      <c r="AA681" s="6">
        <v>9</v>
      </c>
      <c r="AD681" s="5" t="s">
        <v>80</v>
      </c>
      <c r="AI681" s="5">
        <v>22</v>
      </c>
      <c r="AJ681" s="5">
        <v>55</v>
      </c>
      <c r="BQ681" s="6" t="s">
        <v>195</v>
      </c>
    </row>
    <row r="682" spans="1:72" hidden="1" x14ac:dyDescent="0.2">
      <c r="A682" s="91">
        <v>750</v>
      </c>
      <c r="B682" s="231" t="s">
        <v>2111</v>
      </c>
      <c r="C682" s="261" t="s">
        <v>2112</v>
      </c>
      <c r="D682" s="231" t="s">
        <v>2113</v>
      </c>
      <c r="E682" s="3" t="s">
        <v>2053</v>
      </c>
      <c r="F682" s="26" t="s">
        <v>103</v>
      </c>
      <c r="G682" s="26" t="s">
        <v>56</v>
      </c>
      <c r="H682" s="26" t="s">
        <v>57</v>
      </c>
      <c r="J682" s="22">
        <v>0.5</v>
      </c>
      <c r="L682" s="28" t="s">
        <v>58</v>
      </c>
      <c r="M682" s="22" t="s">
        <v>59</v>
      </c>
      <c r="N682" s="22">
        <v>0</v>
      </c>
      <c r="O682" s="22" t="s">
        <v>60</v>
      </c>
      <c r="P682" s="22" t="s">
        <v>79</v>
      </c>
      <c r="R682" s="23" t="s">
        <v>2065</v>
      </c>
      <c r="T682" s="23">
        <v>60</v>
      </c>
      <c r="V682" s="25" t="s">
        <v>62</v>
      </c>
      <c r="W682" s="65" t="s">
        <v>1976</v>
      </c>
      <c r="Z682" s="83" t="s">
        <v>63</v>
      </c>
      <c r="AA682" s="6">
        <v>12</v>
      </c>
      <c r="AB682" s="6">
        <v>0</v>
      </c>
      <c r="AC682" s="5">
        <v>22.3</v>
      </c>
      <c r="AD682" s="5" t="s">
        <v>80</v>
      </c>
      <c r="AE682" s="5" t="s">
        <v>116</v>
      </c>
      <c r="AF682" s="5">
        <v>1</v>
      </c>
      <c r="AG682" s="5" t="s">
        <v>80</v>
      </c>
      <c r="AH682" s="5" t="s">
        <v>117</v>
      </c>
      <c r="AK682" s="6">
        <v>80.400000000000006</v>
      </c>
      <c r="AL682" s="6" t="s">
        <v>81</v>
      </c>
      <c r="AM682" s="6" t="s">
        <v>116</v>
      </c>
      <c r="AN682" s="6">
        <v>7.1</v>
      </c>
      <c r="AO682" s="6" t="s">
        <v>81</v>
      </c>
      <c r="AP682" s="6" t="s">
        <v>117</v>
      </c>
      <c r="BQ682" s="6" t="s">
        <v>121</v>
      </c>
    </row>
    <row r="683" spans="1:72" hidden="1" x14ac:dyDescent="0.2">
      <c r="A683" s="91">
        <v>751</v>
      </c>
      <c r="B683" s="231" t="s">
        <v>2111</v>
      </c>
      <c r="C683" s="261" t="s">
        <v>2112</v>
      </c>
      <c r="D683" s="231" t="s">
        <v>2114</v>
      </c>
      <c r="E683" s="3" t="s">
        <v>2053</v>
      </c>
      <c r="F683" s="26" t="s">
        <v>103</v>
      </c>
      <c r="G683" s="26" t="s">
        <v>56</v>
      </c>
      <c r="H683" s="26" t="s">
        <v>57</v>
      </c>
      <c r="J683" s="22">
        <v>2</v>
      </c>
      <c r="L683" s="28" t="s">
        <v>58</v>
      </c>
      <c r="M683" s="22" t="s">
        <v>59</v>
      </c>
      <c r="N683" s="22">
        <v>0</v>
      </c>
      <c r="O683" s="22" t="s">
        <v>60</v>
      </c>
      <c r="P683" s="22" t="s">
        <v>79</v>
      </c>
      <c r="R683" s="23" t="s">
        <v>2065</v>
      </c>
      <c r="T683" s="23">
        <v>60</v>
      </c>
      <c r="V683" s="25" t="s">
        <v>62</v>
      </c>
      <c r="W683" s="65" t="s">
        <v>1976</v>
      </c>
      <c r="Z683" s="83" t="s">
        <v>63</v>
      </c>
      <c r="AA683" s="6">
        <v>12</v>
      </c>
      <c r="AB683" s="6">
        <v>0</v>
      </c>
      <c r="AC683" s="5">
        <v>22.3</v>
      </c>
      <c r="AD683" s="5" t="s">
        <v>80</v>
      </c>
      <c r="AE683" s="5" t="s">
        <v>116</v>
      </c>
      <c r="AF683" s="5">
        <v>1</v>
      </c>
      <c r="AG683" s="5" t="s">
        <v>80</v>
      </c>
      <c r="AH683" s="5" t="s">
        <v>117</v>
      </c>
      <c r="AK683" s="6">
        <v>80.400000000000006</v>
      </c>
      <c r="AL683" s="6" t="s">
        <v>81</v>
      </c>
      <c r="AM683" s="6" t="s">
        <v>116</v>
      </c>
      <c r="AN683" s="6">
        <v>7.1</v>
      </c>
      <c r="AO683" s="6" t="s">
        <v>81</v>
      </c>
      <c r="AP683" s="6" t="s">
        <v>117</v>
      </c>
      <c r="BQ683" s="6" t="s">
        <v>121</v>
      </c>
    </row>
    <row r="684" spans="1:72" hidden="1" x14ac:dyDescent="0.2">
      <c r="A684" s="91">
        <v>752</v>
      </c>
      <c r="B684" s="231" t="s">
        <v>2115</v>
      </c>
      <c r="C684" s="261" t="s">
        <v>2116</v>
      </c>
      <c r="D684" s="231" t="s">
        <v>2009</v>
      </c>
      <c r="E684" s="3" t="s">
        <v>2053</v>
      </c>
      <c r="F684" s="26" t="s">
        <v>103</v>
      </c>
      <c r="G684" s="26" t="s">
        <v>56</v>
      </c>
      <c r="H684" s="26" t="s">
        <v>57</v>
      </c>
      <c r="J684" s="22">
        <v>1</v>
      </c>
      <c r="L684" s="28" t="s">
        <v>58</v>
      </c>
      <c r="M684" s="22" t="s">
        <v>78</v>
      </c>
      <c r="N684" s="22">
        <v>0</v>
      </c>
      <c r="O684" s="22" t="s">
        <v>60</v>
      </c>
      <c r="P684" s="22" t="s">
        <v>79</v>
      </c>
      <c r="S684" s="24">
        <v>1</v>
      </c>
      <c r="V684" s="25" t="s">
        <v>62</v>
      </c>
      <c r="W684" s="65">
        <v>12</v>
      </c>
      <c r="X684" s="106">
        <v>4</v>
      </c>
      <c r="Z684" s="83" t="s">
        <v>63</v>
      </c>
      <c r="AA684" s="6">
        <v>6</v>
      </c>
      <c r="AB684" s="6">
        <v>0</v>
      </c>
      <c r="BQ684" s="6" t="s">
        <v>121</v>
      </c>
    </row>
    <row r="685" spans="1:72" ht="12.75" hidden="1" customHeight="1" x14ac:dyDescent="0.2">
      <c r="A685" s="91">
        <v>753</v>
      </c>
      <c r="B685" s="231" t="s">
        <v>2115</v>
      </c>
      <c r="C685" s="261" t="s">
        <v>2116</v>
      </c>
      <c r="D685" s="231" t="s">
        <v>2011</v>
      </c>
      <c r="E685" s="3" t="s">
        <v>2053</v>
      </c>
      <c r="F685" s="26" t="s">
        <v>103</v>
      </c>
      <c r="G685" s="26" t="s">
        <v>56</v>
      </c>
      <c r="H685" s="26" t="s">
        <v>57</v>
      </c>
      <c r="J685" s="22">
        <v>1</v>
      </c>
      <c r="L685" s="28" t="s">
        <v>58</v>
      </c>
      <c r="M685" s="22" t="s">
        <v>59</v>
      </c>
      <c r="N685" s="22">
        <v>0</v>
      </c>
      <c r="O685" s="22" t="s">
        <v>60</v>
      </c>
      <c r="P685" s="22" t="s">
        <v>79</v>
      </c>
      <c r="T685" s="23">
        <v>180</v>
      </c>
      <c r="V685" s="25" t="s">
        <v>62</v>
      </c>
      <c r="W685" s="65">
        <v>12</v>
      </c>
      <c r="X685" s="106">
        <v>4</v>
      </c>
      <c r="Z685" s="83" t="s">
        <v>63</v>
      </c>
      <c r="AA685" s="6">
        <v>6</v>
      </c>
      <c r="AB685" s="6">
        <v>0</v>
      </c>
      <c r="BQ685" s="6" t="s">
        <v>121</v>
      </c>
    </row>
    <row r="686" spans="1:72" hidden="1" x14ac:dyDescent="0.2">
      <c r="A686" s="91">
        <v>754</v>
      </c>
      <c r="B686" s="231" t="s">
        <v>2117</v>
      </c>
      <c r="C686" s="261" t="s">
        <v>2118</v>
      </c>
      <c r="D686" s="231" t="s">
        <v>1973</v>
      </c>
      <c r="E686" s="3" t="s">
        <v>2053</v>
      </c>
      <c r="F686" s="26" t="s">
        <v>103</v>
      </c>
      <c r="G686" s="26" t="s">
        <v>56</v>
      </c>
      <c r="H686" s="26" t="s">
        <v>57</v>
      </c>
      <c r="J686" s="22">
        <v>1</v>
      </c>
      <c r="L686" s="28" t="s">
        <v>58</v>
      </c>
      <c r="M686" s="22" t="s">
        <v>59</v>
      </c>
      <c r="N686" s="22">
        <v>0</v>
      </c>
      <c r="O686" s="22" t="s">
        <v>60</v>
      </c>
      <c r="P686" s="22" t="s">
        <v>79</v>
      </c>
      <c r="R686" s="23" t="s">
        <v>2119</v>
      </c>
      <c r="V686" s="25" t="s">
        <v>62</v>
      </c>
      <c r="W686" s="65" t="s">
        <v>1976</v>
      </c>
      <c r="X686" s="106">
        <v>2</v>
      </c>
      <c r="Z686" s="83" t="s">
        <v>63</v>
      </c>
      <c r="AA686" s="6">
        <v>12</v>
      </c>
      <c r="AB686" s="6">
        <v>6</v>
      </c>
      <c r="AC686" s="5">
        <v>32</v>
      </c>
      <c r="AD686" s="5" t="s">
        <v>80</v>
      </c>
      <c r="AE686" s="5" t="s">
        <v>116</v>
      </c>
      <c r="AI686" s="5">
        <v>27</v>
      </c>
      <c r="AJ686" s="5">
        <v>53</v>
      </c>
      <c r="BA686" s="6">
        <v>22.4</v>
      </c>
      <c r="BB686" s="6" t="s">
        <v>367</v>
      </c>
      <c r="BC686" s="6" t="s">
        <v>116</v>
      </c>
      <c r="BG686" s="6">
        <v>19.3</v>
      </c>
      <c r="BH686" s="6">
        <v>25.9</v>
      </c>
      <c r="BQ686" s="6" t="s">
        <v>1882</v>
      </c>
    </row>
    <row r="687" spans="1:72" ht="12.75" hidden="1" customHeight="1" x14ac:dyDescent="0.2">
      <c r="A687" s="91">
        <v>755</v>
      </c>
      <c r="B687" s="231" t="s">
        <v>2120</v>
      </c>
      <c r="C687" s="261" t="s">
        <v>2121</v>
      </c>
      <c r="D687" s="231" t="s">
        <v>2053</v>
      </c>
      <c r="E687" s="3" t="s">
        <v>2053</v>
      </c>
      <c r="F687" s="26" t="s">
        <v>103</v>
      </c>
      <c r="G687" s="26" t="s">
        <v>56</v>
      </c>
      <c r="H687" s="26" t="s">
        <v>57</v>
      </c>
      <c r="J687" s="22">
        <v>1</v>
      </c>
      <c r="L687" s="28" t="s">
        <v>58</v>
      </c>
      <c r="M687" s="22" t="s">
        <v>78</v>
      </c>
      <c r="N687" s="22">
        <v>0</v>
      </c>
      <c r="O687" s="22" t="s">
        <v>60</v>
      </c>
      <c r="P687" s="22" t="s">
        <v>79</v>
      </c>
      <c r="S687" s="24">
        <v>30</v>
      </c>
      <c r="U687" s="23" t="s">
        <v>2122</v>
      </c>
      <c r="V687" s="25" t="s">
        <v>62</v>
      </c>
      <c r="W687" s="65">
        <v>2</v>
      </c>
      <c r="X687" s="106">
        <v>3</v>
      </c>
      <c r="Y687" s="25" t="s">
        <v>2123</v>
      </c>
      <c r="Z687" s="83" t="s">
        <v>63</v>
      </c>
      <c r="AA687" s="6">
        <v>9</v>
      </c>
      <c r="AB687" s="6">
        <v>0</v>
      </c>
      <c r="AC687" s="5">
        <v>29</v>
      </c>
      <c r="AD687" s="5" t="s">
        <v>80</v>
      </c>
      <c r="AE687" s="5" t="s">
        <v>116</v>
      </c>
      <c r="AI687" s="5">
        <v>20</v>
      </c>
      <c r="AJ687" s="5">
        <v>40</v>
      </c>
      <c r="AK687" s="6">
        <v>80</v>
      </c>
      <c r="AL687" s="6" t="s">
        <v>81</v>
      </c>
      <c r="AM687" s="6" t="s">
        <v>116</v>
      </c>
      <c r="BQ687" s="6" t="s">
        <v>2105</v>
      </c>
    </row>
    <row r="688" spans="1:72" ht="12.75" hidden="1" customHeight="1" x14ac:dyDescent="0.2">
      <c r="A688" s="91">
        <v>756</v>
      </c>
      <c r="B688" s="231" t="s">
        <v>2124</v>
      </c>
      <c r="C688" s="261" t="s">
        <v>2125</v>
      </c>
      <c r="D688" s="231" t="s">
        <v>2126</v>
      </c>
      <c r="E688" s="3" t="s">
        <v>2053</v>
      </c>
      <c r="F688" s="26" t="s">
        <v>71</v>
      </c>
      <c r="G688" s="26" t="s">
        <v>56</v>
      </c>
      <c r="H688" s="26" t="s">
        <v>1967</v>
      </c>
      <c r="J688" s="22">
        <v>2</v>
      </c>
      <c r="L688" s="28" t="s">
        <v>58</v>
      </c>
      <c r="M688" s="22" t="s">
        <v>59</v>
      </c>
      <c r="N688" s="22">
        <v>0</v>
      </c>
      <c r="O688" s="22" t="s">
        <v>60</v>
      </c>
      <c r="P688" s="22" t="s">
        <v>79</v>
      </c>
      <c r="Q688" s="23" t="s">
        <v>2126</v>
      </c>
      <c r="Z688" s="83" t="s">
        <v>63</v>
      </c>
      <c r="AA688" s="6">
        <v>6</v>
      </c>
      <c r="AB688" s="6">
        <v>0</v>
      </c>
      <c r="BQ688" s="6" t="s">
        <v>121</v>
      </c>
    </row>
    <row r="689" spans="1:70" ht="12.75" hidden="1" customHeight="1" x14ac:dyDescent="0.2">
      <c r="A689" s="91">
        <v>757</v>
      </c>
      <c r="B689" s="231" t="s">
        <v>2025</v>
      </c>
      <c r="C689" s="265" t="s">
        <v>2026</v>
      </c>
      <c r="D689" s="231" t="s">
        <v>2127</v>
      </c>
      <c r="E689" s="3" t="s">
        <v>1974</v>
      </c>
      <c r="F689" s="26" t="s">
        <v>103</v>
      </c>
      <c r="G689" s="26" t="s">
        <v>56</v>
      </c>
      <c r="H689" s="26" t="s">
        <v>57</v>
      </c>
      <c r="J689" s="22">
        <v>0.5</v>
      </c>
      <c r="L689" s="28" t="s">
        <v>58</v>
      </c>
      <c r="M689" s="22" t="s">
        <v>59</v>
      </c>
      <c r="N689" s="22">
        <v>64</v>
      </c>
      <c r="O689" s="22" t="s">
        <v>60</v>
      </c>
      <c r="P689" s="22" t="s">
        <v>79</v>
      </c>
      <c r="R689" s="23" t="s">
        <v>1980</v>
      </c>
      <c r="V689" s="25" t="s">
        <v>62</v>
      </c>
      <c r="W689" s="65">
        <v>3</v>
      </c>
      <c r="X689" s="106">
        <v>2</v>
      </c>
      <c r="Z689" s="83" t="s">
        <v>63</v>
      </c>
      <c r="AA689" s="6">
        <v>16</v>
      </c>
      <c r="AB689" s="6">
        <v>0</v>
      </c>
      <c r="AC689" s="5">
        <v>24.1</v>
      </c>
      <c r="AD689" s="5" t="s">
        <v>80</v>
      </c>
      <c r="AE689" s="5" t="s">
        <v>116</v>
      </c>
      <c r="AI689" s="5">
        <v>19</v>
      </c>
      <c r="AJ689" s="5">
        <v>42</v>
      </c>
      <c r="AK689" s="6">
        <v>78.3</v>
      </c>
      <c r="AL689" s="6" t="s">
        <v>81</v>
      </c>
      <c r="AM689" s="6" t="s">
        <v>116</v>
      </c>
      <c r="AQ689" s="6">
        <v>70</v>
      </c>
      <c r="AR689" s="6">
        <v>96.4</v>
      </c>
      <c r="BQ689" s="6" t="s">
        <v>121</v>
      </c>
    </row>
    <row r="690" spans="1:70" ht="12.75" hidden="1" customHeight="1" x14ac:dyDescent="0.2">
      <c r="A690" s="91">
        <v>758</v>
      </c>
      <c r="B690" s="231" t="s">
        <v>2129</v>
      </c>
      <c r="C690" s="261" t="s">
        <v>2130</v>
      </c>
      <c r="D690" s="231" t="s">
        <v>2131</v>
      </c>
      <c r="E690" s="3" t="s">
        <v>339</v>
      </c>
      <c r="F690" s="26" t="s">
        <v>103</v>
      </c>
      <c r="G690" s="26" t="s">
        <v>56</v>
      </c>
      <c r="H690" s="26" t="s">
        <v>57</v>
      </c>
      <c r="J690" s="22">
        <v>0.05</v>
      </c>
      <c r="L690" s="28" t="s">
        <v>107</v>
      </c>
      <c r="M690" s="22" t="s">
        <v>78</v>
      </c>
      <c r="N690" s="22">
        <v>0</v>
      </c>
      <c r="O690" s="22" t="s">
        <v>60</v>
      </c>
      <c r="P690" s="22" t="s">
        <v>79</v>
      </c>
      <c r="Q690" s="23" t="s">
        <v>339</v>
      </c>
      <c r="Z690" s="83" t="s">
        <v>63</v>
      </c>
      <c r="AA690" s="6">
        <v>10</v>
      </c>
      <c r="AC690" s="5">
        <v>45</v>
      </c>
      <c r="AD690" s="5" t="s">
        <v>80</v>
      </c>
      <c r="AE690" s="5" t="s">
        <v>116</v>
      </c>
      <c r="AF690" s="5">
        <v>13</v>
      </c>
      <c r="AG690" s="5" t="s">
        <v>80</v>
      </c>
      <c r="AH690" s="5" t="s">
        <v>117</v>
      </c>
      <c r="AI690" s="5">
        <v>24</v>
      </c>
      <c r="AJ690" s="5">
        <v>66</v>
      </c>
      <c r="AK690" s="6">
        <v>59</v>
      </c>
      <c r="AL690" s="6" t="s">
        <v>81</v>
      </c>
      <c r="AM690" s="6" t="s">
        <v>116</v>
      </c>
      <c r="AN690" s="6">
        <v>14</v>
      </c>
      <c r="AO690" s="6" t="s">
        <v>81</v>
      </c>
      <c r="AP690" s="6" t="s">
        <v>117</v>
      </c>
      <c r="AQ690" s="6">
        <v>34</v>
      </c>
      <c r="AR690" s="6">
        <v>84</v>
      </c>
      <c r="BQ690" s="6" t="s">
        <v>184</v>
      </c>
    </row>
    <row r="691" spans="1:70" ht="12.75" hidden="1" customHeight="1" x14ac:dyDescent="0.2">
      <c r="A691" s="91">
        <v>759</v>
      </c>
      <c r="B691" s="231" t="s">
        <v>2129</v>
      </c>
      <c r="C691" s="261" t="s">
        <v>2130</v>
      </c>
      <c r="D691" s="231" t="s">
        <v>2132</v>
      </c>
      <c r="E691" s="3" t="s">
        <v>339</v>
      </c>
      <c r="F691" s="26" t="s">
        <v>103</v>
      </c>
      <c r="G691" s="26" t="s">
        <v>56</v>
      </c>
      <c r="H691" s="26" t="s">
        <v>57</v>
      </c>
      <c r="J691" s="22">
        <v>0.05</v>
      </c>
      <c r="L691" s="28" t="s">
        <v>107</v>
      </c>
      <c r="M691" s="22" t="s">
        <v>78</v>
      </c>
      <c r="N691" s="22">
        <v>0</v>
      </c>
      <c r="O691" s="22" t="s">
        <v>60</v>
      </c>
      <c r="P691" s="22" t="s">
        <v>79</v>
      </c>
      <c r="Q691" s="23" t="s">
        <v>339</v>
      </c>
      <c r="Z691" s="83" t="s">
        <v>63</v>
      </c>
      <c r="AA691" s="6">
        <v>11</v>
      </c>
      <c r="AC691" s="5">
        <v>56</v>
      </c>
      <c r="AD691" s="5" t="s">
        <v>80</v>
      </c>
      <c r="AE691" s="5" t="s">
        <v>116</v>
      </c>
      <c r="AF691" s="5">
        <v>13</v>
      </c>
      <c r="AG691" s="5" t="s">
        <v>80</v>
      </c>
      <c r="AH691" s="5" t="s">
        <v>117</v>
      </c>
      <c r="AI691" s="5">
        <v>39</v>
      </c>
      <c r="AJ691" s="5">
        <v>69</v>
      </c>
      <c r="AK691" s="6">
        <v>60</v>
      </c>
      <c r="AL691" s="6" t="s">
        <v>81</v>
      </c>
      <c r="AM691" s="6" t="s">
        <v>116</v>
      </c>
      <c r="AN691" s="6">
        <v>9</v>
      </c>
      <c r="AO691" s="6" t="s">
        <v>81</v>
      </c>
      <c r="AP691" s="6" t="s">
        <v>117</v>
      </c>
      <c r="AQ691" s="6">
        <v>43</v>
      </c>
      <c r="AR691" s="6">
        <v>73</v>
      </c>
      <c r="BQ691" s="6" t="s">
        <v>184</v>
      </c>
    </row>
    <row r="692" spans="1:70" hidden="1" x14ac:dyDescent="0.2">
      <c r="A692" s="91">
        <v>760</v>
      </c>
      <c r="B692" s="231" t="s">
        <v>2133</v>
      </c>
      <c r="C692" s="261" t="s">
        <v>2134</v>
      </c>
      <c r="D692" s="231" t="s">
        <v>2135</v>
      </c>
      <c r="E692" s="3" t="s">
        <v>339</v>
      </c>
      <c r="F692" s="26" t="s">
        <v>103</v>
      </c>
      <c r="G692" s="26" t="s">
        <v>56</v>
      </c>
      <c r="H692" s="26" t="s">
        <v>535</v>
      </c>
      <c r="J692" s="22">
        <v>1</v>
      </c>
      <c r="L692" s="28" t="s">
        <v>58</v>
      </c>
      <c r="M692" s="22" t="s">
        <v>78</v>
      </c>
      <c r="N692" s="22">
        <v>0</v>
      </c>
      <c r="O692" s="22" t="s">
        <v>60</v>
      </c>
      <c r="P692" s="22" t="s">
        <v>79</v>
      </c>
      <c r="Q692" s="23" t="s">
        <v>339</v>
      </c>
      <c r="S692" s="24" t="s">
        <v>2136</v>
      </c>
      <c r="Z692" s="83" t="s">
        <v>63</v>
      </c>
      <c r="AA692" s="6">
        <v>6</v>
      </c>
      <c r="AB692" s="6">
        <v>3</v>
      </c>
      <c r="AC692" s="5">
        <v>28</v>
      </c>
      <c r="AD692" s="5" t="s">
        <v>80</v>
      </c>
      <c r="AE692" s="5" t="s">
        <v>116</v>
      </c>
      <c r="AF692" s="5">
        <v>6</v>
      </c>
      <c r="AG692" s="5" t="s">
        <v>80</v>
      </c>
      <c r="AH692" s="5" t="s">
        <v>117</v>
      </c>
      <c r="AI692" s="5">
        <v>21</v>
      </c>
      <c r="AJ692" s="5">
        <v>33</v>
      </c>
      <c r="AK692" s="6">
        <v>79</v>
      </c>
      <c r="AL692" s="6" t="s">
        <v>81</v>
      </c>
      <c r="AM692" s="6" t="s">
        <v>116</v>
      </c>
      <c r="AN692" s="6">
        <v>17</v>
      </c>
      <c r="AO692" s="6" t="s">
        <v>81</v>
      </c>
      <c r="AP692" s="6" t="s">
        <v>117</v>
      </c>
      <c r="AQ692" s="6">
        <v>63</v>
      </c>
      <c r="AR692" s="6">
        <v>106</v>
      </c>
    </row>
    <row r="693" spans="1:70" hidden="1" x14ac:dyDescent="0.2">
      <c r="A693" s="91">
        <v>761</v>
      </c>
      <c r="B693" s="231" t="s">
        <v>2133</v>
      </c>
      <c r="C693" s="261" t="s">
        <v>2134</v>
      </c>
      <c r="D693" s="231" t="s">
        <v>2137</v>
      </c>
      <c r="E693" s="3" t="s">
        <v>339</v>
      </c>
      <c r="F693" s="26" t="s">
        <v>103</v>
      </c>
      <c r="G693" s="26" t="s">
        <v>56</v>
      </c>
      <c r="H693" s="26" t="s">
        <v>535</v>
      </c>
      <c r="J693" s="22">
        <v>1</v>
      </c>
      <c r="L693" s="28" t="s">
        <v>58</v>
      </c>
      <c r="M693" s="22" t="s">
        <v>78</v>
      </c>
      <c r="N693" s="22">
        <v>0</v>
      </c>
      <c r="O693" s="22" t="s">
        <v>60</v>
      </c>
      <c r="P693" s="22" t="s">
        <v>79</v>
      </c>
      <c r="Q693" s="23" t="s">
        <v>339</v>
      </c>
      <c r="S693" s="24" t="s">
        <v>2136</v>
      </c>
      <c r="Z693" s="83" t="s">
        <v>63</v>
      </c>
      <c r="AA693" s="6">
        <v>6</v>
      </c>
      <c r="AB693" s="6">
        <v>3</v>
      </c>
      <c r="AC693" s="5">
        <v>28</v>
      </c>
      <c r="AD693" s="5" t="s">
        <v>80</v>
      </c>
      <c r="AE693" s="5" t="s">
        <v>116</v>
      </c>
      <c r="AF693" s="5">
        <v>6</v>
      </c>
      <c r="AG693" s="5" t="s">
        <v>80</v>
      </c>
      <c r="AH693" s="5" t="s">
        <v>117</v>
      </c>
      <c r="AI693" s="5">
        <v>21</v>
      </c>
      <c r="AJ693" s="5">
        <v>33</v>
      </c>
      <c r="AK693" s="6">
        <v>79</v>
      </c>
      <c r="AL693" s="6" t="s">
        <v>81</v>
      </c>
      <c r="AM693" s="6" t="s">
        <v>116</v>
      </c>
      <c r="AN693" s="6">
        <v>17</v>
      </c>
      <c r="AO693" s="6" t="s">
        <v>81</v>
      </c>
      <c r="AP693" s="6" t="s">
        <v>117</v>
      </c>
      <c r="AQ693" s="6">
        <v>63</v>
      </c>
      <c r="AR693" s="6">
        <v>106</v>
      </c>
    </row>
    <row r="694" spans="1:70" hidden="1" x14ac:dyDescent="0.2">
      <c r="A694" s="91">
        <v>762</v>
      </c>
      <c r="B694" s="231" t="s">
        <v>2133</v>
      </c>
      <c r="C694" s="261" t="s">
        <v>2134</v>
      </c>
      <c r="D694" s="231" t="s">
        <v>2138</v>
      </c>
      <c r="E694" s="3" t="s">
        <v>339</v>
      </c>
      <c r="F694" s="26" t="s">
        <v>103</v>
      </c>
      <c r="G694" s="26" t="s">
        <v>56</v>
      </c>
      <c r="H694" s="26" t="s">
        <v>535</v>
      </c>
      <c r="J694" s="22">
        <v>0.5</v>
      </c>
      <c r="L694" s="28" t="s">
        <v>58</v>
      </c>
      <c r="M694" s="22" t="s">
        <v>78</v>
      </c>
      <c r="N694" s="22">
        <v>0</v>
      </c>
      <c r="O694" s="22" t="s">
        <v>60</v>
      </c>
      <c r="P694" s="22" t="s">
        <v>79</v>
      </c>
      <c r="Q694" s="23" t="s">
        <v>339</v>
      </c>
      <c r="S694" s="24" t="s">
        <v>2136</v>
      </c>
      <c r="Z694" s="83" t="s">
        <v>63</v>
      </c>
      <c r="AA694" s="6">
        <v>6</v>
      </c>
      <c r="AB694" s="6">
        <v>3</v>
      </c>
      <c r="AC694" s="5">
        <v>28</v>
      </c>
      <c r="AD694" s="5" t="s">
        <v>80</v>
      </c>
      <c r="AE694" s="5" t="s">
        <v>116</v>
      </c>
      <c r="AF694" s="5">
        <v>6</v>
      </c>
      <c r="AG694" s="5" t="s">
        <v>80</v>
      </c>
      <c r="AH694" s="5" t="s">
        <v>117</v>
      </c>
      <c r="AI694" s="5">
        <v>21</v>
      </c>
      <c r="AJ694" s="5">
        <v>33</v>
      </c>
      <c r="AK694" s="6">
        <v>79</v>
      </c>
      <c r="AL694" s="6" t="s">
        <v>81</v>
      </c>
      <c r="AM694" s="6" t="s">
        <v>116</v>
      </c>
      <c r="AN694" s="6">
        <v>17</v>
      </c>
      <c r="AO694" s="6" t="s">
        <v>81</v>
      </c>
      <c r="AP694" s="6" t="s">
        <v>117</v>
      </c>
      <c r="AQ694" s="6">
        <v>63</v>
      </c>
      <c r="AR694" s="6">
        <v>106</v>
      </c>
    </row>
    <row r="695" spans="1:70" hidden="1" x14ac:dyDescent="0.2">
      <c r="A695" s="91">
        <v>763</v>
      </c>
      <c r="B695" s="231" t="s">
        <v>2133</v>
      </c>
      <c r="C695" s="261" t="s">
        <v>2134</v>
      </c>
      <c r="D695" s="231" t="s">
        <v>2139</v>
      </c>
      <c r="E695" s="3" t="s">
        <v>339</v>
      </c>
      <c r="F695" s="26" t="s">
        <v>103</v>
      </c>
      <c r="G695" s="26" t="s">
        <v>56</v>
      </c>
      <c r="H695" s="26" t="s">
        <v>535</v>
      </c>
      <c r="J695" s="22">
        <v>1</v>
      </c>
      <c r="L695" s="28" t="s">
        <v>58</v>
      </c>
      <c r="M695" s="22" t="s">
        <v>78</v>
      </c>
      <c r="N695" s="22">
        <v>0</v>
      </c>
      <c r="O695" s="22" t="s">
        <v>60</v>
      </c>
      <c r="P695" s="22" t="s">
        <v>79</v>
      </c>
      <c r="Q695" s="23" t="s">
        <v>339</v>
      </c>
      <c r="S695" s="24" t="s">
        <v>2136</v>
      </c>
      <c r="Z695" s="83" t="s">
        <v>63</v>
      </c>
      <c r="AA695" s="6">
        <v>6</v>
      </c>
      <c r="AB695" s="6">
        <v>3</v>
      </c>
      <c r="AC695" s="5">
        <v>28</v>
      </c>
      <c r="AD695" s="5" t="s">
        <v>80</v>
      </c>
      <c r="AE695" s="5" t="s">
        <v>116</v>
      </c>
      <c r="AF695" s="5">
        <v>6</v>
      </c>
      <c r="AG695" s="5" t="s">
        <v>80</v>
      </c>
      <c r="AH695" s="5" t="s">
        <v>117</v>
      </c>
      <c r="AI695" s="5">
        <v>21</v>
      </c>
      <c r="AJ695" s="5">
        <v>33</v>
      </c>
      <c r="AK695" s="6">
        <v>79</v>
      </c>
      <c r="AL695" s="6" t="s">
        <v>81</v>
      </c>
      <c r="AM695" s="6" t="s">
        <v>116</v>
      </c>
      <c r="AN695" s="6">
        <v>17</v>
      </c>
      <c r="AO695" s="6" t="s">
        <v>81</v>
      </c>
      <c r="AP695" s="6" t="s">
        <v>117</v>
      </c>
      <c r="AQ695" s="6">
        <v>63</v>
      </c>
      <c r="AR695" s="6">
        <v>106</v>
      </c>
    </row>
    <row r="696" spans="1:70" hidden="1" x14ac:dyDescent="0.2">
      <c r="A696" s="91">
        <v>764</v>
      </c>
      <c r="B696" s="231" t="s">
        <v>2133</v>
      </c>
      <c r="C696" s="261" t="s">
        <v>2134</v>
      </c>
      <c r="D696" s="231" t="s">
        <v>2140</v>
      </c>
      <c r="E696" s="3" t="s">
        <v>339</v>
      </c>
      <c r="F696" s="26" t="s">
        <v>103</v>
      </c>
      <c r="G696" s="26" t="s">
        <v>56</v>
      </c>
      <c r="H696" s="26" t="s">
        <v>540</v>
      </c>
      <c r="J696" s="22">
        <v>1</v>
      </c>
      <c r="L696" s="28" t="s">
        <v>58</v>
      </c>
      <c r="M696" s="22" t="s">
        <v>78</v>
      </c>
      <c r="N696" s="22">
        <v>0</v>
      </c>
      <c r="O696" s="22" t="s">
        <v>60</v>
      </c>
      <c r="P696" s="22" t="s">
        <v>79</v>
      </c>
      <c r="Q696" s="23" t="s">
        <v>339</v>
      </c>
      <c r="S696" s="24" t="s">
        <v>2136</v>
      </c>
      <c r="Z696" s="83" t="s">
        <v>63</v>
      </c>
      <c r="AA696" s="6">
        <v>6</v>
      </c>
      <c r="AB696" s="6">
        <v>3</v>
      </c>
      <c r="AC696" s="5">
        <v>28</v>
      </c>
      <c r="AD696" s="5" t="s">
        <v>80</v>
      </c>
      <c r="AE696" s="5" t="s">
        <v>116</v>
      </c>
      <c r="AF696" s="5">
        <v>6</v>
      </c>
      <c r="AG696" s="5" t="s">
        <v>80</v>
      </c>
      <c r="AH696" s="5" t="s">
        <v>117</v>
      </c>
      <c r="AI696" s="5">
        <v>21</v>
      </c>
      <c r="AJ696" s="5">
        <v>33</v>
      </c>
      <c r="AK696" s="6">
        <v>79</v>
      </c>
      <c r="AL696" s="6" t="s">
        <v>81</v>
      </c>
      <c r="AM696" s="6" t="s">
        <v>116</v>
      </c>
      <c r="AN696" s="6">
        <v>17</v>
      </c>
      <c r="AO696" s="6" t="s">
        <v>81</v>
      </c>
      <c r="AP696" s="6" t="s">
        <v>117</v>
      </c>
      <c r="AQ696" s="6">
        <v>63</v>
      </c>
      <c r="AR696" s="6">
        <v>106</v>
      </c>
    </row>
    <row r="697" spans="1:70" ht="12.75" hidden="1" customHeight="1" x14ac:dyDescent="0.2">
      <c r="A697" s="91">
        <v>765</v>
      </c>
      <c r="B697" s="231" t="s">
        <v>2133</v>
      </c>
      <c r="C697" s="261" t="s">
        <v>2134</v>
      </c>
      <c r="D697" s="231" t="s">
        <v>2141</v>
      </c>
      <c r="E697" s="3" t="s">
        <v>339</v>
      </c>
      <c r="F697" s="26" t="s">
        <v>103</v>
      </c>
      <c r="G697" s="26" t="s">
        <v>56</v>
      </c>
      <c r="H697" s="26" t="s">
        <v>540</v>
      </c>
      <c r="J697" s="22">
        <v>1</v>
      </c>
      <c r="L697" s="28" t="s">
        <v>58</v>
      </c>
      <c r="M697" s="22" t="s">
        <v>78</v>
      </c>
      <c r="N697" s="22">
        <v>0</v>
      </c>
      <c r="O697" s="22" t="s">
        <v>60</v>
      </c>
      <c r="P697" s="22" t="s">
        <v>79</v>
      </c>
      <c r="Q697" s="23" t="s">
        <v>339</v>
      </c>
      <c r="S697" s="24" t="s">
        <v>2136</v>
      </c>
      <c r="Z697" s="83" t="s">
        <v>63</v>
      </c>
      <c r="AA697" s="6">
        <v>6</v>
      </c>
      <c r="AB697" s="6">
        <v>3</v>
      </c>
      <c r="AC697" s="5">
        <v>28</v>
      </c>
      <c r="AD697" s="5" t="s">
        <v>80</v>
      </c>
      <c r="AE697" s="5" t="s">
        <v>116</v>
      </c>
      <c r="AF697" s="5">
        <v>6</v>
      </c>
      <c r="AG697" s="5" t="s">
        <v>80</v>
      </c>
      <c r="AH697" s="5" t="s">
        <v>117</v>
      </c>
      <c r="AI697" s="5">
        <v>21</v>
      </c>
      <c r="AJ697" s="5">
        <v>33</v>
      </c>
      <c r="AK697" s="6">
        <v>79</v>
      </c>
      <c r="AL697" s="6" t="s">
        <v>81</v>
      </c>
      <c r="AM697" s="6" t="s">
        <v>116</v>
      </c>
      <c r="AN697" s="6">
        <v>17</v>
      </c>
      <c r="AO697" s="6" t="s">
        <v>81</v>
      </c>
      <c r="AP697" s="6" t="s">
        <v>117</v>
      </c>
      <c r="AQ697" s="6">
        <v>63</v>
      </c>
      <c r="AR697" s="6">
        <v>106</v>
      </c>
    </row>
    <row r="698" spans="1:70" ht="12.75" hidden="1" customHeight="1" x14ac:dyDescent="0.2">
      <c r="A698" s="91">
        <v>766</v>
      </c>
      <c r="B698" s="231" t="s">
        <v>2133</v>
      </c>
      <c r="C698" s="261" t="s">
        <v>2134</v>
      </c>
      <c r="D698" s="231" t="s">
        <v>2142</v>
      </c>
      <c r="E698" s="3" t="s">
        <v>339</v>
      </c>
      <c r="F698" s="26" t="s">
        <v>103</v>
      </c>
      <c r="G698" s="26" t="s">
        <v>56</v>
      </c>
      <c r="H698" s="26" t="s">
        <v>540</v>
      </c>
      <c r="J698" s="22">
        <v>0.5</v>
      </c>
      <c r="L698" s="28" t="s">
        <v>58</v>
      </c>
      <c r="M698" s="22" t="s">
        <v>78</v>
      </c>
      <c r="N698" s="22">
        <v>0</v>
      </c>
      <c r="O698" s="22" t="s">
        <v>60</v>
      </c>
      <c r="P698" s="22" t="s">
        <v>79</v>
      </c>
      <c r="Q698" s="23" t="s">
        <v>339</v>
      </c>
      <c r="S698" s="24" t="s">
        <v>2136</v>
      </c>
      <c r="Z698" s="83" t="s">
        <v>63</v>
      </c>
      <c r="AA698" s="6">
        <v>6</v>
      </c>
      <c r="AB698" s="6">
        <v>3</v>
      </c>
      <c r="AC698" s="5">
        <v>28</v>
      </c>
      <c r="AD698" s="5" t="s">
        <v>80</v>
      </c>
      <c r="AE698" s="5" t="s">
        <v>116</v>
      </c>
      <c r="AF698" s="5">
        <v>6</v>
      </c>
      <c r="AG698" s="5" t="s">
        <v>80</v>
      </c>
      <c r="AH698" s="5" t="s">
        <v>117</v>
      </c>
      <c r="AI698" s="5">
        <v>21</v>
      </c>
      <c r="AJ698" s="5">
        <v>33</v>
      </c>
      <c r="AK698" s="6">
        <v>79</v>
      </c>
      <c r="AL698" s="6" t="s">
        <v>81</v>
      </c>
      <c r="AM698" s="6" t="s">
        <v>116</v>
      </c>
      <c r="AN698" s="6">
        <v>17</v>
      </c>
      <c r="AO698" s="6" t="s">
        <v>81</v>
      </c>
      <c r="AP698" s="6" t="s">
        <v>117</v>
      </c>
      <c r="AQ698" s="6">
        <v>63</v>
      </c>
      <c r="AR698" s="6">
        <v>106</v>
      </c>
    </row>
    <row r="699" spans="1:70" ht="12.75" hidden="1" customHeight="1" x14ac:dyDescent="0.2">
      <c r="A699" s="91">
        <v>767</v>
      </c>
      <c r="B699" s="231" t="s">
        <v>2133</v>
      </c>
      <c r="C699" s="261" t="s">
        <v>2134</v>
      </c>
      <c r="D699" s="231" t="s">
        <v>2143</v>
      </c>
      <c r="E699" s="3" t="s">
        <v>339</v>
      </c>
      <c r="F699" s="26" t="s">
        <v>103</v>
      </c>
      <c r="G699" s="26" t="s">
        <v>56</v>
      </c>
      <c r="H699" s="26" t="s">
        <v>540</v>
      </c>
      <c r="J699" s="22">
        <v>1</v>
      </c>
      <c r="L699" s="28" t="s">
        <v>58</v>
      </c>
      <c r="M699" s="22" t="s">
        <v>78</v>
      </c>
      <c r="N699" s="22">
        <v>0</v>
      </c>
      <c r="O699" s="22" t="s">
        <v>60</v>
      </c>
      <c r="P699" s="22" t="s">
        <v>79</v>
      </c>
      <c r="Q699" s="23" t="s">
        <v>339</v>
      </c>
      <c r="S699" s="24" t="s">
        <v>2136</v>
      </c>
      <c r="Z699" s="83" t="s">
        <v>63</v>
      </c>
      <c r="AA699" s="6">
        <v>6</v>
      </c>
      <c r="AB699" s="6">
        <v>3</v>
      </c>
      <c r="AC699" s="5">
        <v>28</v>
      </c>
      <c r="AD699" s="5" t="s">
        <v>80</v>
      </c>
      <c r="AE699" s="5" t="s">
        <v>116</v>
      </c>
      <c r="AF699" s="5">
        <v>6</v>
      </c>
      <c r="AG699" s="5" t="s">
        <v>80</v>
      </c>
      <c r="AH699" s="5" t="s">
        <v>117</v>
      </c>
      <c r="AI699" s="5">
        <v>21</v>
      </c>
      <c r="AJ699" s="5">
        <v>33</v>
      </c>
      <c r="AK699" s="6">
        <v>79</v>
      </c>
      <c r="AL699" s="6" t="s">
        <v>81</v>
      </c>
      <c r="AM699" s="6" t="s">
        <v>116</v>
      </c>
      <c r="AN699" s="6">
        <v>17</v>
      </c>
      <c r="AO699" s="6" t="s">
        <v>81</v>
      </c>
      <c r="AP699" s="6" t="s">
        <v>117</v>
      </c>
      <c r="AQ699" s="6">
        <v>63</v>
      </c>
      <c r="AR699" s="6">
        <v>106</v>
      </c>
    </row>
    <row r="700" spans="1:70" ht="12.75" hidden="1" customHeight="1" x14ac:dyDescent="0.2">
      <c r="A700" s="91">
        <v>768</v>
      </c>
      <c r="B700" s="231" t="s">
        <v>2133</v>
      </c>
      <c r="C700" s="261" t="s">
        <v>2134</v>
      </c>
      <c r="D700" s="231" t="s">
        <v>2144</v>
      </c>
      <c r="E700" s="3" t="s">
        <v>339</v>
      </c>
      <c r="F700" s="26" t="s">
        <v>103</v>
      </c>
      <c r="G700" s="26" t="s">
        <v>56</v>
      </c>
      <c r="H700" s="26" t="s">
        <v>1350</v>
      </c>
      <c r="I700" s="26" t="s">
        <v>2145</v>
      </c>
      <c r="J700" s="22">
        <v>4</v>
      </c>
      <c r="L700" s="28" t="s">
        <v>58</v>
      </c>
      <c r="M700" s="22" t="s">
        <v>59</v>
      </c>
      <c r="N700" s="22">
        <v>0</v>
      </c>
      <c r="O700" s="22" t="s">
        <v>60</v>
      </c>
      <c r="P700" s="22" t="s">
        <v>79</v>
      </c>
      <c r="Q700" s="23" t="s">
        <v>339</v>
      </c>
      <c r="R700" s="23" t="s">
        <v>265</v>
      </c>
      <c r="T700" s="23">
        <v>125</v>
      </c>
      <c r="Z700" s="83" t="s">
        <v>63</v>
      </c>
      <c r="AA700" s="6">
        <v>6</v>
      </c>
      <c r="AB700" s="6">
        <v>3</v>
      </c>
      <c r="AC700" s="5">
        <v>28</v>
      </c>
      <c r="AD700" s="5" t="s">
        <v>80</v>
      </c>
      <c r="AE700" s="5" t="s">
        <v>116</v>
      </c>
      <c r="AF700" s="5">
        <v>6</v>
      </c>
      <c r="AG700" s="5" t="s">
        <v>80</v>
      </c>
      <c r="AH700" s="5" t="s">
        <v>117</v>
      </c>
      <c r="AI700" s="5">
        <v>21</v>
      </c>
      <c r="AJ700" s="5">
        <v>33</v>
      </c>
      <c r="AK700" s="6">
        <v>79</v>
      </c>
      <c r="AL700" s="6" t="s">
        <v>81</v>
      </c>
      <c r="AM700" s="6" t="s">
        <v>116</v>
      </c>
      <c r="AN700" s="6">
        <v>17</v>
      </c>
      <c r="AO700" s="6" t="s">
        <v>81</v>
      </c>
      <c r="AP700" s="6" t="s">
        <v>117</v>
      </c>
      <c r="AQ700" s="6">
        <v>63</v>
      </c>
      <c r="AR700" s="6">
        <v>106</v>
      </c>
    </row>
    <row r="701" spans="1:70" hidden="1" x14ac:dyDescent="0.2">
      <c r="A701" s="91">
        <v>769</v>
      </c>
      <c r="B701" s="231" t="s">
        <v>2133</v>
      </c>
      <c r="C701" s="261" t="s">
        <v>2134</v>
      </c>
      <c r="D701" s="231" t="s">
        <v>2146</v>
      </c>
      <c r="E701" s="3" t="s">
        <v>339</v>
      </c>
      <c r="F701" s="26" t="s">
        <v>103</v>
      </c>
      <c r="G701" s="26" t="s">
        <v>56</v>
      </c>
      <c r="H701" s="26" t="s">
        <v>1350</v>
      </c>
      <c r="I701" s="26" t="s">
        <v>2145</v>
      </c>
      <c r="J701" s="22">
        <v>4</v>
      </c>
      <c r="L701" s="28" t="s">
        <v>58</v>
      </c>
      <c r="M701" s="22" t="s">
        <v>59</v>
      </c>
      <c r="N701" s="22">
        <v>0</v>
      </c>
      <c r="O701" s="22" t="s">
        <v>60</v>
      </c>
      <c r="P701" s="22" t="s">
        <v>79</v>
      </c>
      <c r="Q701" s="23" t="s">
        <v>339</v>
      </c>
      <c r="R701" s="23" t="s">
        <v>265</v>
      </c>
      <c r="T701" s="23">
        <v>125</v>
      </c>
      <c r="Z701" s="83" t="s">
        <v>63</v>
      </c>
      <c r="AA701" s="6">
        <v>6</v>
      </c>
      <c r="AB701" s="6">
        <v>3</v>
      </c>
      <c r="AC701" s="5">
        <v>28</v>
      </c>
      <c r="AD701" s="5" t="s">
        <v>80</v>
      </c>
      <c r="AE701" s="5" t="s">
        <v>116</v>
      </c>
      <c r="AF701" s="5">
        <v>6</v>
      </c>
      <c r="AG701" s="5" t="s">
        <v>80</v>
      </c>
      <c r="AH701" s="5" t="s">
        <v>117</v>
      </c>
      <c r="AI701" s="5">
        <v>21</v>
      </c>
      <c r="AJ701" s="5">
        <v>33</v>
      </c>
      <c r="AK701" s="6">
        <v>79</v>
      </c>
      <c r="AL701" s="6" t="s">
        <v>81</v>
      </c>
      <c r="AM701" s="6" t="s">
        <v>116</v>
      </c>
      <c r="AN701" s="6">
        <v>17</v>
      </c>
      <c r="AO701" s="6" t="s">
        <v>81</v>
      </c>
      <c r="AP701" s="6" t="s">
        <v>117</v>
      </c>
      <c r="AQ701" s="6">
        <v>63</v>
      </c>
      <c r="AR701" s="6">
        <v>106</v>
      </c>
    </row>
    <row r="702" spans="1:70" hidden="1" x14ac:dyDescent="0.2">
      <c r="A702" s="91">
        <v>770</v>
      </c>
      <c r="B702" s="231" t="s">
        <v>2133</v>
      </c>
      <c r="C702" s="261" t="s">
        <v>2134</v>
      </c>
      <c r="D702" s="231" t="s">
        <v>2147</v>
      </c>
      <c r="E702" s="3" t="s">
        <v>339</v>
      </c>
      <c r="F702" s="26" t="s">
        <v>103</v>
      </c>
      <c r="G702" s="26" t="s">
        <v>56</v>
      </c>
      <c r="H702" s="26" t="s">
        <v>1350</v>
      </c>
      <c r="I702" s="26" t="s">
        <v>2145</v>
      </c>
      <c r="J702" s="22">
        <v>1</v>
      </c>
      <c r="L702" s="28" t="s">
        <v>58</v>
      </c>
      <c r="M702" s="22" t="s">
        <v>59</v>
      </c>
      <c r="N702" s="22">
        <v>0</v>
      </c>
      <c r="O702" s="22" t="s">
        <v>60</v>
      </c>
      <c r="P702" s="22" t="s">
        <v>79</v>
      </c>
      <c r="Q702" s="23" t="s">
        <v>339</v>
      </c>
      <c r="R702" s="23" t="s">
        <v>265</v>
      </c>
      <c r="T702" s="23">
        <v>125</v>
      </c>
      <c r="Z702" s="83" t="s">
        <v>63</v>
      </c>
      <c r="AA702" s="6">
        <v>6</v>
      </c>
      <c r="AB702" s="6">
        <v>3</v>
      </c>
      <c r="AC702" s="5">
        <v>28</v>
      </c>
      <c r="AD702" s="5" t="s">
        <v>80</v>
      </c>
      <c r="AE702" s="5" t="s">
        <v>116</v>
      </c>
      <c r="AF702" s="5">
        <v>6</v>
      </c>
      <c r="AG702" s="5" t="s">
        <v>80</v>
      </c>
      <c r="AH702" s="5" t="s">
        <v>117</v>
      </c>
      <c r="AI702" s="5">
        <v>21</v>
      </c>
      <c r="AJ702" s="5">
        <v>33</v>
      </c>
      <c r="AK702" s="6">
        <v>79</v>
      </c>
      <c r="AL702" s="6" t="s">
        <v>81</v>
      </c>
      <c r="AM702" s="6" t="s">
        <v>116</v>
      </c>
      <c r="AN702" s="6">
        <v>17</v>
      </c>
      <c r="AO702" s="6" t="s">
        <v>81</v>
      </c>
      <c r="AP702" s="6" t="s">
        <v>117</v>
      </c>
      <c r="AQ702" s="6">
        <v>63</v>
      </c>
      <c r="AR702" s="6">
        <v>106</v>
      </c>
    </row>
    <row r="703" spans="1:70" hidden="1" x14ac:dyDescent="0.2">
      <c r="A703" s="91">
        <v>771</v>
      </c>
      <c r="B703" s="231" t="s">
        <v>2133</v>
      </c>
      <c r="C703" s="261" t="s">
        <v>2134</v>
      </c>
      <c r="D703" s="231" t="s">
        <v>2148</v>
      </c>
      <c r="E703" s="3" t="s">
        <v>339</v>
      </c>
      <c r="F703" s="26" t="s">
        <v>103</v>
      </c>
      <c r="G703" s="26" t="s">
        <v>56</v>
      </c>
      <c r="H703" s="26" t="s">
        <v>1350</v>
      </c>
      <c r="I703" s="26" t="s">
        <v>2145</v>
      </c>
      <c r="J703" s="22">
        <v>4</v>
      </c>
      <c r="L703" s="28" t="s">
        <v>58</v>
      </c>
      <c r="M703" s="22" t="s">
        <v>59</v>
      </c>
      <c r="N703" s="22">
        <v>0</v>
      </c>
      <c r="O703" s="22" t="s">
        <v>60</v>
      </c>
      <c r="P703" s="178" t="s">
        <v>79</v>
      </c>
      <c r="Q703" s="23" t="s">
        <v>339</v>
      </c>
      <c r="R703" s="23" t="s">
        <v>265</v>
      </c>
      <c r="T703" s="23">
        <v>125</v>
      </c>
      <c r="V703" s="167"/>
      <c r="Z703" s="83" t="s">
        <v>63</v>
      </c>
      <c r="AA703" s="6">
        <v>6</v>
      </c>
      <c r="AB703" s="6">
        <v>3</v>
      </c>
      <c r="AC703" s="5">
        <v>28</v>
      </c>
      <c r="AD703" s="165" t="s">
        <v>80</v>
      </c>
      <c r="AE703" s="165" t="s">
        <v>116</v>
      </c>
      <c r="AF703" s="5">
        <v>6</v>
      </c>
      <c r="AG703" s="165" t="s">
        <v>80</v>
      </c>
      <c r="AH703" s="165" t="s">
        <v>117</v>
      </c>
      <c r="AI703" s="5">
        <v>21</v>
      </c>
      <c r="AJ703" s="5">
        <v>33</v>
      </c>
      <c r="AK703" s="6">
        <v>79</v>
      </c>
      <c r="AL703" s="6" t="s">
        <v>81</v>
      </c>
      <c r="AM703" s="166" t="s">
        <v>116</v>
      </c>
      <c r="AN703" s="6">
        <v>17</v>
      </c>
      <c r="AO703" s="6" t="s">
        <v>81</v>
      </c>
      <c r="AP703" s="166" t="s">
        <v>117</v>
      </c>
      <c r="AQ703" s="6">
        <v>63</v>
      </c>
      <c r="AR703" s="6">
        <v>106</v>
      </c>
    </row>
    <row r="704" spans="1:70" hidden="1" x14ac:dyDescent="0.2">
      <c r="A704" s="91">
        <v>772</v>
      </c>
      <c r="B704" s="231" t="s">
        <v>2133</v>
      </c>
      <c r="C704" s="261" t="s">
        <v>2134</v>
      </c>
      <c r="D704" s="231" t="s">
        <v>2149</v>
      </c>
      <c r="E704" s="3" t="s">
        <v>339</v>
      </c>
      <c r="F704" s="26" t="s">
        <v>103</v>
      </c>
      <c r="G704" s="26" t="s">
        <v>56</v>
      </c>
      <c r="H704" s="26" t="s">
        <v>1351</v>
      </c>
      <c r="I704" s="26" t="s">
        <v>2145</v>
      </c>
      <c r="J704" s="178">
        <v>4</v>
      </c>
      <c r="K704" s="182"/>
      <c r="L704" s="182" t="s">
        <v>58</v>
      </c>
      <c r="M704" s="178" t="s">
        <v>59</v>
      </c>
      <c r="N704" s="178">
        <v>0</v>
      </c>
      <c r="O704" s="178" t="s">
        <v>60</v>
      </c>
      <c r="P704" s="178" t="s">
        <v>79</v>
      </c>
      <c r="Q704" s="179" t="s">
        <v>339</v>
      </c>
      <c r="R704" s="179" t="s">
        <v>265</v>
      </c>
      <c r="S704" s="180"/>
      <c r="T704" s="179">
        <v>125</v>
      </c>
      <c r="U704" s="179"/>
      <c r="V704" s="167"/>
      <c r="W704" s="168"/>
      <c r="Y704" s="167"/>
      <c r="Z704" s="83" t="s">
        <v>63</v>
      </c>
      <c r="AA704" s="166">
        <v>6</v>
      </c>
      <c r="AB704" s="166">
        <v>3</v>
      </c>
      <c r="AC704" s="165">
        <v>28</v>
      </c>
      <c r="AD704" s="165" t="s">
        <v>80</v>
      </c>
      <c r="AE704" s="165" t="s">
        <v>116</v>
      </c>
      <c r="AF704" s="165">
        <v>6</v>
      </c>
      <c r="AG704" s="165" t="s">
        <v>80</v>
      </c>
      <c r="AH704" s="165" t="s">
        <v>117</v>
      </c>
      <c r="AI704" s="165">
        <v>21</v>
      </c>
      <c r="AJ704" s="165">
        <v>33</v>
      </c>
      <c r="AK704" s="166">
        <v>79</v>
      </c>
      <c r="AL704" s="166" t="s">
        <v>81</v>
      </c>
      <c r="AM704" s="166" t="s">
        <v>116</v>
      </c>
      <c r="AN704" s="166">
        <v>17</v>
      </c>
      <c r="AO704" s="166" t="s">
        <v>81</v>
      </c>
      <c r="AP704" s="166" t="s">
        <v>117</v>
      </c>
      <c r="AQ704" s="166">
        <v>63</v>
      </c>
      <c r="AR704" s="166">
        <v>106</v>
      </c>
      <c r="AS704" s="165"/>
      <c r="AT704" s="165"/>
      <c r="AU704" s="165"/>
      <c r="AV704" s="165"/>
      <c r="AW704" s="165"/>
      <c r="AX704" s="165"/>
      <c r="AY704" s="165"/>
      <c r="AZ704" s="165"/>
      <c r="BA704" s="166"/>
      <c r="BB704" s="166"/>
      <c r="BC704" s="166"/>
      <c r="BD704" s="166"/>
      <c r="BE704" s="166"/>
      <c r="BF704" s="166"/>
      <c r="BG704" s="166"/>
      <c r="BH704" s="166"/>
      <c r="BI704" s="165"/>
      <c r="BJ704" s="165"/>
      <c r="BK704" s="165"/>
      <c r="BL704" s="165"/>
      <c r="BM704" s="165"/>
      <c r="BN704" s="165"/>
      <c r="BO704" s="165"/>
      <c r="BP704" s="165"/>
      <c r="BQ704" s="166"/>
      <c r="BR704" s="165"/>
    </row>
    <row r="705" spans="1:70" hidden="1" x14ac:dyDescent="0.2">
      <c r="A705" s="91">
        <v>773</v>
      </c>
      <c r="B705" s="231" t="s">
        <v>2133</v>
      </c>
      <c r="C705" s="261" t="s">
        <v>2134</v>
      </c>
      <c r="D705" s="231" t="s">
        <v>2150</v>
      </c>
      <c r="E705" s="3" t="s">
        <v>339</v>
      </c>
      <c r="F705" s="26" t="s">
        <v>103</v>
      </c>
      <c r="G705" s="26" t="s">
        <v>56</v>
      </c>
      <c r="H705" s="26" t="s">
        <v>1351</v>
      </c>
      <c r="I705" s="26" t="s">
        <v>2145</v>
      </c>
      <c r="J705" s="178">
        <v>4</v>
      </c>
      <c r="K705" s="182"/>
      <c r="L705" s="182" t="s">
        <v>58</v>
      </c>
      <c r="M705" s="178" t="s">
        <v>59</v>
      </c>
      <c r="N705" s="178">
        <v>0</v>
      </c>
      <c r="O705" s="178" t="s">
        <v>60</v>
      </c>
      <c r="P705" s="178" t="s">
        <v>79</v>
      </c>
      <c r="Q705" s="179" t="s">
        <v>339</v>
      </c>
      <c r="R705" s="179" t="s">
        <v>265</v>
      </c>
      <c r="S705" s="180"/>
      <c r="T705" s="179">
        <v>125</v>
      </c>
      <c r="U705" s="179"/>
      <c r="V705" s="167"/>
      <c r="W705" s="168"/>
      <c r="Y705" s="167"/>
      <c r="Z705" s="83" t="s">
        <v>63</v>
      </c>
      <c r="AA705" s="166">
        <v>6</v>
      </c>
      <c r="AB705" s="166">
        <v>3</v>
      </c>
      <c r="AC705" s="165">
        <v>28</v>
      </c>
      <c r="AD705" s="165" t="s">
        <v>80</v>
      </c>
      <c r="AE705" s="165" t="s">
        <v>116</v>
      </c>
      <c r="AF705" s="165">
        <v>6</v>
      </c>
      <c r="AG705" s="165" t="s">
        <v>80</v>
      </c>
      <c r="AH705" s="165" t="s">
        <v>117</v>
      </c>
      <c r="AI705" s="165">
        <v>21</v>
      </c>
      <c r="AJ705" s="165">
        <v>33</v>
      </c>
      <c r="AK705" s="166">
        <v>79</v>
      </c>
      <c r="AL705" s="166" t="s">
        <v>81</v>
      </c>
      <c r="AM705" s="166" t="s">
        <v>116</v>
      </c>
      <c r="AN705" s="166">
        <v>17</v>
      </c>
      <c r="AO705" s="166" t="s">
        <v>81</v>
      </c>
      <c r="AP705" s="166" t="s">
        <v>117</v>
      </c>
      <c r="AQ705" s="166">
        <v>63</v>
      </c>
      <c r="AR705" s="166">
        <v>106</v>
      </c>
      <c r="AS705" s="165"/>
      <c r="AT705" s="165"/>
      <c r="AU705" s="165"/>
      <c r="AV705" s="165"/>
      <c r="AW705" s="165"/>
      <c r="AX705" s="165"/>
      <c r="AY705" s="165"/>
      <c r="AZ705" s="165"/>
      <c r="BA705" s="166"/>
      <c r="BB705" s="166"/>
      <c r="BC705" s="166"/>
      <c r="BD705" s="166"/>
      <c r="BE705" s="166"/>
      <c r="BF705" s="166"/>
      <c r="BG705" s="166"/>
      <c r="BH705" s="166"/>
      <c r="BI705" s="165"/>
      <c r="BJ705" s="165"/>
      <c r="BK705" s="165"/>
      <c r="BL705" s="165"/>
      <c r="BM705" s="165"/>
      <c r="BN705" s="165"/>
      <c r="BO705" s="165"/>
      <c r="BP705" s="165"/>
      <c r="BQ705" s="166"/>
    </row>
    <row r="706" spans="1:70" hidden="1" x14ac:dyDescent="0.2">
      <c r="A706" s="91">
        <v>774</v>
      </c>
      <c r="B706" s="231" t="s">
        <v>2133</v>
      </c>
      <c r="C706" s="261" t="s">
        <v>2134</v>
      </c>
      <c r="D706" s="231" t="s">
        <v>2151</v>
      </c>
      <c r="E706" s="3" t="s">
        <v>339</v>
      </c>
      <c r="F706" s="26" t="s">
        <v>103</v>
      </c>
      <c r="G706" s="26" t="s">
        <v>56</v>
      </c>
      <c r="H706" s="26" t="s">
        <v>1351</v>
      </c>
      <c r="I706" s="26" t="s">
        <v>2145</v>
      </c>
      <c r="J706" s="178">
        <v>1</v>
      </c>
      <c r="K706" s="182"/>
      <c r="L706" s="182" t="s">
        <v>58</v>
      </c>
      <c r="M706" s="178" t="s">
        <v>59</v>
      </c>
      <c r="N706" s="178">
        <v>0</v>
      </c>
      <c r="O706" s="178" t="s">
        <v>60</v>
      </c>
      <c r="P706" s="178" t="s">
        <v>79</v>
      </c>
      <c r="Q706" s="179" t="s">
        <v>339</v>
      </c>
      <c r="R706" s="179" t="s">
        <v>265</v>
      </c>
      <c r="S706" s="180"/>
      <c r="T706" s="179">
        <v>125</v>
      </c>
      <c r="U706" s="179"/>
      <c r="V706" s="167"/>
      <c r="W706" s="168"/>
      <c r="Y706" s="167"/>
      <c r="Z706" s="83" t="s">
        <v>63</v>
      </c>
      <c r="AA706" s="166">
        <v>6</v>
      </c>
      <c r="AB706" s="166">
        <v>3</v>
      </c>
      <c r="AC706" s="165">
        <v>28</v>
      </c>
      <c r="AD706" s="165" t="s">
        <v>80</v>
      </c>
      <c r="AE706" s="165" t="s">
        <v>116</v>
      </c>
      <c r="AF706" s="165">
        <v>6</v>
      </c>
      <c r="AG706" s="165" t="s">
        <v>80</v>
      </c>
      <c r="AH706" s="165" t="s">
        <v>117</v>
      </c>
      <c r="AI706" s="165">
        <v>21</v>
      </c>
      <c r="AJ706" s="165">
        <v>33</v>
      </c>
      <c r="AK706" s="166">
        <v>79</v>
      </c>
      <c r="AL706" s="166" t="s">
        <v>81</v>
      </c>
      <c r="AM706" s="166" t="s">
        <v>116</v>
      </c>
      <c r="AN706" s="166">
        <v>17</v>
      </c>
      <c r="AO706" s="166" t="s">
        <v>81</v>
      </c>
      <c r="AP706" s="166" t="s">
        <v>117</v>
      </c>
      <c r="AQ706" s="166">
        <v>63</v>
      </c>
      <c r="AR706" s="166">
        <v>106</v>
      </c>
      <c r="AS706" s="165"/>
      <c r="AT706" s="165"/>
      <c r="AU706" s="165"/>
      <c r="AV706" s="165"/>
      <c r="AW706" s="165"/>
      <c r="AX706" s="165"/>
      <c r="AY706" s="165"/>
      <c r="AZ706" s="165"/>
      <c r="BA706" s="166"/>
      <c r="BB706" s="166"/>
      <c r="BC706" s="166"/>
      <c r="BD706" s="166"/>
      <c r="BE706" s="166"/>
      <c r="BF706" s="166"/>
      <c r="BG706" s="166"/>
      <c r="BH706" s="166"/>
      <c r="BI706" s="165"/>
      <c r="BJ706" s="165"/>
      <c r="BK706" s="165"/>
      <c r="BL706" s="165"/>
      <c r="BM706" s="165"/>
      <c r="BN706" s="165"/>
      <c r="BO706" s="165"/>
      <c r="BP706" s="165"/>
      <c r="BQ706" s="166"/>
    </row>
    <row r="707" spans="1:70" hidden="1" x14ac:dyDescent="0.2">
      <c r="A707" s="91">
        <v>775</v>
      </c>
      <c r="B707" s="231" t="s">
        <v>2133</v>
      </c>
      <c r="C707" s="261" t="s">
        <v>2134</v>
      </c>
      <c r="D707" s="231" t="s">
        <v>2152</v>
      </c>
      <c r="E707" s="3" t="s">
        <v>339</v>
      </c>
      <c r="F707" s="26" t="s">
        <v>103</v>
      </c>
      <c r="G707" s="26" t="s">
        <v>56</v>
      </c>
      <c r="H707" s="26" t="s">
        <v>1351</v>
      </c>
      <c r="I707" s="26" t="s">
        <v>2145</v>
      </c>
      <c r="J707" s="178">
        <v>4</v>
      </c>
      <c r="K707" s="182"/>
      <c r="L707" s="182" t="s">
        <v>58</v>
      </c>
      <c r="M707" s="178" t="s">
        <v>59</v>
      </c>
      <c r="N707" s="178">
        <v>0</v>
      </c>
      <c r="O707" s="178" t="s">
        <v>60</v>
      </c>
      <c r="P707" s="178" t="s">
        <v>79</v>
      </c>
      <c r="Q707" s="179" t="s">
        <v>339</v>
      </c>
      <c r="R707" s="179" t="s">
        <v>265</v>
      </c>
      <c r="S707" s="180"/>
      <c r="T707" s="179">
        <v>125</v>
      </c>
      <c r="U707" s="179"/>
      <c r="V707" s="167"/>
      <c r="W707" s="168"/>
      <c r="Y707" s="167"/>
      <c r="Z707" s="83" t="s">
        <v>63</v>
      </c>
      <c r="AA707" s="166">
        <v>6</v>
      </c>
      <c r="AB707" s="166">
        <v>3</v>
      </c>
      <c r="AC707" s="165">
        <v>28</v>
      </c>
      <c r="AD707" s="165" t="s">
        <v>80</v>
      </c>
      <c r="AE707" s="165" t="s">
        <v>116</v>
      </c>
      <c r="AF707" s="165">
        <v>6</v>
      </c>
      <c r="AG707" s="165" t="s">
        <v>80</v>
      </c>
      <c r="AH707" s="165" t="s">
        <v>117</v>
      </c>
      <c r="AI707" s="165">
        <v>21</v>
      </c>
      <c r="AJ707" s="165">
        <v>33</v>
      </c>
      <c r="AK707" s="166">
        <v>79</v>
      </c>
      <c r="AL707" s="166" t="s">
        <v>81</v>
      </c>
      <c r="AM707" s="166" t="s">
        <v>116</v>
      </c>
      <c r="AN707" s="166">
        <v>17</v>
      </c>
      <c r="AO707" s="166" t="s">
        <v>81</v>
      </c>
      <c r="AP707" s="166" t="s">
        <v>117</v>
      </c>
      <c r="AQ707" s="166">
        <v>63</v>
      </c>
      <c r="AR707" s="166">
        <v>106</v>
      </c>
      <c r="AS707" s="165"/>
      <c r="AT707" s="165"/>
      <c r="AU707" s="165"/>
      <c r="AV707" s="165"/>
      <c r="AW707" s="165"/>
      <c r="AX707" s="165"/>
      <c r="AY707" s="165"/>
      <c r="AZ707" s="165"/>
      <c r="BA707" s="166"/>
      <c r="BB707" s="166"/>
      <c r="BC707" s="166"/>
      <c r="BD707" s="166"/>
      <c r="BE707" s="166"/>
      <c r="BF707" s="166"/>
      <c r="BG707" s="166"/>
      <c r="BH707" s="166"/>
      <c r="BI707" s="165"/>
      <c r="BJ707" s="165"/>
      <c r="BK707" s="165"/>
      <c r="BL707" s="165"/>
      <c r="BM707" s="165"/>
      <c r="BN707" s="165"/>
      <c r="BO707" s="165"/>
      <c r="BP707" s="165"/>
      <c r="BQ707" s="166"/>
    </row>
    <row r="708" spans="1:70" ht="14.25" hidden="1" x14ac:dyDescent="0.2">
      <c r="A708" s="91">
        <v>776</v>
      </c>
      <c r="B708" s="231" t="s">
        <v>2170</v>
      </c>
      <c r="C708" s="265" t="s">
        <v>2171</v>
      </c>
      <c r="D708" s="231" t="s">
        <v>2172</v>
      </c>
      <c r="E708" s="3" t="s">
        <v>2053</v>
      </c>
      <c r="F708" s="26" t="s">
        <v>103</v>
      </c>
      <c r="G708" s="26" t="s">
        <v>56</v>
      </c>
      <c r="H708" s="26" t="s">
        <v>57</v>
      </c>
      <c r="J708" s="22">
        <v>0.8</v>
      </c>
      <c r="L708" s="28" t="s">
        <v>58</v>
      </c>
      <c r="M708" s="22" t="s">
        <v>59</v>
      </c>
      <c r="N708" s="22">
        <v>170</v>
      </c>
      <c r="O708" s="22" t="s">
        <v>60</v>
      </c>
      <c r="P708" s="22" t="s">
        <v>79</v>
      </c>
      <c r="R708" s="23" t="s">
        <v>2174</v>
      </c>
      <c r="T708" s="23" t="s">
        <v>2175</v>
      </c>
      <c r="V708" s="25" t="s">
        <v>62</v>
      </c>
      <c r="W708" s="65" t="s">
        <v>1976</v>
      </c>
      <c r="X708" s="106" t="s">
        <v>416</v>
      </c>
      <c r="Z708" s="83" t="s">
        <v>63</v>
      </c>
      <c r="AA708" s="6">
        <v>12</v>
      </c>
      <c r="AB708" s="6">
        <v>0</v>
      </c>
      <c r="AD708" s="5" t="s">
        <v>80</v>
      </c>
      <c r="AI708" s="5">
        <v>25</v>
      </c>
      <c r="AJ708" s="5">
        <v>41</v>
      </c>
      <c r="AL708" s="6" t="s">
        <v>81</v>
      </c>
      <c r="AQ708" s="6">
        <v>52</v>
      </c>
      <c r="AR708" s="6">
        <v>68</v>
      </c>
      <c r="AT708" s="5" t="s">
        <v>119</v>
      </c>
      <c r="AY708" s="5">
        <v>167</v>
      </c>
      <c r="AZ708" s="5">
        <v>179</v>
      </c>
      <c r="BQ708" s="6" t="s">
        <v>512</v>
      </c>
      <c r="BR708" s="5" t="s">
        <v>1421</v>
      </c>
    </row>
    <row r="709" spans="1:70" ht="14.25" hidden="1" x14ac:dyDescent="0.2">
      <c r="A709" s="91">
        <v>777</v>
      </c>
      <c r="B709" s="231" t="s">
        <v>2170</v>
      </c>
      <c r="C709" s="265" t="s">
        <v>2171</v>
      </c>
      <c r="D709" s="231" t="s">
        <v>2173</v>
      </c>
      <c r="E709" s="3" t="s">
        <v>2053</v>
      </c>
      <c r="F709" s="26" t="s">
        <v>103</v>
      </c>
      <c r="G709" s="26" t="s">
        <v>56</v>
      </c>
      <c r="H709" s="26" t="s">
        <v>57</v>
      </c>
      <c r="J709" s="22">
        <v>0.8</v>
      </c>
      <c r="L709" s="28" t="s">
        <v>58</v>
      </c>
      <c r="M709" s="22" t="s">
        <v>59</v>
      </c>
      <c r="N709" s="22">
        <v>170</v>
      </c>
      <c r="O709" s="22" t="s">
        <v>60</v>
      </c>
      <c r="P709" s="22" t="s">
        <v>79</v>
      </c>
      <c r="R709" s="23" t="s">
        <v>2174</v>
      </c>
      <c r="T709" s="23" t="s">
        <v>2175</v>
      </c>
      <c r="V709" s="25" t="s">
        <v>62</v>
      </c>
      <c r="W709" s="65" t="s">
        <v>1976</v>
      </c>
      <c r="X709" s="106" t="s">
        <v>416</v>
      </c>
      <c r="Z709" s="83" t="s">
        <v>63</v>
      </c>
      <c r="AA709" s="6">
        <v>12</v>
      </c>
      <c r="AB709" s="6">
        <v>0</v>
      </c>
      <c r="AD709" s="5" t="s">
        <v>80</v>
      </c>
      <c r="AI709" s="5">
        <v>25</v>
      </c>
      <c r="AJ709" s="5">
        <v>41</v>
      </c>
      <c r="AL709" s="6" t="s">
        <v>81</v>
      </c>
      <c r="AQ709" s="6">
        <v>52</v>
      </c>
      <c r="AR709" s="6">
        <v>68</v>
      </c>
      <c r="AT709" s="5" t="s">
        <v>119</v>
      </c>
      <c r="AY709" s="5">
        <v>167</v>
      </c>
      <c r="AZ709" s="5">
        <v>179</v>
      </c>
      <c r="BQ709" s="6" t="s">
        <v>512</v>
      </c>
      <c r="BR709" s="5" t="s">
        <v>1421</v>
      </c>
    </row>
    <row r="710" spans="1:70" ht="14.25" hidden="1" x14ac:dyDescent="0.2">
      <c r="A710" s="91">
        <v>778</v>
      </c>
      <c r="B710" s="231" t="s">
        <v>2178</v>
      </c>
      <c r="C710" s="265" t="s">
        <v>2179</v>
      </c>
      <c r="D710" s="231" t="s">
        <v>1979</v>
      </c>
      <c r="E710" s="3" t="s">
        <v>339</v>
      </c>
      <c r="F710" s="26" t="s">
        <v>55</v>
      </c>
      <c r="G710" s="181" t="s">
        <v>76</v>
      </c>
      <c r="H710" s="181" t="s">
        <v>57</v>
      </c>
      <c r="I710" s="181" t="s">
        <v>2182</v>
      </c>
      <c r="J710" s="178">
        <v>50</v>
      </c>
      <c r="K710" s="182"/>
      <c r="L710" s="182" t="s">
        <v>212</v>
      </c>
      <c r="M710" s="178" t="s">
        <v>78</v>
      </c>
      <c r="N710" s="178">
        <v>0</v>
      </c>
      <c r="O710" s="178" t="s">
        <v>60</v>
      </c>
      <c r="P710" s="178" t="s">
        <v>79</v>
      </c>
      <c r="Q710" s="179"/>
      <c r="R710" s="179"/>
      <c r="S710" s="180">
        <v>5</v>
      </c>
      <c r="T710" s="179"/>
      <c r="U710" s="179"/>
      <c r="V710" s="167" t="s">
        <v>62</v>
      </c>
      <c r="W710" s="168" t="s">
        <v>1976</v>
      </c>
      <c r="Y710" s="167"/>
      <c r="Z710" s="83" t="s">
        <v>63</v>
      </c>
      <c r="AA710" s="166">
        <v>6</v>
      </c>
      <c r="AB710" s="166">
        <v>0</v>
      </c>
      <c r="AC710" s="165">
        <v>32.166670000000003</v>
      </c>
      <c r="AD710" s="165" t="s">
        <v>80</v>
      </c>
      <c r="AE710" s="165" t="s">
        <v>116</v>
      </c>
      <c r="AF710" s="165">
        <v>6.4005210000000003</v>
      </c>
      <c r="AG710" s="165" t="s">
        <v>80</v>
      </c>
      <c r="AH710" s="165" t="s">
        <v>117</v>
      </c>
      <c r="AI710" s="165">
        <v>26</v>
      </c>
      <c r="AJ710" s="165">
        <v>44</v>
      </c>
      <c r="AK710" s="166">
        <v>76.5</v>
      </c>
      <c r="AL710" s="166" t="s">
        <v>81</v>
      </c>
      <c r="AM710" s="166" t="s">
        <v>116</v>
      </c>
      <c r="AN710" s="166">
        <v>8.9610269999999996</v>
      </c>
      <c r="AO710" s="166" t="s">
        <v>81</v>
      </c>
      <c r="AP710" s="166" t="s">
        <v>117</v>
      </c>
      <c r="AQ710" s="166">
        <v>68</v>
      </c>
      <c r="AR710" s="166">
        <v>93</v>
      </c>
      <c r="AS710" s="165"/>
      <c r="AT710" s="165"/>
      <c r="AU710" s="165"/>
      <c r="AV710" s="165"/>
      <c r="AW710" s="165"/>
      <c r="AX710" s="165"/>
      <c r="AY710" s="165"/>
      <c r="AZ710" s="165"/>
      <c r="BA710" s="166"/>
      <c r="BB710" s="166"/>
      <c r="BC710" s="166"/>
      <c r="BD710" s="166"/>
      <c r="BE710" s="166"/>
      <c r="BF710" s="166"/>
      <c r="BG710" s="166"/>
      <c r="BH710" s="166"/>
      <c r="BI710" s="165"/>
      <c r="BJ710" s="165"/>
      <c r="BK710" s="165"/>
      <c r="BL710" s="165"/>
      <c r="BM710" s="165"/>
      <c r="BN710" s="165"/>
      <c r="BO710" s="165"/>
      <c r="BP710" s="165"/>
      <c r="BQ710" s="166" t="s">
        <v>214</v>
      </c>
      <c r="BR710" s="5" t="s">
        <v>2183</v>
      </c>
    </row>
    <row r="711" spans="1:70" ht="14.25" hidden="1" x14ac:dyDescent="0.2">
      <c r="A711" s="91">
        <v>779</v>
      </c>
      <c r="B711" s="231" t="s">
        <v>2178</v>
      </c>
      <c r="C711" s="265" t="s">
        <v>2179</v>
      </c>
      <c r="D711" s="231" t="s">
        <v>2180</v>
      </c>
      <c r="E711" s="3" t="s">
        <v>339</v>
      </c>
      <c r="F711" s="26" t="s">
        <v>55</v>
      </c>
      <c r="G711" s="181" t="s">
        <v>76</v>
      </c>
      <c r="H711" s="181" t="s">
        <v>57</v>
      </c>
      <c r="I711" s="181" t="s">
        <v>2182</v>
      </c>
      <c r="J711" s="178">
        <v>50</v>
      </c>
      <c r="K711" s="182"/>
      <c r="L711" s="182" t="s">
        <v>212</v>
      </c>
      <c r="M711" s="178" t="s">
        <v>78</v>
      </c>
      <c r="N711" s="178">
        <v>1.5</v>
      </c>
      <c r="O711" s="178" t="s">
        <v>60</v>
      </c>
      <c r="P711" s="178" t="s">
        <v>79</v>
      </c>
      <c r="Q711" s="179"/>
      <c r="R711" s="179"/>
      <c r="S711" s="180">
        <v>5</v>
      </c>
      <c r="T711" s="179"/>
      <c r="U711" s="179"/>
      <c r="V711" s="167" t="s">
        <v>62</v>
      </c>
      <c r="W711" s="168" t="s">
        <v>1976</v>
      </c>
      <c r="Y711" s="167"/>
      <c r="Z711" s="83" t="s">
        <v>63</v>
      </c>
      <c r="AA711" s="166">
        <v>6</v>
      </c>
      <c r="AB711" s="166">
        <v>0</v>
      </c>
      <c r="AC711" s="165">
        <v>32.166670000000003</v>
      </c>
      <c r="AD711" s="165" t="s">
        <v>80</v>
      </c>
      <c r="AE711" s="165" t="s">
        <v>116</v>
      </c>
      <c r="AF711" s="165">
        <v>6.4005210000000003</v>
      </c>
      <c r="AG711" s="165" t="s">
        <v>80</v>
      </c>
      <c r="AH711" s="165" t="s">
        <v>117</v>
      </c>
      <c r="AI711" s="165">
        <v>26</v>
      </c>
      <c r="AJ711" s="165">
        <v>44</v>
      </c>
      <c r="AK711" s="166">
        <v>76.5</v>
      </c>
      <c r="AL711" s="166" t="s">
        <v>81</v>
      </c>
      <c r="AM711" s="166" t="s">
        <v>116</v>
      </c>
      <c r="AN711" s="166">
        <v>8.9610269999999996</v>
      </c>
      <c r="AO711" s="166" t="s">
        <v>81</v>
      </c>
      <c r="AP711" s="166" t="s">
        <v>117</v>
      </c>
      <c r="AQ711" s="166">
        <v>68</v>
      </c>
      <c r="AR711" s="166">
        <v>93</v>
      </c>
      <c r="AS711" s="165"/>
      <c r="AT711" s="165"/>
      <c r="AU711" s="165"/>
      <c r="AV711" s="165"/>
      <c r="AW711" s="165"/>
      <c r="AX711" s="165"/>
      <c r="AY711" s="165"/>
      <c r="AZ711" s="165"/>
      <c r="BA711" s="166"/>
      <c r="BB711" s="166"/>
      <c r="BC711" s="166"/>
      <c r="BD711" s="166"/>
      <c r="BE711" s="166"/>
      <c r="BF711" s="166"/>
      <c r="BG711" s="166"/>
      <c r="BH711" s="166"/>
      <c r="BI711" s="165"/>
      <c r="BJ711" s="165"/>
      <c r="BK711" s="165"/>
      <c r="BL711" s="165"/>
      <c r="BM711" s="165"/>
      <c r="BN711" s="165"/>
      <c r="BO711" s="165"/>
      <c r="BP711" s="165"/>
      <c r="BQ711" s="166" t="s">
        <v>214</v>
      </c>
      <c r="BR711" s="5" t="s">
        <v>2183</v>
      </c>
    </row>
    <row r="712" spans="1:70" ht="14.25" hidden="1" x14ac:dyDescent="0.2">
      <c r="A712" s="91">
        <v>780</v>
      </c>
      <c r="B712" s="231" t="s">
        <v>2178</v>
      </c>
      <c r="C712" s="265" t="s">
        <v>2179</v>
      </c>
      <c r="D712" s="231" t="s">
        <v>2181</v>
      </c>
      <c r="E712" s="3" t="s">
        <v>339</v>
      </c>
      <c r="F712" s="26" t="s">
        <v>55</v>
      </c>
      <c r="G712" s="181" t="s">
        <v>76</v>
      </c>
      <c r="H712" s="181" t="s">
        <v>57</v>
      </c>
      <c r="I712" s="181" t="s">
        <v>2182</v>
      </c>
      <c r="J712" s="178">
        <v>50</v>
      </c>
      <c r="K712" s="182"/>
      <c r="L712" s="182" t="s">
        <v>212</v>
      </c>
      <c r="M712" s="178" t="s">
        <v>78</v>
      </c>
      <c r="N712" s="178">
        <v>145.5</v>
      </c>
      <c r="O712" s="178" t="s">
        <v>60</v>
      </c>
      <c r="P712" s="178" t="s">
        <v>79</v>
      </c>
      <c r="Q712" s="179"/>
      <c r="R712" s="179"/>
      <c r="S712" s="180">
        <v>5</v>
      </c>
      <c r="T712" s="179"/>
      <c r="U712" s="179"/>
      <c r="V712" s="167" t="s">
        <v>62</v>
      </c>
      <c r="W712" s="168" t="s">
        <v>1976</v>
      </c>
      <c r="Y712" s="167"/>
      <c r="Z712" s="83" t="s">
        <v>63</v>
      </c>
      <c r="AA712" s="166">
        <v>6</v>
      </c>
      <c r="AB712" s="166">
        <v>0</v>
      </c>
      <c r="AC712" s="165">
        <v>32.166670000000003</v>
      </c>
      <c r="AD712" s="165" t="s">
        <v>80</v>
      </c>
      <c r="AE712" s="165" t="s">
        <v>116</v>
      </c>
      <c r="AF712" s="165">
        <v>6.4005210000000003</v>
      </c>
      <c r="AG712" s="165" t="s">
        <v>80</v>
      </c>
      <c r="AH712" s="165" t="s">
        <v>117</v>
      </c>
      <c r="AI712" s="165">
        <v>26</v>
      </c>
      <c r="AJ712" s="165">
        <v>44</v>
      </c>
      <c r="AK712" s="166">
        <v>76.5</v>
      </c>
      <c r="AL712" s="166" t="s">
        <v>81</v>
      </c>
      <c r="AM712" s="166" t="s">
        <v>116</v>
      </c>
      <c r="AN712" s="166">
        <v>8.9610269999999996</v>
      </c>
      <c r="AO712" s="166" t="s">
        <v>81</v>
      </c>
      <c r="AP712" s="166" t="s">
        <v>117</v>
      </c>
      <c r="AQ712" s="166">
        <v>68</v>
      </c>
      <c r="AR712" s="166">
        <v>93</v>
      </c>
      <c r="AS712" s="165"/>
      <c r="AT712" s="165"/>
      <c r="AU712" s="165"/>
      <c r="AV712" s="165"/>
      <c r="AW712" s="165"/>
      <c r="AX712" s="165"/>
      <c r="AY712" s="165"/>
      <c r="AZ712" s="165"/>
      <c r="BA712" s="166"/>
      <c r="BB712" s="166"/>
      <c r="BC712" s="166"/>
      <c r="BD712" s="166"/>
      <c r="BE712" s="166"/>
      <c r="BF712" s="166"/>
      <c r="BG712" s="166"/>
      <c r="BH712" s="166"/>
      <c r="BI712" s="165"/>
      <c r="BJ712" s="165"/>
      <c r="BK712" s="165"/>
      <c r="BL712" s="165"/>
      <c r="BM712" s="165"/>
      <c r="BN712" s="165"/>
      <c r="BO712" s="165"/>
      <c r="BP712" s="165"/>
      <c r="BQ712" s="166" t="s">
        <v>214</v>
      </c>
      <c r="BR712" s="5" t="s">
        <v>2183</v>
      </c>
    </row>
    <row r="713" spans="1:70" ht="14.25" hidden="1" x14ac:dyDescent="0.2">
      <c r="A713" s="91">
        <v>781</v>
      </c>
      <c r="B713" s="231" t="s">
        <v>2188</v>
      </c>
      <c r="C713" s="265" t="s">
        <v>1990</v>
      </c>
      <c r="D713" s="231" t="s">
        <v>2189</v>
      </c>
      <c r="E713" s="3" t="s">
        <v>1974</v>
      </c>
      <c r="F713" s="26" t="s">
        <v>103</v>
      </c>
      <c r="G713" s="181" t="s">
        <v>56</v>
      </c>
      <c r="H713" s="181" t="s">
        <v>66</v>
      </c>
      <c r="I713" s="181"/>
      <c r="J713" s="178">
        <v>0.125</v>
      </c>
      <c r="K713" s="182"/>
      <c r="L713" s="182" t="s">
        <v>58</v>
      </c>
      <c r="M713" s="178" t="s">
        <v>59</v>
      </c>
      <c r="N713" s="178">
        <v>25</v>
      </c>
      <c r="O713" s="178" t="s">
        <v>60</v>
      </c>
      <c r="P713" s="178" t="s">
        <v>79</v>
      </c>
      <c r="Q713" s="179"/>
      <c r="R713" s="179" t="s">
        <v>2437</v>
      </c>
      <c r="S713" s="180"/>
      <c r="T713" s="179"/>
      <c r="U713" s="179" t="s">
        <v>1992</v>
      </c>
      <c r="V713" s="167" t="s">
        <v>436</v>
      </c>
      <c r="W713" s="168"/>
      <c r="X713" s="106" t="s">
        <v>416</v>
      </c>
      <c r="Y713" s="167" t="s">
        <v>517</v>
      </c>
      <c r="Z713" s="83" t="s">
        <v>63</v>
      </c>
      <c r="AA713" s="166">
        <v>12</v>
      </c>
      <c r="AB713" s="166">
        <v>6</v>
      </c>
      <c r="AC713" s="165"/>
      <c r="AD713" s="165" t="s">
        <v>80</v>
      </c>
      <c r="AE713" s="165"/>
      <c r="AF713" s="165"/>
      <c r="AG713" s="165"/>
      <c r="AH713" s="165"/>
      <c r="AI713" s="165">
        <v>21</v>
      </c>
      <c r="AJ713" s="165">
        <v>39</v>
      </c>
      <c r="AK713" s="166"/>
      <c r="AL713" s="166"/>
      <c r="AM713" s="166"/>
      <c r="AN713" s="166"/>
      <c r="AO713" s="166"/>
      <c r="AP713" s="166"/>
      <c r="AQ713" s="166"/>
      <c r="AR713" s="166"/>
      <c r="AS713" s="165"/>
      <c r="AT713" s="165"/>
      <c r="AU713" s="165"/>
      <c r="AV713" s="165"/>
      <c r="AW713" s="165"/>
      <c r="AX713" s="165"/>
      <c r="AY713" s="165"/>
      <c r="AZ713" s="165"/>
      <c r="BA713" s="166"/>
      <c r="BB713" s="166"/>
      <c r="BC713" s="166"/>
      <c r="BD713" s="166"/>
      <c r="BE713" s="166"/>
      <c r="BF713" s="166"/>
      <c r="BG713" s="166"/>
      <c r="BH713" s="166"/>
      <c r="BI713" s="165"/>
      <c r="BJ713" s="165"/>
      <c r="BK713" s="165"/>
      <c r="BL713" s="165"/>
      <c r="BM713" s="165"/>
      <c r="BN713" s="165"/>
      <c r="BO713" s="165"/>
      <c r="BP713" s="165"/>
      <c r="BQ713" s="166" t="s">
        <v>214</v>
      </c>
      <c r="BR713" s="5" t="s">
        <v>2439</v>
      </c>
    </row>
    <row r="714" spans="1:70" ht="14.25" hidden="1" x14ac:dyDescent="0.2">
      <c r="A714" s="91">
        <v>782</v>
      </c>
      <c r="B714" s="231" t="s">
        <v>2196</v>
      </c>
      <c r="C714" s="265" t="s">
        <v>2197</v>
      </c>
      <c r="D714" s="231" t="s">
        <v>2198</v>
      </c>
      <c r="E714" s="3" t="s">
        <v>2201</v>
      </c>
      <c r="F714" s="26" t="s">
        <v>103</v>
      </c>
      <c r="G714" s="26" t="s">
        <v>56</v>
      </c>
      <c r="H714" s="26" t="s">
        <v>157</v>
      </c>
      <c r="J714" s="22">
        <v>600</v>
      </c>
      <c r="L714" s="28" t="s">
        <v>58</v>
      </c>
      <c r="M714" s="22" t="s">
        <v>59</v>
      </c>
      <c r="N714" s="22" t="s">
        <v>2202</v>
      </c>
      <c r="O714" s="22" t="s">
        <v>60</v>
      </c>
      <c r="P714" s="22" t="s">
        <v>1511</v>
      </c>
      <c r="V714" s="25" t="s">
        <v>62</v>
      </c>
      <c r="Z714" s="83" t="s">
        <v>63</v>
      </c>
      <c r="AA714" s="6">
        <v>34</v>
      </c>
      <c r="AC714" s="5">
        <v>44</v>
      </c>
      <c r="AD714" s="5" t="s">
        <v>80</v>
      </c>
      <c r="AE714" s="5" t="s">
        <v>538</v>
      </c>
      <c r="AI714" s="5">
        <v>19</v>
      </c>
      <c r="AJ714" s="5">
        <v>62</v>
      </c>
      <c r="AK714" s="6">
        <v>82.9</v>
      </c>
      <c r="AL714" s="6" t="s">
        <v>81</v>
      </c>
      <c r="AM714" s="6" t="s">
        <v>538</v>
      </c>
      <c r="AQ714" s="6">
        <v>57</v>
      </c>
      <c r="AR714" s="6">
        <v>119</v>
      </c>
      <c r="BA714" s="6">
        <v>26</v>
      </c>
      <c r="BB714" s="6" t="s">
        <v>367</v>
      </c>
      <c r="BC714" s="6" t="s">
        <v>538</v>
      </c>
      <c r="BG714" s="6">
        <v>19</v>
      </c>
      <c r="BH714" s="6">
        <v>36</v>
      </c>
      <c r="BQ714" s="6" t="s">
        <v>214</v>
      </c>
      <c r="BR714" s="5" t="s">
        <v>2219</v>
      </c>
    </row>
    <row r="715" spans="1:70" ht="14.25" hidden="1" x14ac:dyDescent="0.2">
      <c r="A715" s="91">
        <v>783</v>
      </c>
      <c r="B715" s="231" t="s">
        <v>2196</v>
      </c>
      <c r="C715" s="265" t="s">
        <v>2197</v>
      </c>
      <c r="D715" s="231" t="s">
        <v>2199</v>
      </c>
      <c r="E715" s="3" t="s">
        <v>2201</v>
      </c>
      <c r="F715" s="26" t="s">
        <v>103</v>
      </c>
      <c r="G715" s="26" t="s">
        <v>56</v>
      </c>
      <c r="H715" s="26" t="s">
        <v>157</v>
      </c>
      <c r="J715" s="22">
        <v>600</v>
      </c>
      <c r="L715" s="28" t="s">
        <v>58</v>
      </c>
      <c r="M715" s="22" t="s">
        <v>59</v>
      </c>
      <c r="N715" s="22" t="s">
        <v>2202</v>
      </c>
      <c r="O715" s="22" t="s">
        <v>60</v>
      </c>
      <c r="P715" s="22" t="s">
        <v>1511</v>
      </c>
      <c r="V715" s="25" t="s">
        <v>62</v>
      </c>
      <c r="Z715" s="83" t="s">
        <v>63</v>
      </c>
      <c r="AA715" s="6">
        <v>34</v>
      </c>
      <c r="AC715" s="5">
        <v>44</v>
      </c>
      <c r="AD715" s="5" t="s">
        <v>80</v>
      </c>
      <c r="AE715" s="5" t="s">
        <v>538</v>
      </c>
      <c r="AI715" s="5">
        <v>19</v>
      </c>
      <c r="AJ715" s="5">
        <v>62</v>
      </c>
      <c r="AK715" s="6">
        <v>82.9</v>
      </c>
      <c r="AL715" s="6" t="s">
        <v>81</v>
      </c>
      <c r="AM715" s="6" t="s">
        <v>538</v>
      </c>
      <c r="AQ715" s="6">
        <v>57</v>
      </c>
      <c r="AR715" s="6">
        <v>119</v>
      </c>
      <c r="BA715" s="6">
        <v>26</v>
      </c>
      <c r="BB715" s="6" t="s">
        <v>367</v>
      </c>
      <c r="BC715" s="6" t="s">
        <v>538</v>
      </c>
      <c r="BG715" s="6">
        <v>19</v>
      </c>
      <c r="BH715" s="6">
        <v>36</v>
      </c>
      <c r="BQ715" s="6" t="s">
        <v>214</v>
      </c>
      <c r="BR715" s="5" t="s">
        <v>2219</v>
      </c>
    </row>
    <row r="716" spans="1:70" ht="14.25" hidden="1" x14ac:dyDescent="0.2">
      <c r="A716" s="91">
        <v>784</v>
      </c>
      <c r="B716" s="231" t="s">
        <v>2196</v>
      </c>
      <c r="C716" s="265" t="s">
        <v>2197</v>
      </c>
      <c r="D716" s="231" t="s">
        <v>2200</v>
      </c>
      <c r="E716" s="3" t="s">
        <v>2201</v>
      </c>
      <c r="F716" s="26" t="s">
        <v>103</v>
      </c>
      <c r="G716" s="26" t="s">
        <v>56</v>
      </c>
      <c r="H716" s="26" t="s">
        <v>157</v>
      </c>
      <c r="J716" s="22">
        <v>600</v>
      </c>
      <c r="L716" s="28" t="s">
        <v>58</v>
      </c>
      <c r="M716" s="22" t="s">
        <v>59</v>
      </c>
      <c r="N716" s="22" t="s">
        <v>2202</v>
      </c>
      <c r="O716" s="22" t="s">
        <v>60</v>
      </c>
      <c r="P716" s="22" t="s">
        <v>1511</v>
      </c>
      <c r="V716" s="25" t="s">
        <v>62</v>
      </c>
      <c r="Z716" s="83" t="s">
        <v>63</v>
      </c>
      <c r="AA716" s="6">
        <v>34</v>
      </c>
      <c r="AC716" s="5">
        <v>44</v>
      </c>
      <c r="AD716" s="5" t="s">
        <v>80</v>
      </c>
      <c r="AE716" s="5" t="s">
        <v>538</v>
      </c>
      <c r="AI716" s="5">
        <v>19</v>
      </c>
      <c r="AJ716" s="5">
        <v>62</v>
      </c>
      <c r="AK716" s="6">
        <v>82.9</v>
      </c>
      <c r="AL716" s="6" t="s">
        <v>81</v>
      </c>
      <c r="AM716" s="6" t="s">
        <v>538</v>
      </c>
      <c r="AQ716" s="6">
        <v>57</v>
      </c>
      <c r="AR716" s="6">
        <v>119</v>
      </c>
      <c r="BA716" s="6">
        <v>26</v>
      </c>
      <c r="BB716" s="6" t="s">
        <v>367</v>
      </c>
      <c r="BC716" s="6" t="s">
        <v>538</v>
      </c>
      <c r="BG716" s="6">
        <v>19</v>
      </c>
      <c r="BH716" s="6">
        <v>36</v>
      </c>
      <c r="BQ716" s="6" t="s">
        <v>214</v>
      </c>
      <c r="BR716" s="5" t="s">
        <v>2219</v>
      </c>
    </row>
    <row r="717" spans="1:70" ht="14.25" hidden="1" x14ac:dyDescent="0.2">
      <c r="A717" s="91">
        <v>785</v>
      </c>
      <c r="B717" s="231" t="s">
        <v>2203</v>
      </c>
      <c r="C717" s="265" t="s">
        <v>2205</v>
      </c>
      <c r="D717" s="231" t="s">
        <v>2204</v>
      </c>
      <c r="E717" s="3" t="s">
        <v>2201</v>
      </c>
      <c r="F717" s="26" t="s">
        <v>103</v>
      </c>
      <c r="G717" s="26" t="s">
        <v>56</v>
      </c>
      <c r="H717" s="26" t="s">
        <v>430</v>
      </c>
      <c r="J717" s="22">
        <v>600</v>
      </c>
      <c r="L717" s="28" t="s">
        <v>58</v>
      </c>
      <c r="M717" s="22" t="s">
        <v>59</v>
      </c>
      <c r="N717" s="22" t="s">
        <v>1491</v>
      </c>
      <c r="O717" s="22" t="s">
        <v>60</v>
      </c>
      <c r="P717" s="22" t="s">
        <v>1511</v>
      </c>
      <c r="R717" s="23" t="s">
        <v>2206</v>
      </c>
      <c r="V717" s="25" t="s">
        <v>436</v>
      </c>
      <c r="Y717" s="25" t="s">
        <v>2207</v>
      </c>
      <c r="Z717" s="83" t="s">
        <v>63</v>
      </c>
      <c r="AA717" s="6">
        <v>28</v>
      </c>
      <c r="AB717" s="6">
        <v>1</v>
      </c>
      <c r="AC717" s="5">
        <v>24.5</v>
      </c>
      <c r="AD717" s="5" t="s">
        <v>80</v>
      </c>
      <c r="AE717" s="5" t="s">
        <v>538</v>
      </c>
      <c r="AI717" s="5">
        <v>20</v>
      </c>
      <c r="AJ717" s="5">
        <v>52</v>
      </c>
      <c r="BA717" s="6">
        <v>26.3</v>
      </c>
      <c r="BB717" s="6" t="s">
        <v>367</v>
      </c>
      <c r="BC717" s="6" t="s">
        <v>538</v>
      </c>
      <c r="BG717" s="6">
        <v>20.399999999999999</v>
      </c>
      <c r="BH717" s="6">
        <v>31.5</v>
      </c>
      <c r="BQ717" s="6" t="s">
        <v>214</v>
      </c>
    </row>
    <row r="718" spans="1:70" ht="14.25" hidden="1" x14ac:dyDescent="0.2">
      <c r="A718" s="91">
        <v>786</v>
      </c>
      <c r="B718" s="231" t="s">
        <v>2209</v>
      </c>
      <c r="C718" s="265" t="s">
        <v>2210</v>
      </c>
      <c r="D718" s="231" t="s">
        <v>2208</v>
      </c>
      <c r="E718" s="3" t="s">
        <v>2201</v>
      </c>
      <c r="F718" s="26" t="s">
        <v>103</v>
      </c>
      <c r="G718" s="26" t="s">
        <v>56</v>
      </c>
      <c r="H718" s="26" t="s">
        <v>157</v>
      </c>
      <c r="J718" s="22">
        <v>600</v>
      </c>
      <c r="L718" s="28" t="s">
        <v>58</v>
      </c>
      <c r="M718" s="22" t="s">
        <v>59</v>
      </c>
      <c r="N718" s="22" t="s">
        <v>2216</v>
      </c>
      <c r="O718" s="22" t="s">
        <v>60</v>
      </c>
      <c r="P718" s="22" t="s">
        <v>1511</v>
      </c>
      <c r="Z718" s="83" t="s">
        <v>63</v>
      </c>
      <c r="AA718" s="6">
        <v>12</v>
      </c>
      <c r="AB718" s="6">
        <v>2</v>
      </c>
      <c r="AC718" s="5">
        <v>36</v>
      </c>
      <c r="AD718" s="5" t="s">
        <v>80</v>
      </c>
      <c r="AE718" s="5" t="s">
        <v>116</v>
      </c>
      <c r="AI718" s="5">
        <v>24</v>
      </c>
      <c r="AJ718" s="5">
        <v>53</v>
      </c>
      <c r="AK718" s="6">
        <v>79.5</v>
      </c>
      <c r="AL718" s="6" t="s">
        <v>81</v>
      </c>
      <c r="AM718" s="6" t="s">
        <v>116</v>
      </c>
      <c r="AQ718" s="6">
        <v>64.7</v>
      </c>
      <c r="AR718" s="6">
        <v>92.5</v>
      </c>
      <c r="AS718" s="5">
        <v>176</v>
      </c>
      <c r="AT718" s="5" t="s">
        <v>119</v>
      </c>
      <c r="AU718" s="5" t="s">
        <v>335</v>
      </c>
      <c r="AY718" s="5">
        <v>165</v>
      </c>
      <c r="AZ718" s="5">
        <v>192</v>
      </c>
      <c r="BA718" s="6">
        <v>26</v>
      </c>
      <c r="BB718" s="6" t="s">
        <v>367</v>
      </c>
      <c r="BC718" s="6" t="s">
        <v>116</v>
      </c>
      <c r="BG718" s="6">
        <v>21</v>
      </c>
      <c r="BH718" s="6">
        <v>30</v>
      </c>
      <c r="BQ718" s="6" t="s">
        <v>214</v>
      </c>
    </row>
    <row r="719" spans="1:70" ht="14.25" hidden="1" x14ac:dyDescent="0.2">
      <c r="A719" s="91">
        <v>787</v>
      </c>
      <c r="B719" s="231" t="s">
        <v>2211</v>
      </c>
      <c r="C719" s="265" t="s">
        <v>2217</v>
      </c>
      <c r="D719" s="231" t="s">
        <v>2212</v>
      </c>
      <c r="E719" s="3" t="s">
        <v>2201</v>
      </c>
      <c r="F719" s="26" t="s">
        <v>103</v>
      </c>
      <c r="G719" s="26" t="s">
        <v>56</v>
      </c>
      <c r="H719" s="26" t="s">
        <v>57</v>
      </c>
      <c r="J719" s="22">
        <v>200</v>
      </c>
      <c r="L719" s="28" t="s">
        <v>58</v>
      </c>
      <c r="M719" s="22" t="s">
        <v>59</v>
      </c>
      <c r="N719" s="22">
        <v>0</v>
      </c>
      <c r="O719" s="22" t="s">
        <v>60</v>
      </c>
      <c r="P719" s="22" t="s">
        <v>79</v>
      </c>
      <c r="V719" s="25" t="s">
        <v>62</v>
      </c>
      <c r="W719" s="65">
        <v>8</v>
      </c>
      <c r="Z719" s="83" t="s">
        <v>63</v>
      </c>
      <c r="AA719" s="6">
        <v>8</v>
      </c>
      <c r="AC719" s="5">
        <v>29.9</v>
      </c>
      <c r="AD719" s="5" t="s">
        <v>80</v>
      </c>
      <c r="AE719" s="5" t="s">
        <v>116</v>
      </c>
      <c r="AI719" s="5">
        <v>19</v>
      </c>
      <c r="AJ719" s="5">
        <v>49</v>
      </c>
      <c r="BQ719" s="6" t="s">
        <v>214</v>
      </c>
      <c r="BR719" s="5" t="s">
        <v>2220</v>
      </c>
    </row>
    <row r="720" spans="1:70" ht="14.25" hidden="1" x14ac:dyDescent="0.2">
      <c r="A720" s="91">
        <v>788</v>
      </c>
      <c r="B720" s="231" t="s">
        <v>2211</v>
      </c>
      <c r="C720" s="265" t="s">
        <v>2217</v>
      </c>
      <c r="D720" s="231" t="s">
        <v>2213</v>
      </c>
      <c r="E720" s="3" t="s">
        <v>2201</v>
      </c>
      <c r="F720" s="26" t="s">
        <v>103</v>
      </c>
      <c r="G720" s="26" t="s">
        <v>56</v>
      </c>
      <c r="H720" s="26" t="s">
        <v>57</v>
      </c>
      <c r="J720" s="22">
        <v>400</v>
      </c>
      <c r="L720" s="28" t="s">
        <v>58</v>
      </c>
      <c r="M720" s="22" t="s">
        <v>59</v>
      </c>
      <c r="N720" s="22">
        <v>0</v>
      </c>
      <c r="O720" s="22" t="s">
        <v>60</v>
      </c>
      <c r="P720" s="22" t="s">
        <v>79</v>
      </c>
      <c r="V720" s="25" t="s">
        <v>62</v>
      </c>
      <c r="W720" s="65">
        <v>8</v>
      </c>
      <c r="Z720" s="83" t="s">
        <v>63</v>
      </c>
      <c r="AA720" s="6">
        <v>8</v>
      </c>
      <c r="AC720" s="5">
        <v>29.9</v>
      </c>
      <c r="AD720" s="5" t="s">
        <v>80</v>
      </c>
      <c r="AE720" s="5" t="s">
        <v>116</v>
      </c>
      <c r="AI720" s="5">
        <v>19</v>
      </c>
      <c r="AJ720" s="5">
        <v>49</v>
      </c>
      <c r="BQ720" s="6" t="s">
        <v>214</v>
      </c>
      <c r="BR720" s="5" t="s">
        <v>2221</v>
      </c>
    </row>
    <row r="721" spans="1:70" ht="14.25" hidden="1" x14ac:dyDescent="0.2">
      <c r="A721" s="91">
        <v>789</v>
      </c>
      <c r="B721" s="231" t="s">
        <v>2211</v>
      </c>
      <c r="C721" s="265" t="s">
        <v>2217</v>
      </c>
      <c r="D721" s="231" t="s">
        <v>2214</v>
      </c>
      <c r="E721" s="3" t="s">
        <v>2201</v>
      </c>
      <c r="F721" s="26" t="s">
        <v>103</v>
      </c>
      <c r="G721" s="26" t="s">
        <v>56</v>
      </c>
      <c r="H721" s="26" t="s">
        <v>57</v>
      </c>
      <c r="J721" s="22">
        <v>200</v>
      </c>
      <c r="L721" s="28" t="s">
        <v>58</v>
      </c>
      <c r="M721" s="22" t="s">
        <v>59</v>
      </c>
      <c r="N721" s="22" t="s">
        <v>1491</v>
      </c>
      <c r="O721" s="22" t="s">
        <v>60</v>
      </c>
      <c r="P721" s="22" t="s">
        <v>1511</v>
      </c>
      <c r="V721" s="25" t="s">
        <v>62</v>
      </c>
      <c r="W721" s="65">
        <v>8</v>
      </c>
      <c r="Z721" s="83" t="s">
        <v>63</v>
      </c>
      <c r="AA721" s="6">
        <v>8</v>
      </c>
      <c r="AC721" s="5">
        <v>29.9</v>
      </c>
      <c r="AD721" s="5" t="s">
        <v>80</v>
      </c>
      <c r="AE721" s="5" t="s">
        <v>116</v>
      </c>
      <c r="AI721" s="5">
        <v>19</v>
      </c>
      <c r="AJ721" s="5">
        <v>49</v>
      </c>
      <c r="BQ721" s="6" t="s">
        <v>214</v>
      </c>
      <c r="BR721" s="5" t="s">
        <v>2220</v>
      </c>
    </row>
    <row r="722" spans="1:70" ht="14.25" hidden="1" x14ac:dyDescent="0.2">
      <c r="A722" s="91">
        <v>790</v>
      </c>
      <c r="B722" s="231" t="s">
        <v>2211</v>
      </c>
      <c r="C722" s="265" t="s">
        <v>2217</v>
      </c>
      <c r="D722" s="231" t="s">
        <v>2215</v>
      </c>
      <c r="E722" s="3" t="s">
        <v>2201</v>
      </c>
      <c r="F722" s="26" t="s">
        <v>103</v>
      </c>
      <c r="G722" s="26" t="s">
        <v>56</v>
      </c>
      <c r="H722" s="26" t="s">
        <v>57</v>
      </c>
      <c r="J722" s="22">
        <v>400</v>
      </c>
      <c r="L722" s="28" t="s">
        <v>58</v>
      </c>
      <c r="M722" s="22" t="s">
        <v>59</v>
      </c>
      <c r="N722" s="22" t="s">
        <v>1491</v>
      </c>
      <c r="O722" s="22" t="s">
        <v>60</v>
      </c>
      <c r="P722" s="22" t="s">
        <v>1511</v>
      </c>
      <c r="V722" s="25" t="s">
        <v>62</v>
      </c>
      <c r="W722" s="65">
        <v>8</v>
      </c>
      <c r="Z722" s="83" t="s">
        <v>63</v>
      </c>
      <c r="AA722" s="6">
        <v>8</v>
      </c>
      <c r="AC722" s="5">
        <v>29.9</v>
      </c>
      <c r="AD722" s="5" t="s">
        <v>80</v>
      </c>
      <c r="AE722" s="5" t="s">
        <v>116</v>
      </c>
      <c r="AI722" s="5">
        <v>19</v>
      </c>
      <c r="AJ722" s="5">
        <v>49</v>
      </c>
      <c r="BQ722" s="6" t="s">
        <v>214</v>
      </c>
      <c r="BR722" s="5" t="s">
        <v>2221</v>
      </c>
    </row>
    <row r="723" spans="1:70" ht="14.25" hidden="1" x14ac:dyDescent="0.2">
      <c r="A723" s="91">
        <v>791</v>
      </c>
      <c r="B723" s="231" t="s">
        <v>2223</v>
      </c>
      <c r="C723" s="265" t="s">
        <v>2222</v>
      </c>
      <c r="D723" s="231" t="s">
        <v>2224</v>
      </c>
      <c r="E723" s="3" t="s">
        <v>2201</v>
      </c>
      <c r="F723" s="26" t="s">
        <v>103</v>
      </c>
      <c r="G723" s="26" t="s">
        <v>76</v>
      </c>
      <c r="H723" s="26" t="s">
        <v>535</v>
      </c>
      <c r="J723" s="22">
        <v>600</v>
      </c>
      <c r="L723" s="28" t="s">
        <v>58</v>
      </c>
      <c r="M723" s="22" t="s">
        <v>59</v>
      </c>
      <c r="N723" s="22">
        <v>0</v>
      </c>
      <c r="O723" s="22" t="s">
        <v>60</v>
      </c>
      <c r="P723" s="22" t="s">
        <v>79</v>
      </c>
      <c r="V723" s="25" t="s">
        <v>62</v>
      </c>
      <c r="Z723" s="83" t="s">
        <v>63</v>
      </c>
      <c r="AA723" s="6">
        <v>8</v>
      </c>
      <c r="BQ723" s="6" t="s">
        <v>214</v>
      </c>
      <c r="BR723" s="5" t="s">
        <v>1421</v>
      </c>
    </row>
    <row r="724" spans="1:70" ht="14.25" hidden="1" x14ac:dyDescent="0.2">
      <c r="A724" s="91">
        <v>792</v>
      </c>
      <c r="B724" s="231" t="s">
        <v>2223</v>
      </c>
      <c r="C724" s="265" t="s">
        <v>2222</v>
      </c>
      <c r="D724" s="231" t="s">
        <v>2225</v>
      </c>
      <c r="E724" s="3" t="s">
        <v>2201</v>
      </c>
      <c r="F724" s="26" t="s">
        <v>103</v>
      </c>
      <c r="G724" s="26" t="s">
        <v>76</v>
      </c>
      <c r="H724" s="26" t="s">
        <v>540</v>
      </c>
      <c r="J724" s="22">
        <v>600</v>
      </c>
      <c r="L724" s="28" t="s">
        <v>58</v>
      </c>
      <c r="M724" s="22" t="s">
        <v>59</v>
      </c>
      <c r="N724" s="22">
        <v>0</v>
      </c>
      <c r="O724" s="22" t="s">
        <v>60</v>
      </c>
      <c r="P724" s="22" t="s">
        <v>79</v>
      </c>
      <c r="V724" s="25" t="s">
        <v>62</v>
      </c>
      <c r="Z724" s="83" t="s">
        <v>63</v>
      </c>
      <c r="AA724" s="6">
        <v>9</v>
      </c>
      <c r="BQ724" s="6" t="s">
        <v>214</v>
      </c>
      <c r="BR724" s="5" t="s">
        <v>1421</v>
      </c>
    </row>
    <row r="725" spans="1:70" ht="14.25" hidden="1" x14ac:dyDescent="0.2">
      <c r="A725" s="91">
        <v>793</v>
      </c>
      <c r="B725" s="231" t="s">
        <v>2223</v>
      </c>
      <c r="C725" s="265" t="s">
        <v>2222</v>
      </c>
      <c r="D725" s="231" t="s">
        <v>2226</v>
      </c>
      <c r="E725" s="125" t="s">
        <v>2201</v>
      </c>
      <c r="F725" s="26" t="s">
        <v>103</v>
      </c>
      <c r="G725" s="26" t="s">
        <v>76</v>
      </c>
      <c r="H725" s="26" t="s">
        <v>2227</v>
      </c>
      <c r="J725" s="22">
        <v>600</v>
      </c>
      <c r="L725" s="28" t="s">
        <v>58</v>
      </c>
      <c r="M725" s="22" t="s">
        <v>59</v>
      </c>
      <c r="N725" s="22">
        <v>0</v>
      </c>
      <c r="O725" s="22" t="s">
        <v>60</v>
      </c>
      <c r="P725" s="22" t="s">
        <v>79</v>
      </c>
      <c r="V725" s="25" t="s">
        <v>62</v>
      </c>
      <c r="Z725" s="83" t="s">
        <v>63</v>
      </c>
      <c r="AA725" s="6">
        <v>3</v>
      </c>
      <c r="BQ725" s="6" t="s">
        <v>214</v>
      </c>
      <c r="BR725" s="5" t="s">
        <v>1421</v>
      </c>
    </row>
    <row r="726" spans="1:70" ht="14.25" hidden="1" x14ac:dyDescent="0.2">
      <c r="A726" s="91">
        <v>794</v>
      </c>
      <c r="B726" s="231" t="s">
        <v>2229</v>
      </c>
      <c r="C726" s="265" t="s">
        <v>2235</v>
      </c>
      <c r="D726" s="231" t="s">
        <v>2230</v>
      </c>
      <c r="E726" s="3" t="s">
        <v>2201</v>
      </c>
      <c r="F726" s="26" t="s">
        <v>103</v>
      </c>
      <c r="G726" s="26" t="s">
        <v>56</v>
      </c>
      <c r="H726" s="26" t="s">
        <v>2231</v>
      </c>
      <c r="I726" s="26" t="s">
        <v>2232</v>
      </c>
      <c r="J726" s="22">
        <v>600</v>
      </c>
      <c r="L726" s="28" t="s">
        <v>58</v>
      </c>
      <c r="M726" s="22" t="s">
        <v>59</v>
      </c>
      <c r="N726" s="22" t="s">
        <v>1510</v>
      </c>
      <c r="O726" s="22" t="s">
        <v>60</v>
      </c>
      <c r="P726" s="22" t="s">
        <v>1511</v>
      </c>
      <c r="Z726" s="83" t="s">
        <v>63</v>
      </c>
      <c r="AA726" s="6">
        <v>16</v>
      </c>
      <c r="AB726" s="6">
        <v>0</v>
      </c>
      <c r="AC726" s="5">
        <v>29.6</v>
      </c>
      <c r="AD726" s="5" t="s">
        <v>80</v>
      </c>
      <c r="AE726" s="5" t="s">
        <v>116</v>
      </c>
      <c r="AI726" s="5">
        <v>20</v>
      </c>
      <c r="AJ726" s="5">
        <v>42</v>
      </c>
      <c r="BA726" s="6">
        <v>24.3</v>
      </c>
      <c r="BB726" s="6" t="s">
        <v>367</v>
      </c>
      <c r="BC726" s="6" t="s">
        <v>116</v>
      </c>
      <c r="BG726" s="6">
        <v>19</v>
      </c>
      <c r="BH726" s="6">
        <v>30</v>
      </c>
      <c r="BQ726" s="6" t="s">
        <v>2233</v>
      </c>
      <c r="BR726" s="5" t="s">
        <v>2234</v>
      </c>
    </row>
    <row r="727" spans="1:70" ht="14.25" hidden="1" x14ac:dyDescent="0.2">
      <c r="A727" s="91">
        <v>795</v>
      </c>
      <c r="B727" s="231" t="s">
        <v>2236</v>
      </c>
      <c r="C727" s="265" t="s">
        <v>2240</v>
      </c>
      <c r="D727" s="231" t="s">
        <v>2237</v>
      </c>
      <c r="E727" s="3" t="s">
        <v>2201</v>
      </c>
      <c r="F727" s="26" t="s">
        <v>103</v>
      </c>
      <c r="G727" s="26" t="s">
        <v>56</v>
      </c>
      <c r="H727" s="26" t="s">
        <v>2242</v>
      </c>
      <c r="J727" s="22">
        <v>400</v>
      </c>
      <c r="L727" s="28" t="s">
        <v>58</v>
      </c>
      <c r="M727" s="22" t="s">
        <v>59</v>
      </c>
      <c r="N727" s="22" t="s">
        <v>1510</v>
      </c>
      <c r="O727" s="22" t="s">
        <v>60</v>
      </c>
      <c r="P727" s="22" t="s">
        <v>1511</v>
      </c>
      <c r="R727" s="23" t="s">
        <v>2206</v>
      </c>
      <c r="T727" s="23">
        <v>240</v>
      </c>
      <c r="V727" s="25" t="s">
        <v>1459</v>
      </c>
      <c r="W727" s="65">
        <v>1</v>
      </c>
      <c r="X727" s="106" t="s">
        <v>2247</v>
      </c>
      <c r="Y727" s="25" t="s">
        <v>2248</v>
      </c>
      <c r="Z727" s="83" t="s">
        <v>63</v>
      </c>
      <c r="AA727" s="6">
        <v>16</v>
      </c>
      <c r="AB727" s="6">
        <v>0</v>
      </c>
      <c r="AC727" s="5">
        <v>34</v>
      </c>
      <c r="AD727" s="5" t="s">
        <v>80</v>
      </c>
      <c r="AE727" s="5" t="s">
        <v>116</v>
      </c>
      <c r="AI727" s="5">
        <v>20</v>
      </c>
      <c r="AJ727" s="5">
        <v>48</v>
      </c>
      <c r="AK727" s="6">
        <v>79</v>
      </c>
      <c r="AL727" s="6" t="s">
        <v>81</v>
      </c>
      <c r="AM727" s="6" t="s">
        <v>116</v>
      </c>
      <c r="AQ727" s="6">
        <v>59</v>
      </c>
      <c r="AR727" s="6">
        <v>92</v>
      </c>
      <c r="BQ727" s="6" t="s">
        <v>214</v>
      </c>
      <c r="BR727" s="5" t="s">
        <v>2241</v>
      </c>
    </row>
    <row r="728" spans="1:70" ht="14.25" hidden="1" x14ac:dyDescent="0.2">
      <c r="A728" s="91">
        <v>796</v>
      </c>
      <c r="B728" s="231" t="s">
        <v>2236</v>
      </c>
      <c r="C728" s="265" t="s">
        <v>2240</v>
      </c>
      <c r="D728" s="231" t="s">
        <v>2238</v>
      </c>
      <c r="E728" s="3" t="s">
        <v>2201</v>
      </c>
      <c r="F728" s="26" t="s">
        <v>103</v>
      </c>
      <c r="G728" s="26" t="s">
        <v>56</v>
      </c>
      <c r="H728" s="26" t="s">
        <v>2243</v>
      </c>
      <c r="J728" s="22">
        <v>400</v>
      </c>
      <c r="L728" s="28" t="s">
        <v>58</v>
      </c>
      <c r="M728" s="22" t="s">
        <v>59</v>
      </c>
      <c r="N728" s="22" t="s">
        <v>1510</v>
      </c>
      <c r="O728" s="22" t="s">
        <v>60</v>
      </c>
      <c r="P728" s="22" t="s">
        <v>1511</v>
      </c>
      <c r="R728" s="23" t="s">
        <v>2206</v>
      </c>
      <c r="T728" s="23">
        <v>240</v>
      </c>
      <c r="V728" s="25" t="s">
        <v>1459</v>
      </c>
      <c r="W728" s="65">
        <v>1</v>
      </c>
      <c r="X728" s="106" t="s">
        <v>2247</v>
      </c>
      <c r="Y728" s="25" t="s">
        <v>2248</v>
      </c>
      <c r="Z728" s="83" t="s">
        <v>63</v>
      </c>
      <c r="AA728" s="6">
        <v>11</v>
      </c>
      <c r="AB728" s="6">
        <v>0</v>
      </c>
      <c r="AC728" s="5">
        <v>34</v>
      </c>
      <c r="AD728" s="5" t="s">
        <v>80</v>
      </c>
      <c r="AE728" s="5" t="s">
        <v>116</v>
      </c>
      <c r="AI728" s="5">
        <v>22</v>
      </c>
      <c r="AJ728" s="5">
        <v>49</v>
      </c>
      <c r="AK728" s="6">
        <v>81</v>
      </c>
      <c r="AL728" s="6" t="s">
        <v>81</v>
      </c>
      <c r="AM728" s="6" t="s">
        <v>116</v>
      </c>
      <c r="AQ728" s="6">
        <v>70</v>
      </c>
      <c r="AR728" s="6">
        <v>95</v>
      </c>
      <c r="BQ728" s="6" t="s">
        <v>214</v>
      </c>
      <c r="BR728" s="5" t="s">
        <v>2241</v>
      </c>
    </row>
    <row r="729" spans="1:70" ht="14.25" hidden="1" x14ac:dyDescent="0.2">
      <c r="A729" s="91">
        <v>797</v>
      </c>
      <c r="B729" s="231" t="s">
        <v>2236</v>
      </c>
      <c r="C729" s="265" t="s">
        <v>2240</v>
      </c>
      <c r="D729" s="231" t="s">
        <v>2239</v>
      </c>
      <c r="E729" s="3" t="s">
        <v>2201</v>
      </c>
      <c r="F729" s="26" t="s">
        <v>103</v>
      </c>
      <c r="G729" s="26" t="s">
        <v>56</v>
      </c>
      <c r="H729" s="26" t="s">
        <v>2243</v>
      </c>
      <c r="J729" s="22">
        <v>400</v>
      </c>
      <c r="L729" s="28" t="s">
        <v>58</v>
      </c>
      <c r="M729" s="22" t="s">
        <v>59</v>
      </c>
      <c r="N729" s="22" t="s">
        <v>2244</v>
      </c>
      <c r="O729" s="22" t="s">
        <v>60</v>
      </c>
      <c r="P729" s="22" t="s">
        <v>1511</v>
      </c>
      <c r="R729" s="23" t="s">
        <v>2206</v>
      </c>
      <c r="T729" s="23">
        <v>240</v>
      </c>
      <c r="V729" s="25" t="s">
        <v>1459</v>
      </c>
      <c r="W729" s="65">
        <v>1</v>
      </c>
      <c r="X729" s="106" t="s">
        <v>2247</v>
      </c>
      <c r="Y729" s="25" t="s">
        <v>2248</v>
      </c>
      <c r="Z729" s="83" t="s">
        <v>63</v>
      </c>
      <c r="AA729" s="6">
        <v>11</v>
      </c>
      <c r="AB729" s="6">
        <v>0</v>
      </c>
      <c r="AC729" s="5">
        <v>34</v>
      </c>
      <c r="AD729" s="5" t="s">
        <v>80</v>
      </c>
      <c r="AE729" s="5" t="s">
        <v>116</v>
      </c>
      <c r="AI729" s="5">
        <v>22</v>
      </c>
      <c r="AJ729" s="5">
        <v>49</v>
      </c>
      <c r="AK729" s="6">
        <v>81</v>
      </c>
      <c r="AL729" s="6" t="s">
        <v>81</v>
      </c>
      <c r="AM729" s="6" t="s">
        <v>116</v>
      </c>
      <c r="AQ729" s="6">
        <v>70</v>
      </c>
      <c r="AR729" s="6">
        <v>95</v>
      </c>
      <c r="BQ729" s="6" t="s">
        <v>214</v>
      </c>
      <c r="BR729" s="5" t="s">
        <v>2241</v>
      </c>
    </row>
    <row r="730" spans="1:70" ht="14.25" hidden="1" x14ac:dyDescent="0.2">
      <c r="A730" s="91">
        <v>798</v>
      </c>
      <c r="B730" s="231" t="s">
        <v>2245</v>
      </c>
      <c r="C730" s="265" t="s">
        <v>2246</v>
      </c>
      <c r="D730" s="231" t="s">
        <v>2230</v>
      </c>
      <c r="E730" s="3" t="s">
        <v>2201</v>
      </c>
      <c r="F730" s="26" t="s">
        <v>103</v>
      </c>
      <c r="G730" s="26" t="s">
        <v>56</v>
      </c>
      <c r="H730" s="26" t="s">
        <v>1351</v>
      </c>
      <c r="J730" s="22">
        <v>600</v>
      </c>
      <c r="L730" s="28" t="s">
        <v>58</v>
      </c>
      <c r="M730" s="22" t="s">
        <v>59</v>
      </c>
      <c r="N730" s="22" t="s">
        <v>1491</v>
      </c>
      <c r="O730" s="22" t="s">
        <v>60</v>
      </c>
      <c r="P730" s="22" t="s">
        <v>1511</v>
      </c>
      <c r="Z730" s="83" t="s">
        <v>63</v>
      </c>
      <c r="AA730" s="6">
        <v>14</v>
      </c>
      <c r="AB730" s="6">
        <v>4</v>
      </c>
      <c r="AC730" s="5">
        <v>43.5</v>
      </c>
      <c r="AD730" s="5" t="s">
        <v>80</v>
      </c>
      <c r="AE730" s="5" t="s">
        <v>538</v>
      </c>
      <c r="AI730" s="5">
        <v>19</v>
      </c>
      <c r="AJ730" s="5">
        <v>57</v>
      </c>
      <c r="AL730" s="6" t="s">
        <v>81</v>
      </c>
      <c r="AQ730" s="6">
        <v>50</v>
      </c>
      <c r="BQ730" s="6" t="s">
        <v>214</v>
      </c>
      <c r="BR730" s="5" t="s">
        <v>2249</v>
      </c>
    </row>
    <row r="731" spans="1:70" ht="14.25" hidden="1" x14ac:dyDescent="0.2">
      <c r="A731" s="91">
        <v>799</v>
      </c>
      <c r="B731" s="231" t="s">
        <v>2250</v>
      </c>
      <c r="C731" s="265" t="s">
        <v>2251</v>
      </c>
      <c r="D731" s="231" t="s">
        <v>2230</v>
      </c>
      <c r="E731" s="3" t="s">
        <v>2201</v>
      </c>
      <c r="F731" s="26" t="s">
        <v>103</v>
      </c>
      <c r="G731" s="26" t="s">
        <v>56</v>
      </c>
      <c r="H731" s="26" t="s">
        <v>168</v>
      </c>
      <c r="J731" s="22">
        <v>600</v>
      </c>
      <c r="L731" s="28" t="s">
        <v>58</v>
      </c>
      <c r="M731" s="22" t="s">
        <v>59</v>
      </c>
      <c r="N731" s="22" t="s">
        <v>2252</v>
      </c>
      <c r="O731" s="22" t="s">
        <v>60</v>
      </c>
      <c r="P731" s="22" t="s">
        <v>1511</v>
      </c>
      <c r="Z731" s="83" t="s">
        <v>63</v>
      </c>
      <c r="AA731" s="6">
        <v>12</v>
      </c>
      <c r="AB731" s="6">
        <v>7</v>
      </c>
      <c r="AD731" s="5" t="s">
        <v>80</v>
      </c>
      <c r="AI731" s="5">
        <v>24</v>
      </c>
      <c r="AJ731" s="5">
        <v>49</v>
      </c>
      <c r="AL731" s="6" t="s">
        <v>81</v>
      </c>
      <c r="AQ731" s="6">
        <v>50</v>
      </c>
      <c r="AR731" s="6">
        <v>83</v>
      </c>
      <c r="BQ731" s="6" t="s">
        <v>2253</v>
      </c>
      <c r="BR731" s="5" t="s">
        <v>1346</v>
      </c>
    </row>
    <row r="732" spans="1:70" ht="14.25" hidden="1" x14ac:dyDescent="0.2">
      <c r="A732" s="91">
        <v>800</v>
      </c>
      <c r="B732" s="231" t="s">
        <v>2255</v>
      </c>
      <c r="C732" s="265" t="s">
        <v>2254</v>
      </c>
      <c r="D732" s="231" t="s">
        <v>2267</v>
      </c>
      <c r="E732" s="3" t="s">
        <v>339</v>
      </c>
      <c r="F732" s="26" t="s">
        <v>103</v>
      </c>
      <c r="G732" s="26" t="s">
        <v>56</v>
      </c>
      <c r="H732" s="26" t="s">
        <v>407</v>
      </c>
      <c r="I732" s="26" t="s">
        <v>2257</v>
      </c>
      <c r="J732" s="22">
        <v>43</v>
      </c>
      <c r="L732" s="28" t="s">
        <v>212</v>
      </c>
      <c r="M732" s="22" t="s">
        <v>59</v>
      </c>
      <c r="N732" s="22">
        <v>0</v>
      </c>
      <c r="O732" s="22" t="s">
        <v>60</v>
      </c>
      <c r="P732" s="22" t="s">
        <v>79</v>
      </c>
      <c r="T732" s="23">
        <v>100</v>
      </c>
      <c r="V732" s="25" t="s">
        <v>62</v>
      </c>
      <c r="Z732" s="83" t="s">
        <v>63</v>
      </c>
      <c r="AA732" s="6">
        <v>12</v>
      </c>
      <c r="AB732" s="6">
        <v>6</v>
      </c>
      <c r="AC732" s="5">
        <v>22</v>
      </c>
      <c r="AD732" s="5" t="s">
        <v>80</v>
      </c>
      <c r="AE732" s="5" t="s">
        <v>116</v>
      </c>
      <c r="AF732" s="5">
        <v>4</v>
      </c>
      <c r="AG732" s="5" t="s">
        <v>80</v>
      </c>
      <c r="AH732" s="5" t="s">
        <v>117</v>
      </c>
      <c r="AI732" s="5">
        <v>18</v>
      </c>
      <c r="AJ732" s="5">
        <v>29</v>
      </c>
      <c r="AK732" s="6">
        <v>71</v>
      </c>
      <c r="AL732" s="6" t="s">
        <v>81</v>
      </c>
      <c r="AM732" s="6" t="s">
        <v>116</v>
      </c>
      <c r="AN732" s="6">
        <v>12</v>
      </c>
      <c r="AO732" s="6" t="s">
        <v>81</v>
      </c>
      <c r="AP732" s="6" t="s">
        <v>117</v>
      </c>
      <c r="AQ732" s="6">
        <v>57</v>
      </c>
      <c r="AR732" s="6">
        <v>96</v>
      </c>
      <c r="BQ732" s="6" t="s">
        <v>214</v>
      </c>
      <c r="BR732" s="5" t="s">
        <v>2256</v>
      </c>
    </row>
    <row r="733" spans="1:70" ht="14.25" hidden="1" x14ac:dyDescent="0.2">
      <c r="A733" s="91">
        <v>801</v>
      </c>
      <c r="B733" s="231" t="s">
        <v>2255</v>
      </c>
      <c r="C733" s="265" t="s">
        <v>2254</v>
      </c>
      <c r="D733" s="231" t="s">
        <v>2264</v>
      </c>
      <c r="E733" s="3" t="s">
        <v>339</v>
      </c>
      <c r="F733" s="26" t="s">
        <v>103</v>
      </c>
      <c r="G733" s="26" t="s">
        <v>56</v>
      </c>
      <c r="H733" s="26" t="s">
        <v>407</v>
      </c>
      <c r="I733" s="26" t="s">
        <v>2263</v>
      </c>
      <c r="J733" s="22">
        <v>43</v>
      </c>
      <c r="L733" s="28" t="s">
        <v>212</v>
      </c>
      <c r="M733" s="22" t="s">
        <v>59</v>
      </c>
      <c r="N733" s="22">
        <v>336.5</v>
      </c>
      <c r="O733" s="22" t="s">
        <v>60</v>
      </c>
      <c r="P733" s="22" t="s">
        <v>79</v>
      </c>
      <c r="T733" s="23">
        <v>100</v>
      </c>
      <c r="V733" s="25" t="s">
        <v>62</v>
      </c>
      <c r="Z733" s="83" t="s">
        <v>63</v>
      </c>
      <c r="AA733" s="6">
        <v>12</v>
      </c>
      <c r="AB733" s="6">
        <v>6</v>
      </c>
      <c r="AC733" s="5">
        <v>22</v>
      </c>
      <c r="AD733" s="5" t="s">
        <v>80</v>
      </c>
      <c r="AE733" s="5" t="s">
        <v>116</v>
      </c>
      <c r="AF733" s="5">
        <v>4</v>
      </c>
      <c r="AG733" s="5" t="s">
        <v>80</v>
      </c>
      <c r="AH733" s="5" t="s">
        <v>117</v>
      </c>
      <c r="AI733" s="5">
        <v>18</v>
      </c>
      <c r="AJ733" s="5">
        <v>29</v>
      </c>
      <c r="AK733" s="6">
        <v>71</v>
      </c>
      <c r="AL733" s="6" t="s">
        <v>81</v>
      </c>
      <c r="AM733" s="6" t="s">
        <v>116</v>
      </c>
      <c r="AN733" s="6">
        <v>12</v>
      </c>
      <c r="AO733" s="6" t="s">
        <v>81</v>
      </c>
      <c r="AP733" s="6" t="s">
        <v>117</v>
      </c>
      <c r="AQ733" s="6">
        <v>57</v>
      </c>
      <c r="AR733" s="6">
        <v>96</v>
      </c>
      <c r="BQ733" s="6" t="s">
        <v>214</v>
      </c>
      <c r="BR733" s="5" t="s">
        <v>2256</v>
      </c>
    </row>
    <row r="734" spans="1:70" ht="14.25" hidden="1" x14ac:dyDescent="0.2">
      <c r="A734" s="91">
        <v>802</v>
      </c>
      <c r="B734" s="231" t="s">
        <v>2255</v>
      </c>
      <c r="C734" s="265" t="s">
        <v>2254</v>
      </c>
      <c r="D734" s="231" t="s">
        <v>2266</v>
      </c>
      <c r="E734" s="3" t="s">
        <v>339</v>
      </c>
      <c r="F734" s="26" t="s">
        <v>103</v>
      </c>
      <c r="G734" s="26" t="s">
        <v>56</v>
      </c>
      <c r="H734" s="26" t="s">
        <v>492</v>
      </c>
      <c r="I734" s="26" t="s">
        <v>2258</v>
      </c>
      <c r="J734" s="22">
        <v>15</v>
      </c>
      <c r="L734" s="28" t="s">
        <v>212</v>
      </c>
      <c r="M734" s="22" t="s">
        <v>78</v>
      </c>
      <c r="N734" s="22">
        <v>0</v>
      </c>
      <c r="O734" s="22" t="s">
        <v>60</v>
      </c>
      <c r="P734" s="22" t="s">
        <v>79</v>
      </c>
      <c r="S734" s="24" t="s">
        <v>2136</v>
      </c>
      <c r="V734" s="25" t="s">
        <v>62</v>
      </c>
      <c r="Z734" s="83" t="s">
        <v>63</v>
      </c>
      <c r="AA734" s="6">
        <v>12</v>
      </c>
      <c r="AB734" s="6">
        <v>6</v>
      </c>
      <c r="AC734" s="5">
        <v>22</v>
      </c>
      <c r="AD734" s="5" t="s">
        <v>80</v>
      </c>
      <c r="AE734" s="5" t="s">
        <v>116</v>
      </c>
      <c r="AF734" s="5">
        <v>4</v>
      </c>
      <c r="AG734" s="5" t="s">
        <v>80</v>
      </c>
      <c r="AH734" s="5" t="s">
        <v>117</v>
      </c>
      <c r="AI734" s="5">
        <v>18</v>
      </c>
      <c r="AJ734" s="5">
        <v>29</v>
      </c>
      <c r="AK734" s="6">
        <v>71</v>
      </c>
      <c r="AL734" s="6" t="s">
        <v>81</v>
      </c>
      <c r="AM734" s="6" t="s">
        <v>116</v>
      </c>
      <c r="AN734" s="6">
        <v>12</v>
      </c>
      <c r="AO734" s="6" t="s">
        <v>81</v>
      </c>
      <c r="AP734" s="6" t="s">
        <v>117</v>
      </c>
      <c r="AQ734" s="6">
        <v>57</v>
      </c>
      <c r="AR734" s="6">
        <v>96</v>
      </c>
      <c r="BQ734" s="6" t="s">
        <v>214</v>
      </c>
      <c r="BR734" s="5" t="s">
        <v>2256</v>
      </c>
    </row>
    <row r="735" spans="1:70" ht="14.25" hidden="1" x14ac:dyDescent="0.2">
      <c r="A735" s="91">
        <v>803</v>
      </c>
      <c r="B735" s="231" t="s">
        <v>2255</v>
      </c>
      <c r="C735" s="265" t="s">
        <v>2254</v>
      </c>
      <c r="D735" s="231" t="s">
        <v>2265</v>
      </c>
      <c r="E735" s="3" t="s">
        <v>339</v>
      </c>
      <c r="F735" s="26" t="s">
        <v>103</v>
      </c>
      <c r="G735" s="26" t="s">
        <v>56</v>
      </c>
      <c r="H735" s="26" t="s">
        <v>492</v>
      </c>
      <c r="I735" s="26" t="s">
        <v>2263</v>
      </c>
      <c r="J735" s="22">
        <v>15</v>
      </c>
      <c r="L735" s="28" t="s">
        <v>212</v>
      </c>
      <c r="M735" s="22" t="s">
        <v>78</v>
      </c>
      <c r="N735" s="22">
        <v>360.5</v>
      </c>
      <c r="O735" s="22" t="s">
        <v>60</v>
      </c>
      <c r="P735" s="22" t="s">
        <v>79</v>
      </c>
      <c r="S735" s="24" t="s">
        <v>2136</v>
      </c>
      <c r="V735" s="25" t="s">
        <v>62</v>
      </c>
      <c r="Z735" s="83" t="s">
        <v>63</v>
      </c>
      <c r="AA735" s="6">
        <v>12</v>
      </c>
      <c r="AB735" s="6">
        <v>6</v>
      </c>
      <c r="AC735" s="5">
        <v>22</v>
      </c>
      <c r="AD735" s="5" t="s">
        <v>80</v>
      </c>
      <c r="AE735" s="5" t="s">
        <v>116</v>
      </c>
      <c r="AF735" s="5">
        <v>4</v>
      </c>
      <c r="AG735" s="5" t="s">
        <v>80</v>
      </c>
      <c r="AH735" s="5" t="s">
        <v>117</v>
      </c>
      <c r="AI735" s="5">
        <v>18</v>
      </c>
      <c r="AJ735" s="5">
        <v>29</v>
      </c>
      <c r="AK735" s="6">
        <v>71</v>
      </c>
      <c r="AL735" s="6" t="s">
        <v>81</v>
      </c>
      <c r="AM735" s="6" t="s">
        <v>116</v>
      </c>
      <c r="AN735" s="6">
        <v>12</v>
      </c>
      <c r="AO735" s="6" t="s">
        <v>81</v>
      </c>
      <c r="AP735" s="6" t="s">
        <v>117</v>
      </c>
      <c r="AQ735" s="6">
        <v>57</v>
      </c>
      <c r="AR735" s="6">
        <v>96</v>
      </c>
      <c r="BQ735" s="6" t="s">
        <v>214</v>
      </c>
      <c r="BR735" s="5" t="s">
        <v>2256</v>
      </c>
    </row>
    <row r="736" spans="1:70" ht="14.25" hidden="1" x14ac:dyDescent="0.2">
      <c r="A736" s="91">
        <v>804</v>
      </c>
      <c r="B736" s="231" t="s">
        <v>2255</v>
      </c>
      <c r="C736" s="265" t="s">
        <v>2254</v>
      </c>
      <c r="D736" s="231" t="s">
        <v>2259</v>
      </c>
      <c r="E736" s="3" t="s">
        <v>2201</v>
      </c>
      <c r="F736" s="26" t="s">
        <v>103</v>
      </c>
      <c r="G736" s="26" t="s">
        <v>56</v>
      </c>
      <c r="H736" s="26" t="s">
        <v>66</v>
      </c>
      <c r="J736" s="22">
        <v>600</v>
      </c>
      <c r="L736" s="28" t="s">
        <v>58</v>
      </c>
      <c r="M736" s="22" t="s">
        <v>59</v>
      </c>
      <c r="N736" s="22">
        <v>0</v>
      </c>
      <c r="O736" s="22" t="s">
        <v>60</v>
      </c>
      <c r="P736" s="22" t="s">
        <v>1511</v>
      </c>
      <c r="Z736" s="83" t="s">
        <v>63</v>
      </c>
      <c r="AA736" s="6">
        <v>12</v>
      </c>
      <c r="AB736" s="6">
        <v>6</v>
      </c>
      <c r="AC736" s="5">
        <v>22</v>
      </c>
      <c r="AD736" s="5" t="s">
        <v>80</v>
      </c>
      <c r="AE736" s="5" t="s">
        <v>116</v>
      </c>
      <c r="AF736" s="5">
        <v>4</v>
      </c>
      <c r="AG736" s="5" t="s">
        <v>80</v>
      </c>
      <c r="AH736" s="5" t="s">
        <v>117</v>
      </c>
      <c r="AI736" s="5">
        <v>18</v>
      </c>
      <c r="AJ736" s="5">
        <v>29</v>
      </c>
      <c r="AK736" s="6">
        <v>71</v>
      </c>
      <c r="AL736" s="6" t="s">
        <v>81</v>
      </c>
      <c r="AM736" s="6" t="s">
        <v>116</v>
      </c>
      <c r="AN736" s="6">
        <v>12</v>
      </c>
      <c r="AO736" s="6" t="s">
        <v>81</v>
      </c>
      <c r="AP736" s="6" t="s">
        <v>117</v>
      </c>
      <c r="AQ736" s="6">
        <v>57</v>
      </c>
      <c r="AR736" s="6">
        <v>96</v>
      </c>
      <c r="BQ736" s="6" t="s">
        <v>214</v>
      </c>
      <c r="BR736" s="5" t="s">
        <v>2256</v>
      </c>
    </row>
    <row r="737" spans="1:72" ht="14.25" hidden="1" x14ac:dyDescent="0.2">
      <c r="A737" s="91">
        <v>805</v>
      </c>
      <c r="B737" s="231" t="s">
        <v>2255</v>
      </c>
      <c r="C737" s="265" t="s">
        <v>2254</v>
      </c>
      <c r="D737" s="231" t="s">
        <v>2260</v>
      </c>
      <c r="E737" s="3" t="s">
        <v>2201</v>
      </c>
      <c r="F737" s="26" t="s">
        <v>103</v>
      </c>
      <c r="G737" s="26" t="s">
        <v>56</v>
      </c>
      <c r="H737" s="26" t="s">
        <v>66</v>
      </c>
      <c r="I737" s="26" t="s">
        <v>2261</v>
      </c>
      <c r="J737" s="22">
        <v>600</v>
      </c>
      <c r="L737" s="28" t="s">
        <v>58</v>
      </c>
      <c r="M737" s="22" t="s">
        <v>59</v>
      </c>
      <c r="N737" s="22" t="s">
        <v>2262</v>
      </c>
      <c r="O737" s="22" t="s">
        <v>60</v>
      </c>
      <c r="P737" s="22" t="s">
        <v>1511</v>
      </c>
      <c r="Z737" s="83" t="s">
        <v>63</v>
      </c>
      <c r="AA737" s="6">
        <v>12</v>
      </c>
      <c r="AB737" s="6">
        <v>6</v>
      </c>
      <c r="AC737" s="5">
        <v>22</v>
      </c>
      <c r="AD737" s="5" t="s">
        <v>80</v>
      </c>
      <c r="AE737" s="5" t="s">
        <v>116</v>
      </c>
      <c r="AF737" s="5">
        <v>4</v>
      </c>
      <c r="AG737" s="5" t="s">
        <v>80</v>
      </c>
      <c r="AH737" s="5" t="s">
        <v>117</v>
      </c>
      <c r="AI737" s="5">
        <v>18</v>
      </c>
      <c r="AJ737" s="5">
        <v>29</v>
      </c>
      <c r="AK737" s="6">
        <v>71</v>
      </c>
      <c r="AL737" s="6" t="s">
        <v>81</v>
      </c>
      <c r="AM737" s="6" t="s">
        <v>116</v>
      </c>
      <c r="AN737" s="6">
        <v>12</v>
      </c>
      <c r="AO737" s="6" t="s">
        <v>81</v>
      </c>
      <c r="AP737" s="6" t="s">
        <v>117</v>
      </c>
      <c r="AQ737" s="6">
        <v>57</v>
      </c>
      <c r="AR737" s="6">
        <v>96</v>
      </c>
      <c r="BQ737" s="6" t="s">
        <v>214</v>
      </c>
      <c r="BR737" s="5" t="s">
        <v>2256</v>
      </c>
      <c r="BT737" s="124"/>
    </row>
    <row r="738" spans="1:72" hidden="1" x14ac:dyDescent="0.2">
      <c r="A738" s="255">
        <v>1001</v>
      </c>
      <c r="B738" s="231" t="s">
        <v>2107</v>
      </c>
      <c r="C738" s="261" t="s">
        <v>2108</v>
      </c>
      <c r="D738" s="231" t="s">
        <v>2278</v>
      </c>
      <c r="E738" s="3" t="s">
        <v>2053</v>
      </c>
      <c r="F738" s="26" t="s">
        <v>103</v>
      </c>
      <c r="G738" s="26" t="s">
        <v>56</v>
      </c>
      <c r="H738" s="26" t="s">
        <v>2273</v>
      </c>
      <c r="J738" s="22">
        <v>1</v>
      </c>
      <c r="L738" s="28" t="s">
        <v>58</v>
      </c>
      <c r="M738" s="22" t="s">
        <v>59</v>
      </c>
      <c r="N738" s="22">
        <v>96</v>
      </c>
      <c r="O738" s="22" t="s">
        <v>60</v>
      </c>
      <c r="P738" s="22" t="s">
        <v>2851</v>
      </c>
      <c r="R738" s="23" t="s">
        <v>2274</v>
      </c>
      <c r="V738" s="25" t="s">
        <v>615</v>
      </c>
      <c r="W738" s="65" t="s">
        <v>655</v>
      </c>
      <c r="X738" s="106">
        <v>4</v>
      </c>
      <c r="Y738" s="25" t="s">
        <v>2279</v>
      </c>
      <c r="Z738" s="83" t="s">
        <v>63</v>
      </c>
      <c r="AA738" s="6" t="s">
        <v>2280</v>
      </c>
      <c r="AD738" s="5" t="s">
        <v>1407</v>
      </c>
      <c r="AI738" s="5" t="s">
        <v>2275</v>
      </c>
      <c r="AJ738" s="5" t="s">
        <v>2276</v>
      </c>
      <c r="BQ738" s="6" t="s">
        <v>195</v>
      </c>
      <c r="BR738" s="5" t="s">
        <v>2277</v>
      </c>
      <c r="BT738" s="124"/>
    </row>
    <row r="739" spans="1:72" hidden="1" x14ac:dyDescent="0.2">
      <c r="A739" s="255">
        <v>1002</v>
      </c>
      <c r="B739" s="231" t="s">
        <v>2107</v>
      </c>
      <c r="C739" s="261" t="s">
        <v>2108</v>
      </c>
      <c r="D739" s="231" t="s">
        <v>2281</v>
      </c>
      <c r="E739" s="3" t="s">
        <v>2053</v>
      </c>
      <c r="F739" s="26" t="s">
        <v>103</v>
      </c>
      <c r="G739" s="26" t="s">
        <v>56</v>
      </c>
      <c r="H739" s="26" t="s">
        <v>2273</v>
      </c>
      <c r="J739" s="22">
        <v>1</v>
      </c>
      <c r="L739" s="28" t="s">
        <v>58</v>
      </c>
      <c r="M739" s="22" t="s">
        <v>59</v>
      </c>
      <c r="N739" s="22">
        <v>48</v>
      </c>
      <c r="O739" s="22" t="s">
        <v>60</v>
      </c>
      <c r="P739" s="22" t="s">
        <v>2852</v>
      </c>
      <c r="R739" s="23" t="s">
        <v>2274</v>
      </c>
      <c r="V739" s="25" t="s">
        <v>615</v>
      </c>
      <c r="W739" s="65" t="s">
        <v>655</v>
      </c>
      <c r="X739" s="106">
        <v>4</v>
      </c>
      <c r="Y739" s="25" t="s">
        <v>2279</v>
      </c>
      <c r="Z739" s="83" t="s">
        <v>63</v>
      </c>
      <c r="AA739" s="6" t="s">
        <v>2280</v>
      </c>
      <c r="AD739" s="5" t="s">
        <v>1407</v>
      </c>
      <c r="AI739" s="5" t="s">
        <v>2275</v>
      </c>
      <c r="AJ739" s="5" t="s">
        <v>2276</v>
      </c>
      <c r="BQ739" s="6" t="s">
        <v>195</v>
      </c>
      <c r="BR739" s="5" t="s">
        <v>2277</v>
      </c>
      <c r="BT739" s="124"/>
    </row>
    <row r="740" spans="1:72" hidden="1" x14ac:dyDescent="0.2">
      <c r="A740" s="255">
        <v>1004</v>
      </c>
      <c r="B740" s="231" t="s">
        <v>2045</v>
      </c>
      <c r="C740" s="261" t="s">
        <v>2046</v>
      </c>
      <c r="D740" s="231" t="s">
        <v>2286</v>
      </c>
      <c r="E740" s="3" t="s">
        <v>1974</v>
      </c>
      <c r="F740" s="26" t="s">
        <v>103</v>
      </c>
      <c r="G740" s="26" t="s">
        <v>56</v>
      </c>
      <c r="H740" s="26" t="s">
        <v>2282</v>
      </c>
      <c r="J740" s="22">
        <v>0.5</v>
      </c>
      <c r="L740" s="28" t="s">
        <v>58</v>
      </c>
      <c r="M740" s="22" t="s">
        <v>59</v>
      </c>
      <c r="N740" s="22">
        <v>113</v>
      </c>
      <c r="O740" s="22" t="s">
        <v>60</v>
      </c>
      <c r="P740" s="22" t="s">
        <v>79</v>
      </c>
      <c r="R740" s="23" t="s">
        <v>2283</v>
      </c>
      <c r="T740" s="23">
        <v>150</v>
      </c>
      <c r="V740" s="25" t="s">
        <v>615</v>
      </c>
      <c r="W740" s="65">
        <v>2</v>
      </c>
      <c r="X740" s="106" t="s">
        <v>416</v>
      </c>
      <c r="Y740" s="25" t="s">
        <v>2284</v>
      </c>
      <c r="Z740" s="83" t="s">
        <v>63</v>
      </c>
      <c r="AA740" s="6">
        <v>10</v>
      </c>
      <c r="AB740" s="6">
        <v>4</v>
      </c>
      <c r="AD740" s="5" t="s">
        <v>80</v>
      </c>
      <c r="AI740" s="5">
        <v>19</v>
      </c>
      <c r="AJ740" s="5">
        <v>25</v>
      </c>
      <c r="AL740" s="6" t="s">
        <v>81</v>
      </c>
      <c r="AQ740" s="6">
        <v>53</v>
      </c>
      <c r="AR740" s="6">
        <v>90</v>
      </c>
      <c r="BQ740" s="6" t="s">
        <v>354</v>
      </c>
      <c r="BR740" s="5" t="s">
        <v>2285</v>
      </c>
      <c r="BT740" s="124"/>
    </row>
    <row r="741" spans="1:72" hidden="1" x14ac:dyDescent="0.2">
      <c r="A741" s="255">
        <v>1005</v>
      </c>
      <c r="B741" s="231" t="s">
        <v>2045</v>
      </c>
      <c r="C741" s="261" t="s">
        <v>2046</v>
      </c>
      <c r="D741" s="231" t="s">
        <v>2287</v>
      </c>
      <c r="E741" s="3" t="s">
        <v>1974</v>
      </c>
      <c r="F741" s="26" t="s">
        <v>103</v>
      </c>
      <c r="G741" s="26" t="s">
        <v>76</v>
      </c>
      <c r="H741" s="26" t="s">
        <v>66</v>
      </c>
      <c r="J741" s="22">
        <v>0.5</v>
      </c>
      <c r="L741" s="28" t="s">
        <v>58</v>
      </c>
      <c r="M741" s="22" t="s">
        <v>59</v>
      </c>
      <c r="N741" s="22">
        <v>0</v>
      </c>
      <c r="O741" s="22" t="s">
        <v>60</v>
      </c>
      <c r="P741" s="22" t="s">
        <v>79</v>
      </c>
      <c r="R741" s="23" t="s">
        <v>2283</v>
      </c>
      <c r="T741" s="23">
        <v>150</v>
      </c>
      <c r="V741" s="25" t="s">
        <v>615</v>
      </c>
      <c r="W741" s="65">
        <v>2</v>
      </c>
      <c r="X741" s="106" t="s">
        <v>416</v>
      </c>
      <c r="Y741" s="25" t="s">
        <v>2284</v>
      </c>
      <c r="Z741" s="83" t="s">
        <v>63</v>
      </c>
      <c r="AA741" s="6">
        <v>1</v>
      </c>
      <c r="AB741" s="6">
        <v>0</v>
      </c>
      <c r="BQ741" s="6" t="s">
        <v>354</v>
      </c>
      <c r="BT741" s="124"/>
    </row>
    <row r="742" spans="1:72" hidden="1" x14ac:dyDescent="0.2">
      <c r="A742" s="255">
        <v>1006</v>
      </c>
      <c r="B742" s="231" t="s">
        <v>2045</v>
      </c>
      <c r="C742" s="261" t="s">
        <v>2046</v>
      </c>
      <c r="D742" s="231" t="s">
        <v>2288</v>
      </c>
      <c r="E742" s="3" t="s">
        <v>1974</v>
      </c>
      <c r="F742" s="26" t="s">
        <v>103</v>
      </c>
      <c r="G742" s="26" t="s">
        <v>76</v>
      </c>
      <c r="H742" s="26" t="s">
        <v>66</v>
      </c>
      <c r="J742" s="22">
        <v>0.5</v>
      </c>
      <c r="L742" s="28" t="s">
        <v>58</v>
      </c>
      <c r="M742" s="22" t="s">
        <v>59</v>
      </c>
      <c r="N742" s="22">
        <v>0</v>
      </c>
      <c r="O742" s="22" t="s">
        <v>60</v>
      </c>
      <c r="P742" s="22" t="s">
        <v>79</v>
      </c>
      <c r="R742" s="23" t="s">
        <v>2283</v>
      </c>
      <c r="T742" s="23">
        <v>150</v>
      </c>
      <c r="V742" s="25" t="s">
        <v>615</v>
      </c>
      <c r="W742" s="65">
        <v>2</v>
      </c>
      <c r="X742" s="106" t="s">
        <v>416</v>
      </c>
      <c r="Y742" s="25" t="s">
        <v>2284</v>
      </c>
      <c r="Z742" s="83" t="s">
        <v>63</v>
      </c>
      <c r="AA742" s="6">
        <v>1</v>
      </c>
      <c r="AB742" s="6">
        <v>1</v>
      </c>
      <c r="BQ742" s="6" t="s">
        <v>354</v>
      </c>
      <c r="BT742" s="124"/>
    </row>
    <row r="743" spans="1:72" hidden="1" x14ac:dyDescent="0.2">
      <c r="A743" s="255">
        <v>1007</v>
      </c>
      <c r="B743" s="231" t="s">
        <v>2045</v>
      </c>
      <c r="C743" s="261" t="s">
        <v>2046</v>
      </c>
      <c r="D743" s="231" t="s">
        <v>2289</v>
      </c>
      <c r="E743" s="3" t="s">
        <v>1974</v>
      </c>
      <c r="F743" s="26" t="s">
        <v>103</v>
      </c>
      <c r="G743" s="26" t="s">
        <v>76</v>
      </c>
      <c r="H743" s="26" t="s">
        <v>66</v>
      </c>
      <c r="J743" s="22">
        <v>0.5</v>
      </c>
      <c r="L743" s="28" t="s">
        <v>58</v>
      </c>
      <c r="M743" s="22" t="s">
        <v>59</v>
      </c>
      <c r="N743" s="22">
        <v>0</v>
      </c>
      <c r="O743" s="22" t="s">
        <v>60</v>
      </c>
      <c r="P743" s="22" t="s">
        <v>79</v>
      </c>
      <c r="R743" s="23" t="s">
        <v>2283</v>
      </c>
      <c r="T743" s="23">
        <v>150</v>
      </c>
      <c r="V743" s="25" t="s">
        <v>615</v>
      </c>
      <c r="W743" s="65">
        <v>2</v>
      </c>
      <c r="X743" s="106" t="s">
        <v>416</v>
      </c>
      <c r="Y743" s="25" t="s">
        <v>2284</v>
      </c>
      <c r="Z743" s="83" t="s">
        <v>63</v>
      </c>
      <c r="AA743" s="6">
        <v>1</v>
      </c>
      <c r="AB743" s="6">
        <v>1</v>
      </c>
      <c r="BQ743" s="6" t="s">
        <v>354</v>
      </c>
      <c r="BT743" s="124"/>
    </row>
    <row r="744" spans="1:72" hidden="1" x14ac:dyDescent="0.2">
      <c r="A744" s="255">
        <v>1008</v>
      </c>
      <c r="B744" s="231" t="s">
        <v>2045</v>
      </c>
      <c r="C744" s="261" t="s">
        <v>2046</v>
      </c>
      <c r="D744" s="231" t="s">
        <v>2290</v>
      </c>
      <c r="E744" s="3" t="s">
        <v>1974</v>
      </c>
      <c r="F744" s="26" t="s">
        <v>103</v>
      </c>
      <c r="G744" s="26" t="s">
        <v>76</v>
      </c>
      <c r="H744" s="26" t="s">
        <v>66</v>
      </c>
      <c r="J744" s="22">
        <v>0.5</v>
      </c>
      <c r="L744" s="28" t="s">
        <v>58</v>
      </c>
      <c r="M744" s="22" t="s">
        <v>59</v>
      </c>
      <c r="N744" s="22">
        <v>0</v>
      </c>
      <c r="O744" s="22" t="s">
        <v>60</v>
      </c>
      <c r="P744" s="22" t="s">
        <v>79</v>
      </c>
      <c r="R744" s="23" t="s">
        <v>2283</v>
      </c>
      <c r="T744" s="23">
        <v>150</v>
      </c>
      <c r="V744" s="25" t="s">
        <v>615</v>
      </c>
      <c r="W744" s="65">
        <v>2</v>
      </c>
      <c r="X744" s="106" t="s">
        <v>416</v>
      </c>
      <c r="Y744" s="25" t="s">
        <v>2284</v>
      </c>
      <c r="Z744" s="83" t="s">
        <v>63</v>
      </c>
      <c r="AA744" s="6">
        <v>1</v>
      </c>
      <c r="AB744" s="6">
        <v>0</v>
      </c>
      <c r="BQ744" s="6" t="s">
        <v>354</v>
      </c>
      <c r="BT744" s="124"/>
    </row>
    <row r="745" spans="1:72" hidden="1" x14ac:dyDescent="0.2">
      <c r="A745" s="255">
        <v>1009</v>
      </c>
      <c r="B745" s="231" t="s">
        <v>2045</v>
      </c>
      <c r="C745" s="261" t="s">
        <v>2046</v>
      </c>
      <c r="D745" s="231" t="s">
        <v>2291</v>
      </c>
      <c r="E745" s="3" t="s">
        <v>1974</v>
      </c>
      <c r="F745" s="26" t="s">
        <v>103</v>
      </c>
      <c r="G745" s="26" t="s">
        <v>76</v>
      </c>
      <c r="H745" s="26" t="s">
        <v>66</v>
      </c>
      <c r="J745" s="22">
        <v>0.5</v>
      </c>
      <c r="L745" s="28" t="s">
        <v>58</v>
      </c>
      <c r="M745" s="178" t="s">
        <v>59</v>
      </c>
      <c r="N745" s="22">
        <v>0</v>
      </c>
      <c r="O745" s="22" t="s">
        <v>60</v>
      </c>
      <c r="P745" s="22" t="s">
        <v>79</v>
      </c>
      <c r="R745" s="179" t="s">
        <v>2283</v>
      </c>
      <c r="T745" s="23">
        <v>150</v>
      </c>
      <c r="V745" s="167" t="s">
        <v>615</v>
      </c>
      <c r="W745" s="65">
        <v>2</v>
      </c>
      <c r="X745" s="106" t="s">
        <v>416</v>
      </c>
      <c r="Y745" s="25" t="s">
        <v>2284</v>
      </c>
      <c r="Z745" s="83" t="s">
        <v>63</v>
      </c>
      <c r="AA745" s="6">
        <v>1</v>
      </c>
      <c r="AB745" s="6">
        <v>0</v>
      </c>
      <c r="BQ745" s="6" t="s">
        <v>354</v>
      </c>
    </row>
    <row r="746" spans="1:72" hidden="1" x14ac:dyDescent="0.2">
      <c r="A746" s="255">
        <v>1010</v>
      </c>
      <c r="B746" s="231" t="s">
        <v>2045</v>
      </c>
      <c r="C746" s="261" t="s">
        <v>2046</v>
      </c>
      <c r="D746" s="231" t="s">
        <v>2292</v>
      </c>
      <c r="E746" s="3" t="s">
        <v>1974</v>
      </c>
      <c r="F746" s="26" t="s">
        <v>103</v>
      </c>
      <c r="G746" s="26" t="s">
        <v>76</v>
      </c>
      <c r="H746" s="181" t="s">
        <v>66</v>
      </c>
      <c r="J746" s="22">
        <v>0.5</v>
      </c>
      <c r="L746" s="28" t="s">
        <v>58</v>
      </c>
      <c r="M746" s="178" t="s">
        <v>59</v>
      </c>
      <c r="N746" s="22">
        <v>0</v>
      </c>
      <c r="O746" s="22" t="s">
        <v>60</v>
      </c>
      <c r="P746" s="22" t="s">
        <v>79</v>
      </c>
      <c r="R746" s="179" t="s">
        <v>2283</v>
      </c>
      <c r="T746" s="23">
        <v>150</v>
      </c>
      <c r="V746" s="167" t="s">
        <v>615</v>
      </c>
      <c r="W746" s="65">
        <v>2</v>
      </c>
      <c r="X746" s="106" t="s">
        <v>416</v>
      </c>
      <c r="Y746" s="25" t="s">
        <v>2284</v>
      </c>
      <c r="Z746" s="83" t="s">
        <v>63</v>
      </c>
      <c r="AA746" s="166">
        <v>1</v>
      </c>
      <c r="AB746" s="166">
        <v>0</v>
      </c>
      <c r="AC746" s="165"/>
      <c r="AD746" s="165"/>
      <c r="AE746" s="165"/>
      <c r="AF746" s="165"/>
      <c r="AG746" s="165"/>
      <c r="AH746" s="165"/>
      <c r="AI746" s="165"/>
      <c r="AJ746" s="165"/>
      <c r="AK746" s="166"/>
      <c r="AL746" s="166"/>
      <c r="AM746" s="166"/>
      <c r="AN746" s="166"/>
      <c r="AO746" s="166"/>
      <c r="AP746" s="166"/>
      <c r="AQ746" s="166"/>
      <c r="AR746" s="166"/>
      <c r="AS746" s="165"/>
      <c r="AT746" s="165"/>
      <c r="AU746" s="165"/>
      <c r="AV746" s="165"/>
      <c r="AW746" s="165"/>
      <c r="AX746" s="165"/>
      <c r="AY746" s="165"/>
      <c r="AZ746" s="165"/>
      <c r="BA746" s="166"/>
      <c r="BB746" s="166"/>
      <c r="BC746" s="166"/>
      <c r="BD746" s="166"/>
      <c r="BE746" s="166"/>
      <c r="BF746" s="166"/>
      <c r="BG746" s="166"/>
      <c r="BH746" s="166"/>
      <c r="BI746" s="165"/>
      <c r="BJ746" s="165"/>
      <c r="BK746" s="165"/>
      <c r="BL746" s="165"/>
      <c r="BM746" s="165"/>
      <c r="BN746" s="165"/>
      <c r="BO746" s="165"/>
      <c r="BP746" s="165"/>
      <c r="BQ746" s="166" t="s">
        <v>354</v>
      </c>
      <c r="BR746" s="165"/>
    </row>
    <row r="747" spans="1:72" hidden="1" x14ac:dyDescent="0.2">
      <c r="A747" s="255">
        <v>1011</v>
      </c>
      <c r="B747" s="231" t="s">
        <v>2045</v>
      </c>
      <c r="C747" s="261" t="s">
        <v>2046</v>
      </c>
      <c r="D747" s="231" t="s">
        <v>2293</v>
      </c>
      <c r="E747" s="3" t="s">
        <v>1974</v>
      </c>
      <c r="F747" s="26" t="s">
        <v>103</v>
      </c>
      <c r="G747" s="26" t="s">
        <v>76</v>
      </c>
      <c r="H747" s="26" t="s">
        <v>66</v>
      </c>
      <c r="J747" s="22">
        <v>0.5</v>
      </c>
      <c r="L747" s="28" t="s">
        <v>58</v>
      </c>
      <c r="M747" s="22" t="s">
        <v>59</v>
      </c>
      <c r="N747" s="22">
        <v>0</v>
      </c>
      <c r="O747" s="22" t="s">
        <v>60</v>
      </c>
      <c r="P747" s="22" t="s">
        <v>79</v>
      </c>
      <c r="R747" s="23" t="s">
        <v>2283</v>
      </c>
      <c r="T747" s="23">
        <v>150</v>
      </c>
      <c r="V747" s="25" t="s">
        <v>615</v>
      </c>
      <c r="W747" s="65">
        <v>2</v>
      </c>
      <c r="X747" s="106" t="s">
        <v>416</v>
      </c>
      <c r="Y747" s="25" t="s">
        <v>2284</v>
      </c>
      <c r="Z747" s="83" t="s">
        <v>63</v>
      </c>
      <c r="AA747" s="6">
        <v>1</v>
      </c>
      <c r="AB747" s="6">
        <v>1</v>
      </c>
      <c r="AE747" s="165"/>
      <c r="AG747" s="165"/>
      <c r="AH747" s="165"/>
      <c r="AM747" s="166"/>
      <c r="AO747" s="166"/>
      <c r="AP747" s="166"/>
      <c r="BQ747" s="6" t="s">
        <v>354</v>
      </c>
    </row>
    <row r="748" spans="1:72" hidden="1" x14ac:dyDescent="0.2">
      <c r="A748" s="255">
        <v>1012</v>
      </c>
      <c r="B748" s="231" t="s">
        <v>2045</v>
      </c>
      <c r="C748" s="261" t="s">
        <v>2046</v>
      </c>
      <c r="D748" s="231" t="s">
        <v>2294</v>
      </c>
      <c r="E748" s="125" t="s">
        <v>1974</v>
      </c>
      <c r="F748" s="181" t="s">
        <v>103</v>
      </c>
      <c r="G748" s="26" t="s">
        <v>76</v>
      </c>
      <c r="H748" s="181" t="s">
        <v>66</v>
      </c>
      <c r="I748" s="181"/>
      <c r="J748" s="22">
        <v>0.5</v>
      </c>
      <c r="L748" s="182" t="s">
        <v>58</v>
      </c>
      <c r="M748" s="22" t="s">
        <v>59</v>
      </c>
      <c r="N748" s="22">
        <v>0</v>
      </c>
      <c r="O748" s="22" t="s">
        <v>60</v>
      </c>
      <c r="P748" s="22" t="s">
        <v>79</v>
      </c>
      <c r="R748" s="23" t="s">
        <v>2283</v>
      </c>
      <c r="T748" s="23">
        <v>150</v>
      </c>
      <c r="V748" s="25" t="s">
        <v>615</v>
      </c>
      <c r="W748" s="65">
        <v>2</v>
      </c>
      <c r="X748" s="106" t="s">
        <v>416</v>
      </c>
      <c r="Y748" s="25" t="s">
        <v>2284</v>
      </c>
      <c r="Z748" s="83" t="s">
        <v>63</v>
      </c>
      <c r="AA748" s="166">
        <v>1</v>
      </c>
      <c r="AB748" s="166">
        <v>1</v>
      </c>
      <c r="AC748" s="165"/>
      <c r="AD748" s="165"/>
      <c r="AE748" s="165"/>
      <c r="AF748" s="165"/>
      <c r="AG748" s="165"/>
      <c r="AH748" s="165"/>
      <c r="AI748" s="165"/>
      <c r="AJ748" s="165"/>
      <c r="AK748" s="166"/>
      <c r="AL748" s="166"/>
      <c r="AM748" s="166"/>
      <c r="AN748" s="166"/>
      <c r="AO748" s="166"/>
      <c r="AP748" s="166"/>
      <c r="AQ748" s="166"/>
      <c r="AR748" s="166"/>
      <c r="AS748" s="165"/>
      <c r="AT748" s="165"/>
      <c r="AU748" s="165"/>
      <c r="AV748" s="165"/>
      <c r="AW748" s="165"/>
      <c r="AX748" s="165"/>
      <c r="AY748" s="165"/>
      <c r="AZ748" s="165"/>
      <c r="BA748" s="166"/>
      <c r="BB748" s="166"/>
      <c r="BC748" s="166"/>
      <c r="BD748" s="166"/>
      <c r="BE748" s="166"/>
      <c r="BF748" s="166"/>
      <c r="BG748" s="166"/>
      <c r="BH748" s="166"/>
      <c r="BI748" s="165"/>
      <c r="BJ748" s="165"/>
      <c r="BK748" s="165"/>
      <c r="BL748" s="165"/>
      <c r="BM748" s="165"/>
      <c r="BN748" s="165"/>
      <c r="BO748" s="165"/>
      <c r="BP748" s="165"/>
      <c r="BQ748" s="166" t="s">
        <v>354</v>
      </c>
      <c r="BR748" s="165" t="s">
        <v>2295</v>
      </c>
    </row>
    <row r="749" spans="1:72" hidden="1" x14ac:dyDescent="0.2">
      <c r="A749" s="255">
        <v>1013</v>
      </c>
      <c r="B749" s="231" t="s">
        <v>2045</v>
      </c>
      <c r="C749" s="261" t="s">
        <v>2046</v>
      </c>
      <c r="D749" s="231" t="s">
        <v>2296</v>
      </c>
      <c r="E749" s="125" t="s">
        <v>1974</v>
      </c>
      <c r="F749" s="181" t="s">
        <v>103</v>
      </c>
      <c r="G749" s="26" t="s">
        <v>76</v>
      </c>
      <c r="H749" s="181" t="s">
        <v>66</v>
      </c>
      <c r="I749" s="181"/>
      <c r="J749" s="22">
        <v>0.5</v>
      </c>
      <c r="L749" s="182" t="s">
        <v>58</v>
      </c>
      <c r="M749" s="22" t="s">
        <v>59</v>
      </c>
      <c r="N749" s="22">
        <v>0</v>
      </c>
      <c r="O749" s="22" t="s">
        <v>60</v>
      </c>
      <c r="P749" s="22" t="s">
        <v>79</v>
      </c>
      <c r="R749" s="23" t="s">
        <v>2283</v>
      </c>
      <c r="T749" s="23">
        <v>150</v>
      </c>
      <c r="V749" s="25" t="s">
        <v>615</v>
      </c>
      <c r="W749" s="65">
        <v>2</v>
      </c>
      <c r="X749" s="106" t="s">
        <v>416</v>
      </c>
      <c r="Y749" s="25" t="s">
        <v>2284</v>
      </c>
      <c r="Z749" s="83" t="s">
        <v>63</v>
      </c>
      <c r="AA749" s="166">
        <v>1</v>
      </c>
      <c r="AB749" s="166">
        <v>0</v>
      </c>
      <c r="AC749" s="165"/>
      <c r="AD749" s="165"/>
      <c r="AE749" s="165"/>
      <c r="AF749" s="165"/>
      <c r="AG749" s="165"/>
      <c r="AH749" s="165"/>
      <c r="AI749" s="165"/>
      <c r="AJ749" s="165"/>
      <c r="AK749" s="166"/>
      <c r="AL749" s="166"/>
      <c r="AM749" s="166"/>
      <c r="AN749" s="166"/>
      <c r="AO749" s="166"/>
      <c r="AP749" s="166"/>
      <c r="AQ749" s="166"/>
      <c r="AR749" s="166"/>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354</v>
      </c>
      <c r="BR749" s="165"/>
    </row>
    <row r="750" spans="1:72" hidden="1" x14ac:dyDescent="0.2">
      <c r="A750" s="255">
        <v>1014</v>
      </c>
      <c r="B750" s="231" t="s">
        <v>2045</v>
      </c>
      <c r="C750" s="261" t="s">
        <v>2046</v>
      </c>
      <c r="D750" s="231" t="s">
        <v>2297</v>
      </c>
      <c r="E750" s="125" t="s">
        <v>1974</v>
      </c>
      <c r="F750" s="181" t="s">
        <v>103</v>
      </c>
      <c r="G750" s="181" t="s">
        <v>76</v>
      </c>
      <c r="H750" s="181" t="s">
        <v>66</v>
      </c>
      <c r="I750" s="181"/>
      <c r="J750" s="178">
        <v>0.5</v>
      </c>
      <c r="K750" s="182"/>
      <c r="L750" s="182" t="s">
        <v>58</v>
      </c>
      <c r="M750" s="178" t="s">
        <v>59</v>
      </c>
      <c r="N750" s="178">
        <v>0</v>
      </c>
      <c r="O750" s="178" t="s">
        <v>60</v>
      </c>
      <c r="P750" s="178" t="s">
        <v>79</v>
      </c>
      <c r="Q750" s="179"/>
      <c r="R750" s="179" t="s">
        <v>2283</v>
      </c>
      <c r="S750" s="180"/>
      <c r="T750" s="179">
        <v>150</v>
      </c>
      <c r="U750" s="179"/>
      <c r="V750" s="167" t="s">
        <v>615</v>
      </c>
      <c r="W750" s="168">
        <v>2</v>
      </c>
      <c r="X750" s="106" t="s">
        <v>416</v>
      </c>
      <c r="Y750" s="167" t="s">
        <v>2284</v>
      </c>
      <c r="Z750" s="169" t="s">
        <v>63</v>
      </c>
      <c r="AA750" s="166">
        <v>1</v>
      </c>
      <c r="AB750" s="166">
        <v>0</v>
      </c>
      <c r="AC750" s="165"/>
      <c r="AD750" s="165"/>
      <c r="AE750" s="165"/>
      <c r="AF750" s="165"/>
      <c r="AG750" s="165"/>
      <c r="AH750" s="165"/>
      <c r="AI750" s="165"/>
      <c r="AJ750" s="165"/>
      <c r="AK750" s="166"/>
      <c r="AL750" s="166"/>
      <c r="AM750" s="166"/>
      <c r="AN750" s="166"/>
      <c r="AO750" s="166"/>
      <c r="AP750" s="166"/>
      <c r="AQ750" s="166"/>
      <c r="AR750" s="166"/>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354</v>
      </c>
    </row>
    <row r="751" spans="1:72" hidden="1" x14ac:dyDescent="0.2">
      <c r="A751" s="255">
        <v>1015</v>
      </c>
      <c r="B751" s="231" t="s">
        <v>2045</v>
      </c>
      <c r="C751" s="261" t="s">
        <v>2046</v>
      </c>
      <c r="D751" s="231" t="s">
        <v>2298</v>
      </c>
      <c r="E751" s="3" t="s">
        <v>1974</v>
      </c>
      <c r="F751" s="26" t="s">
        <v>103</v>
      </c>
      <c r="G751" s="26" t="s">
        <v>76</v>
      </c>
      <c r="H751" s="26" t="s">
        <v>66</v>
      </c>
      <c r="J751" s="22">
        <v>0.5</v>
      </c>
      <c r="L751" s="28" t="s">
        <v>58</v>
      </c>
      <c r="M751" s="22" t="s">
        <v>59</v>
      </c>
      <c r="N751" s="22">
        <v>113</v>
      </c>
      <c r="O751" s="22" t="s">
        <v>60</v>
      </c>
      <c r="P751" s="22" t="s">
        <v>79</v>
      </c>
      <c r="R751" s="23" t="s">
        <v>2283</v>
      </c>
      <c r="T751" s="23">
        <v>150</v>
      </c>
      <c r="V751" s="25" t="s">
        <v>615</v>
      </c>
      <c r="W751" s="65">
        <v>2</v>
      </c>
      <c r="X751" s="106" t="s">
        <v>416</v>
      </c>
      <c r="Y751" s="25" t="s">
        <v>2284</v>
      </c>
      <c r="Z751" s="83" t="s">
        <v>63</v>
      </c>
      <c r="AA751" s="6">
        <v>1</v>
      </c>
      <c r="AB751" s="6">
        <v>0</v>
      </c>
      <c r="BB751" s="166"/>
      <c r="BQ751" s="6" t="s">
        <v>354</v>
      </c>
    </row>
    <row r="752" spans="1:72" hidden="1" x14ac:dyDescent="0.2">
      <c r="A752" s="255">
        <v>1016</v>
      </c>
      <c r="B752" s="231" t="s">
        <v>2045</v>
      </c>
      <c r="C752" s="261" t="s">
        <v>2046</v>
      </c>
      <c r="D752" s="231" t="s">
        <v>2299</v>
      </c>
      <c r="E752" s="3" t="s">
        <v>1974</v>
      </c>
      <c r="F752" s="26" t="s">
        <v>103</v>
      </c>
      <c r="G752" s="26" t="s">
        <v>76</v>
      </c>
      <c r="H752" s="181" t="s">
        <v>66</v>
      </c>
      <c r="J752" s="22">
        <v>0.5</v>
      </c>
      <c r="L752" s="182" t="s">
        <v>58</v>
      </c>
      <c r="M752" s="178" t="s">
        <v>59</v>
      </c>
      <c r="N752" s="178">
        <v>113</v>
      </c>
      <c r="O752" s="178" t="s">
        <v>60</v>
      </c>
      <c r="P752" s="178" t="s">
        <v>79</v>
      </c>
      <c r="Q752" s="179"/>
      <c r="R752" s="179" t="s">
        <v>2283</v>
      </c>
      <c r="S752" s="180"/>
      <c r="T752" s="179">
        <v>150</v>
      </c>
      <c r="U752" s="179"/>
      <c r="V752" s="167" t="s">
        <v>615</v>
      </c>
      <c r="W752" s="168">
        <v>2</v>
      </c>
      <c r="X752" s="106" t="s">
        <v>416</v>
      </c>
      <c r="Y752" s="167" t="s">
        <v>2284</v>
      </c>
      <c r="Z752" s="83" t="s">
        <v>63</v>
      </c>
      <c r="AA752" s="166">
        <v>1</v>
      </c>
      <c r="AB752" s="166">
        <v>1</v>
      </c>
      <c r="AC752" s="165"/>
      <c r="AD752" s="165"/>
      <c r="AE752" s="165"/>
      <c r="AF752" s="165"/>
      <c r="AG752" s="165"/>
      <c r="AH752" s="165"/>
      <c r="AI752" s="165"/>
      <c r="AJ752" s="165"/>
      <c r="AK752" s="166"/>
      <c r="AL752" s="166"/>
      <c r="AM752" s="166"/>
      <c r="AN752" s="166"/>
      <c r="AO752" s="166"/>
      <c r="AP752" s="166"/>
      <c r="AQ752" s="166"/>
      <c r="AR752" s="166"/>
      <c r="AS752" s="165"/>
      <c r="AT752" s="165"/>
      <c r="AU752" s="165"/>
      <c r="AV752" s="165"/>
      <c r="AW752" s="165"/>
      <c r="AX752" s="165"/>
      <c r="AY752" s="165"/>
      <c r="AZ752" s="165"/>
      <c r="BA752" s="166"/>
      <c r="BB752" s="166"/>
      <c r="BC752" s="166"/>
      <c r="BD752" s="166"/>
      <c r="BE752" s="166"/>
      <c r="BF752" s="166"/>
      <c r="BG752" s="166"/>
      <c r="BH752" s="166"/>
      <c r="BI752" s="165"/>
      <c r="BJ752" s="165"/>
      <c r="BK752" s="165"/>
      <c r="BL752" s="165"/>
      <c r="BM752" s="165"/>
      <c r="BN752" s="165"/>
      <c r="BO752" s="165"/>
      <c r="BP752" s="165"/>
      <c r="BQ752" s="166" t="s">
        <v>354</v>
      </c>
      <c r="BR752" s="165"/>
    </row>
    <row r="753" spans="1:70" hidden="1" x14ac:dyDescent="0.2">
      <c r="A753" s="255">
        <v>1017</v>
      </c>
      <c r="B753" s="231" t="s">
        <v>2045</v>
      </c>
      <c r="C753" s="261" t="s">
        <v>2046</v>
      </c>
      <c r="D753" s="231" t="s">
        <v>2300</v>
      </c>
      <c r="E753" s="3" t="s">
        <v>1974</v>
      </c>
      <c r="F753" s="26" t="s">
        <v>103</v>
      </c>
      <c r="G753" s="26" t="s">
        <v>76</v>
      </c>
      <c r="H753" s="181" t="s">
        <v>66</v>
      </c>
      <c r="J753" s="22">
        <v>0.5</v>
      </c>
      <c r="L753" s="182" t="s">
        <v>58</v>
      </c>
      <c r="M753" s="178" t="s">
        <v>59</v>
      </c>
      <c r="N753" s="178">
        <v>113</v>
      </c>
      <c r="O753" s="178" t="s">
        <v>60</v>
      </c>
      <c r="P753" s="178" t="s">
        <v>79</v>
      </c>
      <c r="Q753" s="179"/>
      <c r="R753" s="179" t="s">
        <v>2283</v>
      </c>
      <c r="S753" s="180"/>
      <c r="T753" s="179">
        <v>150</v>
      </c>
      <c r="U753" s="179"/>
      <c r="V753" s="167" t="s">
        <v>615</v>
      </c>
      <c r="W753" s="168">
        <v>2</v>
      </c>
      <c r="X753" s="106" t="s">
        <v>416</v>
      </c>
      <c r="Y753" s="167" t="s">
        <v>2284</v>
      </c>
      <c r="Z753" s="83" t="s">
        <v>63</v>
      </c>
      <c r="AA753" s="166">
        <v>1</v>
      </c>
      <c r="AB753" s="166">
        <v>1</v>
      </c>
      <c r="AC753" s="165"/>
      <c r="AD753" s="165"/>
      <c r="AE753" s="165"/>
      <c r="AF753" s="165"/>
      <c r="AG753" s="165"/>
      <c r="AH753" s="165"/>
      <c r="AI753" s="165"/>
      <c r="AJ753" s="165"/>
      <c r="AK753" s="166"/>
      <c r="AL753" s="166"/>
      <c r="AM753" s="166"/>
      <c r="AN753" s="166"/>
      <c r="AO753" s="166"/>
      <c r="AP753" s="166"/>
      <c r="AQ753" s="166"/>
      <c r="AR753" s="166"/>
      <c r="AS753" s="165"/>
      <c r="AT753" s="165"/>
      <c r="AU753" s="165"/>
      <c r="AV753" s="165"/>
      <c r="AW753" s="165"/>
      <c r="AX753" s="165"/>
      <c r="AY753" s="165"/>
      <c r="AZ753" s="165"/>
      <c r="BA753" s="166"/>
      <c r="BB753" s="166"/>
      <c r="BC753" s="166"/>
      <c r="BD753" s="166"/>
      <c r="BE753" s="166"/>
      <c r="BF753" s="166"/>
      <c r="BG753" s="166"/>
      <c r="BH753" s="166"/>
      <c r="BI753" s="165"/>
      <c r="BJ753" s="165"/>
      <c r="BK753" s="165"/>
      <c r="BL753" s="165"/>
      <c r="BM753" s="165"/>
      <c r="BN753" s="165"/>
      <c r="BO753" s="165"/>
      <c r="BP753" s="165"/>
      <c r="BQ753" s="166" t="s">
        <v>354</v>
      </c>
      <c r="BR753" s="165"/>
    </row>
    <row r="754" spans="1:70" hidden="1" x14ac:dyDescent="0.2">
      <c r="A754" s="255">
        <v>1018</v>
      </c>
      <c r="B754" s="231" t="s">
        <v>2045</v>
      </c>
      <c r="C754" s="261" t="s">
        <v>2046</v>
      </c>
      <c r="D754" s="231" t="s">
        <v>2301</v>
      </c>
      <c r="E754" s="3" t="s">
        <v>1974</v>
      </c>
      <c r="F754" s="26" t="s">
        <v>103</v>
      </c>
      <c r="G754" s="26" t="s">
        <v>76</v>
      </c>
      <c r="H754" s="26" t="s">
        <v>66</v>
      </c>
      <c r="J754" s="22">
        <v>0.5</v>
      </c>
      <c r="K754" s="182"/>
      <c r="L754" s="182" t="s">
        <v>58</v>
      </c>
      <c r="M754" s="22" t="s">
        <v>59</v>
      </c>
      <c r="N754" s="22">
        <v>113</v>
      </c>
      <c r="O754" s="22" t="s">
        <v>60</v>
      </c>
      <c r="P754" s="22" t="s">
        <v>79</v>
      </c>
      <c r="R754" s="23" t="s">
        <v>2283</v>
      </c>
      <c r="T754" s="23">
        <v>150</v>
      </c>
      <c r="V754" s="25" t="s">
        <v>615</v>
      </c>
      <c r="W754" s="65">
        <v>2</v>
      </c>
      <c r="X754" s="106" t="s">
        <v>416</v>
      </c>
      <c r="Y754" s="25" t="s">
        <v>2284</v>
      </c>
      <c r="Z754" s="83" t="s">
        <v>63</v>
      </c>
      <c r="AA754" s="6">
        <v>1</v>
      </c>
      <c r="AB754" s="6">
        <v>0</v>
      </c>
      <c r="AM754" s="166"/>
      <c r="BB754" s="166"/>
      <c r="BC754" s="166"/>
      <c r="BQ754" s="6" t="s">
        <v>354</v>
      </c>
    </row>
    <row r="755" spans="1:70" hidden="1" x14ac:dyDescent="0.2">
      <c r="A755" s="255">
        <v>1019</v>
      </c>
      <c r="B755" s="231" t="s">
        <v>2045</v>
      </c>
      <c r="C755" s="261" t="s">
        <v>2046</v>
      </c>
      <c r="D755" s="231" t="s">
        <v>2302</v>
      </c>
      <c r="E755" s="3" t="s">
        <v>1974</v>
      </c>
      <c r="F755" s="26" t="s">
        <v>103</v>
      </c>
      <c r="G755" s="26" t="s">
        <v>76</v>
      </c>
      <c r="H755" s="26" t="s">
        <v>66</v>
      </c>
      <c r="J755" s="22">
        <v>0.5</v>
      </c>
      <c r="K755" s="182"/>
      <c r="L755" s="182" t="s">
        <v>58</v>
      </c>
      <c r="M755" s="178" t="s">
        <v>59</v>
      </c>
      <c r="N755" s="22">
        <v>113</v>
      </c>
      <c r="O755" s="22" t="s">
        <v>60</v>
      </c>
      <c r="P755" s="22" t="s">
        <v>79</v>
      </c>
      <c r="R755" s="23" t="s">
        <v>2283</v>
      </c>
      <c r="T755" s="23">
        <v>150</v>
      </c>
      <c r="V755" s="25" t="s">
        <v>615</v>
      </c>
      <c r="W755" s="65">
        <v>2</v>
      </c>
      <c r="X755" s="106" t="s">
        <v>416</v>
      </c>
      <c r="Y755" s="25" t="s">
        <v>2284</v>
      </c>
      <c r="Z755" s="83" t="s">
        <v>63</v>
      </c>
      <c r="AA755" s="6">
        <v>1</v>
      </c>
      <c r="AB755" s="6">
        <v>0</v>
      </c>
      <c r="AE755" s="165"/>
      <c r="AM755" s="166"/>
      <c r="AU755" s="165"/>
      <c r="BB755" s="166"/>
      <c r="BQ755" s="6" t="s">
        <v>354</v>
      </c>
    </row>
    <row r="756" spans="1:70" hidden="1" x14ac:dyDescent="0.2">
      <c r="A756" s="255">
        <v>1020</v>
      </c>
      <c r="B756" s="231" t="s">
        <v>2045</v>
      </c>
      <c r="C756" s="261" t="s">
        <v>2046</v>
      </c>
      <c r="D756" s="231" t="s">
        <v>2303</v>
      </c>
      <c r="E756" s="3" t="s">
        <v>1974</v>
      </c>
      <c r="F756" s="26" t="s">
        <v>103</v>
      </c>
      <c r="G756" s="26" t="s">
        <v>76</v>
      </c>
      <c r="H756" s="26" t="s">
        <v>66</v>
      </c>
      <c r="J756" s="22">
        <v>0.5</v>
      </c>
      <c r="K756" s="182"/>
      <c r="L756" s="182" t="s">
        <v>58</v>
      </c>
      <c r="M756" s="178" t="s">
        <v>59</v>
      </c>
      <c r="N756" s="22">
        <v>113</v>
      </c>
      <c r="O756" s="22" t="s">
        <v>60</v>
      </c>
      <c r="P756" s="22" t="s">
        <v>79</v>
      </c>
      <c r="R756" s="23" t="s">
        <v>2283</v>
      </c>
      <c r="T756" s="23">
        <v>150</v>
      </c>
      <c r="V756" s="25" t="s">
        <v>615</v>
      </c>
      <c r="W756" s="65">
        <v>2</v>
      </c>
      <c r="X756" s="106" t="s">
        <v>416</v>
      </c>
      <c r="Y756" s="25" t="s">
        <v>2284</v>
      </c>
      <c r="Z756" s="83" t="s">
        <v>63</v>
      </c>
      <c r="AA756" s="6">
        <v>1</v>
      </c>
      <c r="AB756" s="6">
        <v>0</v>
      </c>
      <c r="AM756" s="166"/>
      <c r="BQ756" s="6" t="s">
        <v>354</v>
      </c>
      <c r="BR756" s="165"/>
    </row>
    <row r="757" spans="1:70" hidden="1" x14ac:dyDescent="0.2">
      <c r="A757" s="255">
        <v>1021</v>
      </c>
      <c r="B757" s="231" t="s">
        <v>2045</v>
      </c>
      <c r="C757" s="261" t="s">
        <v>2046</v>
      </c>
      <c r="D757" s="231" t="s">
        <v>2304</v>
      </c>
      <c r="E757" s="3" t="s">
        <v>1974</v>
      </c>
      <c r="F757" s="181" t="s">
        <v>103</v>
      </c>
      <c r="G757" s="181" t="s">
        <v>76</v>
      </c>
      <c r="H757" s="181" t="s">
        <v>66</v>
      </c>
      <c r="I757" s="181"/>
      <c r="J757" s="22">
        <v>0.5</v>
      </c>
      <c r="K757" s="182"/>
      <c r="L757" s="182" t="s">
        <v>58</v>
      </c>
      <c r="M757" s="178" t="s">
        <v>59</v>
      </c>
      <c r="N757" s="22">
        <v>113</v>
      </c>
      <c r="O757" s="22" t="s">
        <v>60</v>
      </c>
      <c r="P757" s="22" t="s">
        <v>79</v>
      </c>
      <c r="R757" s="23" t="s">
        <v>2283</v>
      </c>
      <c r="T757" s="23">
        <v>150</v>
      </c>
      <c r="V757" s="167" t="s">
        <v>615</v>
      </c>
      <c r="W757" s="168">
        <v>2</v>
      </c>
      <c r="X757" s="106" t="s">
        <v>416</v>
      </c>
      <c r="Y757" s="25" t="s">
        <v>2284</v>
      </c>
      <c r="Z757" s="83" t="s">
        <v>63</v>
      </c>
      <c r="AA757" s="6">
        <v>1</v>
      </c>
      <c r="AB757" s="6">
        <v>1</v>
      </c>
      <c r="AC757" s="165"/>
      <c r="AD757" s="165"/>
      <c r="AE757" s="165"/>
      <c r="AF757" s="165"/>
      <c r="AG757" s="165"/>
      <c r="AH757" s="165"/>
      <c r="AI757" s="165"/>
      <c r="AJ757" s="165"/>
      <c r="AM757" s="166"/>
      <c r="BQ757" s="6" t="s">
        <v>354</v>
      </c>
      <c r="BR757" s="165"/>
    </row>
    <row r="758" spans="1:70" hidden="1" x14ac:dyDescent="0.2">
      <c r="A758" s="255">
        <v>1022</v>
      </c>
      <c r="B758" s="231" t="s">
        <v>2045</v>
      </c>
      <c r="C758" s="261" t="s">
        <v>2046</v>
      </c>
      <c r="D758" s="231" t="s">
        <v>2305</v>
      </c>
      <c r="E758" s="3" t="s">
        <v>1974</v>
      </c>
      <c r="F758" s="181" t="s">
        <v>103</v>
      </c>
      <c r="G758" s="181" t="s">
        <v>76</v>
      </c>
      <c r="H758" s="181" t="s">
        <v>66</v>
      </c>
      <c r="I758" s="181"/>
      <c r="J758" s="22">
        <v>0.5</v>
      </c>
      <c r="L758" s="182" t="s">
        <v>58</v>
      </c>
      <c r="M758" s="178" t="s">
        <v>59</v>
      </c>
      <c r="N758" s="22">
        <v>113</v>
      </c>
      <c r="O758" s="22" t="s">
        <v>60</v>
      </c>
      <c r="P758" s="22" t="s">
        <v>79</v>
      </c>
      <c r="R758" s="23" t="s">
        <v>2283</v>
      </c>
      <c r="T758" s="23">
        <v>150</v>
      </c>
      <c r="V758" s="167" t="s">
        <v>615</v>
      </c>
      <c r="W758" s="168">
        <v>2</v>
      </c>
      <c r="X758" s="106" t="s">
        <v>416</v>
      </c>
      <c r="Y758" s="25" t="s">
        <v>2284</v>
      </c>
      <c r="Z758" s="83" t="s">
        <v>63</v>
      </c>
      <c r="AA758" s="6">
        <v>1</v>
      </c>
      <c r="AB758" s="6">
        <v>1</v>
      </c>
      <c r="AC758" s="165"/>
      <c r="AD758" s="165"/>
      <c r="AE758" s="165"/>
      <c r="AF758" s="165"/>
      <c r="AG758" s="165"/>
      <c r="AH758" s="165"/>
      <c r="AI758" s="165"/>
      <c r="AJ758" s="165"/>
      <c r="BQ758" s="6" t="s">
        <v>354</v>
      </c>
      <c r="BR758" s="165" t="s">
        <v>2295</v>
      </c>
    </row>
    <row r="759" spans="1:70" hidden="1" x14ac:dyDescent="0.2">
      <c r="A759" s="255">
        <v>1023</v>
      </c>
      <c r="B759" s="231" t="s">
        <v>2045</v>
      </c>
      <c r="C759" s="261" t="s">
        <v>2046</v>
      </c>
      <c r="D759" s="231" t="s">
        <v>2306</v>
      </c>
      <c r="E759" s="3" t="s">
        <v>1974</v>
      </c>
      <c r="F759" s="181" t="s">
        <v>103</v>
      </c>
      <c r="G759" s="181" t="s">
        <v>76</v>
      </c>
      <c r="H759" s="181" t="s">
        <v>66</v>
      </c>
      <c r="I759" s="181"/>
      <c r="J759" s="22">
        <v>0.5</v>
      </c>
      <c r="L759" s="182" t="s">
        <v>58</v>
      </c>
      <c r="M759" s="178" t="s">
        <v>59</v>
      </c>
      <c r="N759" s="22">
        <v>113</v>
      </c>
      <c r="O759" s="22" t="s">
        <v>60</v>
      </c>
      <c r="P759" s="22" t="s">
        <v>79</v>
      </c>
      <c r="R759" s="23" t="s">
        <v>2283</v>
      </c>
      <c r="T759" s="23">
        <v>150</v>
      </c>
      <c r="V759" s="167" t="s">
        <v>615</v>
      </c>
      <c r="W759" s="168">
        <v>2</v>
      </c>
      <c r="X759" s="106" t="s">
        <v>416</v>
      </c>
      <c r="Y759" s="25" t="s">
        <v>2284</v>
      </c>
      <c r="Z759" s="83" t="s">
        <v>63</v>
      </c>
      <c r="AA759" s="6">
        <v>1</v>
      </c>
      <c r="AB759" s="6">
        <v>0</v>
      </c>
      <c r="AC759" s="165"/>
      <c r="AD759" s="165"/>
      <c r="AE759" s="165"/>
      <c r="AF759" s="165"/>
      <c r="AG759" s="165"/>
      <c r="AH759" s="165"/>
      <c r="AI759" s="165"/>
      <c r="AJ759" s="165"/>
      <c r="BQ759" s="6" t="s">
        <v>354</v>
      </c>
      <c r="BR759" s="165"/>
    </row>
    <row r="760" spans="1:70" hidden="1" x14ac:dyDescent="0.2">
      <c r="A760" s="255">
        <v>1024</v>
      </c>
      <c r="B760" s="231" t="s">
        <v>2045</v>
      </c>
      <c r="C760" s="261" t="s">
        <v>2046</v>
      </c>
      <c r="D760" s="231" t="s">
        <v>2307</v>
      </c>
      <c r="E760" s="3" t="s">
        <v>1974</v>
      </c>
      <c r="F760" s="26" t="s">
        <v>103</v>
      </c>
      <c r="G760" s="26" t="s">
        <v>76</v>
      </c>
      <c r="H760" s="26" t="s">
        <v>66</v>
      </c>
      <c r="J760" s="22">
        <v>0.5</v>
      </c>
      <c r="L760" s="28" t="s">
        <v>58</v>
      </c>
      <c r="M760" s="178" t="s">
        <v>59</v>
      </c>
      <c r="N760" s="22">
        <v>113</v>
      </c>
      <c r="O760" s="22" t="s">
        <v>60</v>
      </c>
      <c r="P760" s="22" t="s">
        <v>79</v>
      </c>
      <c r="R760" s="23" t="s">
        <v>2283</v>
      </c>
      <c r="T760" s="23">
        <v>150</v>
      </c>
      <c r="V760" s="25" t="s">
        <v>615</v>
      </c>
      <c r="W760" s="65">
        <v>2</v>
      </c>
      <c r="X760" s="106" t="s">
        <v>416</v>
      </c>
      <c r="Y760" s="25" t="s">
        <v>2284</v>
      </c>
      <c r="Z760" s="83" t="s">
        <v>63</v>
      </c>
      <c r="AA760" s="6">
        <v>1</v>
      </c>
      <c r="AB760" s="6">
        <v>0</v>
      </c>
      <c r="BQ760" s="6" t="s">
        <v>354</v>
      </c>
    </row>
    <row r="761" spans="1:70" hidden="1" x14ac:dyDescent="0.2">
      <c r="A761" s="255">
        <v>1025</v>
      </c>
      <c r="B761" s="231" t="s">
        <v>2308</v>
      </c>
      <c r="C761" s="261" t="s">
        <v>2309</v>
      </c>
      <c r="D761" s="231" t="s">
        <v>2310</v>
      </c>
      <c r="E761" s="3" t="s">
        <v>2053</v>
      </c>
      <c r="F761" s="26" t="s">
        <v>103</v>
      </c>
      <c r="G761" s="26" t="s">
        <v>56</v>
      </c>
      <c r="H761" s="181" t="s">
        <v>2311</v>
      </c>
      <c r="J761" s="22">
        <v>0.8</v>
      </c>
      <c r="L761" s="28" t="s">
        <v>58</v>
      </c>
      <c r="M761" s="178" t="s">
        <v>59</v>
      </c>
      <c r="N761" s="22">
        <v>0</v>
      </c>
      <c r="O761" s="22" t="s">
        <v>60</v>
      </c>
      <c r="P761" s="22" t="s">
        <v>79</v>
      </c>
      <c r="R761" s="23" t="s">
        <v>2863</v>
      </c>
      <c r="U761" s="23" t="s">
        <v>2313</v>
      </c>
      <c r="V761" s="25" t="s">
        <v>615</v>
      </c>
      <c r="W761" s="65" t="s">
        <v>655</v>
      </c>
      <c r="X761" s="106" t="s">
        <v>416</v>
      </c>
      <c r="Z761" s="83" t="s">
        <v>63</v>
      </c>
      <c r="AA761" s="6">
        <v>10</v>
      </c>
      <c r="AB761" s="6">
        <v>0</v>
      </c>
      <c r="AC761" s="5">
        <v>31.7</v>
      </c>
      <c r="AD761" s="5" t="s">
        <v>80</v>
      </c>
      <c r="AE761" s="5" t="s">
        <v>335</v>
      </c>
      <c r="AF761" s="5">
        <v>5.8</v>
      </c>
      <c r="AG761" s="5" t="s">
        <v>80</v>
      </c>
      <c r="AH761" s="5" t="s">
        <v>117</v>
      </c>
      <c r="AK761" s="6">
        <v>62.3</v>
      </c>
      <c r="AL761" s="6" t="s">
        <v>81</v>
      </c>
      <c r="AM761" s="6" t="s">
        <v>335</v>
      </c>
      <c r="AN761" s="6">
        <v>4.5999999999999996</v>
      </c>
      <c r="AO761" s="6" t="s">
        <v>81</v>
      </c>
      <c r="AP761" s="6" t="s">
        <v>117</v>
      </c>
      <c r="BQ761" s="6" t="s">
        <v>817</v>
      </c>
      <c r="BR761" s="5" t="s">
        <v>2314</v>
      </c>
    </row>
    <row r="762" spans="1:70" hidden="1" x14ac:dyDescent="0.2">
      <c r="A762" s="255">
        <v>1026</v>
      </c>
      <c r="B762" s="231" t="s">
        <v>2308</v>
      </c>
      <c r="C762" s="261" t="s">
        <v>2309</v>
      </c>
      <c r="D762" s="231" t="s">
        <v>2315</v>
      </c>
      <c r="E762" s="3" t="s">
        <v>2053</v>
      </c>
      <c r="F762" s="26" t="s">
        <v>103</v>
      </c>
      <c r="G762" s="26" t="s">
        <v>56</v>
      </c>
      <c r="H762" s="181" t="s">
        <v>2311</v>
      </c>
      <c r="J762" s="22">
        <v>0.8</v>
      </c>
      <c r="L762" s="28" t="s">
        <v>58</v>
      </c>
      <c r="M762" s="178" t="s">
        <v>59</v>
      </c>
      <c r="N762" s="22">
        <v>73</v>
      </c>
      <c r="O762" s="22" t="s">
        <v>60</v>
      </c>
      <c r="P762" s="22" t="s">
        <v>79</v>
      </c>
      <c r="R762" s="23" t="s">
        <v>2863</v>
      </c>
      <c r="U762" s="23" t="s">
        <v>2313</v>
      </c>
      <c r="V762" s="25" t="s">
        <v>615</v>
      </c>
      <c r="W762" s="65" t="s">
        <v>655</v>
      </c>
      <c r="X762" s="106" t="s">
        <v>416</v>
      </c>
      <c r="Z762" s="83" t="s">
        <v>63</v>
      </c>
      <c r="AA762" s="6">
        <v>10</v>
      </c>
      <c r="AB762" s="6">
        <v>0</v>
      </c>
      <c r="AC762" s="5">
        <v>31.7</v>
      </c>
      <c r="AD762" s="5" t="s">
        <v>80</v>
      </c>
      <c r="AE762" s="5" t="s">
        <v>335</v>
      </c>
      <c r="AF762" s="5">
        <v>5.8</v>
      </c>
      <c r="AG762" s="5" t="s">
        <v>80</v>
      </c>
      <c r="AH762" s="5" t="s">
        <v>117</v>
      </c>
      <c r="AK762" s="6">
        <v>62.3</v>
      </c>
      <c r="AL762" s="6" t="s">
        <v>81</v>
      </c>
      <c r="AM762" s="6" t="s">
        <v>335</v>
      </c>
      <c r="AN762" s="6">
        <v>4.5999999999999996</v>
      </c>
      <c r="AO762" s="6" t="s">
        <v>81</v>
      </c>
      <c r="AP762" s="6" t="s">
        <v>117</v>
      </c>
      <c r="BQ762" s="6" t="s">
        <v>817</v>
      </c>
      <c r="BR762" s="5" t="s">
        <v>2314</v>
      </c>
    </row>
    <row r="763" spans="1:70" hidden="1" x14ac:dyDescent="0.2">
      <c r="A763" s="255">
        <v>1027</v>
      </c>
      <c r="B763" s="231" t="s">
        <v>2035</v>
      </c>
      <c r="C763" s="261" t="s">
        <v>2036</v>
      </c>
      <c r="D763" s="231" t="s">
        <v>2316</v>
      </c>
      <c r="E763" s="3" t="s">
        <v>1974</v>
      </c>
      <c r="F763" s="26" t="s">
        <v>103</v>
      </c>
      <c r="G763" s="26" t="s">
        <v>56</v>
      </c>
      <c r="H763" s="26" t="s">
        <v>57</v>
      </c>
      <c r="J763" s="22">
        <v>0.25</v>
      </c>
      <c r="L763" s="28" t="s">
        <v>58</v>
      </c>
      <c r="M763" s="178" t="s">
        <v>59</v>
      </c>
      <c r="N763" s="22">
        <v>0</v>
      </c>
      <c r="O763" s="22" t="s">
        <v>60</v>
      </c>
      <c r="P763" s="22" t="s">
        <v>79</v>
      </c>
      <c r="Q763" s="23" t="s">
        <v>2318</v>
      </c>
      <c r="R763" s="23" t="s">
        <v>2319</v>
      </c>
      <c r="T763" s="23">
        <v>150</v>
      </c>
      <c r="V763" s="25" t="s">
        <v>62</v>
      </c>
      <c r="W763" s="65">
        <v>3</v>
      </c>
      <c r="X763" s="106" t="s">
        <v>203</v>
      </c>
      <c r="Y763" s="25" t="s">
        <v>2320</v>
      </c>
      <c r="Z763" s="83" t="s">
        <v>63</v>
      </c>
      <c r="AA763" s="6">
        <v>9</v>
      </c>
      <c r="AB763" s="6">
        <v>6</v>
      </c>
      <c r="AC763" s="5">
        <v>23.9</v>
      </c>
      <c r="AD763" s="165" t="s">
        <v>80</v>
      </c>
      <c r="AE763" s="165" t="s">
        <v>116</v>
      </c>
      <c r="AF763" s="5">
        <v>1.9</v>
      </c>
      <c r="AG763" s="5" t="s">
        <v>80</v>
      </c>
      <c r="AH763" s="5" t="s">
        <v>117</v>
      </c>
      <c r="AI763" s="5">
        <v>20</v>
      </c>
      <c r="AJ763" s="5">
        <v>26</v>
      </c>
      <c r="AK763" s="6">
        <v>65.3</v>
      </c>
      <c r="AL763" s="6" t="s">
        <v>81</v>
      </c>
      <c r="AM763" s="6" t="s">
        <v>116</v>
      </c>
      <c r="AN763" s="6">
        <v>11.6</v>
      </c>
      <c r="AO763" s="6" t="s">
        <v>81</v>
      </c>
      <c r="AP763" s="6" t="s">
        <v>117</v>
      </c>
      <c r="AQ763" s="6">
        <v>50</v>
      </c>
      <c r="AR763" s="6">
        <v>86</v>
      </c>
      <c r="BB763" s="166"/>
      <c r="BC763" s="166"/>
      <c r="BQ763" s="6" t="s">
        <v>354</v>
      </c>
      <c r="BR763" s="5" t="s">
        <v>2321</v>
      </c>
    </row>
    <row r="764" spans="1:70" hidden="1" x14ac:dyDescent="0.2">
      <c r="A764" s="255">
        <v>1028</v>
      </c>
      <c r="B764" s="231" t="s">
        <v>2035</v>
      </c>
      <c r="C764" s="261" t="s">
        <v>2036</v>
      </c>
      <c r="D764" s="231" t="s">
        <v>2322</v>
      </c>
      <c r="E764" s="3" t="s">
        <v>1974</v>
      </c>
      <c r="F764" s="26" t="s">
        <v>103</v>
      </c>
      <c r="G764" s="26" t="s">
        <v>56</v>
      </c>
      <c r="H764" s="26" t="s">
        <v>2317</v>
      </c>
      <c r="J764" s="22">
        <v>0.25</v>
      </c>
      <c r="L764" s="28" t="s">
        <v>58</v>
      </c>
      <c r="M764" s="178" t="s">
        <v>59</v>
      </c>
      <c r="N764" s="22">
        <v>73</v>
      </c>
      <c r="O764" s="22" t="s">
        <v>60</v>
      </c>
      <c r="P764" s="178" t="s">
        <v>79</v>
      </c>
      <c r="Q764" s="23" t="s">
        <v>2318</v>
      </c>
      <c r="R764" s="179" t="s">
        <v>2319</v>
      </c>
      <c r="T764" s="23">
        <v>150</v>
      </c>
      <c r="V764" s="25" t="s">
        <v>62</v>
      </c>
      <c r="W764" s="65">
        <v>3</v>
      </c>
      <c r="X764" s="106" t="s">
        <v>203</v>
      </c>
      <c r="Y764" s="25" t="s">
        <v>2320</v>
      </c>
      <c r="Z764" s="83" t="s">
        <v>63</v>
      </c>
      <c r="AA764" s="6">
        <v>9</v>
      </c>
      <c r="AB764" s="6">
        <v>6</v>
      </c>
      <c r="AC764" s="5">
        <v>23.9</v>
      </c>
      <c r="AD764" s="165" t="s">
        <v>80</v>
      </c>
      <c r="AE764" s="165" t="s">
        <v>116</v>
      </c>
      <c r="AF764" s="5">
        <v>1.9</v>
      </c>
      <c r="AG764" s="5" t="s">
        <v>80</v>
      </c>
      <c r="AH764" s="5" t="s">
        <v>117</v>
      </c>
      <c r="AI764" s="5">
        <v>20</v>
      </c>
      <c r="AJ764" s="5">
        <v>26</v>
      </c>
      <c r="AK764" s="6">
        <v>65.3</v>
      </c>
      <c r="AL764" s="166" t="s">
        <v>81</v>
      </c>
      <c r="AM764" s="166" t="s">
        <v>116</v>
      </c>
      <c r="AN764" s="6">
        <v>11.6</v>
      </c>
      <c r="AO764" s="6" t="s">
        <v>81</v>
      </c>
      <c r="AP764" s="6" t="s">
        <v>117</v>
      </c>
      <c r="AQ764" s="6">
        <v>50</v>
      </c>
      <c r="AR764" s="6">
        <v>86</v>
      </c>
      <c r="BQ764" s="6" t="s">
        <v>354</v>
      </c>
      <c r="BR764" s="5" t="s">
        <v>2321</v>
      </c>
    </row>
    <row r="765" spans="1:70" hidden="1" x14ac:dyDescent="0.2">
      <c r="A765" s="255">
        <v>1029</v>
      </c>
      <c r="B765" s="231" t="s">
        <v>2035</v>
      </c>
      <c r="C765" s="261" t="s">
        <v>2036</v>
      </c>
      <c r="D765" s="231" t="s">
        <v>2323</v>
      </c>
      <c r="E765" s="3" t="s">
        <v>1974</v>
      </c>
      <c r="F765" s="26" t="s">
        <v>103</v>
      </c>
      <c r="G765" s="26" t="s">
        <v>56</v>
      </c>
      <c r="H765" s="181" t="s">
        <v>2317</v>
      </c>
      <c r="J765" s="22">
        <v>0.25</v>
      </c>
      <c r="L765" s="28" t="s">
        <v>58</v>
      </c>
      <c r="M765" s="178" t="s">
        <v>59</v>
      </c>
      <c r="N765" s="178">
        <v>73</v>
      </c>
      <c r="O765" s="22" t="s">
        <v>60</v>
      </c>
      <c r="P765" s="178" t="s">
        <v>79</v>
      </c>
      <c r="Q765" s="23" t="s">
        <v>2318</v>
      </c>
      <c r="R765" s="179" t="s">
        <v>2319</v>
      </c>
      <c r="T765" s="23">
        <v>150</v>
      </c>
      <c r="V765" s="167" t="s">
        <v>62</v>
      </c>
      <c r="W765" s="65">
        <v>3</v>
      </c>
      <c r="X765" s="106" t="s">
        <v>203</v>
      </c>
      <c r="Y765" s="167" t="s">
        <v>2320</v>
      </c>
      <c r="Z765" s="83" t="s">
        <v>63</v>
      </c>
      <c r="AA765" s="6">
        <v>9</v>
      </c>
      <c r="AB765" s="6">
        <v>6</v>
      </c>
      <c r="AC765" s="5">
        <v>23.9</v>
      </c>
      <c r="AD765" s="165" t="s">
        <v>80</v>
      </c>
      <c r="AE765" s="165" t="s">
        <v>116</v>
      </c>
      <c r="AF765" s="5">
        <v>1.9</v>
      </c>
      <c r="AG765" s="5" t="s">
        <v>80</v>
      </c>
      <c r="AH765" s="5" t="s">
        <v>117</v>
      </c>
      <c r="AI765" s="5">
        <v>20</v>
      </c>
      <c r="AJ765" s="5">
        <v>26</v>
      </c>
      <c r="AK765" s="6">
        <v>65.3</v>
      </c>
      <c r="AL765" s="166" t="s">
        <v>81</v>
      </c>
      <c r="AM765" s="166" t="s">
        <v>116</v>
      </c>
      <c r="AN765" s="6">
        <v>11.6</v>
      </c>
      <c r="AO765" s="6" t="s">
        <v>81</v>
      </c>
      <c r="AP765" s="6" t="s">
        <v>117</v>
      </c>
      <c r="AQ765" s="6">
        <v>50</v>
      </c>
      <c r="AR765" s="6">
        <v>86</v>
      </c>
      <c r="BQ765" s="6" t="s">
        <v>354</v>
      </c>
      <c r="BR765" s="165" t="s">
        <v>2321</v>
      </c>
    </row>
    <row r="766" spans="1:70" hidden="1" x14ac:dyDescent="0.2">
      <c r="A766" s="255">
        <v>1030</v>
      </c>
      <c r="B766" s="231" t="s">
        <v>2035</v>
      </c>
      <c r="C766" s="261" t="s">
        <v>2036</v>
      </c>
      <c r="D766" s="231" t="s">
        <v>2324</v>
      </c>
      <c r="E766" s="3" t="s">
        <v>836</v>
      </c>
      <c r="F766" s="26" t="s">
        <v>103</v>
      </c>
      <c r="G766" s="26" t="s">
        <v>56</v>
      </c>
      <c r="H766" s="181" t="s">
        <v>57</v>
      </c>
      <c r="J766" s="22">
        <v>400</v>
      </c>
      <c r="L766" s="28" t="s">
        <v>58</v>
      </c>
      <c r="M766" s="178" t="s">
        <v>59</v>
      </c>
      <c r="N766" s="22" t="s">
        <v>2325</v>
      </c>
      <c r="O766" s="22" t="s">
        <v>60</v>
      </c>
      <c r="P766" s="178" t="s">
        <v>92</v>
      </c>
      <c r="Q766" s="23" t="s">
        <v>2326</v>
      </c>
      <c r="R766" s="179" t="s">
        <v>2327</v>
      </c>
      <c r="V766" s="167" t="s">
        <v>62</v>
      </c>
      <c r="W766" s="65">
        <v>3</v>
      </c>
      <c r="X766" s="106" t="s">
        <v>203</v>
      </c>
      <c r="Y766" s="167" t="s">
        <v>2320</v>
      </c>
      <c r="Z766" s="83" t="s">
        <v>63</v>
      </c>
      <c r="AA766" s="6">
        <v>9</v>
      </c>
      <c r="AB766" s="6">
        <v>6</v>
      </c>
      <c r="AC766" s="5">
        <v>23.9</v>
      </c>
      <c r="AD766" s="165" t="s">
        <v>80</v>
      </c>
      <c r="AE766" s="165" t="s">
        <v>116</v>
      </c>
      <c r="AF766" s="5">
        <v>1.9</v>
      </c>
      <c r="AG766" s="5" t="s">
        <v>80</v>
      </c>
      <c r="AH766" s="5" t="s">
        <v>117</v>
      </c>
      <c r="AI766" s="5">
        <v>20</v>
      </c>
      <c r="AJ766" s="5">
        <v>26</v>
      </c>
      <c r="AK766" s="6">
        <v>65.3</v>
      </c>
      <c r="AL766" s="166" t="s">
        <v>81</v>
      </c>
      <c r="AM766" s="166" t="s">
        <v>116</v>
      </c>
      <c r="AN766" s="6">
        <v>11.6</v>
      </c>
      <c r="AO766" s="6" t="s">
        <v>81</v>
      </c>
      <c r="AP766" s="6" t="s">
        <v>117</v>
      </c>
      <c r="AQ766" s="6">
        <v>50</v>
      </c>
      <c r="AR766" s="6">
        <v>86</v>
      </c>
      <c r="BQ766" s="6" t="s">
        <v>354</v>
      </c>
      <c r="BR766" s="165" t="s">
        <v>2321</v>
      </c>
    </row>
    <row r="767" spans="1:70" hidden="1" x14ac:dyDescent="0.2">
      <c r="A767" s="255">
        <v>1031</v>
      </c>
      <c r="B767" s="231" t="s">
        <v>2035</v>
      </c>
      <c r="C767" s="261" t="s">
        <v>2036</v>
      </c>
      <c r="D767" s="231" t="s">
        <v>2328</v>
      </c>
      <c r="E767" s="3" t="s">
        <v>836</v>
      </c>
      <c r="F767" s="26" t="s">
        <v>103</v>
      </c>
      <c r="G767" s="26" t="s">
        <v>76</v>
      </c>
      <c r="H767" s="26" t="s">
        <v>399</v>
      </c>
      <c r="J767" s="22">
        <v>400</v>
      </c>
      <c r="L767" s="28" t="s">
        <v>58</v>
      </c>
      <c r="M767" s="178" t="s">
        <v>59</v>
      </c>
      <c r="N767" s="22" t="s">
        <v>2325</v>
      </c>
      <c r="O767" s="178" t="s">
        <v>60</v>
      </c>
      <c r="P767" s="178" t="s">
        <v>92</v>
      </c>
      <c r="Q767" s="23" t="s">
        <v>2326</v>
      </c>
      <c r="R767" s="23" t="s">
        <v>2327</v>
      </c>
      <c r="V767" s="25" t="s">
        <v>62</v>
      </c>
      <c r="W767" s="65">
        <v>3</v>
      </c>
      <c r="X767" s="106" t="s">
        <v>203</v>
      </c>
      <c r="Y767" s="25" t="s">
        <v>2320</v>
      </c>
      <c r="Z767" s="83" t="s">
        <v>63</v>
      </c>
      <c r="AB767" s="6">
        <v>1</v>
      </c>
      <c r="AC767" s="5">
        <v>23</v>
      </c>
      <c r="AD767" s="5" t="s">
        <v>80</v>
      </c>
      <c r="AK767" s="6">
        <v>50</v>
      </c>
      <c r="AL767" s="6" t="s">
        <v>81</v>
      </c>
      <c r="BQ767" s="6" t="s">
        <v>354</v>
      </c>
      <c r="BR767" s="5" t="s">
        <v>2321</v>
      </c>
    </row>
    <row r="768" spans="1:70" hidden="1" x14ac:dyDescent="0.2">
      <c r="A768" s="255">
        <v>1032</v>
      </c>
      <c r="B768" s="231" t="s">
        <v>2035</v>
      </c>
      <c r="C768" s="261" t="s">
        <v>2036</v>
      </c>
      <c r="D768" s="231" t="s">
        <v>2329</v>
      </c>
      <c r="E768" s="3" t="s">
        <v>836</v>
      </c>
      <c r="F768" s="26" t="s">
        <v>103</v>
      </c>
      <c r="G768" s="26" t="s">
        <v>76</v>
      </c>
      <c r="H768" s="26" t="s">
        <v>399</v>
      </c>
      <c r="J768" s="22">
        <v>400</v>
      </c>
      <c r="L768" s="28" t="s">
        <v>58</v>
      </c>
      <c r="M768" s="178" t="s">
        <v>59</v>
      </c>
      <c r="N768" s="22" t="s">
        <v>2325</v>
      </c>
      <c r="O768" s="178" t="s">
        <v>60</v>
      </c>
      <c r="P768" s="178" t="s">
        <v>92</v>
      </c>
      <c r="Q768" s="23" t="s">
        <v>2326</v>
      </c>
      <c r="R768" s="23" t="s">
        <v>2327</v>
      </c>
      <c r="V768" s="25" t="s">
        <v>62</v>
      </c>
      <c r="W768" s="65">
        <v>3</v>
      </c>
      <c r="X768" s="106" t="s">
        <v>203</v>
      </c>
      <c r="Y768" s="25" t="s">
        <v>2320</v>
      </c>
      <c r="Z768" s="83" t="s">
        <v>63</v>
      </c>
      <c r="AA768" s="6">
        <v>1</v>
      </c>
      <c r="AC768" s="5">
        <v>24</v>
      </c>
      <c r="AD768" s="5" t="s">
        <v>80</v>
      </c>
      <c r="AK768" s="6">
        <v>74</v>
      </c>
      <c r="AL768" s="6" t="s">
        <v>81</v>
      </c>
      <c r="BQ768" s="6" t="s">
        <v>354</v>
      </c>
      <c r="BR768" s="5" t="s">
        <v>2321</v>
      </c>
    </row>
    <row r="769" spans="1:70" hidden="1" x14ac:dyDescent="0.2">
      <c r="A769" s="255">
        <v>1033</v>
      </c>
      <c r="B769" s="231" t="s">
        <v>2035</v>
      </c>
      <c r="C769" s="261" t="s">
        <v>2036</v>
      </c>
      <c r="D769" s="231" t="s">
        <v>2330</v>
      </c>
      <c r="E769" s="3" t="s">
        <v>836</v>
      </c>
      <c r="F769" s="26" t="s">
        <v>103</v>
      </c>
      <c r="G769" s="26" t="s">
        <v>76</v>
      </c>
      <c r="H769" s="26" t="s">
        <v>399</v>
      </c>
      <c r="J769" s="22">
        <v>400</v>
      </c>
      <c r="L769" s="28" t="s">
        <v>58</v>
      </c>
      <c r="M769" s="22" t="s">
        <v>59</v>
      </c>
      <c r="N769" s="22" t="s">
        <v>2325</v>
      </c>
      <c r="O769" s="22" t="s">
        <v>60</v>
      </c>
      <c r="P769" s="22" t="s">
        <v>92</v>
      </c>
      <c r="Q769" s="23" t="s">
        <v>2326</v>
      </c>
      <c r="R769" s="23" t="s">
        <v>2327</v>
      </c>
      <c r="V769" s="167" t="s">
        <v>62</v>
      </c>
      <c r="W769" s="65">
        <v>3</v>
      </c>
      <c r="X769" s="106" t="s">
        <v>203</v>
      </c>
      <c r="Y769" s="25" t="s">
        <v>2320</v>
      </c>
      <c r="Z769" s="83" t="s">
        <v>63</v>
      </c>
      <c r="AA769" s="6">
        <v>1</v>
      </c>
      <c r="AC769" s="5">
        <v>26</v>
      </c>
      <c r="AD769" s="165" t="s">
        <v>80</v>
      </c>
      <c r="AE769" s="165"/>
      <c r="AH769" s="165"/>
      <c r="AK769" s="6">
        <v>86</v>
      </c>
      <c r="AL769" s="6" t="s">
        <v>81</v>
      </c>
      <c r="AM769" s="166"/>
      <c r="AP769" s="166"/>
      <c r="AU769" s="165"/>
      <c r="BQ769" s="6" t="s">
        <v>354</v>
      </c>
      <c r="BR769" s="5" t="s">
        <v>2321</v>
      </c>
    </row>
    <row r="770" spans="1:70" hidden="1" x14ac:dyDescent="0.2">
      <c r="A770" s="255">
        <v>1034</v>
      </c>
      <c r="B770" s="231" t="s">
        <v>2035</v>
      </c>
      <c r="C770" s="261" t="s">
        <v>2036</v>
      </c>
      <c r="D770" s="231" t="s">
        <v>2331</v>
      </c>
      <c r="E770" s="125" t="s">
        <v>836</v>
      </c>
      <c r="F770" s="181" t="s">
        <v>103</v>
      </c>
      <c r="G770" s="181" t="s">
        <v>76</v>
      </c>
      <c r="H770" s="181" t="s">
        <v>399</v>
      </c>
      <c r="I770" s="181"/>
      <c r="J770" s="178">
        <v>400</v>
      </c>
      <c r="K770" s="182"/>
      <c r="L770" s="182" t="s">
        <v>58</v>
      </c>
      <c r="M770" s="178" t="s">
        <v>59</v>
      </c>
      <c r="N770" s="22" t="s">
        <v>2325</v>
      </c>
      <c r="O770" s="22" t="s">
        <v>60</v>
      </c>
      <c r="P770" s="22" t="s">
        <v>92</v>
      </c>
      <c r="Q770" s="23" t="s">
        <v>2326</v>
      </c>
      <c r="R770" s="23" t="s">
        <v>2327</v>
      </c>
      <c r="V770" s="167" t="s">
        <v>62</v>
      </c>
      <c r="W770" s="65">
        <v>3</v>
      </c>
      <c r="X770" s="106" t="s">
        <v>203</v>
      </c>
      <c r="Y770" s="25" t="s">
        <v>2320</v>
      </c>
      <c r="Z770" s="169" t="s">
        <v>63</v>
      </c>
      <c r="AA770" s="166"/>
      <c r="AB770" s="166">
        <v>1</v>
      </c>
      <c r="AC770" s="165">
        <v>23</v>
      </c>
      <c r="AD770" s="165" t="s">
        <v>80</v>
      </c>
      <c r="AE770" s="165"/>
      <c r="AF770" s="165"/>
      <c r="AG770" s="165"/>
      <c r="AH770" s="165"/>
      <c r="AI770" s="165"/>
      <c r="AJ770" s="165"/>
      <c r="AK770" s="166">
        <v>59</v>
      </c>
      <c r="AL770" s="166" t="s">
        <v>81</v>
      </c>
      <c r="AM770" s="166"/>
      <c r="AN770" s="166"/>
      <c r="AO770" s="166"/>
      <c r="AP770" s="166"/>
      <c r="AQ770" s="166"/>
      <c r="AR770" s="166"/>
      <c r="BQ770" s="6" t="s">
        <v>354</v>
      </c>
      <c r="BR770" s="165" t="s">
        <v>2321</v>
      </c>
    </row>
    <row r="771" spans="1:70" hidden="1" x14ac:dyDescent="0.2">
      <c r="A771" s="255">
        <v>1035</v>
      </c>
      <c r="B771" s="231" t="s">
        <v>2035</v>
      </c>
      <c r="C771" s="261" t="s">
        <v>2036</v>
      </c>
      <c r="D771" s="231" t="s">
        <v>2332</v>
      </c>
      <c r="E771" s="125" t="s">
        <v>836</v>
      </c>
      <c r="F771" s="181" t="s">
        <v>103</v>
      </c>
      <c r="G771" s="181" t="s">
        <v>76</v>
      </c>
      <c r="H771" s="181" t="s">
        <v>399</v>
      </c>
      <c r="I771" s="181"/>
      <c r="J771" s="178">
        <v>400</v>
      </c>
      <c r="K771" s="182"/>
      <c r="L771" s="182" t="s">
        <v>58</v>
      </c>
      <c r="M771" s="178" t="s">
        <v>59</v>
      </c>
      <c r="N771" s="22" t="s">
        <v>2325</v>
      </c>
      <c r="O771" s="22" t="s">
        <v>60</v>
      </c>
      <c r="P771" s="22" t="s">
        <v>92</v>
      </c>
      <c r="Q771" s="23" t="s">
        <v>2326</v>
      </c>
      <c r="R771" s="23" t="s">
        <v>2327</v>
      </c>
      <c r="V771" s="167" t="s">
        <v>62</v>
      </c>
      <c r="W771" s="65">
        <v>3</v>
      </c>
      <c r="X771" s="106" t="s">
        <v>203</v>
      </c>
      <c r="Y771" s="25" t="s">
        <v>2320</v>
      </c>
      <c r="Z771" s="169" t="s">
        <v>63</v>
      </c>
      <c r="AA771" s="166"/>
      <c r="AB771" s="166">
        <v>1</v>
      </c>
      <c r="AC771" s="165">
        <v>25</v>
      </c>
      <c r="AD771" s="165" t="s">
        <v>80</v>
      </c>
      <c r="AE771" s="165"/>
      <c r="AF771" s="165"/>
      <c r="AG771" s="165"/>
      <c r="AH771" s="165"/>
      <c r="AI771" s="165"/>
      <c r="AJ771" s="165"/>
      <c r="AK771" s="166">
        <v>59</v>
      </c>
      <c r="AL771" s="166" t="s">
        <v>81</v>
      </c>
      <c r="AM771" s="166"/>
      <c r="AN771" s="166"/>
      <c r="AO771" s="166"/>
      <c r="AP771" s="166"/>
      <c r="AQ771" s="166"/>
      <c r="AR771" s="166"/>
      <c r="BQ771" s="6" t="s">
        <v>354</v>
      </c>
      <c r="BR771" s="165" t="s">
        <v>2321</v>
      </c>
    </row>
    <row r="772" spans="1:70" hidden="1" x14ac:dyDescent="0.2">
      <c r="A772" s="255">
        <v>1036</v>
      </c>
      <c r="B772" s="231" t="s">
        <v>2035</v>
      </c>
      <c r="C772" s="261" t="s">
        <v>2036</v>
      </c>
      <c r="D772" s="231" t="s">
        <v>2333</v>
      </c>
      <c r="E772" s="125" t="s">
        <v>836</v>
      </c>
      <c r="F772" s="181" t="s">
        <v>103</v>
      </c>
      <c r="G772" s="181" t="s">
        <v>76</v>
      </c>
      <c r="H772" s="181" t="s">
        <v>399</v>
      </c>
      <c r="I772" s="181"/>
      <c r="J772" s="178">
        <v>400</v>
      </c>
      <c r="K772" s="182"/>
      <c r="L772" s="182" t="s">
        <v>58</v>
      </c>
      <c r="M772" s="178" t="s">
        <v>59</v>
      </c>
      <c r="N772" s="22" t="s">
        <v>2325</v>
      </c>
      <c r="O772" s="22" t="s">
        <v>60</v>
      </c>
      <c r="P772" s="22" t="s">
        <v>92</v>
      </c>
      <c r="Q772" s="23" t="s">
        <v>2326</v>
      </c>
      <c r="R772" s="23" t="s">
        <v>2327</v>
      </c>
      <c r="V772" s="167" t="s">
        <v>62</v>
      </c>
      <c r="W772" s="65">
        <v>3</v>
      </c>
      <c r="X772" s="106" t="s">
        <v>203</v>
      </c>
      <c r="Y772" s="25" t="s">
        <v>2320</v>
      </c>
      <c r="Z772" s="169" t="s">
        <v>63</v>
      </c>
      <c r="AA772" s="166"/>
      <c r="AB772" s="166">
        <v>1</v>
      </c>
      <c r="AC772" s="165">
        <v>20</v>
      </c>
      <c r="AD772" s="165" t="s">
        <v>80</v>
      </c>
      <c r="AE772" s="165"/>
      <c r="AF772" s="165"/>
      <c r="AG772" s="165"/>
      <c r="AH772" s="165"/>
      <c r="AI772" s="165"/>
      <c r="AJ772" s="165"/>
      <c r="AK772" s="166">
        <v>66</v>
      </c>
      <c r="AL772" s="166" t="s">
        <v>81</v>
      </c>
      <c r="AM772" s="166"/>
      <c r="AN772" s="166"/>
      <c r="AO772" s="166"/>
      <c r="AP772" s="166"/>
      <c r="AQ772" s="166"/>
      <c r="AR772" s="166"/>
      <c r="BQ772" s="6" t="s">
        <v>354</v>
      </c>
      <c r="BR772" s="165" t="s">
        <v>2321</v>
      </c>
    </row>
    <row r="773" spans="1:70" hidden="1" x14ac:dyDescent="0.2">
      <c r="A773" s="255">
        <v>1037</v>
      </c>
      <c r="B773" s="231" t="s">
        <v>2035</v>
      </c>
      <c r="C773" s="261" t="s">
        <v>2036</v>
      </c>
      <c r="D773" s="231" t="s">
        <v>2334</v>
      </c>
      <c r="E773" s="125" t="s">
        <v>836</v>
      </c>
      <c r="F773" s="181" t="s">
        <v>103</v>
      </c>
      <c r="G773" s="181" t="s">
        <v>76</v>
      </c>
      <c r="H773" s="26" t="s">
        <v>399</v>
      </c>
      <c r="J773" s="22">
        <v>400</v>
      </c>
      <c r="L773" s="28" t="s">
        <v>58</v>
      </c>
      <c r="M773" s="22" t="s">
        <v>59</v>
      </c>
      <c r="N773" s="22" t="s">
        <v>2325</v>
      </c>
      <c r="O773" s="22" t="s">
        <v>60</v>
      </c>
      <c r="P773" s="22" t="s">
        <v>92</v>
      </c>
      <c r="Q773" s="23" t="s">
        <v>2326</v>
      </c>
      <c r="R773" s="23" t="s">
        <v>2327</v>
      </c>
      <c r="V773" s="25" t="s">
        <v>62</v>
      </c>
      <c r="W773" s="65">
        <v>3</v>
      </c>
      <c r="X773" s="106" t="s">
        <v>203</v>
      </c>
      <c r="Y773" s="25" t="s">
        <v>2320</v>
      </c>
      <c r="Z773" s="169" t="s">
        <v>63</v>
      </c>
      <c r="AA773" s="166">
        <v>1</v>
      </c>
      <c r="AB773" s="166"/>
      <c r="AC773" s="165">
        <v>25</v>
      </c>
      <c r="AD773" s="165" t="s">
        <v>80</v>
      </c>
      <c r="AE773" s="165"/>
      <c r="AF773" s="165"/>
      <c r="AG773" s="165"/>
      <c r="AH773" s="165"/>
      <c r="AI773" s="165"/>
      <c r="AJ773" s="165"/>
      <c r="AK773" s="166">
        <v>77</v>
      </c>
      <c r="AL773" s="166" t="s">
        <v>81</v>
      </c>
      <c r="AM773" s="166"/>
      <c r="AN773" s="166"/>
      <c r="AO773" s="166"/>
      <c r="AP773" s="166"/>
      <c r="AQ773" s="166"/>
      <c r="AR773" s="166"/>
      <c r="AS773" s="165"/>
      <c r="AT773" s="165"/>
      <c r="AU773" s="165"/>
      <c r="AV773" s="165"/>
      <c r="AW773" s="165"/>
      <c r="AX773" s="165"/>
      <c r="AY773" s="165"/>
      <c r="AZ773" s="165"/>
      <c r="BA773" s="166"/>
      <c r="BB773" s="166"/>
      <c r="BC773" s="166"/>
      <c r="BD773" s="166"/>
      <c r="BE773" s="166"/>
      <c r="BF773" s="166"/>
      <c r="BG773" s="166"/>
      <c r="BH773" s="166"/>
      <c r="BI773" s="165"/>
      <c r="BJ773" s="165"/>
      <c r="BK773" s="165"/>
      <c r="BL773" s="165"/>
      <c r="BM773" s="165"/>
      <c r="BN773" s="165"/>
      <c r="BO773" s="165"/>
      <c r="BP773" s="165"/>
      <c r="BQ773" s="166" t="s">
        <v>354</v>
      </c>
      <c r="BR773" s="165" t="s">
        <v>2321</v>
      </c>
    </row>
    <row r="774" spans="1:70" hidden="1" x14ac:dyDescent="0.2">
      <c r="A774" s="255">
        <v>1038</v>
      </c>
      <c r="B774" s="231" t="s">
        <v>2035</v>
      </c>
      <c r="C774" s="261" t="s">
        <v>2036</v>
      </c>
      <c r="D774" s="231" t="s">
        <v>2335</v>
      </c>
      <c r="E774" s="125" t="s">
        <v>836</v>
      </c>
      <c r="F774" s="181" t="s">
        <v>103</v>
      </c>
      <c r="G774" s="181" t="s">
        <v>76</v>
      </c>
      <c r="H774" s="181" t="s">
        <v>399</v>
      </c>
      <c r="J774" s="22">
        <v>400</v>
      </c>
      <c r="L774" s="28" t="s">
        <v>58</v>
      </c>
      <c r="M774" s="22" t="s">
        <v>59</v>
      </c>
      <c r="N774" s="22" t="s">
        <v>2325</v>
      </c>
      <c r="O774" s="22" t="s">
        <v>60</v>
      </c>
      <c r="P774" s="22" t="s">
        <v>92</v>
      </c>
      <c r="Q774" s="23" t="s">
        <v>2326</v>
      </c>
      <c r="R774" s="23" t="s">
        <v>2327</v>
      </c>
      <c r="V774" s="25" t="s">
        <v>62</v>
      </c>
      <c r="W774" s="65">
        <v>3</v>
      </c>
      <c r="X774" s="106" t="s">
        <v>203</v>
      </c>
      <c r="Y774" s="25" t="s">
        <v>2320</v>
      </c>
      <c r="Z774" s="169" t="s">
        <v>63</v>
      </c>
      <c r="AA774" s="166"/>
      <c r="AB774" s="166">
        <v>1</v>
      </c>
      <c r="AC774" s="165">
        <v>23</v>
      </c>
      <c r="AD774" s="165" t="s">
        <v>80</v>
      </c>
      <c r="AE774" s="165"/>
      <c r="AF774" s="165"/>
      <c r="AG774" s="165"/>
      <c r="AH774" s="165"/>
      <c r="AI774" s="165"/>
      <c r="AJ774" s="165"/>
      <c r="AK774" s="166">
        <v>55</v>
      </c>
      <c r="AL774" s="166" t="s">
        <v>81</v>
      </c>
      <c r="AM774" s="166"/>
      <c r="AN774" s="166"/>
      <c r="AO774" s="166"/>
      <c r="AP774" s="166"/>
      <c r="AQ774" s="166"/>
      <c r="AR774" s="166"/>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354</v>
      </c>
      <c r="BR774" s="165" t="s">
        <v>2321</v>
      </c>
    </row>
    <row r="775" spans="1:70" hidden="1" x14ac:dyDescent="0.2">
      <c r="A775" s="255">
        <v>1039</v>
      </c>
      <c r="B775" s="231" t="s">
        <v>2035</v>
      </c>
      <c r="C775" s="261" t="s">
        <v>2036</v>
      </c>
      <c r="D775" s="231" t="s">
        <v>2336</v>
      </c>
      <c r="E775" s="3" t="s">
        <v>836</v>
      </c>
      <c r="F775" s="26" t="s">
        <v>103</v>
      </c>
      <c r="G775" s="26" t="s">
        <v>76</v>
      </c>
      <c r="H775" s="26" t="s">
        <v>399</v>
      </c>
      <c r="J775" s="22">
        <v>400</v>
      </c>
      <c r="L775" s="28" t="s">
        <v>58</v>
      </c>
      <c r="M775" s="22" t="s">
        <v>59</v>
      </c>
      <c r="N775" s="22" t="s">
        <v>2325</v>
      </c>
      <c r="O775" s="22" t="s">
        <v>60</v>
      </c>
      <c r="P775" s="22" t="s">
        <v>92</v>
      </c>
      <c r="Q775" s="23" t="s">
        <v>2326</v>
      </c>
      <c r="R775" s="23" t="s">
        <v>2327</v>
      </c>
      <c r="V775" s="25" t="s">
        <v>62</v>
      </c>
      <c r="W775" s="65">
        <v>3</v>
      </c>
      <c r="X775" s="106" t="s">
        <v>203</v>
      </c>
      <c r="Y775" s="25" t="s">
        <v>2320</v>
      </c>
      <c r="Z775" s="83" t="s">
        <v>63</v>
      </c>
      <c r="AB775" s="6">
        <v>1</v>
      </c>
      <c r="AC775" s="5">
        <v>26</v>
      </c>
      <c r="AD775" s="5" t="s">
        <v>80</v>
      </c>
      <c r="AK775" s="6">
        <v>62</v>
      </c>
      <c r="AL775" s="6" t="s">
        <v>81</v>
      </c>
      <c r="BQ775" s="6" t="s">
        <v>354</v>
      </c>
      <c r="BR775" s="5" t="s">
        <v>2321</v>
      </c>
    </row>
    <row r="776" spans="1:70" hidden="1" x14ac:dyDescent="0.2">
      <c r="A776" s="255">
        <v>1040</v>
      </c>
      <c r="B776" s="231" t="s">
        <v>2035</v>
      </c>
      <c r="C776" s="261" t="s">
        <v>2036</v>
      </c>
      <c r="D776" s="231" t="s">
        <v>2337</v>
      </c>
      <c r="E776" s="3" t="s">
        <v>149</v>
      </c>
      <c r="F776" s="26" t="s">
        <v>103</v>
      </c>
      <c r="G776" s="26" t="s">
        <v>56</v>
      </c>
      <c r="H776" s="26" t="s">
        <v>57</v>
      </c>
      <c r="J776" s="22">
        <v>200</v>
      </c>
      <c r="L776" s="28" t="s">
        <v>58</v>
      </c>
      <c r="M776" s="22" t="s">
        <v>59</v>
      </c>
      <c r="N776" s="22" t="s">
        <v>2325</v>
      </c>
      <c r="O776" s="22" t="s">
        <v>60</v>
      </c>
      <c r="P776" s="22" t="s">
        <v>92</v>
      </c>
      <c r="Q776" s="23" t="s">
        <v>2338</v>
      </c>
      <c r="R776" s="23" t="s">
        <v>835</v>
      </c>
      <c r="V776" s="25" t="s">
        <v>62</v>
      </c>
      <c r="W776" s="65">
        <v>3</v>
      </c>
      <c r="X776" s="106" t="s">
        <v>203</v>
      </c>
      <c r="Y776" s="25" t="s">
        <v>2320</v>
      </c>
      <c r="Z776" s="83" t="s">
        <v>63</v>
      </c>
      <c r="AA776" s="6">
        <v>9</v>
      </c>
      <c r="AB776" s="6">
        <v>6</v>
      </c>
      <c r="AC776" s="5">
        <v>23.9</v>
      </c>
      <c r="AD776" s="5" t="s">
        <v>80</v>
      </c>
      <c r="AE776" s="5" t="s">
        <v>116</v>
      </c>
      <c r="AF776" s="5">
        <v>1.9</v>
      </c>
      <c r="AG776" s="5" t="s">
        <v>80</v>
      </c>
      <c r="AH776" s="5" t="s">
        <v>117</v>
      </c>
      <c r="AI776" s="5">
        <v>20</v>
      </c>
      <c r="AJ776" s="5">
        <v>26</v>
      </c>
      <c r="AK776" s="6">
        <v>65.3</v>
      </c>
      <c r="AL776" s="6" t="s">
        <v>81</v>
      </c>
      <c r="AM776" s="6" t="s">
        <v>116</v>
      </c>
      <c r="AN776" s="6">
        <v>11.6</v>
      </c>
      <c r="AO776" s="6" t="s">
        <v>81</v>
      </c>
      <c r="AP776" s="6" t="s">
        <v>117</v>
      </c>
      <c r="AQ776" s="6">
        <v>50</v>
      </c>
      <c r="AR776" s="6">
        <v>86</v>
      </c>
      <c r="BQ776" s="6" t="s">
        <v>354</v>
      </c>
      <c r="BR776" s="5" t="s">
        <v>2321</v>
      </c>
    </row>
    <row r="777" spans="1:70" hidden="1" x14ac:dyDescent="0.2">
      <c r="A777" s="255">
        <v>1041</v>
      </c>
      <c r="B777" s="231" t="s">
        <v>2035</v>
      </c>
      <c r="C777" s="261" t="s">
        <v>2036</v>
      </c>
      <c r="D777" s="231" t="s">
        <v>2339</v>
      </c>
      <c r="E777" s="3" t="s">
        <v>149</v>
      </c>
      <c r="F777" s="26" t="s">
        <v>103</v>
      </c>
      <c r="G777" s="26" t="s">
        <v>76</v>
      </c>
      <c r="H777" s="26" t="s">
        <v>399</v>
      </c>
      <c r="J777" s="22">
        <v>200</v>
      </c>
      <c r="L777" s="28" t="s">
        <v>58</v>
      </c>
      <c r="M777" s="22" t="s">
        <v>59</v>
      </c>
      <c r="N777" s="22" t="s">
        <v>2325</v>
      </c>
      <c r="O777" s="22" t="s">
        <v>60</v>
      </c>
      <c r="P777" s="22" t="s">
        <v>92</v>
      </c>
      <c r="Q777" s="23" t="s">
        <v>2338</v>
      </c>
      <c r="R777" s="23" t="s">
        <v>835</v>
      </c>
      <c r="V777" s="25" t="s">
        <v>62</v>
      </c>
      <c r="W777" s="65">
        <v>3</v>
      </c>
      <c r="X777" s="106" t="s">
        <v>203</v>
      </c>
      <c r="Y777" s="25" t="s">
        <v>2320</v>
      </c>
      <c r="Z777" s="83" t="s">
        <v>63</v>
      </c>
      <c r="AB777" s="6">
        <v>1</v>
      </c>
      <c r="AC777" s="5">
        <v>23</v>
      </c>
      <c r="AD777" s="5" t="s">
        <v>80</v>
      </c>
      <c r="AK777" s="6">
        <v>50</v>
      </c>
      <c r="AL777" s="6" t="s">
        <v>81</v>
      </c>
      <c r="BQ777" s="6" t="s">
        <v>354</v>
      </c>
      <c r="BR777" s="5" t="s">
        <v>2321</v>
      </c>
    </row>
    <row r="778" spans="1:70" hidden="1" x14ac:dyDescent="0.2">
      <c r="A778" s="255">
        <v>1042</v>
      </c>
      <c r="B778" s="231" t="s">
        <v>2035</v>
      </c>
      <c r="C778" s="261" t="s">
        <v>2036</v>
      </c>
      <c r="D778" s="231" t="s">
        <v>2340</v>
      </c>
      <c r="E778" s="3" t="s">
        <v>149</v>
      </c>
      <c r="F778" s="26" t="s">
        <v>103</v>
      </c>
      <c r="G778" s="26" t="s">
        <v>76</v>
      </c>
      <c r="H778" s="26" t="s">
        <v>399</v>
      </c>
      <c r="J778" s="22">
        <v>200</v>
      </c>
      <c r="L778" s="28" t="s">
        <v>58</v>
      </c>
      <c r="M778" s="22" t="s">
        <v>59</v>
      </c>
      <c r="N778" s="22" t="s">
        <v>2325</v>
      </c>
      <c r="O778" s="22" t="s">
        <v>60</v>
      </c>
      <c r="P778" s="22" t="s">
        <v>92</v>
      </c>
      <c r="Q778" s="23" t="s">
        <v>2338</v>
      </c>
      <c r="R778" s="23" t="s">
        <v>835</v>
      </c>
      <c r="V778" s="25" t="s">
        <v>62</v>
      </c>
      <c r="W778" s="65">
        <v>3</v>
      </c>
      <c r="X778" s="106" t="s">
        <v>203</v>
      </c>
      <c r="Y778" s="25" t="s">
        <v>2320</v>
      </c>
      <c r="Z778" s="83" t="s">
        <v>63</v>
      </c>
      <c r="AA778" s="6">
        <v>1</v>
      </c>
      <c r="AC778" s="5">
        <v>24</v>
      </c>
      <c r="AD778" s="5" t="s">
        <v>80</v>
      </c>
      <c r="AK778" s="6">
        <v>74</v>
      </c>
      <c r="AL778" s="6" t="s">
        <v>81</v>
      </c>
      <c r="BQ778" s="6" t="s">
        <v>354</v>
      </c>
      <c r="BR778" s="5" t="s">
        <v>2321</v>
      </c>
    </row>
    <row r="779" spans="1:70" hidden="1" x14ac:dyDescent="0.2">
      <c r="A779" s="255">
        <v>1043</v>
      </c>
      <c r="B779" s="231" t="s">
        <v>2035</v>
      </c>
      <c r="C779" s="261" t="s">
        <v>2036</v>
      </c>
      <c r="D779" s="231" t="s">
        <v>2341</v>
      </c>
      <c r="E779" s="3" t="s">
        <v>149</v>
      </c>
      <c r="F779" s="26" t="s">
        <v>103</v>
      </c>
      <c r="G779" s="26" t="s">
        <v>76</v>
      </c>
      <c r="H779" s="26" t="s">
        <v>399</v>
      </c>
      <c r="J779" s="22">
        <v>200</v>
      </c>
      <c r="L779" s="28" t="s">
        <v>58</v>
      </c>
      <c r="M779" s="22" t="s">
        <v>59</v>
      </c>
      <c r="N779" s="22" t="s">
        <v>2325</v>
      </c>
      <c r="O779" s="22" t="s">
        <v>60</v>
      </c>
      <c r="P779" s="22" t="s">
        <v>92</v>
      </c>
      <c r="Q779" s="23" t="s">
        <v>2338</v>
      </c>
      <c r="R779" s="23" t="s">
        <v>835</v>
      </c>
      <c r="V779" s="25" t="s">
        <v>62</v>
      </c>
      <c r="W779" s="65">
        <v>3</v>
      </c>
      <c r="X779" s="106" t="s">
        <v>203</v>
      </c>
      <c r="Y779" s="25" t="s">
        <v>2320</v>
      </c>
      <c r="Z779" s="83" t="s">
        <v>63</v>
      </c>
      <c r="AA779" s="6">
        <v>1</v>
      </c>
      <c r="AC779" s="5">
        <v>26</v>
      </c>
      <c r="AD779" s="5" t="s">
        <v>80</v>
      </c>
      <c r="AK779" s="6">
        <v>86</v>
      </c>
      <c r="AL779" s="6" t="s">
        <v>81</v>
      </c>
      <c r="BQ779" s="6" t="s">
        <v>354</v>
      </c>
      <c r="BR779" s="5" t="s">
        <v>2321</v>
      </c>
    </row>
    <row r="780" spans="1:70" hidden="1" x14ac:dyDescent="0.2">
      <c r="A780" s="255">
        <v>1044</v>
      </c>
      <c r="B780" s="231" t="s">
        <v>2035</v>
      </c>
      <c r="C780" s="261" t="s">
        <v>2036</v>
      </c>
      <c r="D780" s="231" t="s">
        <v>2342</v>
      </c>
      <c r="E780" s="3" t="s">
        <v>149</v>
      </c>
      <c r="F780" s="26" t="s">
        <v>103</v>
      </c>
      <c r="G780" s="26" t="s">
        <v>76</v>
      </c>
      <c r="H780" s="26" t="s">
        <v>399</v>
      </c>
      <c r="J780" s="22">
        <v>200</v>
      </c>
      <c r="L780" s="28" t="s">
        <v>58</v>
      </c>
      <c r="M780" s="22" t="s">
        <v>59</v>
      </c>
      <c r="N780" s="22" t="s">
        <v>2325</v>
      </c>
      <c r="O780" s="22" t="s">
        <v>60</v>
      </c>
      <c r="P780" s="22" t="s">
        <v>92</v>
      </c>
      <c r="Q780" s="23" t="s">
        <v>2338</v>
      </c>
      <c r="R780" s="23" t="s">
        <v>835</v>
      </c>
      <c r="V780" s="25" t="s">
        <v>62</v>
      </c>
      <c r="W780" s="65">
        <v>3</v>
      </c>
      <c r="X780" s="106" t="s">
        <v>203</v>
      </c>
      <c r="Y780" s="25" t="s">
        <v>2320</v>
      </c>
      <c r="Z780" s="83" t="s">
        <v>63</v>
      </c>
      <c r="AB780" s="6">
        <v>1</v>
      </c>
      <c r="AC780" s="5">
        <v>23</v>
      </c>
      <c r="AD780" s="5" t="s">
        <v>80</v>
      </c>
      <c r="AK780" s="6">
        <v>59</v>
      </c>
      <c r="AL780" s="6" t="s">
        <v>81</v>
      </c>
      <c r="BQ780" s="6" t="s">
        <v>354</v>
      </c>
      <c r="BR780" s="5" t="s">
        <v>2321</v>
      </c>
    </row>
    <row r="781" spans="1:70" hidden="1" x14ac:dyDescent="0.2">
      <c r="A781" s="255">
        <v>1045</v>
      </c>
      <c r="B781" s="231" t="s">
        <v>2035</v>
      </c>
      <c r="C781" s="261" t="s">
        <v>2036</v>
      </c>
      <c r="D781" s="231" t="s">
        <v>2343</v>
      </c>
      <c r="E781" s="3" t="s">
        <v>149</v>
      </c>
      <c r="F781" s="26" t="s">
        <v>103</v>
      </c>
      <c r="G781" s="26" t="s">
        <v>76</v>
      </c>
      <c r="H781" s="26" t="s">
        <v>399</v>
      </c>
      <c r="J781" s="22">
        <v>200</v>
      </c>
      <c r="L781" s="28" t="s">
        <v>58</v>
      </c>
      <c r="M781" s="22" t="s">
        <v>59</v>
      </c>
      <c r="N781" s="22" t="s">
        <v>2325</v>
      </c>
      <c r="O781" s="22" t="s">
        <v>60</v>
      </c>
      <c r="P781" s="22" t="s">
        <v>92</v>
      </c>
      <c r="Q781" s="23" t="s">
        <v>2338</v>
      </c>
      <c r="R781" s="23" t="s">
        <v>835</v>
      </c>
      <c r="V781" s="25" t="s">
        <v>62</v>
      </c>
      <c r="W781" s="65">
        <v>3</v>
      </c>
      <c r="X781" s="106" t="s">
        <v>203</v>
      </c>
      <c r="Y781" s="25" t="s">
        <v>2320</v>
      </c>
      <c r="Z781" s="83" t="s">
        <v>63</v>
      </c>
      <c r="AB781" s="6">
        <v>1</v>
      </c>
      <c r="AC781" s="5">
        <v>25</v>
      </c>
      <c r="AD781" s="5" t="s">
        <v>80</v>
      </c>
      <c r="AK781" s="6">
        <v>59</v>
      </c>
      <c r="AL781" s="6" t="s">
        <v>81</v>
      </c>
      <c r="BQ781" s="6" t="s">
        <v>354</v>
      </c>
      <c r="BR781" s="5" t="s">
        <v>2321</v>
      </c>
    </row>
    <row r="782" spans="1:70" hidden="1" x14ac:dyDescent="0.2">
      <c r="A782" s="255">
        <v>1046</v>
      </c>
      <c r="B782" s="231" t="s">
        <v>2035</v>
      </c>
      <c r="C782" s="261" t="s">
        <v>2036</v>
      </c>
      <c r="D782" s="231" t="s">
        <v>2344</v>
      </c>
      <c r="E782" s="3" t="s">
        <v>149</v>
      </c>
      <c r="F782" s="26" t="s">
        <v>103</v>
      </c>
      <c r="G782" s="26" t="s">
        <v>76</v>
      </c>
      <c r="H782" s="26" t="s">
        <v>399</v>
      </c>
      <c r="J782" s="22">
        <v>200</v>
      </c>
      <c r="L782" s="28" t="s">
        <v>58</v>
      </c>
      <c r="M782" s="22" t="s">
        <v>59</v>
      </c>
      <c r="N782" s="22" t="s">
        <v>2325</v>
      </c>
      <c r="O782" s="22" t="s">
        <v>60</v>
      </c>
      <c r="P782" s="22" t="s">
        <v>92</v>
      </c>
      <c r="Q782" s="23" t="s">
        <v>2338</v>
      </c>
      <c r="R782" s="23" t="s">
        <v>835</v>
      </c>
      <c r="V782" s="25" t="s">
        <v>62</v>
      </c>
      <c r="W782" s="65">
        <v>3</v>
      </c>
      <c r="X782" s="106" t="s">
        <v>203</v>
      </c>
      <c r="Y782" s="25" t="s">
        <v>2320</v>
      </c>
      <c r="Z782" s="83" t="s">
        <v>63</v>
      </c>
      <c r="AB782" s="6">
        <v>1</v>
      </c>
      <c r="AC782" s="5">
        <v>20</v>
      </c>
      <c r="AD782" s="5" t="s">
        <v>80</v>
      </c>
      <c r="AK782" s="6">
        <v>66</v>
      </c>
      <c r="AL782" s="6" t="s">
        <v>81</v>
      </c>
      <c r="BQ782" s="6" t="s">
        <v>354</v>
      </c>
      <c r="BR782" s="5" t="s">
        <v>2321</v>
      </c>
    </row>
    <row r="783" spans="1:70" hidden="1" x14ac:dyDescent="0.2">
      <c r="A783" s="255">
        <v>1047</v>
      </c>
      <c r="B783" s="231" t="s">
        <v>2035</v>
      </c>
      <c r="C783" s="261" t="s">
        <v>2036</v>
      </c>
      <c r="D783" s="231" t="s">
        <v>2345</v>
      </c>
      <c r="E783" s="3" t="s">
        <v>149</v>
      </c>
      <c r="F783" s="26" t="s">
        <v>103</v>
      </c>
      <c r="G783" s="26" t="s">
        <v>76</v>
      </c>
      <c r="H783" s="26" t="s">
        <v>399</v>
      </c>
      <c r="J783" s="22">
        <v>200</v>
      </c>
      <c r="L783" s="28" t="s">
        <v>58</v>
      </c>
      <c r="M783" s="22" t="s">
        <v>59</v>
      </c>
      <c r="N783" s="22" t="s">
        <v>2325</v>
      </c>
      <c r="O783" s="22" t="s">
        <v>60</v>
      </c>
      <c r="P783" s="22" t="s">
        <v>92</v>
      </c>
      <c r="Q783" s="23" t="s">
        <v>2338</v>
      </c>
      <c r="R783" s="23" t="s">
        <v>835</v>
      </c>
      <c r="V783" s="25" t="s">
        <v>62</v>
      </c>
      <c r="W783" s="65">
        <v>3</v>
      </c>
      <c r="X783" s="106" t="s">
        <v>203</v>
      </c>
      <c r="Y783" s="25" t="s">
        <v>2320</v>
      </c>
      <c r="Z783" s="83" t="s">
        <v>63</v>
      </c>
      <c r="AA783" s="6">
        <v>1</v>
      </c>
      <c r="AC783" s="5">
        <v>25</v>
      </c>
      <c r="AD783" s="5" t="s">
        <v>80</v>
      </c>
      <c r="AK783" s="6">
        <v>77</v>
      </c>
      <c r="AL783" s="6" t="s">
        <v>81</v>
      </c>
      <c r="BQ783" s="6" t="s">
        <v>354</v>
      </c>
      <c r="BR783" s="5" t="s">
        <v>2321</v>
      </c>
    </row>
    <row r="784" spans="1:70" hidden="1" x14ac:dyDescent="0.2">
      <c r="A784" s="255">
        <v>1048</v>
      </c>
      <c r="B784" s="231" t="s">
        <v>2035</v>
      </c>
      <c r="C784" s="261" t="s">
        <v>2036</v>
      </c>
      <c r="D784" s="231" t="s">
        <v>2346</v>
      </c>
      <c r="E784" s="3" t="s">
        <v>149</v>
      </c>
      <c r="F784" s="26" t="s">
        <v>103</v>
      </c>
      <c r="G784" s="26" t="s">
        <v>76</v>
      </c>
      <c r="H784" s="26" t="s">
        <v>399</v>
      </c>
      <c r="J784" s="22">
        <v>200</v>
      </c>
      <c r="L784" s="28" t="s">
        <v>58</v>
      </c>
      <c r="M784" s="22" t="s">
        <v>59</v>
      </c>
      <c r="N784" s="22" t="s">
        <v>2325</v>
      </c>
      <c r="O784" s="22" t="s">
        <v>60</v>
      </c>
      <c r="P784" s="22" t="s">
        <v>92</v>
      </c>
      <c r="Q784" s="23" t="s">
        <v>2338</v>
      </c>
      <c r="R784" s="23" t="s">
        <v>835</v>
      </c>
      <c r="V784" s="25" t="s">
        <v>62</v>
      </c>
      <c r="W784" s="65">
        <v>3</v>
      </c>
      <c r="X784" s="106" t="s">
        <v>203</v>
      </c>
      <c r="Y784" s="25" t="s">
        <v>2320</v>
      </c>
      <c r="Z784" s="83" t="s">
        <v>63</v>
      </c>
      <c r="AB784" s="6">
        <v>1</v>
      </c>
      <c r="AC784" s="5">
        <v>23</v>
      </c>
      <c r="AD784" s="5" t="s">
        <v>80</v>
      </c>
      <c r="AK784" s="6">
        <v>55</v>
      </c>
      <c r="AL784" s="6" t="s">
        <v>81</v>
      </c>
      <c r="BQ784" s="6" t="s">
        <v>354</v>
      </c>
      <c r="BR784" s="5" t="s">
        <v>2321</v>
      </c>
    </row>
    <row r="785" spans="1:70" hidden="1" x14ac:dyDescent="0.2">
      <c r="A785" s="255">
        <v>1049</v>
      </c>
      <c r="B785" s="231" t="s">
        <v>2035</v>
      </c>
      <c r="C785" s="261" t="s">
        <v>2036</v>
      </c>
      <c r="D785" s="231" t="s">
        <v>2347</v>
      </c>
      <c r="E785" s="3" t="s">
        <v>149</v>
      </c>
      <c r="F785" s="26" t="s">
        <v>103</v>
      </c>
      <c r="G785" s="26" t="s">
        <v>76</v>
      </c>
      <c r="H785" s="26" t="s">
        <v>399</v>
      </c>
      <c r="J785" s="22">
        <v>200</v>
      </c>
      <c r="L785" s="28" t="s">
        <v>58</v>
      </c>
      <c r="M785" s="22" t="s">
        <v>59</v>
      </c>
      <c r="N785" s="22" t="s">
        <v>2325</v>
      </c>
      <c r="O785" s="22" t="s">
        <v>60</v>
      </c>
      <c r="P785" s="22" t="s">
        <v>92</v>
      </c>
      <c r="Q785" s="23" t="s">
        <v>2338</v>
      </c>
      <c r="R785" s="23" t="s">
        <v>835</v>
      </c>
      <c r="V785" s="25" t="s">
        <v>62</v>
      </c>
      <c r="W785" s="65">
        <v>3</v>
      </c>
      <c r="X785" s="106" t="s">
        <v>203</v>
      </c>
      <c r="Y785" s="25" t="s">
        <v>2320</v>
      </c>
      <c r="Z785" s="83" t="s">
        <v>63</v>
      </c>
      <c r="AB785" s="6">
        <v>1</v>
      </c>
      <c r="AC785" s="5">
        <v>26</v>
      </c>
      <c r="AD785" s="5" t="s">
        <v>80</v>
      </c>
      <c r="AK785" s="6">
        <v>62</v>
      </c>
      <c r="AL785" s="6" t="s">
        <v>81</v>
      </c>
      <c r="BQ785" s="6" t="s">
        <v>354</v>
      </c>
      <c r="BR785" s="5" t="s">
        <v>2321</v>
      </c>
    </row>
    <row r="786" spans="1:70" hidden="1" x14ac:dyDescent="0.2">
      <c r="A786" s="255">
        <v>1050</v>
      </c>
      <c r="B786" s="231" t="s">
        <v>2035</v>
      </c>
      <c r="C786" s="261" t="s">
        <v>2036</v>
      </c>
      <c r="D786" s="231" t="s">
        <v>2348</v>
      </c>
      <c r="E786" s="3" t="s">
        <v>1974</v>
      </c>
      <c r="F786" s="26" t="s">
        <v>103</v>
      </c>
      <c r="G786" s="26" t="s">
        <v>76</v>
      </c>
      <c r="H786" s="26" t="s">
        <v>2349</v>
      </c>
      <c r="J786" s="22">
        <v>0.25</v>
      </c>
      <c r="L786" s="28" t="s">
        <v>58</v>
      </c>
      <c r="M786" s="22" t="s">
        <v>59</v>
      </c>
      <c r="N786" s="22">
        <v>0</v>
      </c>
      <c r="O786" s="22" t="s">
        <v>60</v>
      </c>
      <c r="P786" s="22" t="s">
        <v>79</v>
      </c>
      <c r="Q786" s="23" t="s">
        <v>2318</v>
      </c>
      <c r="R786" s="23" t="s">
        <v>2319</v>
      </c>
      <c r="T786" s="23">
        <v>150</v>
      </c>
      <c r="V786" s="25" t="s">
        <v>62</v>
      </c>
      <c r="W786" s="65">
        <v>3</v>
      </c>
      <c r="X786" s="106" t="s">
        <v>203</v>
      </c>
      <c r="Y786" s="25" t="s">
        <v>2320</v>
      </c>
      <c r="Z786" s="83" t="s">
        <v>63</v>
      </c>
      <c r="AB786" s="6">
        <v>1</v>
      </c>
      <c r="AC786" s="5">
        <v>23</v>
      </c>
      <c r="AD786" s="5" t="s">
        <v>80</v>
      </c>
      <c r="AK786" s="6">
        <v>50</v>
      </c>
      <c r="AL786" s="6" t="s">
        <v>81</v>
      </c>
      <c r="BQ786" s="6" t="s">
        <v>354</v>
      </c>
      <c r="BR786" s="5" t="s">
        <v>2321</v>
      </c>
    </row>
    <row r="787" spans="1:70" hidden="1" x14ac:dyDescent="0.2">
      <c r="A787" s="255">
        <v>1051</v>
      </c>
      <c r="B787" s="231" t="s">
        <v>2035</v>
      </c>
      <c r="C787" s="261" t="s">
        <v>2036</v>
      </c>
      <c r="D787" s="231" t="s">
        <v>2350</v>
      </c>
      <c r="E787" s="3" t="s">
        <v>1974</v>
      </c>
      <c r="F787" s="26" t="s">
        <v>103</v>
      </c>
      <c r="G787" s="26" t="s">
        <v>76</v>
      </c>
      <c r="H787" s="26" t="s">
        <v>2349</v>
      </c>
      <c r="J787" s="22">
        <v>0.25</v>
      </c>
      <c r="L787" s="28" t="s">
        <v>58</v>
      </c>
      <c r="M787" s="22" t="s">
        <v>59</v>
      </c>
      <c r="N787" s="22">
        <v>0</v>
      </c>
      <c r="O787" s="22" t="s">
        <v>60</v>
      </c>
      <c r="P787" s="22" t="s">
        <v>79</v>
      </c>
      <c r="Q787" s="23" t="s">
        <v>2318</v>
      </c>
      <c r="R787" s="23" t="s">
        <v>2319</v>
      </c>
      <c r="T787" s="23">
        <v>150</v>
      </c>
      <c r="V787" s="25" t="s">
        <v>62</v>
      </c>
      <c r="W787" s="65">
        <v>3</v>
      </c>
      <c r="X787" s="106" t="s">
        <v>203</v>
      </c>
      <c r="Y787" s="25" t="s">
        <v>2320</v>
      </c>
      <c r="Z787" s="83" t="s">
        <v>63</v>
      </c>
      <c r="AA787" s="6">
        <v>1</v>
      </c>
      <c r="AC787" s="5">
        <v>24</v>
      </c>
      <c r="AD787" s="5" t="s">
        <v>80</v>
      </c>
      <c r="AK787" s="6">
        <v>74</v>
      </c>
      <c r="AL787" s="6" t="s">
        <v>81</v>
      </c>
      <c r="BQ787" s="6" t="s">
        <v>354</v>
      </c>
      <c r="BR787" s="5" t="s">
        <v>2321</v>
      </c>
    </row>
    <row r="788" spans="1:70" hidden="1" x14ac:dyDescent="0.2">
      <c r="A788" s="255">
        <v>1052</v>
      </c>
      <c r="B788" s="231" t="s">
        <v>2035</v>
      </c>
      <c r="C788" s="261" t="s">
        <v>2036</v>
      </c>
      <c r="D788" s="231" t="s">
        <v>2351</v>
      </c>
      <c r="E788" s="3" t="s">
        <v>1974</v>
      </c>
      <c r="F788" s="26" t="s">
        <v>103</v>
      </c>
      <c r="G788" s="26" t="s">
        <v>76</v>
      </c>
      <c r="H788" s="26" t="s">
        <v>2349</v>
      </c>
      <c r="J788" s="22">
        <v>0.25</v>
      </c>
      <c r="L788" s="28" t="s">
        <v>58</v>
      </c>
      <c r="M788" s="22" t="s">
        <v>59</v>
      </c>
      <c r="N788" s="22">
        <v>0</v>
      </c>
      <c r="O788" s="22" t="s">
        <v>60</v>
      </c>
      <c r="P788" s="22" t="s">
        <v>79</v>
      </c>
      <c r="Q788" s="23" t="s">
        <v>2318</v>
      </c>
      <c r="R788" s="23" t="s">
        <v>2319</v>
      </c>
      <c r="T788" s="23">
        <v>150</v>
      </c>
      <c r="V788" s="25" t="s">
        <v>62</v>
      </c>
      <c r="W788" s="65">
        <v>3</v>
      </c>
      <c r="X788" s="106" t="s">
        <v>203</v>
      </c>
      <c r="Y788" s="25" t="s">
        <v>2320</v>
      </c>
      <c r="Z788" s="83" t="s">
        <v>63</v>
      </c>
      <c r="AA788" s="6">
        <v>1</v>
      </c>
      <c r="AC788" s="5">
        <v>26</v>
      </c>
      <c r="AD788" s="5" t="s">
        <v>80</v>
      </c>
      <c r="AK788" s="6">
        <v>86</v>
      </c>
      <c r="AL788" s="6" t="s">
        <v>81</v>
      </c>
      <c r="BQ788" s="6" t="s">
        <v>354</v>
      </c>
      <c r="BR788" s="5" t="s">
        <v>2321</v>
      </c>
    </row>
    <row r="789" spans="1:70" hidden="1" x14ac:dyDescent="0.2">
      <c r="A789" s="255">
        <v>1053</v>
      </c>
      <c r="B789" s="231" t="s">
        <v>2035</v>
      </c>
      <c r="C789" s="261" t="s">
        <v>2036</v>
      </c>
      <c r="D789" s="231" t="s">
        <v>2352</v>
      </c>
      <c r="E789" s="3" t="s">
        <v>1974</v>
      </c>
      <c r="F789" s="26" t="s">
        <v>103</v>
      </c>
      <c r="G789" s="26" t="s">
        <v>76</v>
      </c>
      <c r="H789" s="26" t="s">
        <v>2349</v>
      </c>
      <c r="J789" s="22">
        <v>0.25</v>
      </c>
      <c r="L789" s="28" t="s">
        <v>58</v>
      </c>
      <c r="M789" s="22" t="s">
        <v>59</v>
      </c>
      <c r="N789" s="22">
        <v>0</v>
      </c>
      <c r="O789" s="22" t="s">
        <v>60</v>
      </c>
      <c r="P789" s="22" t="s">
        <v>79</v>
      </c>
      <c r="Q789" s="23" t="s">
        <v>2318</v>
      </c>
      <c r="R789" s="23" t="s">
        <v>2319</v>
      </c>
      <c r="T789" s="23">
        <v>150</v>
      </c>
      <c r="V789" s="25" t="s">
        <v>62</v>
      </c>
      <c r="W789" s="65">
        <v>3</v>
      </c>
      <c r="X789" s="106" t="s">
        <v>203</v>
      </c>
      <c r="Y789" s="25" t="s">
        <v>2320</v>
      </c>
      <c r="Z789" s="83" t="s">
        <v>63</v>
      </c>
      <c r="AB789" s="6">
        <v>1</v>
      </c>
      <c r="AC789" s="5">
        <v>23</v>
      </c>
      <c r="AD789" s="5" t="s">
        <v>80</v>
      </c>
      <c r="AK789" s="6">
        <v>59</v>
      </c>
      <c r="AL789" s="6" t="s">
        <v>81</v>
      </c>
      <c r="BQ789" s="6" t="s">
        <v>354</v>
      </c>
      <c r="BR789" s="5" t="s">
        <v>2321</v>
      </c>
    </row>
    <row r="790" spans="1:70" hidden="1" x14ac:dyDescent="0.2">
      <c r="A790" s="255">
        <v>1054</v>
      </c>
      <c r="B790" s="231" t="s">
        <v>2035</v>
      </c>
      <c r="C790" s="261" t="s">
        <v>2036</v>
      </c>
      <c r="D790" s="231" t="s">
        <v>2353</v>
      </c>
      <c r="E790" s="3" t="s">
        <v>1974</v>
      </c>
      <c r="F790" s="26" t="s">
        <v>103</v>
      </c>
      <c r="G790" s="26" t="s">
        <v>76</v>
      </c>
      <c r="H790" s="26" t="s">
        <v>2349</v>
      </c>
      <c r="J790" s="22">
        <v>0.25</v>
      </c>
      <c r="L790" s="28" t="s">
        <v>58</v>
      </c>
      <c r="M790" s="22" t="s">
        <v>59</v>
      </c>
      <c r="N790" s="22">
        <v>0</v>
      </c>
      <c r="O790" s="22" t="s">
        <v>60</v>
      </c>
      <c r="P790" s="22" t="s">
        <v>79</v>
      </c>
      <c r="Q790" s="23" t="s">
        <v>2318</v>
      </c>
      <c r="R790" s="23" t="s">
        <v>2319</v>
      </c>
      <c r="T790" s="23">
        <v>150</v>
      </c>
      <c r="V790" s="25" t="s">
        <v>62</v>
      </c>
      <c r="W790" s="65">
        <v>3</v>
      </c>
      <c r="X790" s="106" t="s">
        <v>203</v>
      </c>
      <c r="Y790" s="25" t="s">
        <v>2320</v>
      </c>
      <c r="Z790" s="83" t="s">
        <v>63</v>
      </c>
      <c r="AB790" s="6">
        <v>1</v>
      </c>
      <c r="AC790" s="5">
        <v>25</v>
      </c>
      <c r="AD790" s="5" t="s">
        <v>80</v>
      </c>
      <c r="AK790" s="6">
        <v>59</v>
      </c>
      <c r="AL790" s="6" t="s">
        <v>81</v>
      </c>
      <c r="BQ790" s="6" t="s">
        <v>354</v>
      </c>
      <c r="BR790" s="5" t="s">
        <v>2321</v>
      </c>
    </row>
    <row r="791" spans="1:70" hidden="1" x14ac:dyDescent="0.2">
      <c r="A791" s="255">
        <v>1055</v>
      </c>
      <c r="B791" s="231" t="s">
        <v>2035</v>
      </c>
      <c r="C791" s="261" t="s">
        <v>2036</v>
      </c>
      <c r="D791" s="231" t="s">
        <v>2354</v>
      </c>
      <c r="E791" s="3" t="s">
        <v>1974</v>
      </c>
      <c r="F791" s="26" t="s">
        <v>103</v>
      </c>
      <c r="G791" s="26" t="s">
        <v>76</v>
      </c>
      <c r="H791" s="26" t="s">
        <v>2349</v>
      </c>
      <c r="J791" s="22">
        <v>0.25</v>
      </c>
      <c r="L791" s="28" t="s">
        <v>58</v>
      </c>
      <c r="M791" s="22" t="s">
        <v>59</v>
      </c>
      <c r="N791" s="22">
        <v>0</v>
      </c>
      <c r="O791" s="22" t="s">
        <v>60</v>
      </c>
      <c r="P791" s="22" t="s">
        <v>79</v>
      </c>
      <c r="Q791" s="23" t="s">
        <v>2318</v>
      </c>
      <c r="R791" s="23" t="s">
        <v>2319</v>
      </c>
      <c r="T791" s="23">
        <v>150</v>
      </c>
      <c r="V791" s="25" t="s">
        <v>62</v>
      </c>
      <c r="W791" s="65">
        <v>3</v>
      </c>
      <c r="X791" s="106" t="s">
        <v>203</v>
      </c>
      <c r="Y791" s="25" t="s">
        <v>2320</v>
      </c>
      <c r="Z791" s="83" t="s">
        <v>63</v>
      </c>
      <c r="AB791" s="6">
        <v>1</v>
      </c>
      <c r="AC791" s="5">
        <v>20</v>
      </c>
      <c r="AD791" s="5" t="s">
        <v>80</v>
      </c>
      <c r="AK791" s="6">
        <v>66</v>
      </c>
      <c r="AL791" s="6" t="s">
        <v>81</v>
      </c>
      <c r="BQ791" s="6" t="s">
        <v>354</v>
      </c>
      <c r="BR791" s="5" t="s">
        <v>2321</v>
      </c>
    </row>
    <row r="792" spans="1:70" hidden="1" x14ac:dyDescent="0.2">
      <c r="A792" s="255">
        <v>1056</v>
      </c>
      <c r="B792" s="231" t="s">
        <v>2035</v>
      </c>
      <c r="C792" s="261" t="s">
        <v>2036</v>
      </c>
      <c r="D792" s="231" t="s">
        <v>2355</v>
      </c>
      <c r="E792" s="3" t="s">
        <v>1974</v>
      </c>
      <c r="F792" s="26" t="s">
        <v>103</v>
      </c>
      <c r="G792" s="26" t="s">
        <v>76</v>
      </c>
      <c r="H792" s="26" t="s">
        <v>2349</v>
      </c>
      <c r="J792" s="22">
        <v>0.25</v>
      </c>
      <c r="L792" s="28" t="s">
        <v>58</v>
      </c>
      <c r="M792" s="22" t="s">
        <v>59</v>
      </c>
      <c r="N792" s="22">
        <v>0</v>
      </c>
      <c r="O792" s="22" t="s">
        <v>60</v>
      </c>
      <c r="P792" s="22" t="s">
        <v>79</v>
      </c>
      <c r="Q792" s="23" t="s">
        <v>2318</v>
      </c>
      <c r="R792" s="23" t="s">
        <v>2319</v>
      </c>
      <c r="T792" s="23">
        <v>150</v>
      </c>
      <c r="V792" s="25" t="s">
        <v>62</v>
      </c>
      <c r="W792" s="65">
        <v>3</v>
      </c>
      <c r="X792" s="106" t="s">
        <v>203</v>
      </c>
      <c r="Y792" s="25" t="s">
        <v>2320</v>
      </c>
      <c r="Z792" s="83" t="s">
        <v>63</v>
      </c>
      <c r="AA792" s="6">
        <v>1</v>
      </c>
      <c r="AC792" s="5">
        <v>25</v>
      </c>
      <c r="AD792" s="5" t="s">
        <v>80</v>
      </c>
      <c r="AK792" s="6">
        <v>77</v>
      </c>
      <c r="AL792" s="6" t="s">
        <v>81</v>
      </c>
      <c r="BQ792" s="6" t="s">
        <v>354</v>
      </c>
      <c r="BR792" s="5" t="s">
        <v>2321</v>
      </c>
    </row>
    <row r="793" spans="1:70" hidden="1" x14ac:dyDescent="0.2">
      <c r="A793" s="255">
        <v>1057</v>
      </c>
      <c r="B793" s="231" t="s">
        <v>2035</v>
      </c>
      <c r="C793" s="261" t="s">
        <v>2036</v>
      </c>
      <c r="D793" s="231" t="s">
        <v>2356</v>
      </c>
      <c r="E793" s="3" t="s">
        <v>1974</v>
      </c>
      <c r="F793" s="26" t="s">
        <v>103</v>
      </c>
      <c r="G793" s="26" t="s">
        <v>76</v>
      </c>
      <c r="H793" s="26" t="s">
        <v>2349</v>
      </c>
      <c r="J793" s="22">
        <v>0.25</v>
      </c>
      <c r="L793" s="28" t="s">
        <v>58</v>
      </c>
      <c r="M793" s="22" t="s">
        <v>59</v>
      </c>
      <c r="N793" s="22">
        <v>0</v>
      </c>
      <c r="O793" s="22" t="s">
        <v>60</v>
      </c>
      <c r="P793" s="22" t="s">
        <v>79</v>
      </c>
      <c r="Q793" s="23" t="s">
        <v>2318</v>
      </c>
      <c r="R793" s="23" t="s">
        <v>2319</v>
      </c>
      <c r="T793" s="23">
        <v>150</v>
      </c>
      <c r="V793" s="25" t="s">
        <v>62</v>
      </c>
      <c r="W793" s="65">
        <v>3</v>
      </c>
      <c r="X793" s="106" t="s">
        <v>203</v>
      </c>
      <c r="Y793" s="25" t="s">
        <v>2320</v>
      </c>
      <c r="Z793" s="83" t="s">
        <v>63</v>
      </c>
      <c r="AB793" s="6">
        <v>1</v>
      </c>
      <c r="AC793" s="5">
        <v>23</v>
      </c>
      <c r="AD793" s="5" t="s">
        <v>80</v>
      </c>
      <c r="AK793" s="6">
        <v>55</v>
      </c>
      <c r="AL793" s="6" t="s">
        <v>81</v>
      </c>
      <c r="BQ793" s="6" t="s">
        <v>354</v>
      </c>
      <c r="BR793" s="5" t="s">
        <v>2321</v>
      </c>
    </row>
    <row r="794" spans="1:70" hidden="1" x14ac:dyDescent="0.2">
      <c r="A794" s="255">
        <v>1058</v>
      </c>
      <c r="B794" s="231" t="s">
        <v>2035</v>
      </c>
      <c r="C794" s="261" t="s">
        <v>2036</v>
      </c>
      <c r="D794" s="231" t="s">
        <v>2357</v>
      </c>
      <c r="E794" s="3" t="s">
        <v>1974</v>
      </c>
      <c r="F794" s="26" t="s">
        <v>103</v>
      </c>
      <c r="G794" s="26" t="s">
        <v>76</v>
      </c>
      <c r="H794" s="26" t="s">
        <v>2349</v>
      </c>
      <c r="J794" s="22">
        <v>0.25</v>
      </c>
      <c r="L794" s="28" t="s">
        <v>58</v>
      </c>
      <c r="M794" s="22" t="s">
        <v>59</v>
      </c>
      <c r="N794" s="22">
        <v>0</v>
      </c>
      <c r="O794" s="22" t="s">
        <v>60</v>
      </c>
      <c r="P794" s="22" t="s">
        <v>79</v>
      </c>
      <c r="Q794" s="23" t="s">
        <v>2318</v>
      </c>
      <c r="R794" s="23" t="s">
        <v>2319</v>
      </c>
      <c r="T794" s="23">
        <v>150</v>
      </c>
      <c r="V794" s="25" t="s">
        <v>62</v>
      </c>
      <c r="W794" s="65">
        <v>3</v>
      </c>
      <c r="X794" s="106" t="s">
        <v>203</v>
      </c>
      <c r="Y794" s="25" t="s">
        <v>2320</v>
      </c>
      <c r="Z794" s="83" t="s">
        <v>63</v>
      </c>
      <c r="AB794" s="6">
        <v>1</v>
      </c>
      <c r="AC794" s="5">
        <v>26</v>
      </c>
      <c r="AD794" s="5" t="s">
        <v>80</v>
      </c>
      <c r="AK794" s="6">
        <v>62</v>
      </c>
      <c r="AL794" s="6" t="s">
        <v>81</v>
      </c>
      <c r="BQ794" s="6" t="s">
        <v>354</v>
      </c>
      <c r="BR794" s="5" t="s">
        <v>2321</v>
      </c>
    </row>
    <row r="795" spans="1:70" hidden="1" x14ac:dyDescent="0.2">
      <c r="A795" s="255">
        <v>1059</v>
      </c>
      <c r="B795" s="231" t="s">
        <v>2035</v>
      </c>
      <c r="C795" s="261" t="s">
        <v>2036</v>
      </c>
      <c r="D795" s="231" t="s">
        <v>2358</v>
      </c>
      <c r="E795" s="3" t="s">
        <v>1974</v>
      </c>
      <c r="F795" s="26" t="s">
        <v>103</v>
      </c>
      <c r="G795" s="26" t="s">
        <v>76</v>
      </c>
      <c r="H795" s="26" t="s">
        <v>2349</v>
      </c>
      <c r="J795" s="22">
        <v>0.25</v>
      </c>
      <c r="L795" s="28" t="s">
        <v>58</v>
      </c>
      <c r="M795" s="22" t="s">
        <v>59</v>
      </c>
      <c r="N795" s="22">
        <v>73</v>
      </c>
      <c r="O795" s="22" t="s">
        <v>60</v>
      </c>
      <c r="P795" s="22" t="s">
        <v>79</v>
      </c>
      <c r="Q795" s="23" t="s">
        <v>2318</v>
      </c>
      <c r="R795" s="23" t="s">
        <v>2319</v>
      </c>
      <c r="T795" s="23">
        <v>150</v>
      </c>
      <c r="V795" s="25" t="s">
        <v>62</v>
      </c>
      <c r="W795" s="65">
        <v>3</v>
      </c>
      <c r="X795" s="106" t="s">
        <v>203</v>
      </c>
      <c r="Y795" s="25" t="s">
        <v>2320</v>
      </c>
      <c r="Z795" s="83" t="s">
        <v>63</v>
      </c>
      <c r="AB795" s="6">
        <v>1</v>
      </c>
      <c r="AC795" s="5">
        <v>23</v>
      </c>
      <c r="AD795" s="5" t="s">
        <v>80</v>
      </c>
      <c r="AK795" s="6">
        <v>50</v>
      </c>
      <c r="AL795" s="6" t="s">
        <v>81</v>
      </c>
      <c r="BQ795" s="6" t="s">
        <v>354</v>
      </c>
      <c r="BR795" s="5" t="s">
        <v>2321</v>
      </c>
    </row>
    <row r="796" spans="1:70" hidden="1" x14ac:dyDescent="0.2">
      <c r="A796" s="255">
        <v>1060</v>
      </c>
      <c r="B796" s="231" t="s">
        <v>2035</v>
      </c>
      <c r="C796" s="261" t="s">
        <v>2036</v>
      </c>
      <c r="D796" s="231" t="s">
        <v>2359</v>
      </c>
      <c r="E796" s="3" t="s">
        <v>1974</v>
      </c>
      <c r="F796" s="26" t="s">
        <v>103</v>
      </c>
      <c r="G796" s="26" t="s">
        <v>76</v>
      </c>
      <c r="H796" s="26" t="s">
        <v>2349</v>
      </c>
      <c r="J796" s="22">
        <v>0.25</v>
      </c>
      <c r="L796" s="28" t="s">
        <v>58</v>
      </c>
      <c r="M796" s="22" t="s">
        <v>59</v>
      </c>
      <c r="N796" s="22">
        <v>73</v>
      </c>
      <c r="O796" s="22" t="s">
        <v>60</v>
      </c>
      <c r="P796" s="22" t="s">
        <v>79</v>
      </c>
      <c r="Q796" s="23" t="s">
        <v>2318</v>
      </c>
      <c r="R796" s="23" t="s">
        <v>2319</v>
      </c>
      <c r="T796" s="23">
        <v>150</v>
      </c>
      <c r="V796" s="25" t="s">
        <v>62</v>
      </c>
      <c r="W796" s="65">
        <v>3</v>
      </c>
      <c r="X796" s="106" t="s">
        <v>203</v>
      </c>
      <c r="Y796" s="25" t="s">
        <v>2320</v>
      </c>
      <c r="Z796" s="83" t="s">
        <v>63</v>
      </c>
      <c r="AA796" s="6">
        <v>1</v>
      </c>
      <c r="AC796" s="5">
        <v>24</v>
      </c>
      <c r="AD796" s="5" t="s">
        <v>80</v>
      </c>
      <c r="AK796" s="6">
        <v>74</v>
      </c>
      <c r="AL796" s="6" t="s">
        <v>81</v>
      </c>
      <c r="BQ796" s="6" t="s">
        <v>354</v>
      </c>
      <c r="BR796" s="5" t="s">
        <v>2321</v>
      </c>
    </row>
    <row r="797" spans="1:70" hidden="1" x14ac:dyDescent="0.2">
      <c r="A797" s="255">
        <v>1061</v>
      </c>
      <c r="B797" s="231" t="s">
        <v>2035</v>
      </c>
      <c r="C797" s="261" t="s">
        <v>2036</v>
      </c>
      <c r="D797" s="231" t="s">
        <v>2360</v>
      </c>
      <c r="E797" s="3" t="s">
        <v>1974</v>
      </c>
      <c r="F797" s="26" t="s">
        <v>103</v>
      </c>
      <c r="G797" s="26" t="s">
        <v>76</v>
      </c>
      <c r="H797" s="26" t="s">
        <v>2349</v>
      </c>
      <c r="J797" s="22">
        <v>0.25</v>
      </c>
      <c r="L797" s="28" t="s">
        <v>58</v>
      </c>
      <c r="M797" s="22" t="s">
        <v>59</v>
      </c>
      <c r="N797" s="22">
        <v>73</v>
      </c>
      <c r="O797" s="22" t="s">
        <v>60</v>
      </c>
      <c r="P797" s="22" t="s">
        <v>79</v>
      </c>
      <c r="Q797" s="23" t="s">
        <v>2318</v>
      </c>
      <c r="R797" s="23" t="s">
        <v>2319</v>
      </c>
      <c r="T797" s="23">
        <v>150</v>
      </c>
      <c r="V797" s="25" t="s">
        <v>62</v>
      </c>
      <c r="W797" s="65">
        <v>3</v>
      </c>
      <c r="X797" s="106" t="s">
        <v>203</v>
      </c>
      <c r="Y797" s="25" t="s">
        <v>2320</v>
      </c>
      <c r="Z797" s="83" t="s">
        <v>63</v>
      </c>
      <c r="AA797" s="6">
        <v>1</v>
      </c>
      <c r="AC797" s="5">
        <v>26</v>
      </c>
      <c r="AD797" s="5" t="s">
        <v>80</v>
      </c>
      <c r="AK797" s="6">
        <v>86</v>
      </c>
      <c r="AL797" s="6" t="s">
        <v>81</v>
      </c>
      <c r="BQ797" s="6" t="s">
        <v>354</v>
      </c>
      <c r="BR797" s="5" t="s">
        <v>2321</v>
      </c>
    </row>
    <row r="798" spans="1:70" hidden="1" x14ac:dyDescent="0.2">
      <c r="A798" s="255">
        <v>1062</v>
      </c>
      <c r="B798" s="231" t="s">
        <v>2035</v>
      </c>
      <c r="C798" s="261" t="s">
        <v>2036</v>
      </c>
      <c r="D798" s="231" t="s">
        <v>2361</v>
      </c>
      <c r="E798" s="3" t="s">
        <v>1974</v>
      </c>
      <c r="F798" s="26" t="s">
        <v>103</v>
      </c>
      <c r="G798" s="26" t="s">
        <v>76</v>
      </c>
      <c r="H798" s="26" t="s">
        <v>2349</v>
      </c>
      <c r="J798" s="22">
        <v>0.25</v>
      </c>
      <c r="L798" s="28" t="s">
        <v>58</v>
      </c>
      <c r="M798" s="22" t="s">
        <v>59</v>
      </c>
      <c r="N798" s="22">
        <v>73</v>
      </c>
      <c r="O798" s="22" t="s">
        <v>60</v>
      </c>
      <c r="P798" s="22" t="s">
        <v>79</v>
      </c>
      <c r="Q798" s="23" t="s">
        <v>2318</v>
      </c>
      <c r="R798" s="23" t="s">
        <v>2319</v>
      </c>
      <c r="T798" s="23">
        <v>150</v>
      </c>
      <c r="V798" s="25" t="s">
        <v>62</v>
      </c>
      <c r="W798" s="65">
        <v>3</v>
      </c>
      <c r="X798" s="106" t="s">
        <v>203</v>
      </c>
      <c r="Y798" s="25" t="s">
        <v>2320</v>
      </c>
      <c r="Z798" s="83" t="s">
        <v>63</v>
      </c>
      <c r="AB798" s="6">
        <v>1</v>
      </c>
      <c r="AC798" s="5">
        <v>23</v>
      </c>
      <c r="AD798" s="5" t="s">
        <v>80</v>
      </c>
      <c r="AK798" s="6">
        <v>59</v>
      </c>
      <c r="AL798" s="6" t="s">
        <v>81</v>
      </c>
      <c r="BQ798" s="6" t="s">
        <v>354</v>
      </c>
      <c r="BR798" s="5" t="s">
        <v>2321</v>
      </c>
    </row>
    <row r="799" spans="1:70" hidden="1" x14ac:dyDescent="0.2">
      <c r="A799" s="255">
        <v>1063</v>
      </c>
      <c r="B799" s="231" t="s">
        <v>2035</v>
      </c>
      <c r="C799" s="261" t="s">
        <v>2036</v>
      </c>
      <c r="D799" s="231" t="s">
        <v>2362</v>
      </c>
      <c r="E799" s="3" t="s">
        <v>1974</v>
      </c>
      <c r="F799" s="26" t="s">
        <v>103</v>
      </c>
      <c r="G799" s="26" t="s">
        <v>76</v>
      </c>
      <c r="H799" s="26" t="s">
        <v>2349</v>
      </c>
      <c r="J799" s="22">
        <v>0.25</v>
      </c>
      <c r="L799" s="28" t="s">
        <v>58</v>
      </c>
      <c r="M799" s="22" t="s">
        <v>59</v>
      </c>
      <c r="N799" s="22">
        <v>73</v>
      </c>
      <c r="O799" s="22" t="s">
        <v>60</v>
      </c>
      <c r="P799" s="22" t="s">
        <v>79</v>
      </c>
      <c r="Q799" s="23" t="s">
        <v>2318</v>
      </c>
      <c r="R799" s="23" t="s">
        <v>2319</v>
      </c>
      <c r="T799" s="23">
        <v>150</v>
      </c>
      <c r="V799" s="25" t="s">
        <v>62</v>
      </c>
      <c r="W799" s="65">
        <v>3</v>
      </c>
      <c r="X799" s="106" t="s">
        <v>203</v>
      </c>
      <c r="Y799" s="25" t="s">
        <v>2320</v>
      </c>
      <c r="Z799" s="83" t="s">
        <v>63</v>
      </c>
      <c r="AB799" s="6">
        <v>1</v>
      </c>
      <c r="AC799" s="5">
        <v>25</v>
      </c>
      <c r="AD799" s="5" t="s">
        <v>80</v>
      </c>
      <c r="AK799" s="6">
        <v>59</v>
      </c>
      <c r="AL799" s="6" t="s">
        <v>81</v>
      </c>
      <c r="BQ799" s="6" t="s">
        <v>354</v>
      </c>
      <c r="BR799" s="5" t="s">
        <v>2321</v>
      </c>
    </row>
    <row r="800" spans="1:70" hidden="1" x14ac:dyDescent="0.2">
      <c r="A800" s="255">
        <v>1064</v>
      </c>
      <c r="B800" s="231" t="s">
        <v>2035</v>
      </c>
      <c r="C800" s="261" t="s">
        <v>2036</v>
      </c>
      <c r="D800" s="231" t="s">
        <v>2363</v>
      </c>
      <c r="E800" s="3" t="s">
        <v>1974</v>
      </c>
      <c r="F800" s="26" t="s">
        <v>103</v>
      </c>
      <c r="G800" s="26" t="s">
        <v>76</v>
      </c>
      <c r="H800" s="26" t="s">
        <v>2349</v>
      </c>
      <c r="J800" s="22">
        <v>0.25</v>
      </c>
      <c r="L800" s="28" t="s">
        <v>58</v>
      </c>
      <c r="M800" s="22" t="s">
        <v>59</v>
      </c>
      <c r="N800" s="22">
        <v>73</v>
      </c>
      <c r="O800" s="22" t="s">
        <v>60</v>
      </c>
      <c r="P800" s="22" t="s">
        <v>79</v>
      </c>
      <c r="Q800" s="23" t="s">
        <v>2318</v>
      </c>
      <c r="R800" s="23" t="s">
        <v>2319</v>
      </c>
      <c r="T800" s="23">
        <v>150</v>
      </c>
      <c r="V800" s="25" t="s">
        <v>62</v>
      </c>
      <c r="W800" s="65">
        <v>3</v>
      </c>
      <c r="X800" s="106" t="s">
        <v>203</v>
      </c>
      <c r="Y800" s="25" t="s">
        <v>2320</v>
      </c>
      <c r="Z800" s="83" t="s">
        <v>63</v>
      </c>
      <c r="AB800" s="6">
        <v>1</v>
      </c>
      <c r="AC800" s="5">
        <v>20</v>
      </c>
      <c r="AD800" s="5" t="s">
        <v>80</v>
      </c>
      <c r="AK800" s="6">
        <v>66</v>
      </c>
      <c r="AL800" s="6" t="s">
        <v>81</v>
      </c>
      <c r="BQ800" s="6" t="s">
        <v>354</v>
      </c>
      <c r="BR800" s="5" t="s">
        <v>2321</v>
      </c>
    </row>
    <row r="801" spans="1:70" hidden="1" x14ac:dyDescent="0.2">
      <c r="A801" s="255">
        <v>1065</v>
      </c>
      <c r="B801" s="231" t="s">
        <v>2035</v>
      </c>
      <c r="C801" s="261" t="s">
        <v>2036</v>
      </c>
      <c r="D801" s="231" t="s">
        <v>2364</v>
      </c>
      <c r="E801" s="3" t="s">
        <v>1974</v>
      </c>
      <c r="F801" s="26" t="s">
        <v>103</v>
      </c>
      <c r="G801" s="26" t="s">
        <v>76</v>
      </c>
      <c r="H801" s="26" t="s">
        <v>2349</v>
      </c>
      <c r="J801" s="22">
        <v>0.25</v>
      </c>
      <c r="L801" s="28" t="s">
        <v>58</v>
      </c>
      <c r="M801" s="22" t="s">
        <v>59</v>
      </c>
      <c r="N801" s="22">
        <v>73</v>
      </c>
      <c r="O801" s="22" t="s">
        <v>60</v>
      </c>
      <c r="P801" s="22" t="s">
        <v>79</v>
      </c>
      <c r="Q801" s="23" t="s">
        <v>2318</v>
      </c>
      <c r="R801" s="23" t="s">
        <v>2319</v>
      </c>
      <c r="T801" s="23">
        <v>150</v>
      </c>
      <c r="V801" s="25" t="s">
        <v>62</v>
      </c>
      <c r="W801" s="65">
        <v>3</v>
      </c>
      <c r="X801" s="106" t="s">
        <v>203</v>
      </c>
      <c r="Y801" s="25" t="s">
        <v>2320</v>
      </c>
      <c r="Z801" s="83" t="s">
        <v>63</v>
      </c>
      <c r="AA801" s="6">
        <v>1</v>
      </c>
      <c r="AC801" s="5">
        <v>25</v>
      </c>
      <c r="AD801" s="5" t="s">
        <v>80</v>
      </c>
      <c r="AK801" s="6">
        <v>77</v>
      </c>
      <c r="AL801" s="6" t="s">
        <v>81</v>
      </c>
      <c r="BQ801" s="6" t="s">
        <v>354</v>
      </c>
      <c r="BR801" s="5" t="s">
        <v>2321</v>
      </c>
    </row>
    <row r="802" spans="1:70" hidden="1" x14ac:dyDescent="0.2">
      <c r="A802" s="255">
        <v>1066</v>
      </c>
      <c r="B802" s="231" t="s">
        <v>2035</v>
      </c>
      <c r="C802" s="261" t="s">
        <v>2036</v>
      </c>
      <c r="D802" s="231" t="s">
        <v>2365</v>
      </c>
      <c r="E802" s="3" t="s">
        <v>1974</v>
      </c>
      <c r="F802" s="26" t="s">
        <v>103</v>
      </c>
      <c r="G802" s="26" t="s">
        <v>76</v>
      </c>
      <c r="H802" s="26" t="s">
        <v>2349</v>
      </c>
      <c r="J802" s="22">
        <v>0.25</v>
      </c>
      <c r="L802" s="28" t="s">
        <v>58</v>
      </c>
      <c r="M802" s="22" t="s">
        <v>59</v>
      </c>
      <c r="N802" s="22">
        <v>73</v>
      </c>
      <c r="O802" s="22" t="s">
        <v>60</v>
      </c>
      <c r="P802" s="22" t="s">
        <v>79</v>
      </c>
      <c r="Q802" s="23" t="s">
        <v>2318</v>
      </c>
      <c r="R802" s="23" t="s">
        <v>2319</v>
      </c>
      <c r="T802" s="23">
        <v>150</v>
      </c>
      <c r="V802" s="25" t="s">
        <v>62</v>
      </c>
      <c r="W802" s="65">
        <v>3</v>
      </c>
      <c r="X802" s="106" t="s">
        <v>203</v>
      </c>
      <c r="Y802" s="25" t="s">
        <v>2320</v>
      </c>
      <c r="Z802" s="83" t="s">
        <v>63</v>
      </c>
      <c r="AB802" s="6">
        <v>1</v>
      </c>
      <c r="AC802" s="5">
        <v>23</v>
      </c>
      <c r="AD802" s="5" t="s">
        <v>80</v>
      </c>
      <c r="AK802" s="6">
        <v>55</v>
      </c>
      <c r="AL802" s="6" t="s">
        <v>81</v>
      </c>
      <c r="BQ802" s="6" t="s">
        <v>354</v>
      </c>
      <c r="BR802" s="5" t="s">
        <v>2321</v>
      </c>
    </row>
    <row r="803" spans="1:70" hidden="1" x14ac:dyDescent="0.2">
      <c r="A803" s="255">
        <v>1067</v>
      </c>
      <c r="B803" s="231" t="s">
        <v>2035</v>
      </c>
      <c r="C803" s="261" t="s">
        <v>2036</v>
      </c>
      <c r="D803" s="231" t="s">
        <v>2366</v>
      </c>
      <c r="E803" s="3" t="s">
        <v>1974</v>
      </c>
      <c r="F803" s="26" t="s">
        <v>103</v>
      </c>
      <c r="G803" s="26" t="s">
        <v>76</v>
      </c>
      <c r="H803" s="26" t="s">
        <v>2349</v>
      </c>
      <c r="J803" s="22">
        <v>0.25</v>
      </c>
      <c r="L803" s="28" t="s">
        <v>58</v>
      </c>
      <c r="M803" s="22" t="s">
        <v>59</v>
      </c>
      <c r="N803" s="22">
        <v>73</v>
      </c>
      <c r="O803" s="22" t="s">
        <v>60</v>
      </c>
      <c r="P803" s="22" t="s">
        <v>79</v>
      </c>
      <c r="Q803" s="23" t="s">
        <v>2318</v>
      </c>
      <c r="R803" s="23" t="s">
        <v>2319</v>
      </c>
      <c r="T803" s="23">
        <v>150</v>
      </c>
      <c r="V803" s="25" t="s">
        <v>62</v>
      </c>
      <c r="W803" s="65">
        <v>3</v>
      </c>
      <c r="X803" s="106" t="s">
        <v>203</v>
      </c>
      <c r="Y803" s="25" t="s">
        <v>2320</v>
      </c>
      <c r="Z803" s="83" t="s">
        <v>63</v>
      </c>
      <c r="AB803" s="6">
        <v>1</v>
      </c>
      <c r="AC803" s="5">
        <v>26</v>
      </c>
      <c r="AD803" s="5" t="s">
        <v>80</v>
      </c>
      <c r="AK803" s="6">
        <v>62</v>
      </c>
      <c r="AL803" s="6" t="s">
        <v>81</v>
      </c>
      <c r="BQ803" s="6" t="s">
        <v>354</v>
      </c>
      <c r="BR803" s="5" t="s">
        <v>2321</v>
      </c>
    </row>
    <row r="804" spans="1:70" hidden="1" x14ac:dyDescent="0.2">
      <c r="A804" s="255">
        <v>1068</v>
      </c>
      <c r="B804" s="231" t="s">
        <v>2035</v>
      </c>
      <c r="C804" s="261" t="s">
        <v>2036</v>
      </c>
      <c r="D804" s="231" t="s">
        <v>2367</v>
      </c>
      <c r="E804" s="3" t="s">
        <v>1974</v>
      </c>
      <c r="F804" s="26" t="s">
        <v>103</v>
      </c>
      <c r="G804" s="26" t="s">
        <v>76</v>
      </c>
      <c r="H804" s="26" t="s">
        <v>2349</v>
      </c>
      <c r="J804" s="22">
        <v>0.25</v>
      </c>
      <c r="L804" s="28" t="s">
        <v>58</v>
      </c>
      <c r="M804" s="22" t="s">
        <v>59</v>
      </c>
      <c r="N804" s="22">
        <v>73</v>
      </c>
      <c r="O804" s="22" t="s">
        <v>60</v>
      </c>
      <c r="P804" s="22" t="s">
        <v>79</v>
      </c>
      <c r="Q804" s="23" t="s">
        <v>2318</v>
      </c>
      <c r="R804" s="23" t="s">
        <v>2319</v>
      </c>
      <c r="T804" s="23">
        <v>150</v>
      </c>
      <c r="V804" s="25" t="s">
        <v>62</v>
      </c>
      <c r="W804" s="65">
        <v>3</v>
      </c>
      <c r="X804" s="106" t="s">
        <v>203</v>
      </c>
      <c r="Y804" s="25" t="s">
        <v>2320</v>
      </c>
      <c r="Z804" s="83" t="s">
        <v>63</v>
      </c>
      <c r="AB804" s="6">
        <v>1</v>
      </c>
      <c r="AC804" s="5">
        <v>23</v>
      </c>
      <c r="AD804" s="5" t="s">
        <v>80</v>
      </c>
      <c r="AK804" s="6">
        <v>50</v>
      </c>
      <c r="AL804" s="6" t="s">
        <v>81</v>
      </c>
      <c r="BQ804" s="6" t="s">
        <v>354</v>
      </c>
      <c r="BR804" s="5" t="s">
        <v>2321</v>
      </c>
    </row>
    <row r="805" spans="1:70" hidden="1" x14ac:dyDescent="0.2">
      <c r="A805" s="255">
        <v>1069</v>
      </c>
      <c r="B805" s="231" t="s">
        <v>2035</v>
      </c>
      <c r="C805" s="261" t="s">
        <v>2036</v>
      </c>
      <c r="D805" s="231" t="s">
        <v>2368</v>
      </c>
      <c r="E805" s="3" t="s">
        <v>1974</v>
      </c>
      <c r="F805" s="26" t="s">
        <v>103</v>
      </c>
      <c r="G805" s="26" t="s">
        <v>76</v>
      </c>
      <c r="H805" s="26" t="s">
        <v>2349</v>
      </c>
      <c r="J805" s="22">
        <v>0.25</v>
      </c>
      <c r="L805" s="28" t="s">
        <v>58</v>
      </c>
      <c r="M805" s="22" t="s">
        <v>59</v>
      </c>
      <c r="N805" s="22">
        <v>73</v>
      </c>
      <c r="O805" s="22" t="s">
        <v>60</v>
      </c>
      <c r="P805" s="22" t="s">
        <v>79</v>
      </c>
      <c r="Q805" s="23" t="s">
        <v>2318</v>
      </c>
      <c r="R805" s="23" t="s">
        <v>2319</v>
      </c>
      <c r="T805" s="23">
        <v>150</v>
      </c>
      <c r="V805" s="25" t="s">
        <v>62</v>
      </c>
      <c r="W805" s="65">
        <v>3</v>
      </c>
      <c r="X805" s="106" t="s">
        <v>203</v>
      </c>
      <c r="Y805" s="25" t="s">
        <v>2320</v>
      </c>
      <c r="Z805" s="83" t="s">
        <v>63</v>
      </c>
      <c r="AA805" s="6">
        <v>1</v>
      </c>
      <c r="AC805" s="5">
        <v>24</v>
      </c>
      <c r="AD805" s="5" t="s">
        <v>80</v>
      </c>
      <c r="AK805" s="6">
        <v>74</v>
      </c>
      <c r="AL805" s="6" t="s">
        <v>81</v>
      </c>
      <c r="BQ805" s="6" t="s">
        <v>354</v>
      </c>
      <c r="BR805" s="5" t="s">
        <v>2321</v>
      </c>
    </row>
    <row r="806" spans="1:70" hidden="1" x14ac:dyDescent="0.2">
      <c r="A806" s="255">
        <v>1070</v>
      </c>
      <c r="B806" s="231" t="s">
        <v>2035</v>
      </c>
      <c r="C806" s="261" t="s">
        <v>2036</v>
      </c>
      <c r="D806" s="231" t="s">
        <v>2369</v>
      </c>
      <c r="E806" s="3" t="s">
        <v>1974</v>
      </c>
      <c r="F806" s="26" t="s">
        <v>103</v>
      </c>
      <c r="G806" s="26" t="s">
        <v>76</v>
      </c>
      <c r="H806" s="26" t="s">
        <v>2349</v>
      </c>
      <c r="J806" s="22">
        <v>0.25</v>
      </c>
      <c r="L806" s="28" t="s">
        <v>58</v>
      </c>
      <c r="M806" s="22" t="s">
        <v>59</v>
      </c>
      <c r="N806" s="22">
        <v>73</v>
      </c>
      <c r="O806" s="22" t="s">
        <v>60</v>
      </c>
      <c r="P806" s="22" t="s">
        <v>79</v>
      </c>
      <c r="Q806" s="23" t="s">
        <v>2318</v>
      </c>
      <c r="R806" s="23" t="s">
        <v>2319</v>
      </c>
      <c r="T806" s="23">
        <v>150</v>
      </c>
      <c r="V806" s="25" t="s">
        <v>62</v>
      </c>
      <c r="W806" s="65">
        <v>3</v>
      </c>
      <c r="X806" s="106" t="s">
        <v>203</v>
      </c>
      <c r="Y806" s="25" t="s">
        <v>2320</v>
      </c>
      <c r="Z806" s="83" t="s">
        <v>63</v>
      </c>
      <c r="AA806" s="6">
        <v>1</v>
      </c>
      <c r="AC806" s="5">
        <v>26</v>
      </c>
      <c r="AD806" s="5" t="s">
        <v>80</v>
      </c>
      <c r="AK806" s="6">
        <v>86</v>
      </c>
      <c r="AL806" s="6" t="s">
        <v>81</v>
      </c>
      <c r="BQ806" s="6" t="s">
        <v>354</v>
      </c>
      <c r="BR806" s="5" t="s">
        <v>2321</v>
      </c>
    </row>
    <row r="807" spans="1:70" hidden="1" x14ac:dyDescent="0.2">
      <c r="A807" s="255">
        <v>1071</v>
      </c>
      <c r="B807" s="231" t="s">
        <v>2035</v>
      </c>
      <c r="C807" s="261" t="s">
        <v>2036</v>
      </c>
      <c r="D807" s="231" t="s">
        <v>2370</v>
      </c>
      <c r="E807" s="3" t="s">
        <v>1974</v>
      </c>
      <c r="F807" s="26" t="s">
        <v>103</v>
      </c>
      <c r="G807" s="26" t="s">
        <v>76</v>
      </c>
      <c r="H807" s="26" t="s">
        <v>2349</v>
      </c>
      <c r="J807" s="22">
        <v>0.25</v>
      </c>
      <c r="L807" s="28" t="s">
        <v>58</v>
      </c>
      <c r="M807" s="22" t="s">
        <v>59</v>
      </c>
      <c r="N807" s="22">
        <v>73</v>
      </c>
      <c r="O807" s="22" t="s">
        <v>60</v>
      </c>
      <c r="P807" s="22" t="s">
        <v>79</v>
      </c>
      <c r="Q807" s="23" t="s">
        <v>2318</v>
      </c>
      <c r="R807" s="23" t="s">
        <v>2319</v>
      </c>
      <c r="T807" s="23">
        <v>150</v>
      </c>
      <c r="V807" s="25" t="s">
        <v>62</v>
      </c>
      <c r="W807" s="65">
        <v>3</v>
      </c>
      <c r="X807" s="106" t="s">
        <v>203</v>
      </c>
      <c r="Y807" s="25" t="s">
        <v>2320</v>
      </c>
      <c r="Z807" s="83" t="s">
        <v>63</v>
      </c>
      <c r="AB807" s="6">
        <v>1</v>
      </c>
      <c r="AC807" s="5">
        <v>23</v>
      </c>
      <c r="AD807" s="5" t="s">
        <v>80</v>
      </c>
      <c r="AK807" s="6">
        <v>59</v>
      </c>
      <c r="AL807" s="6" t="s">
        <v>81</v>
      </c>
      <c r="BQ807" s="6" t="s">
        <v>354</v>
      </c>
      <c r="BR807" s="5" t="s">
        <v>2321</v>
      </c>
    </row>
    <row r="808" spans="1:70" hidden="1" x14ac:dyDescent="0.2">
      <c r="A808" s="255">
        <v>1072</v>
      </c>
      <c r="B808" s="231" t="s">
        <v>2035</v>
      </c>
      <c r="C808" s="261" t="s">
        <v>2036</v>
      </c>
      <c r="D808" s="231" t="s">
        <v>2371</v>
      </c>
      <c r="E808" s="3" t="s">
        <v>1974</v>
      </c>
      <c r="F808" s="26" t="s">
        <v>103</v>
      </c>
      <c r="G808" s="26" t="s">
        <v>76</v>
      </c>
      <c r="H808" s="26" t="s">
        <v>2349</v>
      </c>
      <c r="J808" s="22">
        <v>0.25</v>
      </c>
      <c r="L808" s="28" t="s">
        <v>58</v>
      </c>
      <c r="M808" s="22" t="s">
        <v>59</v>
      </c>
      <c r="N808" s="22">
        <v>73</v>
      </c>
      <c r="O808" s="22" t="s">
        <v>60</v>
      </c>
      <c r="P808" s="22" t="s">
        <v>79</v>
      </c>
      <c r="Q808" s="23" t="s">
        <v>2318</v>
      </c>
      <c r="R808" s="179" t="s">
        <v>2319</v>
      </c>
      <c r="T808" s="23">
        <v>150</v>
      </c>
      <c r="V808" s="25" t="s">
        <v>62</v>
      </c>
      <c r="W808" s="65">
        <v>3</v>
      </c>
      <c r="X808" s="106" t="s">
        <v>203</v>
      </c>
      <c r="Y808" s="25" t="s">
        <v>2320</v>
      </c>
      <c r="Z808" s="83" t="s">
        <v>63</v>
      </c>
      <c r="AB808" s="6">
        <v>1</v>
      </c>
      <c r="AC808" s="5">
        <v>25</v>
      </c>
      <c r="AD808" s="165" t="s">
        <v>80</v>
      </c>
      <c r="AE808" s="165"/>
      <c r="AG808" s="165"/>
      <c r="AH808" s="165"/>
      <c r="AK808" s="6">
        <v>59</v>
      </c>
      <c r="AL808" s="6" t="s">
        <v>81</v>
      </c>
      <c r="BQ808" s="6" t="s">
        <v>354</v>
      </c>
      <c r="BR808" s="165" t="s">
        <v>2321</v>
      </c>
    </row>
    <row r="809" spans="1:70" hidden="1" x14ac:dyDescent="0.2">
      <c r="A809" s="255">
        <v>1073</v>
      </c>
      <c r="B809" s="231" t="s">
        <v>2035</v>
      </c>
      <c r="C809" s="261" t="s">
        <v>2036</v>
      </c>
      <c r="D809" s="231" t="s">
        <v>2372</v>
      </c>
      <c r="E809" s="3" t="s">
        <v>1974</v>
      </c>
      <c r="F809" s="26" t="s">
        <v>103</v>
      </c>
      <c r="G809" s="26" t="s">
        <v>76</v>
      </c>
      <c r="H809" s="26" t="s">
        <v>2349</v>
      </c>
      <c r="J809" s="22">
        <v>0.25</v>
      </c>
      <c r="L809" s="28" t="s">
        <v>58</v>
      </c>
      <c r="M809" s="22" t="s">
        <v>59</v>
      </c>
      <c r="N809" s="22">
        <v>73</v>
      </c>
      <c r="O809" s="22" t="s">
        <v>60</v>
      </c>
      <c r="P809" s="22" t="s">
        <v>79</v>
      </c>
      <c r="Q809" s="23" t="s">
        <v>2318</v>
      </c>
      <c r="R809" s="179" t="s">
        <v>2319</v>
      </c>
      <c r="T809" s="23">
        <v>150</v>
      </c>
      <c r="V809" s="25" t="s">
        <v>62</v>
      </c>
      <c r="W809" s="65">
        <v>3</v>
      </c>
      <c r="X809" s="106" t="s">
        <v>203</v>
      </c>
      <c r="Y809" s="25" t="s">
        <v>2320</v>
      </c>
      <c r="Z809" s="83" t="s">
        <v>63</v>
      </c>
      <c r="AB809" s="6">
        <v>1</v>
      </c>
      <c r="AC809" s="5">
        <v>20</v>
      </c>
      <c r="AD809" s="165" t="s">
        <v>80</v>
      </c>
      <c r="AE809" s="165"/>
      <c r="AG809" s="165"/>
      <c r="AH809" s="165"/>
      <c r="AK809" s="6">
        <v>66</v>
      </c>
      <c r="AL809" s="6" t="s">
        <v>81</v>
      </c>
      <c r="BQ809" s="6" t="s">
        <v>354</v>
      </c>
      <c r="BR809" s="165" t="s">
        <v>2321</v>
      </c>
    </row>
    <row r="810" spans="1:70" hidden="1" x14ac:dyDescent="0.2">
      <c r="A810" s="255">
        <v>1074</v>
      </c>
      <c r="B810" s="231" t="s">
        <v>2035</v>
      </c>
      <c r="C810" s="261" t="s">
        <v>2036</v>
      </c>
      <c r="D810" s="231" t="s">
        <v>2373</v>
      </c>
      <c r="E810" s="3" t="s">
        <v>1974</v>
      </c>
      <c r="F810" s="26" t="s">
        <v>103</v>
      </c>
      <c r="G810" s="26" t="s">
        <v>76</v>
      </c>
      <c r="H810" s="26" t="s">
        <v>2349</v>
      </c>
      <c r="J810" s="22">
        <v>0.25</v>
      </c>
      <c r="L810" s="28" t="s">
        <v>58</v>
      </c>
      <c r="M810" s="22" t="s">
        <v>59</v>
      </c>
      <c r="N810" s="22">
        <v>73</v>
      </c>
      <c r="O810" s="22" t="s">
        <v>60</v>
      </c>
      <c r="P810" s="22" t="s">
        <v>79</v>
      </c>
      <c r="Q810" s="23" t="s">
        <v>2318</v>
      </c>
      <c r="R810" s="23" t="s">
        <v>2319</v>
      </c>
      <c r="T810" s="23">
        <v>150</v>
      </c>
      <c r="V810" s="25" t="s">
        <v>62</v>
      </c>
      <c r="W810" s="65">
        <v>3</v>
      </c>
      <c r="X810" s="106" t="s">
        <v>203</v>
      </c>
      <c r="Y810" s="25" t="s">
        <v>2320</v>
      </c>
      <c r="Z810" s="83" t="s">
        <v>63</v>
      </c>
      <c r="AA810" s="6">
        <v>1</v>
      </c>
      <c r="AC810" s="5">
        <v>25</v>
      </c>
      <c r="AD810" s="5" t="s">
        <v>80</v>
      </c>
      <c r="AK810" s="6">
        <v>77</v>
      </c>
      <c r="AL810" s="6" t="s">
        <v>81</v>
      </c>
      <c r="BQ810" s="6" t="s">
        <v>354</v>
      </c>
      <c r="BR810" s="5" t="s">
        <v>2321</v>
      </c>
    </row>
    <row r="811" spans="1:70" hidden="1" x14ac:dyDescent="0.2">
      <c r="A811" s="255">
        <v>1075</v>
      </c>
      <c r="B811" s="231" t="s">
        <v>2035</v>
      </c>
      <c r="C811" s="261" t="s">
        <v>2036</v>
      </c>
      <c r="D811" s="231" t="s">
        <v>2374</v>
      </c>
      <c r="E811" s="3" t="s">
        <v>1974</v>
      </c>
      <c r="F811" s="26" t="s">
        <v>103</v>
      </c>
      <c r="G811" s="26" t="s">
        <v>76</v>
      </c>
      <c r="H811" s="26" t="s">
        <v>2349</v>
      </c>
      <c r="J811" s="22">
        <v>0.25</v>
      </c>
      <c r="L811" s="28" t="s">
        <v>58</v>
      </c>
      <c r="M811" s="22" t="s">
        <v>59</v>
      </c>
      <c r="N811" s="22">
        <v>73</v>
      </c>
      <c r="O811" s="22" t="s">
        <v>60</v>
      </c>
      <c r="P811" s="22" t="s">
        <v>79</v>
      </c>
      <c r="Q811" s="23" t="s">
        <v>2318</v>
      </c>
      <c r="R811" s="23" t="s">
        <v>2319</v>
      </c>
      <c r="T811" s="23">
        <v>150</v>
      </c>
      <c r="V811" s="25" t="s">
        <v>62</v>
      </c>
      <c r="W811" s="65">
        <v>3</v>
      </c>
      <c r="X811" s="106" t="s">
        <v>203</v>
      </c>
      <c r="Y811" s="25" t="s">
        <v>2320</v>
      </c>
      <c r="Z811" s="83" t="s">
        <v>63</v>
      </c>
      <c r="AB811" s="6">
        <v>1</v>
      </c>
      <c r="AC811" s="5">
        <v>23</v>
      </c>
      <c r="AD811" s="5" t="s">
        <v>80</v>
      </c>
      <c r="AK811" s="6">
        <v>55</v>
      </c>
      <c r="AL811" s="6" t="s">
        <v>81</v>
      </c>
      <c r="BQ811" s="6" t="s">
        <v>354</v>
      </c>
      <c r="BR811" s="5" t="s">
        <v>2321</v>
      </c>
    </row>
    <row r="812" spans="1:70" hidden="1" x14ac:dyDescent="0.2">
      <c r="A812" s="255">
        <v>1076</v>
      </c>
      <c r="B812" s="231" t="s">
        <v>2035</v>
      </c>
      <c r="C812" s="261" t="s">
        <v>2036</v>
      </c>
      <c r="D812" s="231" t="s">
        <v>2375</v>
      </c>
      <c r="E812" s="3" t="s">
        <v>1974</v>
      </c>
      <c r="F812" s="26" t="s">
        <v>103</v>
      </c>
      <c r="G812" s="26" t="s">
        <v>76</v>
      </c>
      <c r="H812" s="26" t="s">
        <v>2349</v>
      </c>
      <c r="J812" s="22">
        <v>0.25</v>
      </c>
      <c r="L812" s="28" t="s">
        <v>58</v>
      </c>
      <c r="M812" s="22" t="s">
        <v>59</v>
      </c>
      <c r="N812" s="22">
        <v>73</v>
      </c>
      <c r="O812" s="22" t="s">
        <v>60</v>
      </c>
      <c r="P812" s="22" t="s">
        <v>79</v>
      </c>
      <c r="Q812" s="23" t="s">
        <v>2318</v>
      </c>
      <c r="R812" s="23" t="s">
        <v>2319</v>
      </c>
      <c r="T812" s="23">
        <v>150</v>
      </c>
      <c r="V812" s="25" t="s">
        <v>62</v>
      </c>
      <c r="W812" s="65">
        <v>3</v>
      </c>
      <c r="X812" s="106" t="s">
        <v>203</v>
      </c>
      <c r="Y812" s="25" t="s">
        <v>2320</v>
      </c>
      <c r="Z812" s="83" t="s">
        <v>63</v>
      </c>
      <c r="AB812" s="6">
        <v>1</v>
      </c>
      <c r="AC812" s="5">
        <v>26</v>
      </c>
      <c r="AD812" s="5" t="s">
        <v>80</v>
      </c>
      <c r="AK812" s="6">
        <v>62</v>
      </c>
      <c r="AL812" s="6" t="s">
        <v>81</v>
      </c>
      <c r="BQ812" s="6" t="s">
        <v>354</v>
      </c>
      <c r="BR812" s="5" t="s">
        <v>2321</v>
      </c>
    </row>
    <row r="813" spans="1:70" hidden="1" x14ac:dyDescent="0.2">
      <c r="A813" s="255">
        <v>1077</v>
      </c>
      <c r="B813" s="231" t="s">
        <v>2376</v>
      </c>
      <c r="C813" s="261" t="s">
        <v>2377</v>
      </c>
      <c r="D813" s="231" t="s">
        <v>2378</v>
      </c>
      <c r="E813" s="3" t="s">
        <v>1974</v>
      </c>
      <c r="F813" s="26" t="s">
        <v>103</v>
      </c>
      <c r="G813" s="26" t="s">
        <v>56</v>
      </c>
      <c r="H813" s="26" t="s">
        <v>57</v>
      </c>
      <c r="J813" s="22">
        <v>0.25</v>
      </c>
      <c r="L813" s="28" t="s">
        <v>58</v>
      </c>
      <c r="M813" s="22" t="s">
        <v>59</v>
      </c>
      <c r="N813" s="22">
        <v>0</v>
      </c>
      <c r="O813" s="22" t="s">
        <v>60</v>
      </c>
      <c r="P813" s="22" t="s">
        <v>79</v>
      </c>
      <c r="R813" s="23" t="s">
        <v>2319</v>
      </c>
      <c r="T813" s="23">
        <v>150</v>
      </c>
      <c r="V813" s="25" t="s">
        <v>615</v>
      </c>
      <c r="W813" s="65">
        <v>3</v>
      </c>
      <c r="X813" s="106" t="s">
        <v>203</v>
      </c>
      <c r="Y813" s="25" t="s">
        <v>2379</v>
      </c>
      <c r="Z813" s="83" t="s">
        <v>63</v>
      </c>
      <c r="AA813" s="6">
        <v>10</v>
      </c>
      <c r="AB813" s="6">
        <v>4</v>
      </c>
      <c r="AD813" s="5" t="s">
        <v>80</v>
      </c>
      <c r="AI813" s="5">
        <v>19</v>
      </c>
      <c r="AJ813" s="5">
        <v>27</v>
      </c>
      <c r="AL813" s="6" t="s">
        <v>81</v>
      </c>
      <c r="AQ813" s="6">
        <v>50</v>
      </c>
      <c r="AR813" s="6">
        <v>80</v>
      </c>
      <c r="BQ813" s="6" t="s">
        <v>354</v>
      </c>
      <c r="BR813" s="5" t="s">
        <v>2380</v>
      </c>
    </row>
    <row r="814" spans="1:70" hidden="1" x14ac:dyDescent="0.2">
      <c r="A814" s="255">
        <v>1078</v>
      </c>
      <c r="B814" s="231" t="s">
        <v>2376</v>
      </c>
      <c r="C814" s="261" t="s">
        <v>2377</v>
      </c>
      <c r="D814" s="231" t="s">
        <v>2381</v>
      </c>
      <c r="E814" s="3" t="s">
        <v>1974</v>
      </c>
      <c r="F814" s="26" t="s">
        <v>103</v>
      </c>
      <c r="G814" s="26" t="s">
        <v>56</v>
      </c>
      <c r="H814" s="26" t="s">
        <v>57</v>
      </c>
      <c r="J814" s="22">
        <v>0.25</v>
      </c>
      <c r="L814" s="28" t="s">
        <v>58</v>
      </c>
      <c r="M814" s="22" t="s">
        <v>59</v>
      </c>
      <c r="N814" s="22">
        <v>0</v>
      </c>
      <c r="O814" s="22" t="s">
        <v>60</v>
      </c>
      <c r="P814" s="22" t="s">
        <v>79</v>
      </c>
      <c r="R814" s="23" t="s">
        <v>2319</v>
      </c>
      <c r="T814" s="23">
        <v>150</v>
      </c>
      <c r="V814" s="25" t="s">
        <v>615</v>
      </c>
      <c r="W814" s="65">
        <v>3</v>
      </c>
      <c r="X814" s="106" t="s">
        <v>203</v>
      </c>
      <c r="Y814" s="25" t="s">
        <v>2379</v>
      </c>
      <c r="Z814" s="83" t="s">
        <v>63</v>
      </c>
      <c r="AA814" s="6">
        <v>10</v>
      </c>
      <c r="AB814" s="6">
        <v>4</v>
      </c>
      <c r="AD814" s="5" t="s">
        <v>80</v>
      </c>
      <c r="AI814" s="5">
        <v>19</v>
      </c>
      <c r="AJ814" s="5">
        <v>27</v>
      </c>
      <c r="AL814" s="6" t="s">
        <v>81</v>
      </c>
      <c r="AQ814" s="6">
        <v>50</v>
      </c>
      <c r="AR814" s="6">
        <v>80</v>
      </c>
      <c r="BQ814" s="6" t="s">
        <v>354</v>
      </c>
      <c r="BR814" s="5" t="s">
        <v>2380</v>
      </c>
    </row>
    <row r="815" spans="1:70" hidden="1" x14ac:dyDescent="0.2">
      <c r="A815" s="255">
        <v>1079</v>
      </c>
      <c r="B815" s="231" t="s">
        <v>2376</v>
      </c>
      <c r="C815" s="261" t="s">
        <v>2377</v>
      </c>
      <c r="D815" s="231" t="s">
        <v>2382</v>
      </c>
      <c r="E815" s="3" t="s">
        <v>1974</v>
      </c>
      <c r="F815" s="26" t="s">
        <v>103</v>
      </c>
      <c r="G815" s="26" t="s">
        <v>56</v>
      </c>
      <c r="H815" s="26" t="s">
        <v>57</v>
      </c>
      <c r="J815" s="22">
        <v>0.25</v>
      </c>
      <c r="L815" s="28" t="s">
        <v>58</v>
      </c>
      <c r="M815" s="22" t="s">
        <v>59</v>
      </c>
      <c r="N815" s="22">
        <v>3</v>
      </c>
      <c r="O815" s="22" t="s">
        <v>60</v>
      </c>
      <c r="P815" s="22" t="s">
        <v>79</v>
      </c>
      <c r="R815" s="23" t="s">
        <v>2319</v>
      </c>
      <c r="T815" s="23">
        <v>150</v>
      </c>
      <c r="V815" s="25" t="s">
        <v>615</v>
      </c>
      <c r="W815" s="65">
        <v>3</v>
      </c>
      <c r="X815" s="106" t="s">
        <v>203</v>
      </c>
      <c r="Y815" s="25" t="s">
        <v>2379</v>
      </c>
      <c r="Z815" s="83" t="s">
        <v>63</v>
      </c>
      <c r="AA815" s="6">
        <v>10</v>
      </c>
      <c r="AB815" s="6">
        <v>4</v>
      </c>
      <c r="AD815" s="5" t="s">
        <v>80</v>
      </c>
      <c r="AI815" s="5">
        <v>19</v>
      </c>
      <c r="AJ815" s="5">
        <v>27</v>
      </c>
      <c r="AL815" s="6" t="s">
        <v>81</v>
      </c>
      <c r="AQ815" s="6">
        <v>50</v>
      </c>
      <c r="AR815" s="6">
        <v>80</v>
      </c>
      <c r="BQ815" s="6" t="s">
        <v>354</v>
      </c>
      <c r="BR815" s="5" t="s">
        <v>2380</v>
      </c>
    </row>
    <row r="816" spans="1:70" hidden="1" x14ac:dyDescent="0.2">
      <c r="A816" s="255">
        <v>1080</v>
      </c>
      <c r="B816" s="231" t="s">
        <v>2376</v>
      </c>
      <c r="C816" s="261" t="s">
        <v>2377</v>
      </c>
      <c r="D816" s="231" t="s">
        <v>2383</v>
      </c>
      <c r="E816" s="3" t="s">
        <v>1974</v>
      </c>
      <c r="F816" s="26" t="s">
        <v>103</v>
      </c>
      <c r="G816" s="26" t="s">
        <v>56</v>
      </c>
      <c r="H816" s="26" t="s">
        <v>57</v>
      </c>
      <c r="J816" s="22">
        <v>0.25</v>
      </c>
      <c r="L816" s="28" t="s">
        <v>58</v>
      </c>
      <c r="M816" s="22" t="s">
        <v>59</v>
      </c>
      <c r="N816" s="22">
        <v>12</v>
      </c>
      <c r="O816" s="22" t="s">
        <v>60</v>
      </c>
      <c r="P816" s="22" t="s">
        <v>79</v>
      </c>
      <c r="R816" s="23" t="s">
        <v>2319</v>
      </c>
      <c r="T816" s="23">
        <v>150</v>
      </c>
      <c r="V816" s="25" t="s">
        <v>615</v>
      </c>
      <c r="W816" s="65">
        <v>3</v>
      </c>
      <c r="X816" s="106" t="s">
        <v>203</v>
      </c>
      <c r="Y816" s="25" t="s">
        <v>2379</v>
      </c>
      <c r="Z816" s="83" t="s">
        <v>63</v>
      </c>
      <c r="AA816" s="6">
        <v>10</v>
      </c>
      <c r="AB816" s="6">
        <v>4</v>
      </c>
      <c r="AD816" s="5" t="s">
        <v>80</v>
      </c>
      <c r="AI816" s="5">
        <v>19</v>
      </c>
      <c r="AJ816" s="5">
        <v>27</v>
      </c>
      <c r="AL816" s="6" t="s">
        <v>81</v>
      </c>
      <c r="AQ816" s="6">
        <v>50</v>
      </c>
      <c r="AR816" s="6">
        <v>80</v>
      </c>
      <c r="BQ816" s="6" t="s">
        <v>354</v>
      </c>
      <c r="BR816" s="5" t="s">
        <v>2380</v>
      </c>
    </row>
    <row r="817" spans="1:70" hidden="1" x14ac:dyDescent="0.2">
      <c r="A817" s="255">
        <v>1081</v>
      </c>
      <c r="B817" s="231" t="s">
        <v>2376</v>
      </c>
      <c r="C817" s="261" t="s">
        <v>2377</v>
      </c>
      <c r="D817" s="231" t="s">
        <v>2384</v>
      </c>
      <c r="E817" s="3" t="s">
        <v>1974</v>
      </c>
      <c r="F817" s="26" t="s">
        <v>103</v>
      </c>
      <c r="G817" s="26" t="s">
        <v>56</v>
      </c>
      <c r="H817" s="26" t="s">
        <v>57</v>
      </c>
      <c r="J817" s="22">
        <v>0.25</v>
      </c>
      <c r="L817" s="28" t="s">
        <v>58</v>
      </c>
      <c r="M817" s="22" t="s">
        <v>59</v>
      </c>
      <c r="N817" s="22">
        <v>24</v>
      </c>
      <c r="O817" s="22" t="s">
        <v>60</v>
      </c>
      <c r="P817" s="22" t="s">
        <v>79</v>
      </c>
      <c r="R817" s="23" t="s">
        <v>2319</v>
      </c>
      <c r="T817" s="23">
        <v>150</v>
      </c>
      <c r="V817" s="25" t="s">
        <v>615</v>
      </c>
      <c r="W817" s="65">
        <v>3</v>
      </c>
      <c r="X817" s="106" t="s">
        <v>203</v>
      </c>
      <c r="Y817" s="25" t="s">
        <v>2379</v>
      </c>
      <c r="Z817" s="83" t="s">
        <v>63</v>
      </c>
      <c r="AA817" s="6">
        <v>10</v>
      </c>
      <c r="AB817" s="6">
        <v>4</v>
      </c>
      <c r="AD817" s="5" t="s">
        <v>80</v>
      </c>
      <c r="AI817" s="5">
        <v>19</v>
      </c>
      <c r="AJ817" s="5">
        <v>27</v>
      </c>
      <c r="AL817" s="6" t="s">
        <v>81</v>
      </c>
      <c r="AQ817" s="6">
        <v>50</v>
      </c>
      <c r="AR817" s="6">
        <v>80</v>
      </c>
      <c r="BQ817" s="6" t="s">
        <v>354</v>
      </c>
      <c r="BR817" s="5" t="s">
        <v>2380</v>
      </c>
    </row>
    <row r="818" spans="1:70" hidden="1" x14ac:dyDescent="0.2">
      <c r="A818" s="255">
        <v>1082</v>
      </c>
      <c r="B818" s="231" t="s">
        <v>2376</v>
      </c>
      <c r="C818" s="261" t="s">
        <v>2377</v>
      </c>
      <c r="D818" s="231" t="s">
        <v>2385</v>
      </c>
      <c r="E818" s="3" t="s">
        <v>149</v>
      </c>
      <c r="F818" s="26" t="s">
        <v>103</v>
      </c>
      <c r="G818" s="26" t="s">
        <v>56</v>
      </c>
      <c r="H818" s="26" t="s">
        <v>57</v>
      </c>
      <c r="J818" s="22">
        <v>200</v>
      </c>
      <c r="L818" s="28" t="s">
        <v>58</v>
      </c>
      <c r="M818" s="22" t="s">
        <v>59</v>
      </c>
      <c r="N818" s="22">
        <v>0</v>
      </c>
      <c r="O818" s="22" t="s">
        <v>60</v>
      </c>
      <c r="P818" s="22" t="s">
        <v>79</v>
      </c>
      <c r="R818" s="23" t="s">
        <v>2386</v>
      </c>
      <c r="V818" s="25" t="s">
        <v>615</v>
      </c>
      <c r="W818" s="65">
        <v>3</v>
      </c>
      <c r="Y818" s="25" t="s">
        <v>2387</v>
      </c>
      <c r="Z818" s="83" t="s">
        <v>63</v>
      </c>
      <c r="AA818" s="6">
        <v>10</v>
      </c>
      <c r="AB818" s="6">
        <v>4</v>
      </c>
      <c r="AD818" s="5" t="s">
        <v>80</v>
      </c>
      <c r="AI818" s="5">
        <v>19</v>
      </c>
      <c r="AJ818" s="5">
        <v>27</v>
      </c>
      <c r="AL818" s="6" t="s">
        <v>81</v>
      </c>
      <c r="AQ818" s="6">
        <v>50</v>
      </c>
      <c r="AR818" s="6">
        <v>80</v>
      </c>
      <c r="BQ818" s="6" t="s">
        <v>354</v>
      </c>
      <c r="BR818" s="5" t="s">
        <v>2380</v>
      </c>
    </row>
    <row r="819" spans="1:70" hidden="1" x14ac:dyDescent="0.2">
      <c r="A819" s="255">
        <v>1083</v>
      </c>
      <c r="B819" s="231" t="s">
        <v>2376</v>
      </c>
      <c r="C819" s="261" t="s">
        <v>2377</v>
      </c>
      <c r="D819" s="231" t="s">
        <v>2388</v>
      </c>
      <c r="E819" s="3" t="s">
        <v>149</v>
      </c>
      <c r="F819" s="26" t="s">
        <v>103</v>
      </c>
      <c r="G819" s="26" t="s">
        <v>56</v>
      </c>
      <c r="H819" s="26" t="s">
        <v>57</v>
      </c>
      <c r="J819" s="22">
        <v>200</v>
      </c>
      <c r="L819" s="28" t="s">
        <v>58</v>
      </c>
      <c r="M819" s="22" t="s">
        <v>59</v>
      </c>
      <c r="N819" s="22">
        <v>0</v>
      </c>
      <c r="O819" s="22" t="s">
        <v>60</v>
      </c>
      <c r="P819" s="22" t="s">
        <v>79</v>
      </c>
      <c r="R819" s="23" t="s">
        <v>2386</v>
      </c>
      <c r="V819" s="25" t="s">
        <v>644</v>
      </c>
      <c r="W819" s="65">
        <v>0</v>
      </c>
      <c r="Y819" s="25" t="s">
        <v>2389</v>
      </c>
      <c r="Z819" s="83" t="s">
        <v>63</v>
      </c>
      <c r="AA819" s="6">
        <v>10</v>
      </c>
      <c r="AB819" s="6">
        <v>4</v>
      </c>
      <c r="AD819" s="5" t="s">
        <v>80</v>
      </c>
      <c r="AI819" s="5">
        <v>19</v>
      </c>
      <c r="AJ819" s="5">
        <v>27</v>
      </c>
      <c r="AL819" s="6" t="s">
        <v>81</v>
      </c>
      <c r="AQ819" s="6">
        <v>50</v>
      </c>
      <c r="AR819" s="6">
        <v>80</v>
      </c>
      <c r="BQ819" s="6" t="s">
        <v>354</v>
      </c>
      <c r="BR819" s="5" t="s">
        <v>2380</v>
      </c>
    </row>
    <row r="820" spans="1:70" hidden="1" x14ac:dyDescent="0.2">
      <c r="A820" s="255">
        <v>1084</v>
      </c>
      <c r="B820" s="231" t="s">
        <v>2376</v>
      </c>
      <c r="C820" s="261" t="s">
        <v>2377</v>
      </c>
      <c r="D820" s="231" t="s">
        <v>2390</v>
      </c>
      <c r="E820" s="3" t="s">
        <v>149</v>
      </c>
      <c r="F820" s="26" t="s">
        <v>103</v>
      </c>
      <c r="G820" s="26" t="s">
        <v>56</v>
      </c>
      <c r="H820" s="26" t="s">
        <v>57</v>
      </c>
      <c r="J820" s="22">
        <v>200</v>
      </c>
      <c r="L820" s="28" t="s">
        <v>58</v>
      </c>
      <c r="M820" s="22" t="s">
        <v>59</v>
      </c>
      <c r="N820" s="22">
        <v>0</v>
      </c>
      <c r="O820" s="22" t="s">
        <v>60</v>
      </c>
      <c r="P820" s="22" t="s">
        <v>79</v>
      </c>
      <c r="R820" s="23" t="s">
        <v>2386</v>
      </c>
      <c r="V820" s="25" t="s">
        <v>644</v>
      </c>
      <c r="W820" s="65">
        <v>0</v>
      </c>
      <c r="Y820" s="25" t="s">
        <v>2391</v>
      </c>
      <c r="Z820" s="83" t="s">
        <v>63</v>
      </c>
      <c r="AA820" s="6">
        <v>10</v>
      </c>
      <c r="AB820" s="6">
        <v>4</v>
      </c>
      <c r="AD820" s="5" t="s">
        <v>80</v>
      </c>
      <c r="AI820" s="5">
        <v>19</v>
      </c>
      <c r="AJ820" s="5">
        <v>27</v>
      </c>
      <c r="AL820" s="6" t="s">
        <v>81</v>
      </c>
      <c r="AQ820" s="6">
        <v>50</v>
      </c>
      <c r="AR820" s="6">
        <v>80</v>
      </c>
      <c r="BQ820" s="6" t="s">
        <v>354</v>
      </c>
      <c r="BR820" s="5" t="s">
        <v>2380</v>
      </c>
    </row>
    <row r="821" spans="1:70" hidden="1" x14ac:dyDescent="0.2">
      <c r="A821" s="255">
        <v>1085</v>
      </c>
      <c r="B821" s="231" t="s">
        <v>2376</v>
      </c>
      <c r="C821" s="261" t="s">
        <v>2377</v>
      </c>
      <c r="D821" s="231" t="s">
        <v>2392</v>
      </c>
      <c r="E821" s="3" t="s">
        <v>149</v>
      </c>
      <c r="F821" s="26" t="s">
        <v>103</v>
      </c>
      <c r="G821" s="26" t="s">
        <v>56</v>
      </c>
      <c r="H821" s="26" t="s">
        <v>57</v>
      </c>
      <c r="J821" s="22">
        <v>200</v>
      </c>
      <c r="L821" s="28" t="s">
        <v>58</v>
      </c>
      <c r="M821" s="22" t="s">
        <v>59</v>
      </c>
      <c r="N821" s="22">
        <v>0</v>
      </c>
      <c r="O821" s="22" t="s">
        <v>60</v>
      </c>
      <c r="P821" s="22" t="s">
        <v>79</v>
      </c>
      <c r="R821" s="23" t="s">
        <v>2386</v>
      </c>
      <c r="V821" s="25" t="s">
        <v>644</v>
      </c>
      <c r="W821" s="65">
        <v>0</v>
      </c>
      <c r="Y821" s="25" t="s">
        <v>2391</v>
      </c>
      <c r="Z821" s="83" t="s">
        <v>63</v>
      </c>
      <c r="AA821" s="6">
        <v>10</v>
      </c>
      <c r="AB821" s="6">
        <v>4</v>
      </c>
      <c r="AD821" s="5" t="s">
        <v>80</v>
      </c>
      <c r="AI821" s="5">
        <v>19</v>
      </c>
      <c r="AJ821" s="5">
        <v>27</v>
      </c>
      <c r="AL821" s="6" t="s">
        <v>81</v>
      </c>
      <c r="AQ821" s="6">
        <v>50</v>
      </c>
      <c r="AR821" s="6">
        <v>80</v>
      </c>
      <c r="BQ821" s="6" t="s">
        <v>354</v>
      </c>
      <c r="BR821" s="5" t="s">
        <v>2380</v>
      </c>
    </row>
    <row r="822" spans="1:70" hidden="1" x14ac:dyDescent="0.2">
      <c r="A822" s="258">
        <v>1086</v>
      </c>
      <c r="B822" s="231" t="s">
        <v>2393</v>
      </c>
      <c r="C822" s="261" t="s">
        <v>2394</v>
      </c>
      <c r="D822" s="231" t="s">
        <v>2395</v>
      </c>
      <c r="E822" s="3" t="s">
        <v>102</v>
      </c>
      <c r="F822" s="26" t="s">
        <v>103</v>
      </c>
      <c r="G822" s="26" t="s">
        <v>56</v>
      </c>
      <c r="H822" s="26" t="s">
        <v>2396</v>
      </c>
      <c r="J822" s="22">
        <v>10</v>
      </c>
      <c r="L822" s="28" t="s">
        <v>58</v>
      </c>
      <c r="M822" s="22" t="s">
        <v>59</v>
      </c>
      <c r="N822" s="22">
        <v>0</v>
      </c>
      <c r="O822" s="22" t="s">
        <v>60</v>
      </c>
      <c r="P822" s="22" t="s">
        <v>79</v>
      </c>
      <c r="Q822" s="23" t="s">
        <v>905</v>
      </c>
      <c r="R822" s="23" t="s">
        <v>2397</v>
      </c>
      <c r="U822" s="23" t="s">
        <v>2398</v>
      </c>
      <c r="V822" s="25" t="s">
        <v>615</v>
      </c>
      <c r="W822" s="65" t="s">
        <v>655</v>
      </c>
      <c r="X822" s="106" t="s">
        <v>334</v>
      </c>
      <c r="Z822" s="83" t="s">
        <v>63</v>
      </c>
      <c r="AA822" s="6">
        <v>10</v>
      </c>
      <c r="AB822" s="257">
        <f>23/(23+17)*10</f>
        <v>5.75</v>
      </c>
      <c r="AC822" s="5">
        <v>34.200000000000003</v>
      </c>
      <c r="AD822" s="5" t="s">
        <v>80</v>
      </c>
      <c r="AE822" s="5" t="s">
        <v>335</v>
      </c>
      <c r="AF822" s="5">
        <v>8.4</v>
      </c>
      <c r="AG822" s="5" t="s">
        <v>80</v>
      </c>
      <c r="AH822" s="5" t="s">
        <v>117</v>
      </c>
      <c r="AI822" s="5">
        <v>18</v>
      </c>
      <c r="AJ822" s="5">
        <v>50</v>
      </c>
      <c r="AK822" s="6">
        <v>72.099999999999994</v>
      </c>
      <c r="AL822" s="6" t="s">
        <v>81</v>
      </c>
      <c r="AM822" s="6" t="s">
        <v>335</v>
      </c>
      <c r="AN822" s="6">
        <v>13.8</v>
      </c>
      <c r="AO822" s="6" t="s">
        <v>81</v>
      </c>
      <c r="AP822" s="6" t="s">
        <v>117</v>
      </c>
      <c r="AS822" s="5">
        <v>168.8</v>
      </c>
      <c r="AT822" s="5" t="s">
        <v>2399</v>
      </c>
      <c r="AU822" s="5" t="s">
        <v>335</v>
      </c>
      <c r="AV822" s="5">
        <v>11.5</v>
      </c>
      <c r="AW822" s="5" t="s">
        <v>2399</v>
      </c>
      <c r="AX822" s="5" t="s">
        <v>117</v>
      </c>
      <c r="BQ822" s="6" t="s">
        <v>2400</v>
      </c>
      <c r="BR822" s="5" t="s">
        <v>2401</v>
      </c>
    </row>
    <row r="823" spans="1:70" hidden="1" x14ac:dyDescent="0.2">
      <c r="A823" s="258">
        <v>1087</v>
      </c>
      <c r="B823" s="231" t="s">
        <v>2393</v>
      </c>
      <c r="C823" s="261" t="s">
        <v>2394</v>
      </c>
      <c r="D823" s="231" t="s">
        <v>2402</v>
      </c>
      <c r="E823" s="3" t="s">
        <v>102</v>
      </c>
      <c r="F823" s="26" t="s">
        <v>103</v>
      </c>
      <c r="G823" s="26" t="s">
        <v>56</v>
      </c>
      <c r="H823" s="26" t="s">
        <v>2396</v>
      </c>
      <c r="J823" s="22">
        <v>10</v>
      </c>
      <c r="L823" s="28" t="s">
        <v>58</v>
      </c>
      <c r="M823" s="22" t="s">
        <v>59</v>
      </c>
      <c r="N823" s="22">
        <v>265</v>
      </c>
      <c r="O823" s="22" t="s">
        <v>60</v>
      </c>
      <c r="P823" s="22" t="s">
        <v>79</v>
      </c>
      <c r="Q823" s="23" t="s">
        <v>905</v>
      </c>
      <c r="R823" s="23" t="s">
        <v>2397</v>
      </c>
      <c r="U823" s="23" t="s">
        <v>2398</v>
      </c>
      <c r="V823" s="25" t="s">
        <v>615</v>
      </c>
      <c r="W823" s="65" t="s">
        <v>655</v>
      </c>
      <c r="X823" s="106" t="s">
        <v>334</v>
      </c>
      <c r="Z823" s="83" t="s">
        <v>63</v>
      </c>
      <c r="AA823" s="6">
        <v>10</v>
      </c>
      <c r="AB823" s="257">
        <f>23/(23+17)*10</f>
        <v>5.75</v>
      </c>
      <c r="AC823" s="5">
        <v>34.200000000000003</v>
      </c>
      <c r="AD823" s="5" t="s">
        <v>80</v>
      </c>
      <c r="AE823" s="5" t="s">
        <v>335</v>
      </c>
      <c r="AF823" s="5">
        <v>8.4</v>
      </c>
      <c r="AG823" s="5" t="s">
        <v>80</v>
      </c>
      <c r="AH823" s="5" t="s">
        <v>117</v>
      </c>
      <c r="AI823" s="5">
        <v>18</v>
      </c>
      <c r="AJ823" s="5">
        <v>50</v>
      </c>
      <c r="AK823" s="6">
        <v>72.099999999999994</v>
      </c>
      <c r="AL823" s="6" t="s">
        <v>81</v>
      </c>
      <c r="AM823" s="6" t="s">
        <v>335</v>
      </c>
      <c r="AN823" s="6">
        <v>13.8</v>
      </c>
      <c r="AO823" s="6" t="s">
        <v>81</v>
      </c>
      <c r="AP823" s="6" t="s">
        <v>117</v>
      </c>
      <c r="AS823" s="5">
        <v>168.8</v>
      </c>
      <c r="AT823" s="5" t="s">
        <v>2399</v>
      </c>
      <c r="AU823" s="5" t="s">
        <v>335</v>
      </c>
      <c r="AV823" s="5">
        <v>11.5</v>
      </c>
      <c r="AW823" s="5" t="s">
        <v>2399</v>
      </c>
      <c r="AX823" s="5" t="s">
        <v>117</v>
      </c>
      <c r="BQ823" s="6" t="s">
        <v>2400</v>
      </c>
      <c r="BR823" s="5" t="s">
        <v>2401</v>
      </c>
    </row>
    <row r="824" spans="1:70" hidden="1" x14ac:dyDescent="0.2">
      <c r="A824" s="258">
        <v>1088</v>
      </c>
      <c r="B824" s="231" t="s">
        <v>2393</v>
      </c>
      <c r="C824" s="261" t="s">
        <v>2394</v>
      </c>
      <c r="D824" s="231" t="s">
        <v>2403</v>
      </c>
      <c r="E824" s="3" t="s">
        <v>102</v>
      </c>
      <c r="F824" s="26" t="s">
        <v>103</v>
      </c>
      <c r="G824" s="26" t="s">
        <v>56</v>
      </c>
      <c r="H824" s="26" t="s">
        <v>2396</v>
      </c>
      <c r="J824" s="22">
        <v>10</v>
      </c>
      <c r="L824" s="28" t="s">
        <v>58</v>
      </c>
      <c r="M824" s="22" t="s">
        <v>59</v>
      </c>
      <c r="N824" s="178">
        <v>0</v>
      </c>
      <c r="O824" s="22" t="s">
        <v>60</v>
      </c>
      <c r="P824" s="22" t="s">
        <v>79</v>
      </c>
      <c r="Q824" s="23" t="s">
        <v>905</v>
      </c>
      <c r="R824" s="23" t="s">
        <v>2397</v>
      </c>
      <c r="U824" s="23" t="s">
        <v>2398</v>
      </c>
      <c r="V824" s="25" t="s">
        <v>615</v>
      </c>
      <c r="W824" s="65" t="s">
        <v>655</v>
      </c>
      <c r="X824" s="106" t="s">
        <v>334</v>
      </c>
      <c r="Z824" s="83" t="s">
        <v>63</v>
      </c>
      <c r="AA824" s="6">
        <v>10</v>
      </c>
      <c r="AB824" s="257">
        <f>23/(23+17)*10</f>
        <v>5.75</v>
      </c>
      <c r="AC824" s="5">
        <v>34.200000000000003</v>
      </c>
      <c r="AD824" s="5" t="s">
        <v>80</v>
      </c>
      <c r="AE824" s="5" t="s">
        <v>335</v>
      </c>
      <c r="AF824" s="5">
        <v>8.4</v>
      </c>
      <c r="AG824" s="5" t="s">
        <v>80</v>
      </c>
      <c r="AH824" s="5" t="s">
        <v>117</v>
      </c>
      <c r="AI824" s="5">
        <v>18</v>
      </c>
      <c r="AJ824" s="5">
        <v>50</v>
      </c>
      <c r="AK824" s="6">
        <v>72.099999999999994</v>
      </c>
      <c r="AL824" s="6" t="s">
        <v>81</v>
      </c>
      <c r="AM824" s="6" t="s">
        <v>335</v>
      </c>
      <c r="AN824" s="6">
        <v>13.8</v>
      </c>
      <c r="AO824" s="6" t="s">
        <v>81</v>
      </c>
      <c r="AP824" s="6" t="s">
        <v>117</v>
      </c>
      <c r="AS824" s="5">
        <v>168.8</v>
      </c>
      <c r="AT824" s="5" t="s">
        <v>2399</v>
      </c>
      <c r="AU824" s="5" t="s">
        <v>335</v>
      </c>
      <c r="AV824" s="5">
        <v>11.5</v>
      </c>
      <c r="AW824" s="5" t="s">
        <v>2399</v>
      </c>
      <c r="AX824" s="5" t="s">
        <v>117</v>
      </c>
      <c r="BQ824" s="6" t="s">
        <v>2400</v>
      </c>
      <c r="BR824" s="5" t="s">
        <v>2401</v>
      </c>
    </row>
    <row r="825" spans="1:70" hidden="1" x14ac:dyDescent="0.2">
      <c r="A825" s="258">
        <v>1089</v>
      </c>
      <c r="B825" s="231" t="s">
        <v>2393</v>
      </c>
      <c r="C825" s="261" t="s">
        <v>2394</v>
      </c>
      <c r="D825" s="231" t="s">
        <v>2404</v>
      </c>
      <c r="E825" s="3" t="s">
        <v>102</v>
      </c>
      <c r="F825" s="26" t="s">
        <v>103</v>
      </c>
      <c r="G825" s="26" t="s">
        <v>56</v>
      </c>
      <c r="H825" s="26" t="s">
        <v>2396</v>
      </c>
      <c r="J825" s="22">
        <v>10</v>
      </c>
      <c r="L825" s="28" t="s">
        <v>58</v>
      </c>
      <c r="M825" s="22" t="s">
        <v>59</v>
      </c>
      <c r="N825" s="178">
        <v>265</v>
      </c>
      <c r="O825" s="22" t="s">
        <v>60</v>
      </c>
      <c r="P825" s="22" t="s">
        <v>79</v>
      </c>
      <c r="Q825" s="23" t="s">
        <v>905</v>
      </c>
      <c r="R825" s="23" t="s">
        <v>2397</v>
      </c>
      <c r="U825" s="23" t="s">
        <v>2398</v>
      </c>
      <c r="V825" s="25" t="s">
        <v>615</v>
      </c>
      <c r="W825" s="65" t="s">
        <v>655</v>
      </c>
      <c r="X825" s="106" t="s">
        <v>334</v>
      </c>
      <c r="Z825" s="83" t="s">
        <v>63</v>
      </c>
      <c r="AA825" s="6">
        <v>10</v>
      </c>
      <c r="AB825" s="257">
        <f>23/(23+17)*10</f>
        <v>5.75</v>
      </c>
      <c r="AC825" s="5">
        <v>34.200000000000003</v>
      </c>
      <c r="AD825" s="5" t="s">
        <v>80</v>
      </c>
      <c r="AE825" s="5" t="s">
        <v>335</v>
      </c>
      <c r="AF825" s="5">
        <v>8.4</v>
      </c>
      <c r="AG825" s="5" t="s">
        <v>80</v>
      </c>
      <c r="AH825" s="5" t="s">
        <v>117</v>
      </c>
      <c r="AI825" s="5">
        <v>18</v>
      </c>
      <c r="AJ825" s="5">
        <v>50</v>
      </c>
      <c r="AK825" s="6">
        <v>72.099999999999994</v>
      </c>
      <c r="AL825" s="6" t="s">
        <v>81</v>
      </c>
      <c r="AM825" s="6" t="s">
        <v>335</v>
      </c>
      <c r="AN825" s="6">
        <v>13.8</v>
      </c>
      <c r="AO825" s="6" t="s">
        <v>81</v>
      </c>
      <c r="AP825" s="6" t="s">
        <v>117</v>
      </c>
      <c r="AS825" s="5">
        <v>168.8</v>
      </c>
      <c r="AT825" s="5" t="s">
        <v>2399</v>
      </c>
      <c r="AU825" s="5" t="s">
        <v>335</v>
      </c>
      <c r="AV825" s="5">
        <v>11.5</v>
      </c>
      <c r="AW825" s="5" t="s">
        <v>2399</v>
      </c>
      <c r="AX825" s="5" t="s">
        <v>117</v>
      </c>
      <c r="BQ825" s="6" t="s">
        <v>2400</v>
      </c>
      <c r="BR825" s="5" t="s">
        <v>2401</v>
      </c>
    </row>
    <row r="826" spans="1:70" hidden="1" x14ac:dyDescent="0.2">
      <c r="A826" s="258">
        <v>1090</v>
      </c>
      <c r="B826" s="231" t="s">
        <v>2405</v>
      </c>
      <c r="C826" s="261" t="s">
        <v>2406</v>
      </c>
      <c r="D826" s="231" t="s">
        <v>2407</v>
      </c>
      <c r="E826" s="3" t="s">
        <v>102</v>
      </c>
      <c r="F826" s="26" t="s">
        <v>103</v>
      </c>
      <c r="G826" s="26" t="s">
        <v>56</v>
      </c>
      <c r="H826" s="26" t="s">
        <v>77</v>
      </c>
      <c r="I826" s="26" t="s">
        <v>2799</v>
      </c>
      <c r="J826" s="22">
        <v>1</v>
      </c>
      <c r="L826" s="28" t="s">
        <v>58</v>
      </c>
      <c r="M826" s="22" t="s">
        <v>78</v>
      </c>
      <c r="N826" s="178">
        <v>0</v>
      </c>
      <c r="O826" s="22" t="s">
        <v>60</v>
      </c>
      <c r="P826" s="22" t="s">
        <v>79</v>
      </c>
      <c r="Q826" s="23" t="s">
        <v>621</v>
      </c>
      <c r="R826" s="23" t="s">
        <v>2408</v>
      </c>
      <c r="Z826" s="83" t="s">
        <v>63</v>
      </c>
      <c r="AA826" s="6">
        <v>24</v>
      </c>
      <c r="AB826" s="6">
        <v>0</v>
      </c>
      <c r="AC826" s="5">
        <v>26.5</v>
      </c>
      <c r="AD826" s="5" t="s">
        <v>80</v>
      </c>
      <c r="AE826" s="5" t="s">
        <v>335</v>
      </c>
      <c r="AF826" s="5">
        <v>4.5999999999999996</v>
      </c>
      <c r="AG826" s="5" t="s">
        <v>80</v>
      </c>
      <c r="AH826" s="5" t="s">
        <v>117</v>
      </c>
      <c r="AI826" s="5">
        <v>20</v>
      </c>
      <c r="AJ826" s="5">
        <v>38</v>
      </c>
      <c r="AK826" s="6">
        <v>69.2</v>
      </c>
      <c r="AL826" s="6" t="s">
        <v>81</v>
      </c>
      <c r="AM826" s="6" t="s">
        <v>335</v>
      </c>
      <c r="AN826" s="6">
        <v>7.7</v>
      </c>
      <c r="AO826" s="6" t="s">
        <v>81</v>
      </c>
      <c r="AP826" s="6" t="s">
        <v>117</v>
      </c>
      <c r="AQ826" s="6">
        <v>56.8</v>
      </c>
      <c r="AR826" s="6">
        <v>87.3</v>
      </c>
      <c r="BQ826" s="6" t="s">
        <v>2409</v>
      </c>
      <c r="BR826" s="5" t="s">
        <v>2410</v>
      </c>
    </row>
    <row r="827" spans="1:70" hidden="1" x14ac:dyDescent="0.2">
      <c r="A827" s="258">
        <v>1091</v>
      </c>
      <c r="B827" s="231" t="s">
        <v>2405</v>
      </c>
      <c r="C827" s="261" t="s">
        <v>2406</v>
      </c>
      <c r="D827" s="231" t="s">
        <v>2411</v>
      </c>
      <c r="E827" s="3" t="s">
        <v>102</v>
      </c>
      <c r="F827" s="26" t="s">
        <v>103</v>
      </c>
      <c r="G827" s="26" t="s">
        <v>56</v>
      </c>
      <c r="H827" s="26" t="s">
        <v>77</v>
      </c>
      <c r="I827" s="26" t="s">
        <v>2799</v>
      </c>
      <c r="J827" s="22">
        <v>1</v>
      </c>
      <c r="L827" s="28" t="s">
        <v>58</v>
      </c>
      <c r="M827" s="22" t="s">
        <v>78</v>
      </c>
      <c r="N827" s="178">
        <v>73</v>
      </c>
      <c r="O827" s="22" t="s">
        <v>60</v>
      </c>
      <c r="P827" s="22" t="s">
        <v>79</v>
      </c>
      <c r="Q827" s="23" t="s">
        <v>621</v>
      </c>
      <c r="R827" s="23" t="s">
        <v>2408</v>
      </c>
      <c r="Z827" s="83" t="s">
        <v>63</v>
      </c>
      <c r="AA827" s="6">
        <v>24</v>
      </c>
      <c r="AB827" s="6">
        <v>0</v>
      </c>
      <c r="AC827" s="5">
        <v>26.5</v>
      </c>
      <c r="AD827" s="5" t="s">
        <v>80</v>
      </c>
      <c r="AE827" s="5" t="s">
        <v>335</v>
      </c>
      <c r="AF827" s="5">
        <v>4.5999999999999996</v>
      </c>
      <c r="AG827" s="5" t="s">
        <v>80</v>
      </c>
      <c r="AH827" s="5" t="s">
        <v>117</v>
      </c>
      <c r="AI827" s="5">
        <v>20</v>
      </c>
      <c r="AJ827" s="5">
        <v>38</v>
      </c>
      <c r="AK827" s="6">
        <v>69.2</v>
      </c>
      <c r="AL827" s="6" t="s">
        <v>81</v>
      </c>
      <c r="AM827" s="6" t="s">
        <v>335</v>
      </c>
      <c r="AN827" s="6">
        <v>7.7</v>
      </c>
      <c r="AO827" s="6" t="s">
        <v>81</v>
      </c>
      <c r="AP827" s="6" t="s">
        <v>117</v>
      </c>
      <c r="AQ827" s="6">
        <v>56.8</v>
      </c>
      <c r="AR827" s="6">
        <v>87.3</v>
      </c>
      <c r="BQ827" s="6" t="s">
        <v>2409</v>
      </c>
      <c r="BR827" s="5" t="s">
        <v>2410</v>
      </c>
    </row>
    <row r="828" spans="1:70" hidden="1" x14ac:dyDescent="0.2">
      <c r="A828" s="258">
        <v>1092</v>
      </c>
      <c r="B828" s="231" t="s">
        <v>2405</v>
      </c>
      <c r="C828" s="261" t="s">
        <v>2406</v>
      </c>
      <c r="D828" s="231" t="s">
        <v>2412</v>
      </c>
      <c r="E828" s="3" t="s">
        <v>102</v>
      </c>
      <c r="F828" s="26" t="s">
        <v>103</v>
      </c>
      <c r="G828" s="26" t="s">
        <v>56</v>
      </c>
      <c r="H828" s="26" t="s">
        <v>77</v>
      </c>
      <c r="I828" s="26" t="s">
        <v>2799</v>
      </c>
      <c r="J828" s="22">
        <v>2.5</v>
      </c>
      <c r="L828" s="28" t="s">
        <v>58</v>
      </c>
      <c r="M828" s="22" t="s">
        <v>78</v>
      </c>
      <c r="N828" s="178">
        <v>216</v>
      </c>
      <c r="O828" s="22" t="s">
        <v>60</v>
      </c>
      <c r="P828" s="22" t="s">
        <v>79</v>
      </c>
      <c r="Q828" s="23" t="s">
        <v>621</v>
      </c>
      <c r="R828" s="23" t="s">
        <v>2408</v>
      </c>
      <c r="Z828" s="83" t="s">
        <v>63</v>
      </c>
      <c r="AA828" s="6">
        <v>24</v>
      </c>
      <c r="AB828" s="6">
        <v>0</v>
      </c>
      <c r="AC828" s="5">
        <v>26.5</v>
      </c>
      <c r="AD828" s="5" t="s">
        <v>80</v>
      </c>
      <c r="AE828" s="5" t="s">
        <v>335</v>
      </c>
      <c r="AF828" s="5">
        <v>4.5999999999999996</v>
      </c>
      <c r="AG828" s="5" t="s">
        <v>80</v>
      </c>
      <c r="AH828" s="5" t="s">
        <v>117</v>
      </c>
      <c r="AI828" s="5">
        <v>20</v>
      </c>
      <c r="AJ828" s="5">
        <v>38</v>
      </c>
      <c r="AK828" s="6">
        <v>69.2</v>
      </c>
      <c r="AL828" s="6" t="s">
        <v>81</v>
      </c>
      <c r="AM828" s="6" t="s">
        <v>335</v>
      </c>
      <c r="AN828" s="6">
        <v>7.7</v>
      </c>
      <c r="AO828" s="6" t="s">
        <v>81</v>
      </c>
      <c r="AP828" s="6" t="s">
        <v>117</v>
      </c>
      <c r="AQ828" s="6">
        <v>56.8</v>
      </c>
      <c r="AR828" s="6">
        <v>87.3</v>
      </c>
      <c r="BQ828" s="6" t="s">
        <v>2409</v>
      </c>
      <c r="BR828" s="5" t="s">
        <v>2410</v>
      </c>
    </row>
    <row r="829" spans="1:70" hidden="1" x14ac:dyDescent="0.2">
      <c r="A829" s="258">
        <v>1093</v>
      </c>
      <c r="B829" s="231" t="s">
        <v>2413</v>
      </c>
      <c r="C829" s="261" t="s">
        <v>2414</v>
      </c>
      <c r="D829" s="231" t="s">
        <v>2415</v>
      </c>
      <c r="E829" s="3" t="s">
        <v>102</v>
      </c>
      <c r="F829" s="26" t="s">
        <v>103</v>
      </c>
      <c r="G829" s="26" t="s">
        <v>56</v>
      </c>
      <c r="H829" s="26" t="s">
        <v>2416</v>
      </c>
      <c r="J829" s="22">
        <v>1</v>
      </c>
      <c r="L829" s="28" t="s">
        <v>58</v>
      </c>
      <c r="M829" s="22" t="s">
        <v>78</v>
      </c>
      <c r="N829" s="178">
        <v>0</v>
      </c>
      <c r="O829" s="22" t="s">
        <v>60</v>
      </c>
      <c r="P829" s="22" t="s">
        <v>79</v>
      </c>
      <c r="Q829" s="23" t="s">
        <v>2417</v>
      </c>
      <c r="R829" s="23" t="s">
        <v>2408</v>
      </c>
      <c r="V829" s="25" t="s">
        <v>615</v>
      </c>
      <c r="W829" s="65">
        <v>10</v>
      </c>
      <c r="Y829" s="25" t="s">
        <v>2418</v>
      </c>
      <c r="Z829" s="83" t="s">
        <v>63</v>
      </c>
      <c r="AA829" s="6">
        <v>12</v>
      </c>
      <c r="AB829" s="6">
        <v>12</v>
      </c>
      <c r="AC829" s="5">
        <v>23.9</v>
      </c>
      <c r="AD829" s="5" t="s">
        <v>80</v>
      </c>
      <c r="AE829" s="5" t="s">
        <v>335</v>
      </c>
      <c r="AF829" s="5">
        <v>4.0999999999999996</v>
      </c>
      <c r="AG829" s="5" t="s">
        <v>80</v>
      </c>
      <c r="AH829" s="5" t="s">
        <v>117</v>
      </c>
      <c r="AI829" s="5">
        <v>20</v>
      </c>
      <c r="AJ829" s="5">
        <v>30</v>
      </c>
      <c r="AK829" s="6">
        <v>51.3</v>
      </c>
      <c r="AL829" s="6" t="s">
        <v>81</v>
      </c>
      <c r="AM829" s="6" t="s">
        <v>335</v>
      </c>
      <c r="AN829" s="6">
        <v>4.4000000000000004</v>
      </c>
      <c r="AO829" s="6" t="s">
        <v>81</v>
      </c>
      <c r="AP829" s="6" t="s">
        <v>117</v>
      </c>
      <c r="AQ829" s="6">
        <v>46</v>
      </c>
      <c r="AR829" s="6">
        <v>59.6</v>
      </c>
      <c r="BQ829" s="6" t="s">
        <v>2409</v>
      </c>
      <c r="BR829" s="5" t="s">
        <v>2419</v>
      </c>
    </row>
    <row r="830" spans="1:70" hidden="1" x14ac:dyDescent="0.2">
      <c r="A830" s="258">
        <v>1094</v>
      </c>
      <c r="B830" s="231" t="s">
        <v>2413</v>
      </c>
      <c r="C830" s="261" t="s">
        <v>2414</v>
      </c>
      <c r="D830" s="231" t="s">
        <v>2420</v>
      </c>
      <c r="E830" s="3" t="s">
        <v>102</v>
      </c>
      <c r="F830" s="26" t="s">
        <v>103</v>
      </c>
      <c r="G830" s="26" t="s">
        <v>56</v>
      </c>
      <c r="H830" s="26" t="s">
        <v>2416</v>
      </c>
      <c r="J830" s="22">
        <v>1</v>
      </c>
      <c r="L830" s="28" t="s">
        <v>58</v>
      </c>
      <c r="M830" s="22" t="s">
        <v>78</v>
      </c>
      <c r="N830" s="178">
        <v>73</v>
      </c>
      <c r="O830" s="22" t="s">
        <v>60</v>
      </c>
      <c r="P830" s="22" t="s">
        <v>79</v>
      </c>
      <c r="Q830" s="23" t="s">
        <v>2417</v>
      </c>
      <c r="R830" s="23" t="s">
        <v>2408</v>
      </c>
      <c r="V830" s="25" t="s">
        <v>615</v>
      </c>
      <c r="W830" s="65">
        <v>10</v>
      </c>
      <c r="Y830" s="25" t="s">
        <v>2418</v>
      </c>
      <c r="Z830" s="83" t="s">
        <v>63</v>
      </c>
      <c r="AA830" s="6">
        <v>12</v>
      </c>
      <c r="AB830" s="6">
        <v>12</v>
      </c>
      <c r="AC830" s="5">
        <v>23.9</v>
      </c>
      <c r="AD830" s="5" t="s">
        <v>80</v>
      </c>
      <c r="AE830" s="5" t="s">
        <v>335</v>
      </c>
      <c r="AF830" s="5">
        <v>4.0999999999999996</v>
      </c>
      <c r="AG830" s="5" t="s">
        <v>80</v>
      </c>
      <c r="AH830" s="5" t="s">
        <v>117</v>
      </c>
      <c r="AI830" s="5">
        <v>20</v>
      </c>
      <c r="AJ830" s="5">
        <v>30</v>
      </c>
      <c r="AK830" s="6">
        <v>51.3</v>
      </c>
      <c r="AL830" s="6" t="s">
        <v>81</v>
      </c>
      <c r="AM830" s="6" t="s">
        <v>335</v>
      </c>
      <c r="AN830" s="6">
        <v>4.4000000000000004</v>
      </c>
      <c r="AO830" s="6" t="s">
        <v>81</v>
      </c>
      <c r="AP830" s="6" t="s">
        <v>117</v>
      </c>
      <c r="AQ830" s="6">
        <v>46</v>
      </c>
      <c r="AR830" s="6">
        <v>59.6</v>
      </c>
      <c r="BQ830" s="6" t="s">
        <v>2409</v>
      </c>
      <c r="BR830" s="5" t="s">
        <v>2419</v>
      </c>
    </row>
    <row r="831" spans="1:70" hidden="1" x14ac:dyDescent="0.2">
      <c r="A831" s="258">
        <v>1095</v>
      </c>
      <c r="B831" s="231" t="s">
        <v>2413</v>
      </c>
      <c r="C831" s="261" t="s">
        <v>2414</v>
      </c>
      <c r="D831" s="231" t="s">
        <v>2421</v>
      </c>
      <c r="E831" s="3" t="s">
        <v>102</v>
      </c>
      <c r="F831" s="26" t="s">
        <v>103</v>
      </c>
      <c r="G831" s="26" t="s">
        <v>56</v>
      </c>
      <c r="H831" s="26" t="s">
        <v>2416</v>
      </c>
      <c r="J831" s="22">
        <v>2.5</v>
      </c>
      <c r="L831" s="28" t="s">
        <v>58</v>
      </c>
      <c r="M831" s="22" t="s">
        <v>78</v>
      </c>
      <c r="N831" s="178">
        <v>216</v>
      </c>
      <c r="O831" s="22" t="s">
        <v>60</v>
      </c>
      <c r="P831" s="22" t="s">
        <v>79</v>
      </c>
      <c r="Q831" s="23" t="s">
        <v>2417</v>
      </c>
      <c r="R831" s="23" t="s">
        <v>2408</v>
      </c>
      <c r="V831" s="25" t="s">
        <v>615</v>
      </c>
      <c r="W831" s="65">
        <v>10</v>
      </c>
      <c r="Y831" s="25" t="s">
        <v>2418</v>
      </c>
      <c r="Z831" s="83" t="s">
        <v>63</v>
      </c>
      <c r="AA831" s="6">
        <v>12</v>
      </c>
      <c r="AB831" s="6">
        <v>12</v>
      </c>
      <c r="AC831" s="5">
        <v>23.9</v>
      </c>
      <c r="AD831" s="5" t="s">
        <v>80</v>
      </c>
      <c r="AE831" s="5" t="s">
        <v>335</v>
      </c>
      <c r="AF831" s="5">
        <v>4.0999999999999996</v>
      </c>
      <c r="AG831" s="5" t="s">
        <v>80</v>
      </c>
      <c r="AH831" s="5" t="s">
        <v>117</v>
      </c>
      <c r="AI831" s="5">
        <v>20</v>
      </c>
      <c r="AJ831" s="5">
        <v>30</v>
      </c>
      <c r="AK831" s="6">
        <v>51.3</v>
      </c>
      <c r="AL831" s="6" t="s">
        <v>81</v>
      </c>
      <c r="AM831" s="6" t="s">
        <v>335</v>
      </c>
      <c r="AN831" s="6">
        <v>4.4000000000000004</v>
      </c>
      <c r="AO831" s="6" t="s">
        <v>81</v>
      </c>
      <c r="AP831" s="6" t="s">
        <v>117</v>
      </c>
      <c r="AQ831" s="6">
        <v>46</v>
      </c>
      <c r="AR831" s="6">
        <v>59.6</v>
      </c>
      <c r="BQ831" s="6" t="s">
        <v>2409</v>
      </c>
      <c r="BR831" s="5" t="s">
        <v>2419</v>
      </c>
    </row>
    <row r="832" spans="1:70" hidden="1" x14ac:dyDescent="0.2">
      <c r="A832" s="259">
        <v>1096</v>
      </c>
      <c r="B832" s="231" t="s">
        <v>2422</v>
      </c>
      <c r="C832" s="261" t="s">
        <v>2423</v>
      </c>
      <c r="D832" s="231" t="s">
        <v>2424</v>
      </c>
      <c r="E832" s="3" t="s">
        <v>102</v>
      </c>
      <c r="F832" s="26" t="s">
        <v>103</v>
      </c>
      <c r="G832" s="26" t="s">
        <v>56</v>
      </c>
      <c r="H832" s="26" t="s">
        <v>2425</v>
      </c>
      <c r="I832" s="26" t="s">
        <v>2426</v>
      </c>
      <c r="J832" s="22">
        <v>10</v>
      </c>
      <c r="L832" s="28" t="s">
        <v>449</v>
      </c>
      <c r="M832" s="22" t="s">
        <v>59</v>
      </c>
      <c r="N832" s="22">
        <v>0</v>
      </c>
      <c r="O832" s="22" t="s">
        <v>60</v>
      </c>
      <c r="P832" s="22" t="s">
        <v>79</v>
      </c>
      <c r="Q832" s="23" t="s">
        <v>2427</v>
      </c>
      <c r="R832" s="23" t="s">
        <v>2428</v>
      </c>
      <c r="T832" s="23" t="s">
        <v>2429</v>
      </c>
      <c r="U832" s="23" t="s">
        <v>2430</v>
      </c>
      <c r="Z832" s="83" t="s">
        <v>63</v>
      </c>
      <c r="AA832" s="6">
        <v>12</v>
      </c>
      <c r="AD832" s="5" t="s">
        <v>80</v>
      </c>
      <c r="AI832" s="5">
        <v>19</v>
      </c>
      <c r="AJ832" s="5">
        <v>55</v>
      </c>
      <c r="BB832" s="6" t="s">
        <v>367</v>
      </c>
      <c r="BG832" s="6">
        <v>18.5</v>
      </c>
      <c r="BH832" s="6">
        <v>32</v>
      </c>
      <c r="BQ832" s="6" t="s">
        <v>214</v>
      </c>
      <c r="BR832" s="5" t="s">
        <v>2431</v>
      </c>
    </row>
    <row r="833" spans="1:70" hidden="1" x14ac:dyDescent="0.2">
      <c r="A833" s="259">
        <v>1097</v>
      </c>
      <c r="B833" s="231" t="s">
        <v>2422</v>
      </c>
      <c r="C833" s="261" t="s">
        <v>2423</v>
      </c>
      <c r="D833" s="231" t="s">
        <v>2432</v>
      </c>
      <c r="E833" s="3" t="s">
        <v>102</v>
      </c>
      <c r="F833" s="26" t="s">
        <v>103</v>
      </c>
      <c r="G833" s="26" t="s">
        <v>56</v>
      </c>
      <c r="H833" s="26" t="s">
        <v>2425</v>
      </c>
      <c r="I833" s="26" t="s">
        <v>2426</v>
      </c>
      <c r="J833" s="22">
        <v>10</v>
      </c>
      <c r="L833" s="28" t="s">
        <v>449</v>
      </c>
      <c r="M833" s="22" t="s">
        <v>59</v>
      </c>
      <c r="N833" s="22">
        <v>72</v>
      </c>
      <c r="O833" s="22" t="s">
        <v>60</v>
      </c>
      <c r="P833" s="22" t="s">
        <v>79</v>
      </c>
      <c r="Q833" s="23" t="s">
        <v>2427</v>
      </c>
      <c r="R833" s="23" t="s">
        <v>2428</v>
      </c>
      <c r="T833" s="23" t="s">
        <v>2429</v>
      </c>
      <c r="U833" s="23" t="s">
        <v>2430</v>
      </c>
      <c r="Z833" s="83" t="s">
        <v>63</v>
      </c>
      <c r="AA833" s="6">
        <v>8</v>
      </c>
      <c r="AD833" s="5" t="s">
        <v>80</v>
      </c>
      <c r="AI833" s="5">
        <v>19</v>
      </c>
      <c r="AJ833" s="5">
        <v>55</v>
      </c>
      <c r="BB833" s="6" t="s">
        <v>367</v>
      </c>
      <c r="BG833" s="6">
        <v>18.5</v>
      </c>
      <c r="BH833" s="6">
        <v>32</v>
      </c>
      <c r="BQ833" s="6" t="s">
        <v>214</v>
      </c>
      <c r="BR833" s="5" t="s">
        <v>2431</v>
      </c>
    </row>
    <row r="834" spans="1:70" hidden="1" x14ac:dyDescent="0.2">
      <c r="A834" s="259">
        <v>1098</v>
      </c>
      <c r="B834" s="231" t="s">
        <v>2422</v>
      </c>
      <c r="C834" s="261" t="s">
        <v>2423</v>
      </c>
      <c r="D834" s="231" t="s">
        <v>2433</v>
      </c>
      <c r="E834" s="3" t="s">
        <v>102</v>
      </c>
      <c r="F834" s="26" t="s">
        <v>103</v>
      </c>
      <c r="G834" s="26" t="s">
        <v>56</v>
      </c>
      <c r="H834" s="26" t="s">
        <v>2425</v>
      </c>
      <c r="I834" s="26" t="s">
        <v>2426</v>
      </c>
      <c r="J834" s="22">
        <v>10</v>
      </c>
      <c r="L834" s="28" t="s">
        <v>449</v>
      </c>
      <c r="M834" s="22" t="s">
        <v>59</v>
      </c>
      <c r="N834" s="22">
        <v>0</v>
      </c>
      <c r="O834" s="22" t="s">
        <v>60</v>
      </c>
      <c r="P834" s="22" t="s">
        <v>79</v>
      </c>
      <c r="Q834" s="23" t="s">
        <v>2427</v>
      </c>
      <c r="R834" s="23" t="s">
        <v>2428</v>
      </c>
      <c r="T834" s="23" t="s">
        <v>2429</v>
      </c>
      <c r="U834" s="23" t="s">
        <v>2430</v>
      </c>
      <c r="Z834" s="83" t="s">
        <v>63</v>
      </c>
      <c r="AA834" s="6">
        <v>8</v>
      </c>
      <c r="AD834" s="5" t="s">
        <v>80</v>
      </c>
      <c r="AI834" s="5">
        <v>19</v>
      </c>
      <c r="AJ834" s="5">
        <v>55</v>
      </c>
      <c r="BB834" s="6" t="s">
        <v>367</v>
      </c>
      <c r="BG834" s="6">
        <v>18.5</v>
      </c>
      <c r="BH834" s="6">
        <v>32</v>
      </c>
      <c r="BQ834" s="6" t="s">
        <v>214</v>
      </c>
      <c r="BR834" s="5" t="s">
        <v>2434</v>
      </c>
    </row>
    <row r="835" spans="1:70" hidden="1" x14ac:dyDescent="0.2">
      <c r="A835" s="259">
        <v>1099</v>
      </c>
      <c r="B835" s="231" t="s">
        <v>2422</v>
      </c>
      <c r="C835" s="261" t="s">
        <v>2423</v>
      </c>
      <c r="D835" s="231" t="s">
        <v>2435</v>
      </c>
      <c r="E835" s="3" t="s">
        <v>102</v>
      </c>
      <c r="F835" s="26" t="s">
        <v>103</v>
      </c>
      <c r="G835" s="26" t="s">
        <v>56</v>
      </c>
      <c r="H835" s="26" t="s">
        <v>2425</v>
      </c>
      <c r="I835" s="26" t="s">
        <v>2426</v>
      </c>
      <c r="J835" s="22">
        <v>10</v>
      </c>
      <c r="L835" s="28" t="s">
        <v>449</v>
      </c>
      <c r="M835" s="22" t="s">
        <v>59</v>
      </c>
      <c r="N835" s="22">
        <v>72</v>
      </c>
      <c r="O835" s="22" t="s">
        <v>60</v>
      </c>
      <c r="P835" s="22" t="s">
        <v>79</v>
      </c>
      <c r="Q835" s="23" t="s">
        <v>2427</v>
      </c>
      <c r="R835" s="23" t="s">
        <v>2428</v>
      </c>
      <c r="T835" s="23" t="s">
        <v>2429</v>
      </c>
      <c r="U835" s="23" t="s">
        <v>2430</v>
      </c>
      <c r="Z835" s="83" t="s">
        <v>63</v>
      </c>
      <c r="AA835" s="6">
        <v>8</v>
      </c>
      <c r="AD835" s="5" t="s">
        <v>80</v>
      </c>
      <c r="AI835" s="5">
        <v>19</v>
      </c>
      <c r="AJ835" s="5">
        <v>55</v>
      </c>
      <c r="BB835" s="6" t="s">
        <v>367</v>
      </c>
      <c r="BG835" s="6">
        <v>18.5</v>
      </c>
      <c r="BH835" s="6">
        <v>32</v>
      </c>
      <c r="BQ835" s="6" t="s">
        <v>214</v>
      </c>
      <c r="BR835" s="5" t="s">
        <v>2431</v>
      </c>
    </row>
    <row r="836" spans="1:70" hidden="1" x14ac:dyDescent="0.2">
      <c r="A836" s="256">
        <v>1102</v>
      </c>
      <c r="B836" s="231" t="s">
        <v>2188</v>
      </c>
      <c r="C836" s="261" t="s">
        <v>1990</v>
      </c>
      <c r="D836" s="231" t="s">
        <v>2873</v>
      </c>
      <c r="E836" s="3" t="s">
        <v>1974</v>
      </c>
      <c r="F836" s="26" t="s">
        <v>103</v>
      </c>
      <c r="G836" s="26" t="s">
        <v>56</v>
      </c>
      <c r="H836" s="26" t="s">
        <v>2436</v>
      </c>
      <c r="J836" s="22">
        <v>0.125</v>
      </c>
      <c r="L836" s="28" t="s">
        <v>58</v>
      </c>
      <c r="M836" s="22" t="s">
        <v>59</v>
      </c>
      <c r="N836" s="22">
        <v>25</v>
      </c>
      <c r="O836" s="22" t="s">
        <v>60</v>
      </c>
      <c r="P836" s="22" t="s">
        <v>79</v>
      </c>
      <c r="R836" s="23" t="s">
        <v>2437</v>
      </c>
      <c r="U836" s="23" t="s">
        <v>1992</v>
      </c>
      <c r="V836" s="25" t="s">
        <v>644</v>
      </c>
      <c r="W836" s="65" t="s">
        <v>2438</v>
      </c>
      <c r="X836" s="106" t="s">
        <v>2440</v>
      </c>
      <c r="Z836" s="83" t="s">
        <v>63</v>
      </c>
      <c r="AA836" s="6">
        <v>12</v>
      </c>
      <c r="AB836" s="6">
        <v>6</v>
      </c>
      <c r="AD836" s="5" t="s">
        <v>80</v>
      </c>
      <c r="AI836" s="5">
        <v>21</v>
      </c>
      <c r="AJ836" s="5">
        <v>39</v>
      </c>
      <c r="BQ836" s="6" t="s">
        <v>214</v>
      </c>
      <c r="BR836" s="5" t="s">
        <v>2439</v>
      </c>
    </row>
    <row r="837" spans="1:70" hidden="1" x14ac:dyDescent="0.2">
      <c r="A837" s="256">
        <v>1103</v>
      </c>
      <c r="B837" s="231" t="s">
        <v>2441</v>
      </c>
      <c r="C837" s="261" t="s">
        <v>2442</v>
      </c>
      <c r="D837" s="231" t="s">
        <v>2109</v>
      </c>
      <c r="E837" s="3" t="s">
        <v>2053</v>
      </c>
      <c r="F837" s="26" t="s">
        <v>103</v>
      </c>
      <c r="G837" s="26" t="s">
        <v>56</v>
      </c>
      <c r="H837" s="26" t="s">
        <v>57</v>
      </c>
      <c r="J837" s="22">
        <v>1</v>
      </c>
      <c r="L837" s="28" t="s">
        <v>58</v>
      </c>
      <c r="M837" s="22" t="s">
        <v>59</v>
      </c>
      <c r="N837" s="22" t="s">
        <v>2443</v>
      </c>
      <c r="O837" s="22" t="s">
        <v>60</v>
      </c>
      <c r="P837" s="22" t="s">
        <v>2874</v>
      </c>
      <c r="R837" s="23" t="s">
        <v>2875</v>
      </c>
      <c r="V837" s="25" t="s">
        <v>644</v>
      </c>
      <c r="Y837" s="25" t="s">
        <v>2445</v>
      </c>
      <c r="Z837" s="83" t="s">
        <v>63</v>
      </c>
      <c r="AA837" s="6">
        <v>20</v>
      </c>
      <c r="AB837" s="6">
        <v>0</v>
      </c>
      <c r="AD837" s="5" t="s">
        <v>80</v>
      </c>
      <c r="AI837" s="5">
        <v>20</v>
      </c>
      <c r="AJ837" s="5">
        <v>44</v>
      </c>
      <c r="AL837" s="6" t="s">
        <v>81</v>
      </c>
      <c r="AQ837" s="6">
        <v>59</v>
      </c>
      <c r="AR837" s="6">
        <v>100</v>
      </c>
      <c r="BQ837" s="6" t="s">
        <v>214</v>
      </c>
      <c r="BR837" s="5" t="s">
        <v>2876</v>
      </c>
    </row>
    <row r="838" spans="1:70" hidden="1" x14ac:dyDescent="0.2">
      <c r="A838" s="256">
        <v>1104</v>
      </c>
      <c r="B838" s="231" t="s">
        <v>2441</v>
      </c>
      <c r="C838" s="261" t="s">
        <v>2442</v>
      </c>
      <c r="D838" s="231" t="s">
        <v>2446</v>
      </c>
      <c r="E838" s="3" t="s">
        <v>2053</v>
      </c>
      <c r="F838" s="26" t="s">
        <v>103</v>
      </c>
      <c r="G838" s="26" t="s">
        <v>56</v>
      </c>
      <c r="H838" s="26" t="s">
        <v>57</v>
      </c>
      <c r="J838" s="22">
        <v>1</v>
      </c>
      <c r="L838" s="28" t="s">
        <v>58</v>
      </c>
      <c r="M838" s="22" t="s">
        <v>59</v>
      </c>
      <c r="N838" s="22" t="s">
        <v>2447</v>
      </c>
      <c r="O838" s="22" t="s">
        <v>60</v>
      </c>
      <c r="P838" s="22" t="s">
        <v>2874</v>
      </c>
      <c r="R838" s="23" t="s">
        <v>2875</v>
      </c>
      <c r="V838" s="25" t="s">
        <v>644</v>
      </c>
      <c r="Y838" s="25" t="s">
        <v>2445</v>
      </c>
      <c r="Z838" s="83" t="s">
        <v>63</v>
      </c>
      <c r="AA838" s="6">
        <v>20</v>
      </c>
      <c r="AB838" s="6">
        <v>0</v>
      </c>
      <c r="AD838" s="5" t="s">
        <v>80</v>
      </c>
      <c r="AI838" s="5">
        <v>20</v>
      </c>
      <c r="AJ838" s="5">
        <v>44</v>
      </c>
      <c r="AL838" s="6" t="s">
        <v>81</v>
      </c>
      <c r="AQ838" s="6">
        <v>59</v>
      </c>
      <c r="AR838" s="6">
        <v>100</v>
      </c>
      <c r="BQ838" s="6" t="s">
        <v>214</v>
      </c>
      <c r="BR838" s="5" t="s">
        <v>2876</v>
      </c>
    </row>
    <row r="839" spans="1:70" hidden="1" x14ac:dyDescent="0.2">
      <c r="A839" s="256">
        <v>1105</v>
      </c>
      <c r="B839" s="231" t="s">
        <v>2441</v>
      </c>
      <c r="C839" s="261" t="s">
        <v>2442</v>
      </c>
      <c r="D839" s="231" t="s">
        <v>2448</v>
      </c>
      <c r="E839" s="3" t="s">
        <v>1094</v>
      </c>
      <c r="F839" s="26" t="s">
        <v>103</v>
      </c>
      <c r="G839" s="26" t="s">
        <v>56</v>
      </c>
      <c r="H839" s="26" t="s">
        <v>157</v>
      </c>
      <c r="J839" s="22" t="s">
        <v>2877</v>
      </c>
      <c r="L839" s="28" t="s">
        <v>58</v>
      </c>
      <c r="M839" s="22" t="s">
        <v>59</v>
      </c>
      <c r="N839" s="22" t="s">
        <v>2659</v>
      </c>
      <c r="O839" s="22" t="s">
        <v>60</v>
      </c>
      <c r="P839" s="22" t="s">
        <v>2449</v>
      </c>
      <c r="Q839" s="23" t="s">
        <v>2450</v>
      </c>
      <c r="R839" s="23" t="s">
        <v>2451</v>
      </c>
      <c r="V839" s="25" t="s">
        <v>644</v>
      </c>
      <c r="Y839" s="25" t="s">
        <v>2445</v>
      </c>
      <c r="Z839" s="83" t="s">
        <v>63</v>
      </c>
      <c r="AA839" s="6">
        <v>20</v>
      </c>
      <c r="AB839" s="6">
        <v>0</v>
      </c>
      <c r="AD839" s="5" t="s">
        <v>80</v>
      </c>
      <c r="AI839" s="5">
        <v>20</v>
      </c>
      <c r="AJ839" s="5">
        <v>44</v>
      </c>
      <c r="AL839" s="6" t="s">
        <v>81</v>
      </c>
      <c r="AQ839" s="6">
        <v>59</v>
      </c>
      <c r="AR839" s="6">
        <v>100</v>
      </c>
      <c r="BQ839" s="6" t="s">
        <v>214</v>
      </c>
      <c r="BR839" s="5" t="s">
        <v>2876</v>
      </c>
    </row>
    <row r="840" spans="1:70" hidden="1" x14ac:dyDescent="0.2">
      <c r="A840" s="256">
        <v>1106</v>
      </c>
      <c r="B840" s="231" t="s">
        <v>2441</v>
      </c>
      <c r="C840" s="261" t="s">
        <v>2442</v>
      </c>
      <c r="D840" s="231" t="s">
        <v>2452</v>
      </c>
      <c r="E840" s="3" t="s">
        <v>1094</v>
      </c>
      <c r="F840" s="26" t="s">
        <v>103</v>
      </c>
      <c r="G840" s="26" t="s">
        <v>56</v>
      </c>
      <c r="H840" s="26" t="s">
        <v>157</v>
      </c>
      <c r="J840" s="22" t="s">
        <v>2877</v>
      </c>
      <c r="L840" s="28" t="s">
        <v>58</v>
      </c>
      <c r="M840" s="22" t="s">
        <v>59</v>
      </c>
      <c r="N840" s="22" t="s">
        <v>2659</v>
      </c>
      <c r="O840" s="22" t="s">
        <v>60</v>
      </c>
      <c r="P840" s="22" t="s">
        <v>2449</v>
      </c>
      <c r="Q840" s="23" t="s">
        <v>2450</v>
      </c>
      <c r="R840" s="23" t="s">
        <v>2451</v>
      </c>
      <c r="V840" s="25" t="s">
        <v>644</v>
      </c>
      <c r="Y840" s="25" t="s">
        <v>2445</v>
      </c>
      <c r="Z840" s="83" t="s">
        <v>63</v>
      </c>
      <c r="AA840" s="6">
        <v>20</v>
      </c>
      <c r="AB840" s="6">
        <v>0</v>
      </c>
      <c r="AD840" s="5" t="s">
        <v>80</v>
      </c>
      <c r="AI840" s="5">
        <v>20</v>
      </c>
      <c r="AJ840" s="5">
        <v>44</v>
      </c>
      <c r="AL840" s="6" t="s">
        <v>81</v>
      </c>
      <c r="AQ840" s="6">
        <v>59</v>
      </c>
      <c r="AR840" s="6">
        <v>100</v>
      </c>
      <c r="BQ840" s="6" t="s">
        <v>214</v>
      </c>
      <c r="BR840" s="5" t="s">
        <v>2876</v>
      </c>
    </row>
    <row r="841" spans="1:70" hidden="1" x14ac:dyDescent="0.2">
      <c r="A841" s="259">
        <v>1107</v>
      </c>
      <c r="B841" s="231" t="s">
        <v>2453</v>
      </c>
      <c r="C841" s="261" t="s">
        <v>2454</v>
      </c>
      <c r="D841" s="231" t="s">
        <v>2455</v>
      </c>
      <c r="E841" s="3" t="s">
        <v>102</v>
      </c>
      <c r="F841" s="26" t="s">
        <v>103</v>
      </c>
      <c r="G841" s="26" t="s">
        <v>56</v>
      </c>
      <c r="H841" s="26" t="s">
        <v>2456</v>
      </c>
      <c r="J841" s="22">
        <v>15</v>
      </c>
      <c r="L841" s="28" t="s">
        <v>58</v>
      </c>
      <c r="M841" s="22" t="s">
        <v>59</v>
      </c>
      <c r="N841" s="22">
        <v>0</v>
      </c>
      <c r="O841" s="22" t="s">
        <v>60</v>
      </c>
      <c r="P841" s="22" t="s">
        <v>79</v>
      </c>
      <c r="Q841" s="23" t="s">
        <v>2457</v>
      </c>
      <c r="R841" s="23" t="s">
        <v>2458</v>
      </c>
      <c r="T841" s="23">
        <v>150</v>
      </c>
      <c r="V841" s="25" t="s">
        <v>615</v>
      </c>
      <c r="W841" s="65">
        <v>3</v>
      </c>
      <c r="X841" s="106" t="s">
        <v>203</v>
      </c>
      <c r="Y841" s="25" t="s">
        <v>2459</v>
      </c>
      <c r="Z841" s="83" t="s">
        <v>63</v>
      </c>
      <c r="AA841" s="6">
        <v>9</v>
      </c>
      <c r="AB841" s="6">
        <v>9</v>
      </c>
      <c r="AD841" s="5" t="s">
        <v>80</v>
      </c>
      <c r="AI841" s="5">
        <v>19</v>
      </c>
      <c r="AJ841" s="5">
        <v>28</v>
      </c>
      <c r="AL841" s="6" t="s">
        <v>81</v>
      </c>
      <c r="AQ841" s="6">
        <v>55</v>
      </c>
      <c r="AR841" s="6">
        <v>80</v>
      </c>
      <c r="BQ841" s="6" t="s">
        <v>354</v>
      </c>
      <c r="BR841" s="5" t="s">
        <v>2460</v>
      </c>
    </row>
    <row r="842" spans="1:70" hidden="1" x14ac:dyDescent="0.2">
      <c r="A842" s="259">
        <v>1108</v>
      </c>
      <c r="B842" s="231" t="s">
        <v>2453</v>
      </c>
      <c r="C842" s="261" t="s">
        <v>2454</v>
      </c>
      <c r="D842" s="231" t="s">
        <v>2461</v>
      </c>
      <c r="E842" s="3" t="s">
        <v>102</v>
      </c>
      <c r="F842" s="26" t="s">
        <v>103</v>
      </c>
      <c r="G842" s="26" t="s">
        <v>56</v>
      </c>
      <c r="H842" s="26" t="s">
        <v>2456</v>
      </c>
      <c r="J842" s="22">
        <v>15</v>
      </c>
      <c r="L842" s="28" t="s">
        <v>58</v>
      </c>
      <c r="M842" s="22" t="s">
        <v>59</v>
      </c>
      <c r="N842" s="22">
        <v>25</v>
      </c>
      <c r="O842" s="22" t="s">
        <v>60</v>
      </c>
      <c r="P842" s="22" t="s">
        <v>79</v>
      </c>
      <c r="Q842" s="23" t="s">
        <v>2457</v>
      </c>
      <c r="R842" s="23" t="s">
        <v>2462</v>
      </c>
      <c r="T842" s="23">
        <v>150</v>
      </c>
      <c r="V842" s="25" t="s">
        <v>615</v>
      </c>
      <c r="W842" s="65">
        <v>3</v>
      </c>
      <c r="X842" s="106" t="s">
        <v>203</v>
      </c>
      <c r="Y842" s="25" t="s">
        <v>2459</v>
      </c>
      <c r="Z842" s="83" t="s">
        <v>63</v>
      </c>
      <c r="AA842" s="6">
        <v>9</v>
      </c>
      <c r="AB842" s="6">
        <v>9</v>
      </c>
      <c r="AD842" s="5" t="s">
        <v>80</v>
      </c>
      <c r="AI842" s="5">
        <v>19</v>
      </c>
      <c r="AJ842" s="5">
        <v>28</v>
      </c>
      <c r="AL842" s="6" t="s">
        <v>81</v>
      </c>
      <c r="AQ842" s="6">
        <v>55</v>
      </c>
      <c r="AR842" s="6">
        <v>80</v>
      </c>
      <c r="BQ842" s="6" t="s">
        <v>354</v>
      </c>
      <c r="BR842" s="5" t="s">
        <v>2460</v>
      </c>
    </row>
    <row r="843" spans="1:70" hidden="1" x14ac:dyDescent="0.2">
      <c r="A843" s="259">
        <v>1109</v>
      </c>
      <c r="B843" s="231" t="s">
        <v>2453</v>
      </c>
      <c r="C843" s="261" t="s">
        <v>2454</v>
      </c>
      <c r="D843" s="231" t="s">
        <v>383</v>
      </c>
      <c r="E843" s="3" t="s">
        <v>383</v>
      </c>
      <c r="F843" s="26" t="s">
        <v>103</v>
      </c>
      <c r="G843" s="26" t="s">
        <v>56</v>
      </c>
      <c r="H843" s="26" t="s">
        <v>57</v>
      </c>
      <c r="J843" s="22">
        <v>80</v>
      </c>
      <c r="L843" s="28" t="s">
        <v>58</v>
      </c>
      <c r="M843" s="22" t="s">
        <v>59</v>
      </c>
      <c r="N843" s="22" t="s">
        <v>2463</v>
      </c>
      <c r="O843" s="22" t="s">
        <v>60</v>
      </c>
      <c r="P843" s="22" t="s">
        <v>92</v>
      </c>
      <c r="Q843" s="23" t="s">
        <v>2464</v>
      </c>
      <c r="R843" s="23" t="s">
        <v>2465</v>
      </c>
      <c r="Z843" s="83" t="s">
        <v>63</v>
      </c>
      <c r="AA843" s="6">
        <v>9</v>
      </c>
      <c r="AB843" s="6">
        <v>9</v>
      </c>
      <c r="AD843" s="5" t="s">
        <v>80</v>
      </c>
      <c r="AI843" s="5">
        <v>19</v>
      </c>
      <c r="AJ843" s="5">
        <v>28</v>
      </c>
      <c r="AL843" s="6" t="s">
        <v>81</v>
      </c>
      <c r="AQ843" s="6">
        <v>55</v>
      </c>
      <c r="AR843" s="6">
        <v>80</v>
      </c>
      <c r="BQ843" s="6" t="s">
        <v>354</v>
      </c>
      <c r="BR843" s="5" t="s">
        <v>2460</v>
      </c>
    </row>
    <row r="844" spans="1:70" hidden="1" x14ac:dyDescent="0.2">
      <c r="A844" s="259">
        <v>1110</v>
      </c>
      <c r="B844" s="231" t="s">
        <v>2466</v>
      </c>
      <c r="C844" s="261" t="s">
        <v>2467</v>
      </c>
      <c r="D844" s="231" t="s">
        <v>2468</v>
      </c>
      <c r="E844" s="3" t="s">
        <v>102</v>
      </c>
      <c r="F844" s="26" t="s">
        <v>103</v>
      </c>
      <c r="H844" s="26" t="s">
        <v>1967</v>
      </c>
      <c r="J844" s="22">
        <v>0.05</v>
      </c>
      <c r="L844" s="28" t="s">
        <v>107</v>
      </c>
      <c r="M844" s="22" t="s">
        <v>78</v>
      </c>
      <c r="N844" s="22">
        <v>0</v>
      </c>
      <c r="O844" s="22" t="s">
        <v>60</v>
      </c>
      <c r="P844" s="22" t="s">
        <v>79</v>
      </c>
      <c r="S844" s="24">
        <v>30</v>
      </c>
      <c r="Z844" s="83" t="s">
        <v>63</v>
      </c>
      <c r="AA844" s="6">
        <v>18</v>
      </c>
    </row>
    <row r="845" spans="1:70" hidden="1" x14ac:dyDescent="0.2">
      <c r="A845" s="259">
        <v>1111</v>
      </c>
      <c r="B845" s="231" t="s">
        <v>2466</v>
      </c>
      <c r="C845" s="261" t="s">
        <v>2467</v>
      </c>
      <c r="D845" s="231" t="s">
        <v>2469</v>
      </c>
      <c r="E845" s="3" t="s">
        <v>102</v>
      </c>
      <c r="F845" s="26" t="s">
        <v>103</v>
      </c>
      <c r="H845" s="26" t="s">
        <v>1967</v>
      </c>
      <c r="J845" s="22">
        <v>0.05</v>
      </c>
      <c r="L845" s="28" t="s">
        <v>107</v>
      </c>
      <c r="M845" s="22" t="s">
        <v>78</v>
      </c>
      <c r="N845" s="22">
        <v>144</v>
      </c>
      <c r="O845" s="22" t="s">
        <v>60</v>
      </c>
      <c r="P845" s="22" t="s">
        <v>79</v>
      </c>
      <c r="S845" s="24">
        <v>30</v>
      </c>
      <c r="Z845" s="83" t="s">
        <v>63</v>
      </c>
      <c r="AA845" s="6">
        <v>18</v>
      </c>
    </row>
    <row r="846" spans="1:70" x14ac:dyDescent="0.2">
      <c r="A846" s="91">
        <v>1112</v>
      </c>
      <c r="B846" s="231" t="s">
        <v>2470</v>
      </c>
      <c r="C846" s="261" t="s">
        <v>2471</v>
      </c>
      <c r="D846" s="231" t="s">
        <v>2472</v>
      </c>
    </row>
    <row r="847" spans="1:70" hidden="1" x14ac:dyDescent="0.2">
      <c r="A847" s="91">
        <v>1113</v>
      </c>
      <c r="B847" s="231" t="s">
        <v>2441</v>
      </c>
      <c r="C847" s="261" t="s">
        <v>2442</v>
      </c>
      <c r="D847" s="231" t="s">
        <v>2882</v>
      </c>
      <c r="E847" s="3" t="s">
        <v>2053</v>
      </c>
      <c r="F847" s="26" t="s">
        <v>103</v>
      </c>
      <c r="G847" s="26" t="s">
        <v>56</v>
      </c>
      <c r="H847" s="26" t="s">
        <v>57</v>
      </c>
      <c r="J847" s="22">
        <v>1</v>
      </c>
      <c r="L847" s="28" t="s">
        <v>58</v>
      </c>
      <c r="M847" s="22" t="s">
        <v>59</v>
      </c>
      <c r="N847" s="22" t="s">
        <v>2447</v>
      </c>
      <c r="O847" s="22" t="s">
        <v>60</v>
      </c>
      <c r="P847" s="22" t="s">
        <v>2874</v>
      </c>
      <c r="R847" s="23" t="s">
        <v>2875</v>
      </c>
      <c r="V847" s="25" t="s">
        <v>644</v>
      </c>
      <c r="Y847" s="25" t="s">
        <v>2445</v>
      </c>
      <c r="Z847" s="83" t="s">
        <v>63</v>
      </c>
      <c r="AA847" s="6">
        <v>20</v>
      </c>
      <c r="AB847" s="6">
        <v>0</v>
      </c>
      <c r="AD847" s="5" t="s">
        <v>80</v>
      </c>
      <c r="AI847" s="5">
        <v>20</v>
      </c>
      <c r="AJ847" s="5">
        <v>44</v>
      </c>
      <c r="AL847" s="6" t="s">
        <v>81</v>
      </c>
      <c r="AQ847" s="6">
        <v>59</v>
      </c>
      <c r="AR847" s="6">
        <v>100</v>
      </c>
      <c r="BQ847" s="6" t="s">
        <v>214</v>
      </c>
      <c r="BR847" s="5" t="s">
        <v>2876</v>
      </c>
    </row>
    <row r="848" spans="1:70" hidden="1" x14ac:dyDescent="0.2">
      <c r="A848" s="91">
        <v>1114</v>
      </c>
      <c r="B848" s="231" t="s">
        <v>2441</v>
      </c>
      <c r="C848" s="261" t="s">
        <v>2442</v>
      </c>
      <c r="D848" s="231" t="s">
        <v>2883</v>
      </c>
      <c r="E848" s="3" t="s">
        <v>1094</v>
      </c>
      <c r="F848" s="26" t="s">
        <v>103</v>
      </c>
      <c r="G848" s="26" t="s">
        <v>56</v>
      </c>
      <c r="H848" s="26" t="s">
        <v>157</v>
      </c>
      <c r="J848" s="22" t="s">
        <v>2877</v>
      </c>
      <c r="L848" s="28" t="s">
        <v>58</v>
      </c>
      <c r="M848" s="22" t="s">
        <v>59</v>
      </c>
      <c r="N848" s="22" t="s">
        <v>2659</v>
      </c>
      <c r="O848" s="22" t="s">
        <v>60</v>
      </c>
      <c r="P848" s="22" t="s">
        <v>2449</v>
      </c>
      <c r="Q848" s="23" t="s">
        <v>2450</v>
      </c>
      <c r="R848" s="23" t="s">
        <v>2451</v>
      </c>
      <c r="V848" s="25" t="s">
        <v>644</v>
      </c>
      <c r="Y848" s="25" t="s">
        <v>2445</v>
      </c>
      <c r="Z848" s="83" t="s">
        <v>63</v>
      </c>
      <c r="AA848" s="6">
        <v>20</v>
      </c>
      <c r="AB848" s="6">
        <v>0</v>
      </c>
      <c r="AD848" s="5" t="s">
        <v>80</v>
      </c>
      <c r="AI848" s="5">
        <v>20</v>
      </c>
      <c r="AJ848" s="5">
        <v>44</v>
      </c>
      <c r="AL848" s="6" t="s">
        <v>81</v>
      </c>
      <c r="AQ848" s="6">
        <v>59</v>
      </c>
      <c r="AR848" s="6">
        <v>100</v>
      </c>
      <c r="BQ848" s="6" t="s">
        <v>214</v>
      </c>
      <c r="BR848" s="5" t="s">
        <v>2876</v>
      </c>
    </row>
    <row r="849" spans="1:70" hidden="1" x14ac:dyDescent="0.2">
      <c r="A849" s="259">
        <v>1115</v>
      </c>
      <c r="B849" s="231" t="s">
        <v>2466</v>
      </c>
      <c r="C849" s="261" t="s">
        <v>2467</v>
      </c>
      <c r="D849" s="231" t="s">
        <v>2468</v>
      </c>
      <c r="E849" s="3" t="s">
        <v>102</v>
      </c>
      <c r="F849" s="26" t="s">
        <v>103</v>
      </c>
      <c r="H849" s="26" t="s">
        <v>1967</v>
      </c>
      <c r="J849" s="22">
        <v>4</v>
      </c>
      <c r="L849" s="28" t="s">
        <v>58</v>
      </c>
      <c r="M849" s="22" t="s">
        <v>59</v>
      </c>
      <c r="N849" s="22">
        <v>0</v>
      </c>
      <c r="O849" s="22" t="s">
        <v>60</v>
      </c>
      <c r="P849" s="22" t="s">
        <v>79</v>
      </c>
      <c r="Z849" s="83" t="s">
        <v>63</v>
      </c>
      <c r="AA849" s="6">
        <v>18</v>
      </c>
    </row>
    <row r="850" spans="1:70" hidden="1" x14ac:dyDescent="0.2">
      <c r="A850" s="259">
        <v>1116</v>
      </c>
      <c r="B850" s="231" t="s">
        <v>2466</v>
      </c>
      <c r="C850" s="261" t="s">
        <v>2467</v>
      </c>
      <c r="D850" s="231" t="s">
        <v>2469</v>
      </c>
      <c r="E850" s="3" t="s">
        <v>102</v>
      </c>
      <c r="F850" s="26" t="s">
        <v>103</v>
      </c>
      <c r="H850" s="26" t="s">
        <v>1967</v>
      </c>
      <c r="J850" s="22">
        <v>4</v>
      </c>
      <c r="L850" s="28" t="s">
        <v>58</v>
      </c>
      <c r="M850" s="22" t="s">
        <v>59</v>
      </c>
      <c r="N850" s="22">
        <v>168</v>
      </c>
      <c r="O850" s="22" t="s">
        <v>60</v>
      </c>
      <c r="P850" s="22" t="s">
        <v>79</v>
      </c>
      <c r="Z850" s="83" t="s">
        <v>63</v>
      </c>
      <c r="AA850" s="6">
        <v>18</v>
      </c>
    </row>
    <row r="851" spans="1:70" hidden="1" x14ac:dyDescent="0.2">
      <c r="A851" s="259">
        <v>2000</v>
      </c>
      <c r="B851" s="231" t="s">
        <v>2473</v>
      </c>
      <c r="C851" s="261" t="s">
        <v>2848</v>
      </c>
      <c r="D851" s="231" t="s">
        <v>2474</v>
      </c>
      <c r="E851" s="3" t="s">
        <v>102</v>
      </c>
      <c r="F851" s="26" t="s">
        <v>103</v>
      </c>
      <c r="G851" s="26" t="s">
        <v>56</v>
      </c>
      <c r="H851" s="26" t="s">
        <v>2273</v>
      </c>
      <c r="J851" s="22">
        <v>1</v>
      </c>
      <c r="L851" s="28" t="s">
        <v>58</v>
      </c>
      <c r="M851" s="22" t="s">
        <v>59</v>
      </c>
      <c r="N851" s="22">
        <v>0</v>
      </c>
      <c r="O851" s="22" t="s">
        <v>60</v>
      </c>
      <c r="P851" s="22" t="s">
        <v>79</v>
      </c>
      <c r="Q851" s="23" t="s">
        <v>2475</v>
      </c>
      <c r="R851" s="23" t="s">
        <v>2476</v>
      </c>
      <c r="Z851" s="83" t="s">
        <v>63</v>
      </c>
      <c r="AA851" s="6">
        <v>19</v>
      </c>
      <c r="AB851" s="6">
        <v>0</v>
      </c>
      <c r="AC851" s="5">
        <v>25.9</v>
      </c>
      <c r="AD851" s="5" t="s">
        <v>80</v>
      </c>
      <c r="AE851" s="5" t="s">
        <v>335</v>
      </c>
      <c r="AI851" s="5">
        <v>21</v>
      </c>
      <c r="AJ851" s="5">
        <v>34</v>
      </c>
      <c r="AK851" s="6">
        <v>77.599999999999994</v>
      </c>
      <c r="AL851" s="6" t="s">
        <v>81</v>
      </c>
      <c r="AM851" s="6" t="s">
        <v>335</v>
      </c>
      <c r="AQ851" s="6">
        <v>62.7</v>
      </c>
      <c r="AR851" s="6">
        <v>108</v>
      </c>
      <c r="AS851" s="5">
        <v>177</v>
      </c>
      <c r="AT851" s="5" t="s">
        <v>119</v>
      </c>
      <c r="AU851" s="5" t="s">
        <v>335</v>
      </c>
      <c r="AY851" s="5">
        <v>164</v>
      </c>
      <c r="AZ851" s="5">
        <v>193</v>
      </c>
      <c r="BA851" s="6">
        <v>24.7</v>
      </c>
      <c r="BB851" s="6" t="s">
        <v>367</v>
      </c>
      <c r="BC851" s="6" t="s">
        <v>335</v>
      </c>
      <c r="BG851" s="6">
        <v>18.7</v>
      </c>
      <c r="BH851" s="6">
        <v>29</v>
      </c>
      <c r="BQ851" s="6" t="s">
        <v>2477</v>
      </c>
      <c r="BR851" s="5" t="s">
        <v>2478</v>
      </c>
    </row>
    <row r="852" spans="1:70" hidden="1" x14ac:dyDescent="0.2">
      <c r="A852" s="259">
        <v>2001</v>
      </c>
      <c r="B852" s="231" t="s">
        <v>2473</v>
      </c>
      <c r="C852" s="261" t="s">
        <v>2848</v>
      </c>
      <c r="D852" s="231" t="s">
        <v>2782</v>
      </c>
      <c r="E852" s="3" t="s">
        <v>102</v>
      </c>
      <c r="F852" s="26" t="s">
        <v>103</v>
      </c>
      <c r="G852" s="26" t="s">
        <v>56</v>
      </c>
      <c r="H852" s="26" t="s">
        <v>2273</v>
      </c>
      <c r="J852" s="22">
        <v>1</v>
      </c>
      <c r="L852" s="28" t="s">
        <v>58</v>
      </c>
      <c r="M852" s="22" t="s">
        <v>59</v>
      </c>
      <c r="N852" s="22">
        <v>0</v>
      </c>
      <c r="O852" s="22" t="s">
        <v>60</v>
      </c>
      <c r="P852" s="22" t="s">
        <v>79</v>
      </c>
      <c r="Q852" s="23" t="s">
        <v>2475</v>
      </c>
      <c r="R852" s="23" t="s">
        <v>2476</v>
      </c>
      <c r="Z852" s="83" t="s">
        <v>63</v>
      </c>
      <c r="AA852" s="6">
        <v>11</v>
      </c>
      <c r="AB852" s="6">
        <v>0</v>
      </c>
      <c r="AC852" s="5">
        <v>26.5</v>
      </c>
      <c r="AD852" s="5" t="s">
        <v>80</v>
      </c>
      <c r="AE852" s="5" t="s">
        <v>335</v>
      </c>
      <c r="AI852" s="5">
        <v>21</v>
      </c>
      <c r="AJ852" s="5">
        <v>34</v>
      </c>
      <c r="AK852" s="6">
        <v>71.400000000000006</v>
      </c>
      <c r="AL852" s="6" t="s">
        <v>81</v>
      </c>
      <c r="AM852" s="6" t="s">
        <v>335</v>
      </c>
      <c r="AQ852" s="6">
        <v>57.2</v>
      </c>
      <c r="AR852" s="6">
        <v>85.2</v>
      </c>
      <c r="AS852" s="5">
        <v>174</v>
      </c>
      <c r="AT852" s="5" t="s">
        <v>119</v>
      </c>
      <c r="AU852" s="5" t="s">
        <v>335</v>
      </c>
      <c r="AY852" s="5">
        <v>165</v>
      </c>
      <c r="AZ852" s="5">
        <v>182</v>
      </c>
      <c r="BA852" s="6">
        <v>23.6</v>
      </c>
      <c r="BB852" s="6" t="s">
        <v>367</v>
      </c>
      <c r="BC852" s="6" t="s">
        <v>335</v>
      </c>
      <c r="BG852" s="6">
        <v>19.8</v>
      </c>
      <c r="BH852" s="6">
        <v>30.1</v>
      </c>
      <c r="BQ852" s="6" t="s">
        <v>2479</v>
      </c>
      <c r="BR852" s="5" t="s">
        <v>2478</v>
      </c>
    </row>
    <row r="853" spans="1:70" hidden="1" x14ac:dyDescent="0.2">
      <c r="A853" s="259">
        <v>2002</v>
      </c>
      <c r="B853" s="231" t="s">
        <v>2473</v>
      </c>
      <c r="C853" s="261" t="s">
        <v>2848</v>
      </c>
      <c r="D853" s="231" t="s">
        <v>2480</v>
      </c>
      <c r="E853" s="3" t="s">
        <v>102</v>
      </c>
      <c r="F853" s="26" t="s">
        <v>103</v>
      </c>
      <c r="G853" s="26" t="s">
        <v>56</v>
      </c>
      <c r="H853" s="26" t="s">
        <v>2481</v>
      </c>
      <c r="J853" s="22">
        <v>1</v>
      </c>
      <c r="L853" s="28" t="s">
        <v>58</v>
      </c>
      <c r="M853" s="22" t="s">
        <v>59</v>
      </c>
      <c r="N853" s="22">
        <v>156</v>
      </c>
      <c r="O853" s="22" t="s">
        <v>60</v>
      </c>
      <c r="P853" s="22" t="s">
        <v>79</v>
      </c>
      <c r="Q853" s="23" t="s">
        <v>2475</v>
      </c>
      <c r="R853" s="23" t="s">
        <v>2476</v>
      </c>
      <c r="Z853" s="83" t="s">
        <v>63</v>
      </c>
      <c r="AA853" s="6">
        <v>19</v>
      </c>
      <c r="AB853" s="6">
        <v>0</v>
      </c>
      <c r="AC853" s="5">
        <v>25.9</v>
      </c>
      <c r="AD853" s="5" t="s">
        <v>80</v>
      </c>
      <c r="AE853" s="5" t="s">
        <v>335</v>
      </c>
      <c r="AI853" s="5">
        <v>21</v>
      </c>
      <c r="AJ853" s="5">
        <v>34</v>
      </c>
      <c r="AK853" s="6">
        <v>77.599999999999994</v>
      </c>
      <c r="AL853" s="6" t="s">
        <v>81</v>
      </c>
      <c r="AM853" s="6" t="s">
        <v>335</v>
      </c>
      <c r="AQ853" s="6">
        <v>62.7</v>
      </c>
      <c r="AR853" s="6">
        <v>108</v>
      </c>
      <c r="AS853" s="5">
        <v>177</v>
      </c>
      <c r="AT853" s="5" t="s">
        <v>119</v>
      </c>
      <c r="AU853" s="5" t="s">
        <v>335</v>
      </c>
      <c r="AY853" s="5">
        <v>164</v>
      </c>
      <c r="AZ853" s="5">
        <v>193</v>
      </c>
      <c r="BA853" s="6">
        <v>24.7</v>
      </c>
      <c r="BB853" s="6" t="s">
        <v>367</v>
      </c>
      <c r="BC853" s="6" t="s">
        <v>335</v>
      </c>
      <c r="BG853" s="6">
        <v>18.7</v>
      </c>
      <c r="BH853" s="6">
        <v>29</v>
      </c>
      <c r="BQ853" s="6" t="s">
        <v>2477</v>
      </c>
      <c r="BR853" s="5" t="s">
        <v>2478</v>
      </c>
    </row>
    <row r="854" spans="1:70" hidden="1" x14ac:dyDescent="0.2">
      <c r="A854" s="259">
        <v>2003</v>
      </c>
      <c r="B854" s="231" t="s">
        <v>2473</v>
      </c>
      <c r="C854" s="261" t="s">
        <v>2848</v>
      </c>
      <c r="D854" s="231" t="s">
        <v>2783</v>
      </c>
      <c r="E854" s="3" t="s">
        <v>102</v>
      </c>
      <c r="F854" s="26" t="s">
        <v>103</v>
      </c>
      <c r="G854" s="26" t="s">
        <v>56</v>
      </c>
      <c r="H854" s="26" t="s">
        <v>2481</v>
      </c>
      <c r="J854" s="22">
        <v>1</v>
      </c>
      <c r="L854" s="28" t="s">
        <v>58</v>
      </c>
      <c r="M854" s="22" t="s">
        <v>59</v>
      </c>
      <c r="N854" s="22">
        <v>156</v>
      </c>
      <c r="O854" s="22" t="s">
        <v>60</v>
      </c>
      <c r="P854" s="22" t="s">
        <v>79</v>
      </c>
      <c r="Q854" s="23" t="s">
        <v>2475</v>
      </c>
      <c r="R854" s="23" t="s">
        <v>2476</v>
      </c>
      <c r="Z854" s="83" t="s">
        <v>63</v>
      </c>
      <c r="AA854" s="6">
        <v>11</v>
      </c>
      <c r="AB854" s="6">
        <v>0</v>
      </c>
      <c r="AC854" s="5">
        <v>26.5</v>
      </c>
      <c r="AD854" s="5" t="s">
        <v>80</v>
      </c>
      <c r="AE854" s="5" t="s">
        <v>335</v>
      </c>
      <c r="AI854" s="5">
        <v>21</v>
      </c>
      <c r="AJ854" s="5">
        <v>34</v>
      </c>
      <c r="AK854" s="6">
        <v>71.400000000000006</v>
      </c>
      <c r="AL854" s="6" t="s">
        <v>81</v>
      </c>
      <c r="AM854" s="6" t="s">
        <v>335</v>
      </c>
      <c r="AQ854" s="6">
        <v>57.2</v>
      </c>
      <c r="AR854" s="6">
        <v>85.2</v>
      </c>
      <c r="AS854" s="5">
        <v>174</v>
      </c>
      <c r="AT854" s="5" t="s">
        <v>119</v>
      </c>
      <c r="AU854" s="5" t="s">
        <v>335</v>
      </c>
      <c r="AY854" s="5">
        <v>165</v>
      </c>
      <c r="AZ854" s="5">
        <v>182</v>
      </c>
      <c r="BA854" s="6">
        <v>23.6</v>
      </c>
      <c r="BB854" s="6" t="s">
        <v>367</v>
      </c>
      <c r="BC854" s="6" t="s">
        <v>335</v>
      </c>
      <c r="BG854" s="6">
        <v>19.8</v>
      </c>
      <c r="BH854" s="6">
        <v>30.1</v>
      </c>
      <c r="BQ854" s="6" t="s">
        <v>2479</v>
      </c>
      <c r="BR854" s="5" t="s">
        <v>2478</v>
      </c>
    </row>
    <row r="855" spans="1:70" hidden="1" x14ac:dyDescent="0.2">
      <c r="A855" s="259">
        <v>2004</v>
      </c>
      <c r="B855" s="231" t="s">
        <v>2473</v>
      </c>
      <c r="C855" s="261" t="s">
        <v>2848</v>
      </c>
      <c r="D855" s="231" t="s">
        <v>2482</v>
      </c>
      <c r="E855" s="3" t="s">
        <v>102</v>
      </c>
      <c r="F855" s="26" t="s">
        <v>103</v>
      </c>
      <c r="G855" s="26" t="s">
        <v>56</v>
      </c>
      <c r="H855" s="26" t="s">
        <v>2481</v>
      </c>
      <c r="J855" s="22">
        <v>1</v>
      </c>
      <c r="L855" s="28" t="s">
        <v>58</v>
      </c>
      <c r="M855" s="22" t="s">
        <v>59</v>
      </c>
      <c r="N855" s="22">
        <v>72</v>
      </c>
      <c r="O855" s="22" t="s">
        <v>60</v>
      </c>
      <c r="P855" s="22" t="s">
        <v>79</v>
      </c>
      <c r="Q855" s="23" t="s">
        <v>2475</v>
      </c>
      <c r="R855" s="23" t="s">
        <v>2476</v>
      </c>
      <c r="Z855" s="83" t="s">
        <v>63</v>
      </c>
      <c r="AA855" s="6">
        <v>19</v>
      </c>
      <c r="AB855" s="6">
        <v>0</v>
      </c>
      <c r="AC855" s="5">
        <v>25.9</v>
      </c>
      <c r="AD855" s="5" t="s">
        <v>80</v>
      </c>
      <c r="AE855" s="5" t="s">
        <v>335</v>
      </c>
      <c r="AI855" s="5">
        <v>21</v>
      </c>
      <c r="AJ855" s="5">
        <v>34</v>
      </c>
      <c r="AK855" s="6">
        <v>77.599999999999994</v>
      </c>
      <c r="AL855" s="6" t="s">
        <v>81</v>
      </c>
      <c r="AM855" s="6" t="s">
        <v>335</v>
      </c>
      <c r="AQ855" s="6">
        <v>62.7</v>
      </c>
      <c r="AR855" s="6">
        <v>108</v>
      </c>
      <c r="AS855" s="5">
        <v>177</v>
      </c>
      <c r="AT855" s="5" t="s">
        <v>119</v>
      </c>
      <c r="AU855" s="5" t="s">
        <v>335</v>
      </c>
      <c r="AY855" s="5">
        <v>164</v>
      </c>
      <c r="AZ855" s="5">
        <v>193</v>
      </c>
      <c r="BA855" s="6">
        <v>24.7</v>
      </c>
      <c r="BB855" s="6" t="s">
        <v>367</v>
      </c>
      <c r="BC855" s="6" t="s">
        <v>335</v>
      </c>
      <c r="BG855" s="6">
        <v>18.7</v>
      </c>
      <c r="BH855" s="6">
        <v>29</v>
      </c>
      <c r="BQ855" s="6" t="s">
        <v>2477</v>
      </c>
      <c r="BR855" s="5" t="s">
        <v>2478</v>
      </c>
    </row>
    <row r="856" spans="1:70" hidden="1" x14ac:dyDescent="0.2">
      <c r="A856" s="259">
        <v>2005</v>
      </c>
      <c r="B856" s="231" t="s">
        <v>2473</v>
      </c>
      <c r="C856" s="261" t="s">
        <v>2848</v>
      </c>
      <c r="D856" s="231" t="s">
        <v>2784</v>
      </c>
      <c r="E856" s="3" t="s">
        <v>102</v>
      </c>
      <c r="F856" s="26" t="s">
        <v>103</v>
      </c>
      <c r="G856" s="26" t="s">
        <v>56</v>
      </c>
      <c r="H856" s="26" t="s">
        <v>2481</v>
      </c>
      <c r="J856" s="22">
        <v>1</v>
      </c>
      <c r="L856" s="28" t="s">
        <v>58</v>
      </c>
      <c r="M856" s="22" t="s">
        <v>59</v>
      </c>
      <c r="N856" s="22">
        <v>72</v>
      </c>
      <c r="O856" s="22" t="s">
        <v>60</v>
      </c>
      <c r="P856" s="22" t="s">
        <v>79</v>
      </c>
      <c r="Q856" s="23" t="s">
        <v>2475</v>
      </c>
      <c r="R856" s="23" t="s">
        <v>2476</v>
      </c>
      <c r="Z856" s="83" t="s">
        <v>63</v>
      </c>
      <c r="AA856" s="6">
        <v>11</v>
      </c>
      <c r="AB856" s="6">
        <v>0</v>
      </c>
      <c r="AC856" s="5">
        <v>26.5</v>
      </c>
      <c r="AD856" s="5" t="s">
        <v>80</v>
      </c>
      <c r="AE856" s="5" t="s">
        <v>335</v>
      </c>
      <c r="AI856" s="5">
        <v>21</v>
      </c>
      <c r="AJ856" s="5">
        <v>34</v>
      </c>
      <c r="AK856" s="6">
        <v>71.400000000000006</v>
      </c>
      <c r="AL856" s="6" t="s">
        <v>81</v>
      </c>
      <c r="AM856" s="6" t="s">
        <v>335</v>
      </c>
      <c r="AQ856" s="6">
        <v>57.2</v>
      </c>
      <c r="AR856" s="6">
        <v>85.2</v>
      </c>
      <c r="AS856" s="5">
        <v>174</v>
      </c>
      <c r="AT856" s="5" t="s">
        <v>119</v>
      </c>
      <c r="AU856" s="5" t="s">
        <v>335</v>
      </c>
      <c r="AY856" s="5">
        <v>165</v>
      </c>
      <c r="AZ856" s="5">
        <v>182</v>
      </c>
      <c r="BA856" s="6">
        <v>23.6</v>
      </c>
      <c r="BB856" s="6" t="s">
        <v>367</v>
      </c>
      <c r="BC856" s="6" t="s">
        <v>335</v>
      </c>
      <c r="BG856" s="6">
        <v>19.8</v>
      </c>
      <c r="BH856" s="6">
        <v>30.1</v>
      </c>
      <c r="BQ856" s="6" t="s">
        <v>2479</v>
      </c>
      <c r="BR856" s="5" t="s">
        <v>2478</v>
      </c>
    </row>
    <row r="857" spans="1:70" hidden="1" x14ac:dyDescent="0.2">
      <c r="A857" s="258">
        <v>2006</v>
      </c>
      <c r="B857" s="231" t="s">
        <v>2483</v>
      </c>
      <c r="C857" s="261" t="s">
        <v>2849</v>
      </c>
      <c r="D857" s="231" t="s">
        <v>2484</v>
      </c>
      <c r="E857" s="3" t="s">
        <v>102</v>
      </c>
      <c r="F857" s="26" t="s">
        <v>103</v>
      </c>
      <c r="G857" s="26" t="s">
        <v>76</v>
      </c>
      <c r="H857" s="26" t="s">
        <v>2485</v>
      </c>
      <c r="I857" s="26" t="s">
        <v>2486</v>
      </c>
      <c r="J857" s="22">
        <v>2.5000000000000001E-2</v>
      </c>
      <c r="L857" s="28" t="s">
        <v>107</v>
      </c>
      <c r="M857" s="22" t="s">
        <v>78</v>
      </c>
      <c r="N857" s="22">
        <v>0</v>
      </c>
      <c r="O857" s="22" t="s">
        <v>60</v>
      </c>
      <c r="P857" s="22" t="s">
        <v>2487</v>
      </c>
      <c r="Q857" s="23" t="s">
        <v>621</v>
      </c>
      <c r="R857" s="23" t="s">
        <v>2488</v>
      </c>
      <c r="S857" s="24">
        <v>1</v>
      </c>
      <c r="Z857" s="83" t="s">
        <v>63</v>
      </c>
      <c r="AA857" s="6">
        <v>20</v>
      </c>
      <c r="AB857" s="6">
        <v>10</v>
      </c>
      <c r="AC857" s="5" t="s">
        <v>2489</v>
      </c>
      <c r="AD857" s="5" t="s">
        <v>80</v>
      </c>
      <c r="AE857" s="5" t="s">
        <v>335</v>
      </c>
      <c r="AF857" s="5" t="s">
        <v>2490</v>
      </c>
      <c r="AG857" s="5" t="s">
        <v>80</v>
      </c>
      <c r="AH857" s="5" t="s">
        <v>117</v>
      </c>
      <c r="AK857" s="6" t="s">
        <v>2491</v>
      </c>
      <c r="AL857" s="6" t="s">
        <v>81</v>
      </c>
      <c r="AM857" s="6" t="s">
        <v>335</v>
      </c>
      <c r="AN857" s="6" t="s">
        <v>2492</v>
      </c>
      <c r="AO857" s="6" t="s">
        <v>81</v>
      </c>
      <c r="AP857" s="6" t="s">
        <v>117</v>
      </c>
      <c r="BQ857" s="6" t="s">
        <v>2493</v>
      </c>
      <c r="BR857" s="5" t="s">
        <v>2494</v>
      </c>
    </row>
    <row r="858" spans="1:70" hidden="1" x14ac:dyDescent="0.2">
      <c r="A858" s="258">
        <v>2007</v>
      </c>
      <c r="B858" s="231" t="s">
        <v>2483</v>
      </c>
      <c r="C858" s="261" t="s">
        <v>2849</v>
      </c>
      <c r="D858" s="231" t="s">
        <v>2404</v>
      </c>
      <c r="E858" s="3" t="s">
        <v>102</v>
      </c>
      <c r="F858" s="26" t="s">
        <v>103</v>
      </c>
      <c r="G858" s="26" t="s">
        <v>76</v>
      </c>
      <c r="H858" s="26" t="s">
        <v>2485</v>
      </c>
      <c r="I858" s="26" t="s">
        <v>2486</v>
      </c>
      <c r="J858" s="22">
        <v>2.5000000000000001E-2</v>
      </c>
      <c r="L858" s="28" t="s">
        <v>107</v>
      </c>
      <c r="M858" s="22" t="s">
        <v>78</v>
      </c>
      <c r="N858" s="22">
        <v>339</v>
      </c>
      <c r="O858" s="22" t="s">
        <v>60</v>
      </c>
      <c r="P858" s="22" t="s">
        <v>2495</v>
      </c>
      <c r="Q858" s="23" t="s">
        <v>621</v>
      </c>
      <c r="R858" s="23" t="s">
        <v>2488</v>
      </c>
      <c r="S858" s="24">
        <v>1</v>
      </c>
      <c r="Z858" s="83" t="s">
        <v>63</v>
      </c>
      <c r="AA858" s="6">
        <v>20</v>
      </c>
      <c r="AB858" s="6">
        <v>10</v>
      </c>
      <c r="AC858" s="5" t="s">
        <v>2489</v>
      </c>
      <c r="AD858" s="5" t="s">
        <v>80</v>
      </c>
      <c r="AE858" s="5" t="s">
        <v>335</v>
      </c>
      <c r="AF858" s="5" t="s">
        <v>2490</v>
      </c>
      <c r="AG858" s="5" t="s">
        <v>80</v>
      </c>
      <c r="AH858" s="5" t="s">
        <v>117</v>
      </c>
      <c r="AK858" s="6" t="s">
        <v>2491</v>
      </c>
      <c r="AL858" s="6" t="s">
        <v>81</v>
      </c>
      <c r="AM858" s="6" t="s">
        <v>335</v>
      </c>
      <c r="AN858" s="6" t="s">
        <v>2492</v>
      </c>
      <c r="AO858" s="6" t="s">
        <v>81</v>
      </c>
      <c r="AP858" s="6" t="s">
        <v>117</v>
      </c>
      <c r="BQ858" s="6" t="s">
        <v>2493</v>
      </c>
      <c r="BR858" s="5" t="s">
        <v>2494</v>
      </c>
    </row>
    <row r="859" spans="1:70" hidden="1" x14ac:dyDescent="0.2">
      <c r="A859" s="256">
        <v>2008</v>
      </c>
      <c r="B859" s="231" t="s">
        <v>2496</v>
      </c>
      <c r="C859" s="261" t="s">
        <v>2884</v>
      </c>
      <c r="D859" s="231" t="s">
        <v>2497</v>
      </c>
      <c r="E859" s="3" t="s">
        <v>2053</v>
      </c>
      <c r="F859" s="26" t="s">
        <v>103</v>
      </c>
      <c r="G859" s="26" t="s">
        <v>56</v>
      </c>
      <c r="H859" s="26" t="s">
        <v>399</v>
      </c>
      <c r="J859" s="22">
        <v>1</v>
      </c>
      <c r="L859" s="28" t="s">
        <v>58</v>
      </c>
      <c r="M859" s="22" t="s">
        <v>59</v>
      </c>
      <c r="N859" s="22">
        <v>0</v>
      </c>
      <c r="O859" s="22" t="s">
        <v>60</v>
      </c>
      <c r="P859" s="22" t="s">
        <v>79</v>
      </c>
      <c r="R859" s="23" t="s">
        <v>2498</v>
      </c>
      <c r="V859" s="25" t="s">
        <v>615</v>
      </c>
      <c r="W859" s="65">
        <v>1.5</v>
      </c>
      <c r="X859" s="106" t="s">
        <v>2499</v>
      </c>
      <c r="Z859" s="83" t="s">
        <v>63</v>
      </c>
      <c r="AA859" s="6">
        <v>96</v>
      </c>
      <c r="AB859" s="166">
        <v>35</v>
      </c>
      <c r="AC859" s="5">
        <v>26</v>
      </c>
      <c r="AD859" s="5" t="s">
        <v>80</v>
      </c>
      <c r="AE859" s="5" t="s">
        <v>538</v>
      </c>
      <c r="AI859" s="5">
        <v>19</v>
      </c>
      <c r="AJ859" s="5">
        <v>64</v>
      </c>
      <c r="AK859" s="6">
        <v>70.5</v>
      </c>
      <c r="AL859" s="6" t="s">
        <v>81</v>
      </c>
      <c r="AM859" s="6" t="s">
        <v>538</v>
      </c>
      <c r="AQ859" s="6">
        <v>50</v>
      </c>
      <c r="AR859" s="6">
        <v>100</v>
      </c>
      <c r="BQ859" s="6" t="s">
        <v>195</v>
      </c>
      <c r="BR859" s="5" t="s">
        <v>2500</v>
      </c>
    </row>
    <row r="860" spans="1:70" hidden="1" x14ac:dyDescent="0.2">
      <c r="A860" s="256">
        <v>2009</v>
      </c>
      <c r="B860" s="231" t="s">
        <v>2496</v>
      </c>
      <c r="C860" s="261" t="s">
        <v>2884</v>
      </c>
      <c r="D860" s="231" t="s">
        <v>2501</v>
      </c>
      <c r="E860" s="3" t="s">
        <v>2053</v>
      </c>
      <c r="F860" s="26" t="s">
        <v>103</v>
      </c>
      <c r="G860" s="26" t="s">
        <v>56</v>
      </c>
      <c r="H860" s="26" t="s">
        <v>399</v>
      </c>
      <c r="J860" s="22">
        <v>1</v>
      </c>
      <c r="L860" s="28" t="s">
        <v>58</v>
      </c>
      <c r="M860" s="22" t="s">
        <v>59</v>
      </c>
      <c r="N860" s="22">
        <v>100</v>
      </c>
      <c r="O860" s="22" t="s">
        <v>60</v>
      </c>
      <c r="P860" s="22" t="s">
        <v>79</v>
      </c>
      <c r="R860" s="23" t="s">
        <v>2498</v>
      </c>
      <c r="V860" s="25" t="s">
        <v>615</v>
      </c>
      <c r="W860" s="65">
        <v>1.5</v>
      </c>
      <c r="X860" s="106" t="s">
        <v>2499</v>
      </c>
      <c r="Z860" s="83" t="s">
        <v>63</v>
      </c>
      <c r="AA860" s="166">
        <v>96</v>
      </c>
      <c r="AB860" s="166">
        <v>35</v>
      </c>
      <c r="AC860" s="5">
        <v>26</v>
      </c>
      <c r="AD860" s="5" t="s">
        <v>80</v>
      </c>
      <c r="AE860" s="5" t="s">
        <v>538</v>
      </c>
      <c r="AI860" s="5">
        <v>19</v>
      </c>
      <c r="AJ860" s="5">
        <v>64</v>
      </c>
      <c r="AK860" s="6">
        <v>70.5</v>
      </c>
      <c r="AL860" s="6" t="s">
        <v>81</v>
      </c>
      <c r="AM860" s="6" t="s">
        <v>538</v>
      </c>
      <c r="AQ860" s="6">
        <v>50</v>
      </c>
      <c r="AR860" s="6">
        <v>100</v>
      </c>
      <c r="BQ860" s="6" t="s">
        <v>195</v>
      </c>
      <c r="BR860" s="5" t="s">
        <v>2500</v>
      </c>
    </row>
    <row r="861" spans="1:70" hidden="1" x14ac:dyDescent="0.2">
      <c r="A861" s="256">
        <v>2010</v>
      </c>
      <c r="B861" s="231" t="s">
        <v>2496</v>
      </c>
      <c r="C861" s="261" t="s">
        <v>2884</v>
      </c>
      <c r="D861" s="231" t="s">
        <v>2502</v>
      </c>
      <c r="E861" s="3" t="s">
        <v>2053</v>
      </c>
      <c r="F861" s="26" t="s">
        <v>103</v>
      </c>
      <c r="G861" s="26" t="s">
        <v>56</v>
      </c>
      <c r="H861" s="26" t="s">
        <v>399</v>
      </c>
      <c r="J861" s="22">
        <v>1</v>
      </c>
      <c r="L861" s="28" t="s">
        <v>58</v>
      </c>
      <c r="M861" s="22" t="s">
        <v>59</v>
      </c>
      <c r="N861" s="22">
        <v>436</v>
      </c>
      <c r="O861" s="22" t="s">
        <v>60</v>
      </c>
      <c r="P861" s="22" t="s">
        <v>79</v>
      </c>
      <c r="R861" s="23" t="s">
        <v>2498</v>
      </c>
      <c r="V861" s="25" t="s">
        <v>615</v>
      </c>
      <c r="W861" s="65">
        <v>1.5</v>
      </c>
      <c r="X861" s="106" t="s">
        <v>2499</v>
      </c>
      <c r="Z861" s="83" t="s">
        <v>63</v>
      </c>
      <c r="AA861" s="166">
        <v>96</v>
      </c>
      <c r="AB861" s="166">
        <v>35</v>
      </c>
      <c r="AC861" s="5">
        <v>26</v>
      </c>
      <c r="AD861" s="5" t="s">
        <v>80</v>
      </c>
      <c r="AE861" s="5" t="s">
        <v>538</v>
      </c>
      <c r="AI861" s="5">
        <v>19</v>
      </c>
      <c r="AJ861" s="5">
        <v>64</v>
      </c>
      <c r="AK861" s="6">
        <v>70.5</v>
      </c>
      <c r="AL861" s="6" t="s">
        <v>81</v>
      </c>
      <c r="AM861" s="6" t="s">
        <v>538</v>
      </c>
      <c r="AQ861" s="6">
        <v>50</v>
      </c>
      <c r="AR861" s="6">
        <v>100</v>
      </c>
      <c r="BQ861" s="6" t="s">
        <v>195</v>
      </c>
      <c r="BR861" s="5" t="s">
        <v>2500</v>
      </c>
    </row>
    <row r="862" spans="1:70" hidden="1" x14ac:dyDescent="0.2">
      <c r="A862" s="259">
        <v>2011</v>
      </c>
      <c r="B862" s="231" t="s">
        <v>2503</v>
      </c>
      <c r="C862" s="261" t="s">
        <v>2850</v>
      </c>
      <c r="D862" s="231" t="s">
        <v>2504</v>
      </c>
      <c r="E862" s="3" t="s">
        <v>102</v>
      </c>
      <c r="F862" s="26" t="s">
        <v>103</v>
      </c>
      <c r="G862" s="26" t="s">
        <v>56</v>
      </c>
      <c r="H862" s="26" t="s">
        <v>2505</v>
      </c>
      <c r="I862" s="26" t="s">
        <v>2506</v>
      </c>
      <c r="J862" s="22">
        <v>2.5000000000000001E-2</v>
      </c>
      <c r="L862" s="28" t="s">
        <v>107</v>
      </c>
      <c r="M862" s="22" t="s">
        <v>78</v>
      </c>
      <c r="N862" s="22">
        <v>0</v>
      </c>
      <c r="O862" s="22" t="s">
        <v>60</v>
      </c>
      <c r="P862" s="22" t="s">
        <v>2507</v>
      </c>
      <c r="Q862" s="23" t="s">
        <v>621</v>
      </c>
      <c r="R862" s="23" t="s">
        <v>2508</v>
      </c>
      <c r="S862" s="24">
        <v>1</v>
      </c>
      <c r="Z862" s="83" t="s">
        <v>63</v>
      </c>
      <c r="AA862" s="166">
        <v>20</v>
      </c>
      <c r="AB862" s="166">
        <v>10</v>
      </c>
      <c r="BQ862" s="6" t="s">
        <v>2509</v>
      </c>
      <c r="BR862" s="5" t="s">
        <v>2510</v>
      </c>
    </row>
    <row r="863" spans="1:70" hidden="1" x14ac:dyDescent="0.2">
      <c r="A863" s="259">
        <v>2012</v>
      </c>
      <c r="B863" s="231" t="s">
        <v>2503</v>
      </c>
      <c r="C863" s="261" t="s">
        <v>2850</v>
      </c>
      <c r="D863" s="231" t="s">
        <v>2511</v>
      </c>
      <c r="E863" s="3" t="s">
        <v>102</v>
      </c>
      <c r="F863" s="26" t="s">
        <v>103</v>
      </c>
      <c r="G863" s="26" t="s">
        <v>56</v>
      </c>
      <c r="H863" s="26" t="s">
        <v>2505</v>
      </c>
      <c r="I863" s="26" t="s">
        <v>2506</v>
      </c>
      <c r="J863" s="22">
        <v>2.5000000000000001E-2</v>
      </c>
      <c r="L863" s="28" t="s">
        <v>107</v>
      </c>
      <c r="M863" s="22" t="s">
        <v>78</v>
      </c>
      <c r="N863" s="22">
        <v>336</v>
      </c>
      <c r="O863" s="22" t="s">
        <v>60</v>
      </c>
      <c r="P863" s="22" t="s">
        <v>2512</v>
      </c>
      <c r="Q863" s="23" t="s">
        <v>621</v>
      </c>
      <c r="R863" s="23" t="s">
        <v>2508</v>
      </c>
      <c r="S863" s="24">
        <v>1</v>
      </c>
      <c r="Z863" s="83" t="s">
        <v>63</v>
      </c>
      <c r="AA863" s="6">
        <v>20</v>
      </c>
      <c r="AB863" s="6">
        <v>10</v>
      </c>
      <c r="BQ863" s="6" t="s">
        <v>2509</v>
      </c>
      <c r="BR863" s="5" t="s">
        <v>2510</v>
      </c>
    </row>
    <row r="864" spans="1:70" hidden="1" x14ac:dyDescent="0.2">
      <c r="A864" s="259">
        <v>2013</v>
      </c>
      <c r="B864" s="231" t="s">
        <v>2503</v>
      </c>
      <c r="C864" s="261" t="s">
        <v>2850</v>
      </c>
      <c r="D864" s="231" t="s">
        <v>2513</v>
      </c>
      <c r="E864" s="3" t="s">
        <v>102</v>
      </c>
      <c r="F864" s="26" t="s">
        <v>103</v>
      </c>
      <c r="G864" s="26" t="s">
        <v>56</v>
      </c>
      <c r="H864" s="26" t="s">
        <v>2505</v>
      </c>
      <c r="I864" s="181" t="s">
        <v>2506</v>
      </c>
      <c r="J864" s="22">
        <v>2.5000000000000001E-2</v>
      </c>
      <c r="L864" s="28" t="s">
        <v>107</v>
      </c>
      <c r="M864" s="22" t="s">
        <v>78</v>
      </c>
      <c r="N864" s="22">
        <v>0</v>
      </c>
      <c r="O864" s="22" t="s">
        <v>60</v>
      </c>
      <c r="P864" s="22" t="s">
        <v>2507</v>
      </c>
      <c r="Q864" s="23" t="s">
        <v>621</v>
      </c>
      <c r="R864" s="23" t="s">
        <v>2508</v>
      </c>
      <c r="S864" s="24">
        <v>1</v>
      </c>
      <c r="Z864" s="83" t="s">
        <v>63</v>
      </c>
      <c r="AA864" s="6">
        <v>10</v>
      </c>
      <c r="AB864" s="6">
        <v>0</v>
      </c>
      <c r="AC864" s="5">
        <v>34.799999999999997</v>
      </c>
      <c r="AD864" s="5" t="s">
        <v>80</v>
      </c>
      <c r="AE864" s="5" t="s">
        <v>335</v>
      </c>
      <c r="AF864" s="5">
        <v>7.9</v>
      </c>
      <c r="AG864" s="5" t="s">
        <v>80</v>
      </c>
      <c r="AH864" s="5" t="s">
        <v>117</v>
      </c>
      <c r="AK864" s="6">
        <v>76.3</v>
      </c>
      <c r="AL864" s="6" t="s">
        <v>81</v>
      </c>
      <c r="AM864" s="6" t="s">
        <v>335</v>
      </c>
      <c r="AN864" s="6">
        <v>13.3</v>
      </c>
      <c r="AO864" s="6" t="s">
        <v>81</v>
      </c>
      <c r="AP864" s="6" t="s">
        <v>335</v>
      </c>
      <c r="BQ864" s="6" t="s">
        <v>2509</v>
      </c>
      <c r="BR864" s="5" t="s">
        <v>2510</v>
      </c>
    </row>
    <row r="865" spans="1:70" hidden="1" x14ac:dyDescent="0.2">
      <c r="A865" s="259">
        <v>2014</v>
      </c>
      <c r="B865" s="231" t="s">
        <v>2503</v>
      </c>
      <c r="C865" s="261" t="s">
        <v>2850</v>
      </c>
      <c r="D865" s="231" t="s">
        <v>2514</v>
      </c>
      <c r="E865" s="3" t="s">
        <v>102</v>
      </c>
      <c r="F865" s="26" t="s">
        <v>103</v>
      </c>
      <c r="G865" s="26" t="s">
        <v>56</v>
      </c>
      <c r="H865" s="26" t="s">
        <v>2505</v>
      </c>
      <c r="I865" s="181" t="s">
        <v>2506</v>
      </c>
      <c r="J865" s="22">
        <v>2.5000000000000001E-2</v>
      </c>
      <c r="L865" s="28" t="s">
        <v>107</v>
      </c>
      <c r="M865" s="22" t="s">
        <v>78</v>
      </c>
      <c r="N865" s="22">
        <v>336</v>
      </c>
      <c r="O865" s="22" t="s">
        <v>60</v>
      </c>
      <c r="P865" s="22" t="s">
        <v>2512</v>
      </c>
      <c r="Q865" s="23" t="s">
        <v>621</v>
      </c>
      <c r="R865" s="23" t="s">
        <v>2508</v>
      </c>
      <c r="S865" s="24">
        <v>1</v>
      </c>
      <c r="Z865" s="83" t="s">
        <v>63</v>
      </c>
      <c r="AA865" s="6">
        <v>10</v>
      </c>
      <c r="AB865" s="6">
        <v>0</v>
      </c>
      <c r="AC865" s="5">
        <v>34.799999999999997</v>
      </c>
      <c r="AD865" s="5" t="s">
        <v>80</v>
      </c>
      <c r="AE865" s="5" t="s">
        <v>335</v>
      </c>
      <c r="AF865" s="5">
        <v>7.9</v>
      </c>
      <c r="AG865" s="5" t="s">
        <v>80</v>
      </c>
      <c r="AH865" s="5" t="s">
        <v>117</v>
      </c>
      <c r="AK865" s="6">
        <v>76.3</v>
      </c>
      <c r="AL865" s="6" t="s">
        <v>81</v>
      </c>
      <c r="AM865" s="6" t="s">
        <v>335</v>
      </c>
      <c r="AN865" s="6">
        <v>13.3</v>
      </c>
      <c r="AO865" s="6" t="s">
        <v>81</v>
      </c>
      <c r="AP865" s="6" t="s">
        <v>335</v>
      </c>
      <c r="BQ865" s="6" t="s">
        <v>2509</v>
      </c>
      <c r="BR865" s="5" t="s">
        <v>2510</v>
      </c>
    </row>
    <row r="866" spans="1:70" hidden="1" x14ac:dyDescent="0.2">
      <c r="A866" s="259">
        <v>2015</v>
      </c>
      <c r="B866" s="231" t="s">
        <v>2503</v>
      </c>
      <c r="C866" s="261" t="s">
        <v>2850</v>
      </c>
      <c r="D866" s="231" t="s">
        <v>2515</v>
      </c>
      <c r="E866" s="3" t="s">
        <v>102</v>
      </c>
      <c r="F866" s="26" t="s">
        <v>103</v>
      </c>
      <c r="G866" s="26" t="s">
        <v>56</v>
      </c>
      <c r="H866" s="26" t="s">
        <v>2505</v>
      </c>
      <c r="I866" s="26" t="s">
        <v>2506</v>
      </c>
      <c r="J866" s="22">
        <v>2.5000000000000001E-2</v>
      </c>
      <c r="L866" s="28" t="s">
        <v>107</v>
      </c>
      <c r="M866" s="22" t="s">
        <v>78</v>
      </c>
      <c r="N866" s="22">
        <v>0</v>
      </c>
      <c r="O866" s="22" t="s">
        <v>60</v>
      </c>
      <c r="P866" s="22" t="s">
        <v>2507</v>
      </c>
      <c r="Q866" s="23" t="s">
        <v>621</v>
      </c>
      <c r="R866" s="23" t="s">
        <v>2508</v>
      </c>
      <c r="S866" s="24">
        <v>1</v>
      </c>
      <c r="Z866" s="83" t="s">
        <v>63</v>
      </c>
      <c r="AA866" s="6">
        <v>10</v>
      </c>
      <c r="AB866" s="6">
        <v>10</v>
      </c>
      <c r="AC866" s="5">
        <v>38.200000000000003</v>
      </c>
      <c r="AD866" s="5" t="s">
        <v>80</v>
      </c>
      <c r="AE866" s="5" t="s">
        <v>335</v>
      </c>
      <c r="AF866" s="5">
        <v>9.3000000000000007</v>
      </c>
      <c r="AG866" s="5" t="s">
        <v>80</v>
      </c>
      <c r="AH866" s="5" t="s">
        <v>117</v>
      </c>
      <c r="AK866" s="6">
        <v>79.5</v>
      </c>
      <c r="AL866" s="6" t="s">
        <v>81</v>
      </c>
      <c r="AM866" s="6" t="s">
        <v>335</v>
      </c>
      <c r="AN866" s="6">
        <v>20.100000000000001</v>
      </c>
      <c r="AO866" s="6" t="s">
        <v>81</v>
      </c>
      <c r="AP866" s="6" t="s">
        <v>335</v>
      </c>
      <c r="BQ866" s="6" t="s">
        <v>2509</v>
      </c>
      <c r="BR866" s="5" t="s">
        <v>2516</v>
      </c>
    </row>
    <row r="867" spans="1:70" hidden="1" x14ac:dyDescent="0.2">
      <c r="A867" s="259">
        <v>2016</v>
      </c>
      <c r="B867" s="231" t="s">
        <v>2503</v>
      </c>
      <c r="C867" s="261" t="s">
        <v>2850</v>
      </c>
      <c r="D867" s="231" t="s">
        <v>2517</v>
      </c>
      <c r="E867" s="3" t="s">
        <v>102</v>
      </c>
      <c r="F867" s="26" t="s">
        <v>103</v>
      </c>
      <c r="G867" s="26" t="s">
        <v>56</v>
      </c>
      <c r="H867" s="26" t="s">
        <v>2505</v>
      </c>
      <c r="I867" s="26" t="s">
        <v>2506</v>
      </c>
      <c r="J867" s="22">
        <v>2.5000000000000001E-2</v>
      </c>
      <c r="L867" s="28" t="s">
        <v>107</v>
      </c>
      <c r="M867" s="22" t="s">
        <v>78</v>
      </c>
      <c r="N867" s="22">
        <v>336</v>
      </c>
      <c r="O867" s="22" t="s">
        <v>60</v>
      </c>
      <c r="P867" s="22" t="s">
        <v>2512</v>
      </c>
      <c r="Q867" s="23" t="s">
        <v>621</v>
      </c>
      <c r="R867" s="23" t="s">
        <v>2508</v>
      </c>
      <c r="S867" s="24">
        <v>1</v>
      </c>
      <c r="Z867" s="83" t="s">
        <v>63</v>
      </c>
      <c r="AA867" s="6">
        <v>10</v>
      </c>
      <c r="AB867" s="6">
        <v>10</v>
      </c>
      <c r="AC867" s="5">
        <v>38.200000000000003</v>
      </c>
      <c r="AD867" s="5" t="s">
        <v>80</v>
      </c>
      <c r="AE867" s="5" t="s">
        <v>335</v>
      </c>
      <c r="AF867" s="5">
        <v>9.3000000000000007</v>
      </c>
      <c r="AG867" s="5" t="s">
        <v>80</v>
      </c>
      <c r="AH867" s="5" t="s">
        <v>117</v>
      </c>
      <c r="AK867" s="6">
        <v>79.5</v>
      </c>
      <c r="AL867" s="6" t="s">
        <v>81</v>
      </c>
      <c r="AM867" s="6" t="s">
        <v>335</v>
      </c>
      <c r="AN867" s="6">
        <v>20.100000000000001</v>
      </c>
      <c r="AO867" s="6" t="s">
        <v>81</v>
      </c>
      <c r="AP867" s="6" t="s">
        <v>335</v>
      </c>
      <c r="BQ867" s="6" t="s">
        <v>2509</v>
      </c>
      <c r="BR867" s="5" t="s">
        <v>2516</v>
      </c>
    </row>
    <row r="868" spans="1:70" ht="14.25" hidden="1" x14ac:dyDescent="0.2">
      <c r="A868" s="254">
        <v>2017</v>
      </c>
      <c r="B868" s="231" t="s">
        <v>2518</v>
      </c>
      <c r="C868" s="265" t="s">
        <v>2778</v>
      </c>
      <c r="D868" s="231" t="s">
        <v>2519</v>
      </c>
      <c r="E868" s="3" t="s">
        <v>2053</v>
      </c>
      <c r="F868" s="26" t="s">
        <v>103</v>
      </c>
      <c r="G868" s="26" t="s">
        <v>56</v>
      </c>
      <c r="H868" s="26" t="s">
        <v>1967</v>
      </c>
      <c r="I868" s="26" t="s">
        <v>2520</v>
      </c>
      <c r="J868" s="22" t="s">
        <v>2521</v>
      </c>
      <c r="L868" s="28" t="s">
        <v>58</v>
      </c>
      <c r="M868" s="22" t="s">
        <v>59</v>
      </c>
      <c r="N868" s="22" t="s">
        <v>2522</v>
      </c>
      <c r="O868" s="22" t="s">
        <v>60</v>
      </c>
      <c r="P868" s="22" t="s">
        <v>2523</v>
      </c>
      <c r="Q868" s="23" t="s">
        <v>2312</v>
      </c>
      <c r="R868" s="23" t="s">
        <v>2524</v>
      </c>
      <c r="Z868" s="83" t="s">
        <v>63</v>
      </c>
      <c r="AA868" s="6">
        <v>23</v>
      </c>
      <c r="AB868" s="6">
        <v>12</v>
      </c>
      <c r="AC868" s="5">
        <v>39.799999999999997</v>
      </c>
      <c r="AD868" s="5" t="s">
        <v>80</v>
      </c>
      <c r="AE868" s="5" t="s">
        <v>335</v>
      </c>
      <c r="AF868" s="5">
        <v>16.100000000000001</v>
      </c>
      <c r="AG868" s="5" t="s">
        <v>80</v>
      </c>
      <c r="AH868" s="5" t="s">
        <v>117</v>
      </c>
      <c r="AK868" s="6">
        <v>59.9</v>
      </c>
      <c r="AL868" s="6" t="s">
        <v>81</v>
      </c>
      <c r="AM868" s="6" t="s">
        <v>335</v>
      </c>
      <c r="AN868" s="6">
        <v>12.9</v>
      </c>
      <c r="AO868" s="6" t="s">
        <v>81</v>
      </c>
      <c r="AP868" s="6" t="s">
        <v>117</v>
      </c>
      <c r="BQ868" s="6" t="s">
        <v>512</v>
      </c>
      <c r="BR868" s="5" t="s">
        <v>2525</v>
      </c>
    </row>
    <row r="869" spans="1:70" ht="14.25" hidden="1" x14ac:dyDescent="0.2">
      <c r="A869" s="254">
        <v>2018</v>
      </c>
      <c r="B869" s="231" t="s">
        <v>2518</v>
      </c>
      <c r="C869" s="265" t="s">
        <v>2778</v>
      </c>
      <c r="D869" s="231" t="s">
        <v>2526</v>
      </c>
      <c r="E869" s="3" t="s">
        <v>2053</v>
      </c>
      <c r="F869" s="26" t="s">
        <v>103</v>
      </c>
      <c r="G869" s="26" t="s">
        <v>56</v>
      </c>
      <c r="H869" s="26" t="s">
        <v>1967</v>
      </c>
      <c r="I869" s="26" t="s">
        <v>2520</v>
      </c>
      <c r="J869" s="22" t="s">
        <v>2521</v>
      </c>
      <c r="L869" s="28" t="s">
        <v>58</v>
      </c>
      <c r="M869" s="22" t="s">
        <v>59</v>
      </c>
      <c r="N869" s="22" t="s">
        <v>2522</v>
      </c>
      <c r="O869" s="22" t="s">
        <v>60</v>
      </c>
      <c r="P869" s="22" t="s">
        <v>2523</v>
      </c>
      <c r="Q869" s="23" t="s">
        <v>2312</v>
      </c>
      <c r="R869" s="23" t="s">
        <v>2524</v>
      </c>
      <c r="Z869" s="83" t="s">
        <v>63</v>
      </c>
      <c r="AA869" s="6">
        <v>23</v>
      </c>
      <c r="AB869" s="6">
        <v>12</v>
      </c>
      <c r="AC869" s="5">
        <v>39.799999999999997</v>
      </c>
      <c r="AD869" s="5" t="s">
        <v>80</v>
      </c>
      <c r="AE869" s="5" t="s">
        <v>335</v>
      </c>
      <c r="AF869" s="5">
        <v>16.100000000000001</v>
      </c>
      <c r="AG869" s="5" t="s">
        <v>80</v>
      </c>
      <c r="AH869" s="5" t="s">
        <v>117</v>
      </c>
      <c r="AK869" s="6">
        <v>59.9</v>
      </c>
      <c r="AL869" s="6" t="s">
        <v>81</v>
      </c>
      <c r="AM869" s="6" t="s">
        <v>335</v>
      </c>
      <c r="AN869" s="6">
        <v>12.9</v>
      </c>
      <c r="AO869" s="6" t="s">
        <v>81</v>
      </c>
      <c r="AP869" s="6" t="s">
        <v>117</v>
      </c>
      <c r="BQ869" s="6" t="s">
        <v>512</v>
      </c>
      <c r="BR869" s="5" t="s">
        <v>2525</v>
      </c>
    </row>
    <row r="870" spans="1:70" ht="14.25" hidden="1" x14ac:dyDescent="0.2">
      <c r="A870" s="254">
        <v>2019</v>
      </c>
      <c r="B870" s="231" t="s">
        <v>2527</v>
      </c>
      <c r="C870" s="265" t="s">
        <v>2743</v>
      </c>
      <c r="D870" s="231" t="s">
        <v>2528</v>
      </c>
      <c r="E870" s="3" t="s">
        <v>102</v>
      </c>
      <c r="F870" s="26" t="s">
        <v>684</v>
      </c>
      <c r="G870" s="26" t="s">
        <v>56</v>
      </c>
      <c r="H870" s="26" t="s">
        <v>2529</v>
      </c>
      <c r="I870" s="26" t="s">
        <v>2530</v>
      </c>
      <c r="J870" s="22">
        <v>0.05</v>
      </c>
      <c r="L870" s="28" t="s">
        <v>107</v>
      </c>
      <c r="M870" s="22" t="s">
        <v>78</v>
      </c>
      <c r="N870" s="22">
        <v>0</v>
      </c>
      <c r="O870" s="22" t="s">
        <v>60</v>
      </c>
      <c r="P870" s="22" t="s">
        <v>79</v>
      </c>
      <c r="Q870" s="23" t="s">
        <v>621</v>
      </c>
      <c r="S870" s="24">
        <v>30</v>
      </c>
      <c r="V870" s="25" t="s">
        <v>615</v>
      </c>
      <c r="W870" s="65" t="s">
        <v>655</v>
      </c>
      <c r="Z870" s="83" t="s">
        <v>63</v>
      </c>
      <c r="AA870" s="6">
        <v>8</v>
      </c>
      <c r="AB870" s="6">
        <v>8</v>
      </c>
      <c r="AC870" s="5">
        <v>70</v>
      </c>
      <c r="AD870" s="5" t="s">
        <v>80</v>
      </c>
      <c r="AE870" s="5" t="s">
        <v>335</v>
      </c>
      <c r="AI870" s="5">
        <v>66</v>
      </c>
      <c r="AJ870" s="5">
        <v>80</v>
      </c>
      <c r="AK870" s="6">
        <v>71</v>
      </c>
      <c r="AL870" s="6" t="s">
        <v>81</v>
      </c>
      <c r="AM870" s="6" t="s">
        <v>335</v>
      </c>
      <c r="AQ870" s="6">
        <v>56</v>
      </c>
      <c r="AR870" s="6">
        <v>91</v>
      </c>
      <c r="BQ870" s="6" t="s">
        <v>2493</v>
      </c>
      <c r="BR870" s="5" t="s">
        <v>2531</v>
      </c>
    </row>
    <row r="871" spans="1:70" ht="14.25" hidden="1" x14ac:dyDescent="0.2">
      <c r="A871" s="254">
        <v>2020</v>
      </c>
      <c r="B871" s="231" t="s">
        <v>2527</v>
      </c>
      <c r="C871" s="265" t="s">
        <v>2743</v>
      </c>
      <c r="D871" s="231" t="s">
        <v>2532</v>
      </c>
      <c r="E871" s="3" t="s">
        <v>102</v>
      </c>
      <c r="F871" s="26" t="s">
        <v>684</v>
      </c>
      <c r="G871" s="26" t="s">
        <v>56</v>
      </c>
      <c r="H871" s="26" t="s">
        <v>2529</v>
      </c>
      <c r="I871" s="26" t="s">
        <v>2530</v>
      </c>
      <c r="J871" s="22">
        <v>0.05</v>
      </c>
      <c r="L871" s="28" t="s">
        <v>107</v>
      </c>
      <c r="M871" s="22" t="s">
        <v>78</v>
      </c>
      <c r="N871" s="22">
        <v>0</v>
      </c>
      <c r="O871" s="22" t="s">
        <v>60</v>
      </c>
      <c r="P871" s="22" t="s">
        <v>79</v>
      </c>
      <c r="Q871" s="23" t="s">
        <v>621</v>
      </c>
      <c r="S871" s="24">
        <v>30</v>
      </c>
      <c r="V871" s="25" t="s">
        <v>615</v>
      </c>
      <c r="W871" s="65" t="s">
        <v>655</v>
      </c>
      <c r="Z871" s="83" t="s">
        <v>63</v>
      </c>
      <c r="AA871" s="6">
        <v>8</v>
      </c>
      <c r="AB871" s="6">
        <v>0</v>
      </c>
      <c r="AC871" s="5">
        <v>72</v>
      </c>
      <c r="AD871" s="5" t="s">
        <v>80</v>
      </c>
      <c r="AE871" s="5" t="s">
        <v>335</v>
      </c>
      <c r="AI871" s="5">
        <v>68</v>
      </c>
      <c r="AJ871" s="5">
        <v>75</v>
      </c>
      <c r="AK871" s="6">
        <v>97</v>
      </c>
      <c r="AL871" s="6" t="s">
        <v>81</v>
      </c>
      <c r="AM871" s="6" t="s">
        <v>335</v>
      </c>
      <c r="AQ871" s="6">
        <v>75</v>
      </c>
      <c r="AR871" s="6">
        <v>112</v>
      </c>
      <c r="BQ871" s="6" t="s">
        <v>2493</v>
      </c>
      <c r="BR871" s="5" t="s">
        <v>2531</v>
      </c>
    </row>
    <row r="872" spans="1:70" ht="14.25" hidden="1" x14ac:dyDescent="0.2">
      <c r="A872" s="254">
        <v>2021</v>
      </c>
      <c r="B872" s="231" t="s">
        <v>2527</v>
      </c>
      <c r="C872" s="265" t="s">
        <v>2743</v>
      </c>
      <c r="D872" s="231" t="s">
        <v>2533</v>
      </c>
      <c r="E872" s="3" t="s">
        <v>102</v>
      </c>
      <c r="F872" s="26" t="s">
        <v>684</v>
      </c>
      <c r="G872" s="26" t="s">
        <v>56</v>
      </c>
      <c r="H872" s="26" t="s">
        <v>2529</v>
      </c>
      <c r="I872" s="26" t="s">
        <v>2530</v>
      </c>
      <c r="J872" s="22">
        <v>0.05</v>
      </c>
      <c r="L872" s="28" t="s">
        <v>107</v>
      </c>
      <c r="M872" s="22" t="s">
        <v>78</v>
      </c>
      <c r="N872" s="22">
        <v>0</v>
      </c>
      <c r="O872" s="22" t="s">
        <v>60</v>
      </c>
      <c r="P872" s="22" t="s">
        <v>79</v>
      </c>
      <c r="Q872" s="23" t="s">
        <v>621</v>
      </c>
      <c r="S872" s="24">
        <v>30</v>
      </c>
      <c r="V872" s="25" t="s">
        <v>615</v>
      </c>
      <c r="W872" s="65" t="s">
        <v>655</v>
      </c>
      <c r="Z872" s="83" t="s">
        <v>63</v>
      </c>
      <c r="AA872" s="6">
        <v>16</v>
      </c>
      <c r="AB872" s="6">
        <v>8</v>
      </c>
      <c r="AC872" s="5">
        <v>71</v>
      </c>
      <c r="AD872" s="5" t="s">
        <v>80</v>
      </c>
      <c r="AE872" s="5" t="s">
        <v>335</v>
      </c>
      <c r="AI872" s="5">
        <v>66</v>
      </c>
      <c r="AJ872" s="5">
        <v>80</v>
      </c>
      <c r="AK872" s="6">
        <v>84</v>
      </c>
      <c r="AL872" s="6" t="s">
        <v>81</v>
      </c>
      <c r="AM872" s="6" t="s">
        <v>335</v>
      </c>
      <c r="AQ872" s="6">
        <v>56</v>
      </c>
      <c r="AR872" s="6">
        <v>112</v>
      </c>
      <c r="BQ872" s="6" t="s">
        <v>2493</v>
      </c>
      <c r="BR872" s="5" t="s">
        <v>2531</v>
      </c>
    </row>
    <row r="873" spans="1:70" ht="14.25" hidden="1" x14ac:dyDescent="0.2">
      <c r="A873" s="254">
        <v>2022</v>
      </c>
      <c r="B873" s="231" t="s">
        <v>2527</v>
      </c>
      <c r="C873" s="265" t="s">
        <v>2743</v>
      </c>
      <c r="D873" s="231" t="s">
        <v>2534</v>
      </c>
      <c r="E873" s="3" t="s">
        <v>102</v>
      </c>
      <c r="F873" s="26" t="s">
        <v>684</v>
      </c>
      <c r="G873" s="26" t="s">
        <v>56</v>
      </c>
      <c r="H873" s="26" t="s">
        <v>2529</v>
      </c>
      <c r="I873" s="26" t="s">
        <v>2530</v>
      </c>
      <c r="J873" s="22" t="s">
        <v>2535</v>
      </c>
      <c r="L873" s="28" t="s">
        <v>58</v>
      </c>
      <c r="M873" s="22" t="s">
        <v>59</v>
      </c>
      <c r="N873" s="22">
        <v>0</v>
      </c>
      <c r="O873" s="22" t="s">
        <v>60</v>
      </c>
      <c r="P873" s="22" t="s">
        <v>2536</v>
      </c>
      <c r="Q873" s="23" t="s">
        <v>2537</v>
      </c>
      <c r="R873" s="23" t="s">
        <v>719</v>
      </c>
      <c r="V873" s="25" t="s">
        <v>615</v>
      </c>
      <c r="W873" s="65" t="s">
        <v>655</v>
      </c>
      <c r="Z873" s="83" t="s">
        <v>63</v>
      </c>
      <c r="AA873" s="6">
        <v>8</v>
      </c>
      <c r="AB873" s="6">
        <v>8</v>
      </c>
      <c r="AC873" s="5">
        <v>70</v>
      </c>
      <c r="AD873" s="5" t="s">
        <v>80</v>
      </c>
      <c r="AE873" s="5" t="s">
        <v>335</v>
      </c>
      <c r="AI873" s="5">
        <v>66</v>
      </c>
      <c r="AJ873" s="5">
        <v>80</v>
      </c>
      <c r="AK873" s="6">
        <v>71</v>
      </c>
      <c r="AL873" s="6" t="s">
        <v>81</v>
      </c>
      <c r="AM873" s="6" t="s">
        <v>335</v>
      </c>
      <c r="AQ873" s="6">
        <v>56</v>
      </c>
      <c r="AR873" s="6">
        <v>91</v>
      </c>
      <c r="BQ873" s="6" t="s">
        <v>2493</v>
      </c>
      <c r="BR873" s="5" t="s">
        <v>2531</v>
      </c>
    </row>
    <row r="874" spans="1:70" ht="14.25" hidden="1" x14ac:dyDescent="0.2">
      <c r="A874" s="254">
        <v>2023</v>
      </c>
      <c r="B874" s="231" t="s">
        <v>2527</v>
      </c>
      <c r="C874" s="265" t="s">
        <v>2743</v>
      </c>
      <c r="D874" s="231" t="s">
        <v>2538</v>
      </c>
      <c r="E874" s="3" t="s">
        <v>102</v>
      </c>
      <c r="F874" s="26" t="s">
        <v>684</v>
      </c>
      <c r="G874" s="26" t="s">
        <v>56</v>
      </c>
      <c r="H874" s="26" t="s">
        <v>2529</v>
      </c>
      <c r="I874" s="26" t="s">
        <v>2530</v>
      </c>
      <c r="J874" s="22" t="s">
        <v>2535</v>
      </c>
      <c r="L874" s="28" t="s">
        <v>58</v>
      </c>
      <c r="M874" s="22" t="s">
        <v>59</v>
      </c>
      <c r="N874" s="22">
        <v>0</v>
      </c>
      <c r="O874" s="22" t="s">
        <v>60</v>
      </c>
      <c r="P874" s="22" t="s">
        <v>2536</v>
      </c>
      <c r="Q874" s="23" t="s">
        <v>2537</v>
      </c>
      <c r="R874" s="23" t="s">
        <v>719</v>
      </c>
      <c r="V874" s="25" t="s">
        <v>615</v>
      </c>
      <c r="W874" s="65" t="s">
        <v>655</v>
      </c>
      <c r="Z874" s="83" t="s">
        <v>63</v>
      </c>
      <c r="AA874" s="6">
        <v>8</v>
      </c>
      <c r="AB874" s="6">
        <v>0</v>
      </c>
      <c r="AC874" s="5">
        <v>72</v>
      </c>
      <c r="AD874" s="5" t="s">
        <v>80</v>
      </c>
      <c r="AE874" s="5" t="s">
        <v>335</v>
      </c>
      <c r="AI874" s="5">
        <v>68</v>
      </c>
      <c r="AJ874" s="5">
        <v>75</v>
      </c>
      <c r="AK874" s="6">
        <v>97</v>
      </c>
      <c r="AL874" s="6" t="s">
        <v>81</v>
      </c>
      <c r="AM874" s="6" t="s">
        <v>335</v>
      </c>
      <c r="AQ874" s="6">
        <v>75</v>
      </c>
      <c r="AR874" s="6">
        <v>112</v>
      </c>
      <c r="BQ874" s="6" t="s">
        <v>2493</v>
      </c>
      <c r="BR874" s="5" t="s">
        <v>2531</v>
      </c>
    </row>
    <row r="875" spans="1:70" ht="14.25" hidden="1" x14ac:dyDescent="0.2">
      <c r="A875" s="254">
        <v>2024</v>
      </c>
      <c r="B875" s="231" t="s">
        <v>2527</v>
      </c>
      <c r="C875" s="265" t="s">
        <v>2743</v>
      </c>
      <c r="D875" s="231" t="s">
        <v>2539</v>
      </c>
      <c r="E875" s="3" t="s">
        <v>102</v>
      </c>
      <c r="F875" s="26" t="s">
        <v>684</v>
      </c>
      <c r="G875" s="26" t="s">
        <v>56</v>
      </c>
      <c r="H875" s="26" t="s">
        <v>2529</v>
      </c>
      <c r="I875" s="26" t="s">
        <v>2530</v>
      </c>
      <c r="J875" s="22" t="s">
        <v>2535</v>
      </c>
      <c r="L875" s="28" t="s">
        <v>58</v>
      </c>
      <c r="M875" s="22" t="s">
        <v>59</v>
      </c>
      <c r="N875" s="22">
        <v>0</v>
      </c>
      <c r="O875" s="22" t="s">
        <v>60</v>
      </c>
      <c r="P875" s="22" t="s">
        <v>2536</v>
      </c>
      <c r="Q875" s="23" t="s">
        <v>2537</v>
      </c>
      <c r="R875" s="23" t="s">
        <v>719</v>
      </c>
      <c r="V875" s="25" t="s">
        <v>615</v>
      </c>
      <c r="W875" s="65" t="s">
        <v>655</v>
      </c>
      <c r="Z875" s="83" t="s">
        <v>63</v>
      </c>
      <c r="AA875" s="6">
        <v>16</v>
      </c>
      <c r="AB875" s="6">
        <v>8</v>
      </c>
      <c r="AC875" s="5">
        <v>71</v>
      </c>
      <c r="AD875" s="5" t="s">
        <v>80</v>
      </c>
      <c r="AE875" s="5" t="s">
        <v>335</v>
      </c>
      <c r="AI875" s="5">
        <v>66</v>
      </c>
      <c r="AJ875" s="5">
        <v>80</v>
      </c>
      <c r="AK875" s="6">
        <v>84</v>
      </c>
      <c r="AL875" s="6" t="s">
        <v>81</v>
      </c>
      <c r="AM875" s="6" t="s">
        <v>335</v>
      </c>
      <c r="AQ875" s="6">
        <v>56</v>
      </c>
      <c r="AR875" s="6">
        <v>112</v>
      </c>
      <c r="BQ875" s="6" t="s">
        <v>2493</v>
      </c>
      <c r="BR875" s="5" t="s">
        <v>2531</v>
      </c>
    </row>
    <row r="876" spans="1:70" ht="14.25" hidden="1" x14ac:dyDescent="0.2">
      <c r="A876" s="254">
        <v>2025</v>
      </c>
      <c r="B876" s="231" t="s">
        <v>2527</v>
      </c>
      <c r="C876" s="265" t="s">
        <v>2743</v>
      </c>
      <c r="D876" s="231" t="s">
        <v>2540</v>
      </c>
      <c r="E876" s="3" t="s">
        <v>102</v>
      </c>
      <c r="F876" s="26" t="s">
        <v>684</v>
      </c>
      <c r="G876" s="26" t="s">
        <v>56</v>
      </c>
      <c r="H876" s="26" t="s">
        <v>2529</v>
      </c>
      <c r="I876" s="26" t="s">
        <v>2530</v>
      </c>
      <c r="J876" s="22">
        <v>0.05</v>
      </c>
      <c r="L876" s="28" t="s">
        <v>107</v>
      </c>
      <c r="M876" s="22" t="s">
        <v>78</v>
      </c>
      <c r="N876" s="22">
        <v>170</v>
      </c>
      <c r="O876" s="22" t="s">
        <v>60</v>
      </c>
      <c r="P876" s="22" t="s">
        <v>79</v>
      </c>
      <c r="Q876" s="23" t="s">
        <v>621</v>
      </c>
      <c r="S876" s="24">
        <v>30</v>
      </c>
      <c r="V876" s="25" t="s">
        <v>615</v>
      </c>
      <c r="W876" s="65" t="s">
        <v>655</v>
      </c>
      <c r="Z876" s="83" t="s">
        <v>63</v>
      </c>
      <c r="AA876" s="6">
        <v>8</v>
      </c>
      <c r="AB876" s="6">
        <v>8</v>
      </c>
      <c r="AC876" s="5">
        <v>70</v>
      </c>
      <c r="AD876" s="5" t="s">
        <v>80</v>
      </c>
      <c r="AE876" s="5" t="s">
        <v>335</v>
      </c>
      <c r="AI876" s="5">
        <v>66</v>
      </c>
      <c r="AJ876" s="5">
        <v>80</v>
      </c>
      <c r="AK876" s="6">
        <v>71</v>
      </c>
      <c r="AL876" s="6" t="s">
        <v>81</v>
      </c>
      <c r="AM876" s="6" t="s">
        <v>335</v>
      </c>
      <c r="AQ876" s="6">
        <v>56</v>
      </c>
      <c r="AR876" s="6">
        <v>91</v>
      </c>
      <c r="BQ876" s="6" t="s">
        <v>2493</v>
      </c>
      <c r="BR876" s="5" t="s">
        <v>2531</v>
      </c>
    </row>
    <row r="877" spans="1:70" ht="14.25" hidden="1" x14ac:dyDescent="0.2">
      <c r="A877" s="254">
        <v>2026</v>
      </c>
      <c r="B877" s="231" t="s">
        <v>2527</v>
      </c>
      <c r="C877" s="265" t="s">
        <v>2743</v>
      </c>
      <c r="D877" s="231" t="s">
        <v>2541</v>
      </c>
      <c r="E877" s="3" t="s">
        <v>102</v>
      </c>
      <c r="F877" s="26" t="s">
        <v>684</v>
      </c>
      <c r="G877" s="26" t="s">
        <v>56</v>
      </c>
      <c r="H877" s="26" t="s">
        <v>2529</v>
      </c>
      <c r="I877" s="26" t="s">
        <v>2530</v>
      </c>
      <c r="J877" s="22">
        <v>0.05</v>
      </c>
      <c r="L877" s="28" t="s">
        <v>107</v>
      </c>
      <c r="M877" s="22" t="s">
        <v>78</v>
      </c>
      <c r="N877" s="22">
        <v>170</v>
      </c>
      <c r="O877" s="22" t="s">
        <v>60</v>
      </c>
      <c r="P877" s="22" t="s">
        <v>79</v>
      </c>
      <c r="Q877" s="23" t="s">
        <v>621</v>
      </c>
      <c r="S877" s="24">
        <v>30</v>
      </c>
      <c r="V877" s="25" t="s">
        <v>615</v>
      </c>
      <c r="W877" s="65" t="s">
        <v>655</v>
      </c>
      <c r="Z877" s="83" t="s">
        <v>63</v>
      </c>
      <c r="AA877" s="6">
        <v>8</v>
      </c>
      <c r="AB877" s="6">
        <v>0</v>
      </c>
      <c r="AC877" s="5">
        <v>72</v>
      </c>
      <c r="AD877" s="5" t="s">
        <v>80</v>
      </c>
      <c r="AE877" s="5" t="s">
        <v>335</v>
      </c>
      <c r="AI877" s="5">
        <v>68</v>
      </c>
      <c r="AJ877" s="5">
        <v>75</v>
      </c>
      <c r="AK877" s="6">
        <v>97</v>
      </c>
      <c r="AL877" s="6" t="s">
        <v>81</v>
      </c>
      <c r="AM877" s="6" t="s">
        <v>335</v>
      </c>
      <c r="AQ877" s="6">
        <v>75</v>
      </c>
      <c r="AR877" s="6">
        <v>112</v>
      </c>
      <c r="BQ877" s="6" t="s">
        <v>2493</v>
      </c>
      <c r="BR877" s="5" t="s">
        <v>2531</v>
      </c>
    </row>
    <row r="878" spans="1:70" ht="14.25" hidden="1" x14ac:dyDescent="0.2">
      <c r="A878" s="254">
        <v>2027</v>
      </c>
      <c r="B878" s="231" t="s">
        <v>2527</v>
      </c>
      <c r="C878" s="265" t="s">
        <v>2743</v>
      </c>
      <c r="D878" s="231" t="s">
        <v>2542</v>
      </c>
      <c r="E878" s="3" t="s">
        <v>102</v>
      </c>
      <c r="F878" s="26" t="s">
        <v>684</v>
      </c>
      <c r="G878" s="26" t="s">
        <v>56</v>
      </c>
      <c r="H878" s="26" t="s">
        <v>2529</v>
      </c>
      <c r="I878" s="26" t="s">
        <v>2530</v>
      </c>
      <c r="J878" s="22">
        <v>0.05</v>
      </c>
      <c r="L878" s="28" t="s">
        <v>107</v>
      </c>
      <c r="M878" s="22" t="s">
        <v>78</v>
      </c>
      <c r="N878" s="22">
        <v>170</v>
      </c>
      <c r="O878" s="22" t="s">
        <v>60</v>
      </c>
      <c r="P878" s="22" t="s">
        <v>79</v>
      </c>
      <c r="Q878" s="23" t="s">
        <v>621</v>
      </c>
      <c r="S878" s="24">
        <v>30</v>
      </c>
      <c r="V878" s="25" t="s">
        <v>615</v>
      </c>
      <c r="W878" s="65" t="s">
        <v>655</v>
      </c>
      <c r="Z878" s="83" t="s">
        <v>63</v>
      </c>
      <c r="AA878" s="6">
        <v>16</v>
      </c>
      <c r="AB878" s="6">
        <v>8</v>
      </c>
      <c r="AC878" s="5">
        <v>71</v>
      </c>
      <c r="AD878" s="5" t="s">
        <v>80</v>
      </c>
      <c r="AE878" s="5" t="s">
        <v>335</v>
      </c>
      <c r="AI878" s="5">
        <v>66</v>
      </c>
      <c r="AJ878" s="5">
        <v>80</v>
      </c>
      <c r="AK878" s="6">
        <v>84</v>
      </c>
      <c r="AL878" s="6" t="s">
        <v>81</v>
      </c>
      <c r="AM878" s="6" t="s">
        <v>335</v>
      </c>
      <c r="AQ878" s="6">
        <v>56</v>
      </c>
      <c r="AR878" s="6">
        <v>112</v>
      </c>
      <c r="BQ878" s="6" t="s">
        <v>2493</v>
      </c>
      <c r="BR878" s="5" t="s">
        <v>2531</v>
      </c>
    </row>
    <row r="879" spans="1:70" ht="14.25" hidden="1" x14ac:dyDescent="0.2">
      <c r="A879" s="254">
        <v>2028</v>
      </c>
      <c r="B879" s="231" t="s">
        <v>2527</v>
      </c>
      <c r="C879" s="265" t="s">
        <v>2743</v>
      </c>
      <c r="D879" s="231" t="s">
        <v>2543</v>
      </c>
      <c r="E879" s="3" t="s">
        <v>102</v>
      </c>
      <c r="F879" s="26" t="s">
        <v>684</v>
      </c>
      <c r="G879" s="26" t="s">
        <v>56</v>
      </c>
      <c r="H879" s="26" t="s">
        <v>2529</v>
      </c>
      <c r="I879" s="26" t="s">
        <v>2530</v>
      </c>
      <c r="J879" s="22" t="s">
        <v>2535</v>
      </c>
      <c r="L879" s="28" t="s">
        <v>58</v>
      </c>
      <c r="M879" s="22" t="s">
        <v>59</v>
      </c>
      <c r="N879" s="22">
        <v>170</v>
      </c>
      <c r="O879" s="22" t="s">
        <v>60</v>
      </c>
      <c r="P879" s="22" t="s">
        <v>2536</v>
      </c>
      <c r="Q879" s="23" t="s">
        <v>2537</v>
      </c>
      <c r="R879" s="23" t="s">
        <v>719</v>
      </c>
      <c r="V879" s="25" t="s">
        <v>615</v>
      </c>
      <c r="W879" s="65" t="s">
        <v>655</v>
      </c>
      <c r="Z879" s="83" t="s">
        <v>63</v>
      </c>
      <c r="AA879" s="6">
        <v>8</v>
      </c>
      <c r="AB879" s="6">
        <v>8</v>
      </c>
      <c r="AC879" s="5">
        <v>70</v>
      </c>
      <c r="AD879" s="5" t="s">
        <v>80</v>
      </c>
      <c r="AE879" s="5" t="s">
        <v>335</v>
      </c>
      <c r="AI879" s="5">
        <v>66</v>
      </c>
      <c r="AJ879" s="5">
        <v>80</v>
      </c>
      <c r="AK879" s="6">
        <v>71</v>
      </c>
      <c r="AL879" s="6" t="s">
        <v>81</v>
      </c>
      <c r="AM879" s="6" t="s">
        <v>335</v>
      </c>
      <c r="AQ879" s="6">
        <v>56</v>
      </c>
      <c r="AR879" s="6">
        <v>91</v>
      </c>
      <c r="BQ879" s="6" t="s">
        <v>2493</v>
      </c>
      <c r="BR879" s="5" t="s">
        <v>2531</v>
      </c>
    </row>
    <row r="880" spans="1:70" ht="14.25" hidden="1" x14ac:dyDescent="0.2">
      <c r="A880" s="254">
        <v>2029</v>
      </c>
      <c r="B880" s="231" t="s">
        <v>2527</v>
      </c>
      <c r="C880" s="265" t="s">
        <v>2743</v>
      </c>
      <c r="D880" s="231" t="s">
        <v>2544</v>
      </c>
      <c r="E880" s="3" t="s">
        <v>102</v>
      </c>
      <c r="F880" s="26" t="s">
        <v>684</v>
      </c>
      <c r="G880" s="26" t="s">
        <v>56</v>
      </c>
      <c r="H880" s="26" t="s">
        <v>2529</v>
      </c>
      <c r="I880" s="26" t="s">
        <v>2530</v>
      </c>
      <c r="J880" s="22" t="s">
        <v>2535</v>
      </c>
      <c r="L880" s="28" t="s">
        <v>58</v>
      </c>
      <c r="M880" s="22" t="s">
        <v>59</v>
      </c>
      <c r="N880" s="22">
        <v>170</v>
      </c>
      <c r="O880" s="22" t="s">
        <v>60</v>
      </c>
      <c r="P880" s="22" t="s">
        <v>2536</v>
      </c>
      <c r="Q880" s="23" t="s">
        <v>2537</v>
      </c>
      <c r="R880" s="23" t="s">
        <v>719</v>
      </c>
      <c r="V880" s="25" t="s">
        <v>615</v>
      </c>
      <c r="W880" s="65" t="s">
        <v>655</v>
      </c>
      <c r="Z880" s="83" t="s">
        <v>63</v>
      </c>
      <c r="AA880" s="6">
        <v>8</v>
      </c>
      <c r="AB880" s="6">
        <v>0</v>
      </c>
      <c r="AC880" s="5">
        <v>72</v>
      </c>
      <c r="AD880" s="5" t="s">
        <v>80</v>
      </c>
      <c r="AE880" s="5" t="s">
        <v>335</v>
      </c>
      <c r="AI880" s="5">
        <v>68</v>
      </c>
      <c r="AJ880" s="5">
        <v>75</v>
      </c>
      <c r="AK880" s="6">
        <v>97</v>
      </c>
      <c r="AL880" s="6" t="s">
        <v>81</v>
      </c>
      <c r="AM880" s="6" t="s">
        <v>335</v>
      </c>
      <c r="AQ880" s="6">
        <v>75</v>
      </c>
      <c r="AR880" s="6">
        <v>112</v>
      </c>
      <c r="BQ880" s="6" t="s">
        <v>2493</v>
      </c>
      <c r="BR880" s="5" t="s">
        <v>2531</v>
      </c>
    </row>
    <row r="881" spans="1:70" ht="14.25" hidden="1" x14ac:dyDescent="0.2">
      <c r="A881" s="254">
        <v>2030</v>
      </c>
      <c r="B881" s="231" t="s">
        <v>2527</v>
      </c>
      <c r="C881" s="265" t="s">
        <v>2743</v>
      </c>
      <c r="D881" s="231" t="s">
        <v>2545</v>
      </c>
      <c r="E881" s="3" t="s">
        <v>102</v>
      </c>
      <c r="F881" s="26" t="s">
        <v>684</v>
      </c>
      <c r="G881" s="26" t="s">
        <v>56</v>
      </c>
      <c r="H881" s="26" t="s">
        <v>2529</v>
      </c>
      <c r="I881" s="26" t="s">
        <v>2530</v>
      </c>
      <c r="J881" s="22" t="s">
        <v>2535</v>
      </c>
      <c r="L881" s="28" t="s">
        <v>58</v>
      </c>
      <c r="M881" s="22" t="s">
        <v>59</v>
      </c>
      <c r="N881" s="22">
        <v>170</v>
      </c>
      <c r="O881" s="22" t="s">
        <v>60</v>
      </c>
      <c r="P881" s="22" t="s">
        <v>2536</v>
      </c>
      <c r="Q881" s="23" t="s">
        <v>2537</v>
      </c>
      <c r="R881" s="23" t="s">
        <v>719</v>
      </c>
      <c r="V881" s="25" t="s">
        <v>615</v>
      </c>
      <c r="W881" s="65" t="s">
        <v>655</v>
      </c>
      <c r="Z881" s="83" t="s">
        <v>63</v>
      </c>
      <c r="AA881" s="6">
        <v>16</v>
      </c>
      <c r="AB881" s="6">
        <v>8</v>
      </c>
      <c r="AC881" s="5">
        <v>71</v>
      </c>
      <c r="AD881" s="5" t="s">
        <v>80</v>
      </c>
      <c r="AE881" s="5" t="s">
        <v>335</v>
      </c>
      <c r="AI881" s="5">
        <v>66</v>
      </c>
      <c r="AJ881" s="5">
        <v>80</v>
      </c>
      <c r="AK881" s="6">
        <v>84</v>
      </c>
      <c r="AL881" s="6" t="s">
        <v>81</v>
      </c>
      <c r="AM881" s="6" t="s">
        <v>335</v>
      </c>
      <c r="AQ881" s="6">
        <v>56</v>
      </c>
      <c r="AR881" s="6">
        <v>112</v>
      </c>
      <c r="BQ881" s="6" t="s">
        <v>2493</v>
      </c>
      <c r="BR881" s="5" t="s">
        <v>2531</v>
      </c>
    </row>
    <row r="882" spans="1:70" ht="14.25" hidden="1" x14ac:dyDescent="0.2">
      <c r="A882" s="254">
        <v>2031</v>
      </c>
      <c r="B882" s="231" t="s">
        <v>2527</v>
      </c>
      <c r="C882" s="265" t="s">
        <v>2743</v>
      </c>
      <c r="D882" s="231" t="s">
        <v>1113</v>
      </c>
      <c r="E882" s="3" t="s">
        <v>1113</v>
      </c>
      <c r="F882" s="26" t="s">
        <v>55</v>
      </c>
      <c r="G882" s="26" t="s">
        <v>56</v>
      </c>
      <c r="H882" s="26" t="s">
        <v>2546</v>
      </c>
      <c r="I882" s="26" t="s">
        <v>2547</v>
      </c>
      <c r="J882" s="22">
        <v>500</v>
      </c>
      <c r="L882" s="28" t="s">
        <v>58</v>
      </c>
      <c r="M882" s="22" t="s">
        <v>59</v>
      </c>
      <c r="N882" s="22" t="s">
        <v>2744</v>
      </c>
      <c r="O882" s="22" t="s">
        <v>60</v>
      </c>
      <c r="P882" s="22" t="s">
        <v>2548</v>
      </c>
      <c r="Q882" s="23" t="s">
        <v>1135</v>
      </c>
      <c r="Z882" s="83" t="s">
        <v>63</v>
      </c>
      <c r="AA882" s="6">
        <v>16</v>
      </c>
      <c r="AB882" s="6">
        <v>8</v>
      </c>
      <c r="AC882" s="5">
        <v>71</v>
      </c>
      <c r="AD882" s="5" t="s">
        <v>80</v>
      </c>
      <c r="AE882" s="5" t="s">
        <v>335</v>
      </c>
      <c r="AI882" s="5">
        <v>66</v>
      </c>
      <c r="AJ882" s="5">
        <v>80</v>
      </c>
      <c r="AK882" s="6">
        <v>84</v>
      </c>
      <c r="AL882" s="6" t="s">
        <v>81</v>
      </c>
      <c r="AM882" s="6" t="s">
        <v>335</v>
      </c>
      <c r="AQ882" s="6">
        <v>56</v>
      </c>
      <c r="AR882" s="6">
        <v>112</v>
      </c>
      <c r="BQ882" s="6" t="s">
        <v>2493</v>
      </c>
      <c r="BR882" s="5" t="s">
        <v>2531</v>
      </c>
    </row>
    <row r="883" spans="1:70" ht="14.25" hidden="1" x14ac:dyDescent="0.2">
      <c r="A883" s="254">
        <v>2032</v>
      </c>
      <c r="B883" s="231" t="s">
        <v>2527</v>
      </c>
      <c r="C883" s="265" t="s">
        <v>2743</v>
      </c>
      <c r="D883" s="231" t="s">
        <v>2549</v>
      </c>
      <c r="E883" s="3" t="s">
        <v>2549</v>
      </c>
      <c r="F883" s="26" t="s">
        <v>55</v>
      </c>
      <c r="G883" s="26" t="s">
        <v>56</v>
      </c>
      <c r="H883" s="26" t="s">
        <v>2546</v>
      </c>
      <c r="I883" s="26" t="s">
        <v>2547</v>
      </c>
      <c r="J883" s="22">
        <v>500</v>
      </c>
      <c r="L883" s="28" t="s">
        <v>58</v>
      </c>
      <c r="M883" s="22" t="s">
        <v>59</v>
      </c>
      <c r="N883" s="22" t="s">
        <v>2744</v>
      </c>
      <c r="O883" s="22" t="s">
        <v>60</v>
      </c>
      <c r="P883" s="22" t="s">
        <v>2548</v>
      </c>
      <c r="Q883" s="23" t="s">
        <v>1135</v>
      </c>
      <c r="Z883" s="83" t="s">
        <v>63</v>
      </c>
      <c r="AA883" s="6">
        <v>16</v>
      </c>
      <c r="AB883" s="6">
        <v>8</v>
      </c>
      <c r="AC883" s="5">
        <v>71</v>
      </c>
      <c r="AD883" s="5" t="s">
        <v>80</v>
      </c>
      <c r="AE883" s="5" t="s">
        <v>335</v>
      </c>
      <c r="AI883" s="5">
        <v>66</v>
      </c>
      <c r="AJ883" s="5">
        <v>80</v>
      </c>
      <c r="AK883" s="6">
        <v>84</v>
      </c>
      <c r="AL883" s="6" t="s">
        <v>81</v>
      </c>
      <c r="AM883" s="6" t="s">
        <v>335</v>
      </c>
      <c r="AQ883" s="6">
        <v>56</v>
      </c>
      <c r="AR883" s="6">
        <v>112</v>
      </c>
      <c r="BQ883" s="6" t="s">
        <v>2493</v>
      </c>
      <c r="BR883" s="5" t="s">
        <v>2531</v>
      </c>
    </row>
    <row r="884" spans="1:70" ht="14.25" hidden="1" x14ac:dyDescent="0.2">
      <c r="A884" s="254">
        <v>2033</v>
      </c>
      <c r="B884" s="231" t="s">
        <v>2527</v>
      </c>
      <c r="C884" s="265" t="s">
        <v>2743</v>
      </c>
      <c r="D884" s="231" t="s">
        <v>2550</v>
      </c>
      <c r="E884" s="3" t="s">
        <v>2550</v>
      </c>
      <c r="F884" s="26" t="s">
        <v>55</v>
      </c>
      <c r="G884" s="26" t="s">
        <v>56</v>
      </c>
      <c r="H884" s="26" t="s">
        <v>2546</v>
      </c>
      <c r="I884" s="26" t="s">
        <v>2547</v>
      </c>
      <c r="J884" s="22">
        <v>500</v>
      </c>
      <c r="L884" s="28" t="s">
        <v>58</v>
      </c>
      <c r="M884" s="22" t="s">
        <v>59</v>
      </c>
      <c r="N884" s="22" t="s">
        <v>2744</v>
      </c>
      <c r="O884" s="22" t="s">
        <v>60</v>
      </c>
      <c r="P884" s="22" t="s">
        <v>2548</v>
      </c>
      <c r="Q884" s="23" t="s">
        <v>1135</v>
      </c>
      <c r="Z884" s="83" t="s">
        <v>63</v>
      </c>
      <c r="AA884" s="6">
        <v>16</v>
      </c>
      <c r="AB884" s="6">
        <v>8</v>
      </c>
      <c r="AC884" s="5">
        <v>71</v>
      </c>
      <c r="AD884" s="5" t="s">
        <v>80</v>
      </c>
      <c r="AE884" s="5" t="s">
        <v>335</v>
      </c>
      <c r="AI884" s="5">
        <v>66</v>
      </c>
      <c r="AJ884" s="5">
        <v>80</v>
      </c>
      <c r="AK884" s="6">
        <v>84</v>
      </c>
      <c r="AL884" s="6" t="s">
        <v>81</v>
      </c>
      <c r="AM884" s="6" t="s">
        <v>335</v>
      </c>
      <c r="AQ884" s="6">
        <v>56</v>
      </c>
      <c r="AR884" s="6">
        <v>112</v>
      </c>
      <c r="BQ884" s="6" t="s">
        <v>2493</v>
      </c>
      <c r="BR884" s="5" t="s">
        <v>2531</v>
      </c>
    </row>
    <row r="885" spans="1:70" ht="14.25" hidden="1" x14ac:dyDescent="0.2">
      <c r="A885" s="254">
        <v>2034</v>
      </c>
      <c r="B885" s="231" t="s">
        <v>2551</v>
      </c>
      <c r="C885" s="265" t="s">
        <v>2742</v>
      </c>
      <c r="D885" s="231" t="s">
        <v>2552</v>
      </c>
      <c r="E885" s="3" t="s">
        <v>102</v>
      </c>
      <c r="F885" s="26" t="s">
        <v>103</v>
      </c>
      <c r="G885" s="26" t="s">
        <v>56</v>
      </c>
      <c r="H885" s="26" t="s">
        <v>77</v>
      </c>
      <c r="I885" s="26" t="s">
        <v>2740</v>
      </c>
      <c r="J885" s="22">
        <v>1</v>
      </c>
      <c r="L885" s="28" t="s">
        <v>58</v>
      </c>
      <c r="M885" s="22" t="s">
        <v>78</v>
      </c>
      <c r="N885" s="22">
        <v>0</v>
      </c>
      <c r="O885" s="22" t="s">
        <v>60</v>
      </c>
      <c r="P885" s="22" t="s">
        <v>79</v>
      </c>
      <c r="Q885" s="23" t="s">
        <v>621</v>
      </c>
      <c r="Z885" s="83" t="s">
        <v>63</v>
      </c>
      <c r="AA885" s="6">
        <v>24</v>
      </c>
      <c r="AB885" s="6">
        <v>0</v>
      </c>
      <c r="AC885" s="5">
        <v>26.5</v>
      </c>
      <c r="AD885" s="5" t="s">
        <v>80</v>
      </c>
      <c r="AE885" s="5" t="s">
        <v>335</v>
      </c>
      <c r="AF885" s="5">
        <v>4.5999999999999996</v>
      </c>
      <c r="AG885" s="5" t="s">
        <v>80</v>
      </c>
      <c r="AH885" s="5" t="s">
        <v>117</v>
      </c>
      <c r="AI885" s="5">
        <v>20</v>
      </c>
      <c r="AJ885" s="5">
        <v>38</v>
      </c>
      <c r="AK885" s="6">
        <v>69.2</v>
      </c>
      <c r="AL885" s="6" t="s">
        <v>81</v>
      </c>
      <c r="AM885" s="6" t="s">
        <v>335</v>
      </c>
      <c r="AN885" s="6">
        <v>7.7</v>
      </c>
      <c r="AO885" s="6" t="s">
        <v>81</v>
      </c>
      <c r="AP885" s="6" t="s">
        <v>117</v>
      </c>
      <c r="AQ885" s="6">
        <v>56.8</v>
      </c>
      <c r="AR885" s="6">
        <v>87.3</v>
      </c>
      <c r="BQ885" s="6" t="s">
        <v>2409</v>
      </c>
      <c r="BR885" s="5" t="s">
        <v>2553</v>
      </c>
    </row>
    <row r="886" spans="1:70" ht="14.25" hidden="1" x14ac:dyDescent="0.2">
      <c r="A886" s="254">
        <v>2035</v>
      </c>
      <c r="B886" s="231" t="s">
        <v>2551</v>
      </c>
      <c r="C886" s="265" t="s">
        <v>2742</v>
      </c>
      <c r="D886" s="231" t="s">
        <v>2554</v>
      </c>
      <c r="E886" s="3" t="s">
        <v>102</v>
      </c>
      <c r="F886" s="26" t="s">
        <v>103</v>
      </c>
      <c r="G886" s="26" t="s">
        <v>56</v>
      </c>
      <c r="H886" s="26" t="s">
        <v>77</v>
      </c>
      <c r="I886" s="26" t="s">
        <v>2740</v>
      </c>
      <c r="J886" s="22">
        <v>1</v>
      </c>
      <c r="L886" s="28" t="s">
        <v>58</v>
      </c>
      <c r="M886" s="22" t="s">
        <v>78</v>
      </c>
      <c r="N886" s="22">
        <v>72</v>
      </c>
      <c r="O886" s="22" t="s">
        <v>60</v>
      </c>
      <c r="P886" s="22" t="s">
        <v>79</v>
      </c>
      <c r="Q886" s="23" t="s">
        <v>621</v>
      </c>
      <c r="Z886" s="83" t="s">
        <v>63</v>
      </c>
      <c r="AA886" s="6">
        <v>24</v>
      </c>
      <c r="AB886" s="6">
        <v>0</v>
      </c>
      <c r="AC886" s="5">
        <v>26.5</v>
      </c>
      <c r="AD886" s="5" t="s">
        <v>80</v>
      </c>
      <c r="AE886" s="5" t="s">
        <v>335</v>
      </c>
      <c r="AF886" s="5">
        <v>4.5999999999999996</v>
      </c>
      <c r="AG886" s="5" t="s">
        <v>80</v>
      </c>
      <c r="AH886" s="5" t="s">
        <v>117</v>
      </c>
      <c r="AI886" s="5">
        <v>20</v>
      </c>
      <c r="AJ886" s="5">
        <v>38</v>
      </c>
      <c r="AK886" s="6">
        <v>69.2</v>
      </c>
      <c r="AL886" s="6" t="s">
        <v>81</v>
      </c>
      <c r="AM886" s="6" t="s">
        <v>335</v>
      </c>
      <c r="AN886" s="6">
        <v>7.7</v>
      </c>
      <c r="AO886" s="6" t="s">
        <v>81</v>
      </c>
      <c r="AP886" s="6" t="s">
        <v>117</v>
      </c>
      <c r="AQ886" s="6">
        <v>56.8</v>
      </c>
      <c r="AR886" s="6">
        <v>87.3</v>
      </c>
      <c r="BQ886" s="6" t="s">
        <v>2409</v>
      </c>
      <c r="BR886" s="5" t="s">
        <v>2553</v>
      </c>
    </row>
    <row r="887" spans="1:70" ht="14.25" hidden="1" x14ac:dyDescent="0.2">
      <c r="A887" s="254">
        <v>2036</v>
      </c>
      <c r="B887" s="231" t="s">
        <v>2551</v>
      </c>
      <c r="C887" s="265" t="s">
        <v>2742</v>
      </c>
      <c r="D887" s="231" t="s">
        <v>2555</v>
      </c>
      <c r="E887" s="3" t="s">
        <v>102</v>
      </c>
      <c r="F887" s="26" t="s">
        <v>103</v>
      </c>
      <c r="G887" s="26" t="s">
        <v>56</v>
      </c>
      <c r="H887" s="26" t="s">
        <v>77</v>
      </c>
      <c r="I887" s="26" t="s">
        <v>2740</v>
      </c>
      <c r="J887" s="22">
        <v>2.5</v>
      </c>
      <c r="L887" s="28" t="s">
        <v>58</v>
      </c>
      <c r="M887" s="22" t="s">
        <v>78</v>
      </c>
      <c r="N887" s="22">
        <v>216</v>
      </c>
      <c r="O887" s="22" t="s">
        <v>60</v>
      </c>
      <c r="P887" s="22" t="s">
        <v>79</v>
      </c>
      <c r="Q887" s="23" t="s">
        <v>621</v>
      </c>
      <c r="Z887" s="83" t="s">
        <v>63</v>
      </c>
      <c r="AA887" s="6">
        <v>24</v>
      </c>
      <c r="AB887" s="6">
        <v>0</v>
      </c>
      <c r="AC887" s="5">
        <v>26.5</v>
      </c>
      <c r="AD887" s="5" t="s">
        <v>80</v>
      </c>
      <c r="AE887" s="5" t="s">
        <v>335</v>
      </c>
      <c r="AF887" s="5">
        <v>4.5999999999999996</v>
      </c>
      <c r="AG887" s="5" t="s">
        <v>80</v>
      </c>
      <c r="AH887" s="5" t="s">
        <v>117</v>
      </c>
      <c r="AI887" s="5">
        <v>20</v>
      </c>
      <c r="AJ887" s="5">
        <v>38</v>
      </c>
      <c r="AK887" s="6">
        <v>69.2</v>
      </c>
      <c r="AL887" s="6" t="s">
        <v>81</v>
      </c>
      <c r="AM887" s="6" t="s">
        <v>335</v>
      </c>
      <c r="AN887" s="6">
        <v>7.7</v>
      </c>
      <c r="AO887" s="6" t="s">
        <v>81</v>
      </c>
      <c r="AP887" s="6" t="s">
        <v>117</v>
      </c>
      <c r="AQ887" s="6">
        <v>56.8</v>
      </c>
      <c r="AR887" s="6">
        <v>87.3</v>
      </c>
      <c r="BQ887" s="6" t="s">
        <v>2409</v>
      </c>
      <c r="BR887" s="5" t="s">
        <v>2553</v>
      </c>
    </row>
    <row r="888" spans="1:70" ht="14.25" hidden="1" x14ac:dyDescent="0.2">
      <c r="A888" s="254">
        <v>2037</v>
      </c>
      <c r="B888" s="231" t="s">
        <v>2551</v>
      </c>
      <c r="C888" s="265" t="s">
        <v>2742</v>
      </c>
      <c r="D888" s="231" t="s">
        <v>2556</v>
      </c>
      <c r="E888" s="3" t="s">
        <v>102</v>
      </c>
      <c r="F888" s="26" t="s">
        <v>103</v>
      </c>
      <c r="G888" s="26" t="s">
        <v>56</v>
      </c>
      <c r="H888" s="26" t="s">
        <v>77</v>
      </c>
      <c r="I888" s="26" t="s">
        <v>2740</v>
      </c>
      <c r="J888" s="22">
        <v>1</v>
      </c>
      <c r="L888" s="28" t="s">
        <v>58</v>
      </c>
      <c r="M888" s="22" t="s">
        <v>78</v>
      </c>
      <c r="N888" s="22">
        <v>0</v>
      </c>
      <c r="O888" s="22" t="s">
        <v>60</v>
      </c>
      <c r="P888" s="22" t="s">
        <v>79</v>
      </c>
      <c r="Q888" s="23" t="s">
        <v>621</v>
      </c>
      <c r="Z888" s="83" t="s">
        <v>63</v>
      </c>
      <c r="AA888" s="6">
        <v>12</v>
      </c>
      <c r="AB888" s="6">
        <v>12</v>
      </c>
      <c r="AC888" s="5">
        <v>23.9</v>
      </c>
      <c r="AD888" s="5" t="s">
        <v>80</v>
      </c>
      <c r="AE888" s="5" t="s">
        <v>335</v>
      </c>
      <c r="AF888" s="5">
        <v>4.0999999999999996</v>
      </c>
      <c r="AG888" s="5" t="s">
        <v>80</v>
      </c>
      <c r="AH888" s="5" t="s">
        <v>117</v>
      </c>
      <c r="AI888" s="5">
        <v>20</v>
      </c>
      <c r="AJ888" s="5">
        <v>30</v>
      </c>
      <c r="AK888" s="6">
        <v>51.3</v>
      </c>
      <c r="AL888" s="6" t="s">
        <v>81</v>
      </c>
      <c r="AM888" s="6" t="s">
        <v>335</v>
      </c>
      <c r="AN888" s="6">
        <v>4.4000000000000004</v>
      </c>
      <c r="AO888" s="6" t="s">
        <v>81</v>
      </c>
      <c r="AP888" s="6" t="s">
        <v>117</v>
      </c>
      <c r="AQ888" s="6">
        <v>46</v>
      </c>
      <c r="AR888" s="6">
        <v>59.6</v>
      </c>
      <c r="BQ888" s="6" t="s">
        <v>2409</v>
      </c>
      <c r="BR888" s="5" t="s">
        <v>2557</v>
      </c>
    </row>
    <row r="889" spans="1:70" ht="14.25" hidden="1" x14ac:dyDescent="0.2">
      <c r="A889" s="254">
        <v>2038</v>
      </c>
      <c r="B889" s="231" t="s">
        <v>2551</v>
      </c>
      <c r="C889" s="265" t="s">
        <v>2742</v>
      </c>
      <c r="D889" s="231" t="s">
        <v>2558</v>
      </c>
      <c r="E889" s="3" t="s">
        <v>102</v>
      </c>
      <c r="F889" s="26" t="s">
        <v>103</v>
      </c>
      <c r="G889" s="26" t="s">
        <v>56</v>
      </c>
      <c r="H889" s="26" t="s">
        <v>77</v>
      </c>
      <c r="I889" s="26" t="s">
        <v>2740</v>
      </c>
      <c r="J889" s="22">
        <v>1</v>
      </c>
      <c r="L889" s="28" t="s">
        <v>58</v>
      </c>
      <c r="M889" s="22" t="s">
        <v>78</v>
      </c>
      <c r="N889" s="22">
        <v>72</v>
      </c>
      <c r="O889" s="22" t="s">
        <v>60</v>
      </c>
      <c r="P889" s="22" t="s">
        <v>79</v>
      </c>
      <c r="Q889" s="23" t="s">
        <v>621</v>
      </c>
      <c r="Z889" s="83" t="s">
        <v>63</v>
      </c>
      <c r="AA889" s="6">
        <v>12</v>
      </c>
      <c r="AB889" s="6">
        <v>12</v>
      </c>
      <c r="AC889" s="5">
        <v>23.9</v>
      </c>
      <c r="AD889" s="5" t="s">
        <v>80</v>
      </c>
      <c r="AE889" s="5" t="s">
        <v>335</v>
      </c>
      <c r="AF889" s="5">
        <v>4.0999999999999996</v>
      </c>
      <c r="AG889" s="5" t="s">
        <v>80</v>
      </c>
      <c r="AH889" s="5" t="s">
        <v>117</v>
      </c>
      <c r="AI889" s="5">
        <v>20</v>
      </c>
      <c r="AJ889" s="5">
        <v>30</v>
      </c>
      <c r="AK889" s="6">
        <v>51.3</v>
      </c>
      <c r="AL889" s="6" t="s">
        <v>81</v>
      </c>
      <c r="AM889" s="6" t="s">
        <v>335</v>
      </c>
      <c r="AN889" s="6">
        <v>4.4000000000000004</v>
      </c>
      <c r="AO889" s="6" t="s">
        <v>81</v>
      </c>
      <c r="AP889" s="6" t="s">
        <v>117</v>
      </c>
      <c r="AQ889" s="6">
        <v>46</v>
      </c>
      <c r="AR889" s="6">
        <v>59.6</v>
      </c>
      <c r="BQ889" s="6" t="s">
        <v>2409</v>
      </c>
      <c r="BR889" s="5" t="s">
        <v>2557</v>
      </c>
    </row>
    <row r="890" spans="1:70" ht="14.25" hidden="1" x14ac:dyDescent="0.2">
      <c r="A890" s="254">
        <v>2039</v>
      </c>
      <c r="B890" s="231" t="s">
        <v>2551</v>
      </c>
      <c r="C890" s="265" t="s">
        <v>2742</v>
      </c>
      <c r="D890" s="231" t="s">
        <v>2559</v>
      </c>
      <c r="E890" s="3" t="s">
        <v>102</v>
      </c>
      <c r="F890" s="26" t="s">
        <v>103</v>
      </c>
      <c r="G890" s="26" t="s">
        <v>56</v>
      </c>
      <c r="H890" s="26" t="s">
        <v>77</v>
      </c>
      <c r="I890" s="26" t="s">
        <v>2740</v>
      </c>
      <c r="J890" s="22">
        <v>2.5</v>
      </c>
      <c r="L890" s="28" t="s">
        <v>58</v>
      </c>
      <c r="M890" s="22" t="s">
        <v>78</v>
      </c>
      <c r="N890" s="22">
        <v>216</v>
      </c>
      <c r="O890" s="22" t="s">
        <v>60</v>
      </c>
      <c r="P890" s="22" t="s">
        <v>79</v>
      </c>
      <c r="Q890" s="23" t="s">
        <v>621</v>
      </c>
      <c r="Z890" s="83" t="s">
        <v>63</v>
      </c>
      <c r="AA890" s="6">
        <v>12</v>
      </c>
      <c r="AB890" s="6">
        <v>12</v>
      </c>
      <c r="AC890" s="5">
        <v>23.9</v>
      </c>
      <c r="AD890" s="5" t="s">
        <v>80</v>
      </c>
      <c r="AE890" s="5" t="s">
        <v>335</v>
      </c>
      <c r="AF890" s="5">
        <v>4.0999999999999996</v>
      </c>
      <c r="AG890" s="5" t="s">
        <v>80</v>
      </c>
      <c r="AH890" s="5" t="s">
        <v>117</v>
      </c>
      <c r="AI890" s="5">
        <v>20</v>
      </c>
      <c r="AJ890" s="5">
        <v>30</v>
      </c>
      <c r="AK890" s="6">
        <v>51.3</v>
      </c>
      <c r="AL890" s="6" t="s">
        <v>81</v>
      </c>
      <c r="AM890" s="6" t="s">
        <v>335</v>
      </c>
      <c r="AN890" s="6">
        <v>4.4000000000000004</v>
      </c>
      <c r="AO890" s="6" t="s">
        <v>81</v>
      </c>
      <c r="AP890" s="6" t="s">
        <v>117</v>
      </c>
      <c r="AQ890" s="6">
        <v>46</v>
      </c>
      <c r="AR890" s="6">
        <v>59.6</v>
      </c>
      <c r="BQ890" s="6" t="s">
        <v>2409</v>
      </c>
      <c r="BR890" s="5" t="s">
        <v>2557</v>
      </c>
    </row>
    <row r="891" spans="1:70" hidden="1" x14ac:dyDescent="0.2">
      <c r="A891" s="254">
        <v>2040</v>
      </c>
      <c r="B891" s="231" t="s">
        <v>2788</v>
      </c>
      <c r="C891" s="261" t="s">
        <v>2746</v>
      </c>
      <c r="D891" s="231" t="s">
        <v>2747</v>
      </c>
      <c r="E891" s="3" t="s">
        <v>102</v>
      </c>
      <c r="F891" s="26" t="s">
        <v>103</v>
      </c>
      <c r="G891" s="26" t="s">
        <v>56</v>
      </c>
      <c r="H891" s="26" t="s">
        <v>1973</v>
      </c>
      <c r="J891" s="22">
        <v>3</v>
      </c>
      <c r="L891" s="28" t="s">
        <v>58</v>
      </c>
      <c r="M891" s="22" t="s">
        <v>59</v>
      </c>
      <c r="N891" s="22">
        <v>0</v>
      </c>
      <c r="O891" s="22" t="s">
        <v>60</v>
      </c>
      <c r="P891" s="22" t="s">
        <v>79</v>
      </c>
      <c r="Q891" s="23" t="s">
        <v>102</v>
      </c>
      <c r="R891" s="23" t="s">
        <v>2748</v>
      </c>
      <c r="T891" s="23">
        <v>100</v>
      </c>
      <c r="V891" s="25" t="s">
        <v>615</v>
      </c>
      <c r="W891" s="65" t="s">
        <v>655</v>
      </c>
      <c r="Z891" s="83" t="s">
        <v>63</v>
      </c>
      <c r="AA891" s="6">
        <v>12</v>
      </c>
      <c r="BQ891" s="6" t="s">
        <v>195</v>
      </c>
    </row>
    <row r="892" spans="1:70" hidden="1" x14ac:dyDescent="0.2">
      <c r="A892" s="254">
        <v>2041</v>
      </c>
      <c r="B892" s="231" t="s">
        <v>2788</v>
      </c>
      <c r="C892" s="261" t="s">
        <v>2746</v>
      </c>
      <c r="D892" s="231" t="s">
        <v>2749</v>
      </c>
      <c r="E892" s="3" t="s">
        <v>102</v>
      </c>
      <c r="F892" s="26" t="s">
        <v>103</v>
      </c>
      <c r="G892" s="26" t="s">
        <v>56</v>
      </c>
      <c r="H892" s="26" t="s">
        <v>1973</v>
      </c>
      <c r="J892" s="22">
        <v>3</v>
      </c>
      <c r="L892" s="28" t="s">
        <v>58</v>
      </c>
      <c r="M892" s="22" t="s">
        <v>59</v>
      </c>
      <c r="N892" s="22">
        <v>336</v>
      </c>
      <c r="O892" s="22" t="s">
        <v>60</v>
      </c>
      <c r="P892" s="22" t="s">
        <v>79</v>
      </c>
      <c r="Q892" s="23" t="s">
        <v>102</v>
      </c>
      <c r="R892" s="23" t="s">
        <v>2748</v>
      </c>
      <c r="T892" s="23">
        <v>100</v>
      </c>
      <c r="V892" s="25" t="s">
        <v>615</v>
      </c>
      <c r="W892" s="65" t="s">
        <v>655</v>
      </c>
      <c r="Z892" s="83" t="s">
        <v>63</v>
      </c>
      <c r="AA892" s="6">
        <v>12</v>
      </c>
      <c r="BQ892" s="6" t="s">
        <v>195</v>
      </c>
    </row>
    <row r="893" spans="1:70" hidden="1" x14ac:dyDescent="0.2">
      <c r="A893" s="91">
        <v>2042</v>
      </c>
      <c r="B893" s="231" t="s">
        <v>2805</v>
      </c>
      <c r="C893" s="261" t="s">
        <v>2806</v>
      </c>
      <c r="D893" s="231" t="s">
        <v>2807</v>
      </c>
      <c r="E893" s="3" t="s">
        <v>102</v>
      </c>
      <c r="F893" s="26" t="s">
        <v>103</v>
      </c>
      <c r="G893" s="26" t="s">
        <v>56</v>
      </c>
      <c r="H893" s="26" t="s">
        <v>2845</v>
      </c>
      <c r="J893" s="22">
        <v>4</v>
      </c>
      <c r="L893" s="28" t="s">
        <v>58</v>
      </c>
      <c r="M893" s="22" t="s">
        <v>59</v>
      </c>
      <c r="N893" s="22">
        <v>0</v>
      </c>
      <c r="O893" s="22" t="s">
        <v>60</v>
      </c>
      <c r="P893" s="22" t="s">
        <v>79</v>
      </c>
      <c r="Q893" s="23" t="s">
        <v>102</v>
      </c>
      <c r="R893" s="23" t="s">
        <v>2748</v>
      </c>
      <c r="Z893" s="83" t="s">
        <v>63</v>
      </c>
      <c r="AA893" s="6">
        <v>12</v>
      </c>
      <c r="AB893" s="6">
        <v>6</v>
      </c>
      <c r="AI893" s="5">
        <v>21</v>
      </c>
      <c r="AJ893" s="5">
        <v>34</v>
      </c>
      <c r="BQ893" s="6" t="s">
        <v>195</v>
      </c>
    </row>
    <row r="894" spans="1:70" hidden="1" x14ac:dyDescent="0.2">
      <c r="A894" s="91">
        <v>2043</v>
      </c>
      <c r="B894" s="231" t="s">
        <v>2805</v>
      </c>
      <c r="C894" s="261" t="s">
        <v>2806</v>
      </c>
      <c r="D894" s="231" t="s">
        <v>2808</v>
      </c>
      <c r="E894" s="3" t="s">
        <v>102</v>
      </c>
      <c r="F894" s="26" t="s">
        <v>103</v>
      </c>
      <c r="G894" s="26" t="s">
        <v>56</v>
      </c>
      <c r="H894" s="26" t="s">
        <v>2845</v>
      </c>
      <c r="J894" s="22">
        <v>2</v>
      </c>
      <c r="L894" s="28" t="s">
        <v>58</v>
      </c>
      <c r="M894" s="22" t="s">
        <v>78</v>
      </c>
      <c r="N894" s="22">
        <v>6</v>
      </c>
      <c r="O894" s="22" t="s">
        <v>60</v>
      </c>
      <c r="P894" s="22" t="s">
        <v>79</v>
      </c>
      <c r="Q894" s="23" t="s">
        <v>102</v>
      </c>
      <c r="R894" s="23" t="s">
        <v>171</v>
      </c>
      <c r="Z894" s="83" t="s">
        <v>63</v>
      </c>
      <c r="AA894" s="6">
        <v>12</v>
      </c>
      <c r="AB894" s="6">
        <v>6</v>
      </c>
      <c r="AI894" s="5">
        <v>21</v>
      </c>
      <c r="AJ894" s="5">
        <v>34</v>
      </c>
      <c r="BQ894" s="6" t="s">
        <v>195</v>
      </c>
    </row>
    <row r="895" spans="1:70" hidden="1" x14ac:dyDescent="0.2">
      <c r="A895" s="91">
        <v>2044</v>
      </c>
      <c r="B895" s="231" t="s">
        <v>2805</v>
      </c>
      <c r="C895" s="261" t="s">
        <v>2806</v>
      </c>
      <c r="D895" s="231" t="s">
        <v>2809</v>
      </c>
      <c r="E895" s="3" t="s">
        <v>102</v>
      </c>
      <c r="F895" s="26" t="s">
        <v>103</v>
      </c>
      <c r="G895" s="26" t="s">
        <v>56</v>
      </c>
      <c r="H895" s="26" t="s">
        <v>2845</v>
      </c>
      <c r="J895" s="22">
        <v>4</v>
      </c>
      <c r="L895" s="28" t="s">
        <v>58</v>
      </c>
      <c r="M895" s="22" t="s">
        <v>59</v>
      </c>
      <c r="N895" s="22">
        <v>12</v>
      </c>
      <c r="O895" s="22" t="s">
        <v>60</v>
      </c>
      <c r="P895" s="22" t="s">
        <v>79</v>
      </c>
      <c r="Q895" s="23" t="s">
        <v>102</v>
      </c>
      <c r="R895" s="23" t="s">
        <v>2748</v>
      </c>
      <c r="Z895" s="83" t="s">
        <v>63</v>
      </c>
      <c r="AA895" s="6">
        <v>12</v>
      </c>
      <c r="AB895" s="6">
        <v>6</v>
      </c>
      <c r="AI895" s="5">
        <v>21</v>
      </c>
      <c r="AJ895" s="5">
        <v>34</v>
      </c>
      <c r="BQ895" s="6" t="s">
        <v>195</v>
      </c>
    </row>
    <row r="896" spans="1:70" hidden="1" x14ac:dyDescent="0.2">
      <c r="A896" s="91">
        <v>2045</v>
      </c>
      <c r="B896" s="231" t="s">
        <v>2805</v>
      </c>
      <c r="C896" s="261" t="s">
        <v>2806</v>
      </c>
      <c r="D896" s="231" t="s">
        <v>2810</v>
      </c>
      <c r="E896" s="3" t="s">
        <v>102</v>
      </c>
      <c r="F896" s="26" t="s">
        <v>103</v>
      </c>
      <c r="G896" s="26" t="s">
        <v>56</v>
      </c>
      <c r="H896" s="26" t="s">
        <v>2845</v>
      </c>
      <c r="J896" s="22">
        <v>2</v>
      </c>
      <c r="L896" s="28" t="s">
        <v>58</v>
      </c>
      <c r="M896" s="22" t="s">
        <v>78</v>
      </c>
      <c r="N896" s="22">
        <v>18</v>
      </c>
      <c r="O896" s="22" t="s">
        <v>60</v>
      </c>
      <c r="P896" s="22" t="s">
        <v>79</v>
      </c>
      <c r="Q896" s="23" t="s">
        <v>102</v>
      </c>
      <c r="R896" s="23" t="s">
        <v>171</v>
      </c>
      <c r="Z896" s="83" t="s">
        <v>63</v>
      </c>
      <c r="AA896" s="6">
        <v>12</v>
      </c>
      <c r="AB896" s="6">
        <v>6</v>
      </c>
      <c r="AI896" s="5">
        <v>21</v>
      </c>
      <c r="AJ896" s="5">
        <v>34</v>
      </c>
      <c r="BQ896" s="6" t="s">
        <v>195</v>
      </c>
    </row>
    <row r="897" spans="1:70" hidden="1" x14ac:dyDescent="0.2">
      <c r="A897" s="91">
        <v>2046</v>
      </c>
      <c r="B897" s="231" t="s">
        <v>2805</v>
      </c>
      <c r="C897" s="261" t="s">
        <v>2806</v>
      </c>
      <c r="D897" s="231" t="s">
        <v>2749</v>
      </c>
      <c r="E897" s="3" t="s">
        <v>2201</v>
      </c>
      <c r="F897" s="26" t="s">
        <v>103</v>
      </c>
      <c r="G897" s="26" t="s">
        <v>56</v>
      </c>
      <c r="H897" s="26" t="s">
        <v>2846</v>
      </c>
      <c r="J897" s="22">
        <v>400</v>
      </c>
      <c r="L897" s="28" t="s">
        <v>58</v>
      </c>
      <c r="M897" s="22" t="s">
        <v>59</v>
      </c>
      <c r="N897" s="22">
        <v>0</v>
      </c>
      <c r="O897" s="22" t="s">
        <v>60</v>
      </c>
      <c r="P897" s="22" t="s">
        <v>79</v>
      </c>
      <c r="Q897" s="23" t="s">
        <v>2201</v>
      </c>
      <c r="R897" s="23" t="s">
        <v>2847</v>
      </c>
      <c r="Z897" s="83" t="s">
        <v>63</v>
      </c>
      <c r="AA897" s="6">
        <v>12</v>
      </c>
      <c r="AB897" s="6">
        <v>6</v>
      </c>
      <c r="AI897" s="5">
        <v>21</v>
      </c>
      <c r="AJ897" s="5">
        <v>34</v>
      </c>
      <c r="BQ897" s="6" t="s">
        <v>195</v>
      </c>
    </row>
    <row r="898" spans="1:70" hidden="1" x14ac:dyDescent="0.2">
      <c r="A898" s="91">
        <v>2047</v>
      </c>
      <c r="B898" s="231" t="s">
        <v>2805</v>
      </c>
      <c r="C898" s="261" t="s">
        <v>2806</v>
      </c>
      <c r="D898" s="231" t="s">
        <v>2813</v>
      </c>
      <c r="E898" s="3" t="s">
        <v>102</v>
      </c>
      <c r="F898" s="26" t="s">
        <v>103</v>
      </c>
      <c r="G898" s="26" t="s">
        <v>56</v>
      </c>
      <c r="H898" s="26" t="s">
        <v>77</v>
      </c>
      <c r="J898" s="22">
        <v>4</v>
      </c>
      <c r="L898" s="28" t="s">
        <v>58</v>
      </c>
      <c r="M898" s="22" t="s">
        <v>59</v>
      </c>
      <c r="N898" s="22">
        <v>132</v>
      </c>
      <c r="O898" s="22" t="s">
        <v>60</v>
      </c>
      <c r="P898" s="22" t="s">
        <v>79</v>
      </c>
      <c r="Q898" s="23" t="s">
        <v>102</v>
      </c>
      <c r="R898" s="23" t="s">
        <v>2748</v>
      </c>
      <c r="Z898" s="83" t="s">
        <v>63</v>
      </c>
      <c r="AA898" s="6">
        <v>12</v>
      </c>
      <c r="AB898" s="6">
        <v>6</v>
      </c>
      <c r="AI898" s="5">
        <v>21</v>
      </c>
      <c r="AJ898" s="5">
        <v>34</v>
      </c>
      <c r="BQ898" s="6" t="s">
        <v>195</v>
      </c>
    </row>
    <row r="899" spans="1:70" hidden="1" x14ac:dyDescent="0.2">
      <c r="A899" s="91">
        <v>2048</v>
      </c>
      <c r="B899" s="231" t="s">
        <v>2805</v>
      </c>
      <c r="C899" s="261" t="s">
        <v>2806</v>
      </c>
      <c r="D899" s="231" t="s">
        <v>2814</v>
      </c>
      <c r="E899" s="3" t="s">
        <v>102</v>
      </c>
      <c r="F899" s="26" t="s">
        <v>103</v>
      </c>
      <c r="G899" s="26" t="s">
        <v>56</v>
      </c>
      <c r="H899" s="26" t="s">
        <v>77</v>
      </c>
      <c r="J899" s="22">
        <v>2</v>
      </c>
      <c r="L899" s="28" t="s">
        <v>58</v>
      </c>
      <c r="M899" s="22" t="s">
        <v>78</v>
      </c>
      <c r="N899" s="22">
        <v>138</v>
      </c>
      <c r="O899" s="22" t="s">
        <v>60</v>
      </c>
      <c r="P899" s="22" t="s">
        <v>79</v>
      </c>
      <c r="Q899" s="23" t="s">
        <v>102</v>
      </c>
      <c r="R899" s="23" t="s">
        <v>171</v>
      </c>
      <c r="Z899" s="83" t="s">
        <v>63</v>
      </c>
      <c r="AA899" s="6">
        <v>12</v>
      </c>
      <c r="AB899" s="6">
        <v>6</v>
      </c>
      <c r="AI899" s="5">
        <v>21</v>
      </c>
      <c r="AJ899" s="5">
        <v>34</v>
      </c>
      <c r="BQ899" s="6" t="s">
        <v>195</v>
      </c>
    </row>
    <row r="900" spans="1:70" hidden="1" x14ac:dyDescent="0.2">
      <c r="A900" s="91">
        <v>2049</v>
      </c>
      <c r="B900" s="231" t="s">
        <v>2805</v>
      </c>
      <c r="C900" s="261" t="s">
        <v>2806</v>
      </c>
      <c r="D900" s="231" t="s">
        <v>2815</v>
      </c>
      <c r="E900" s="3" t="s">
        <v>102</v>
      </c>
      <c r="F900" s="26" t="s">
        <v>103</v>
      </c>
      <c r="G900" s="26" t="s">
        <v>56</v>
      </c>
      <c r="H900" s="26" t="s">
        <v>77</v>
      </c>
      <c r="J900" s="22">
        <v>4</v>
      </c>
      <c r="L900" s="28" t="s">
        <v>58</v>
      </c>
      <c r="M900" s="22" t="s">
        <v>59</v>
      </c>
      <c r="N900" s="22">
        <v>252</v>
      </c>
      <c r="O900" s="22" t="s">
        <v>60</v>
      </c>
      <c r="P900" s="22" t="s">
        <v>79</v>
      </c>
      <c r="Q900" s="23" t="s">
        <v>102</v>
      </c>
      <c r="R900" s="23" t="s">
        <v>2748</v>
      </c>
      <c r="Z900" s="83" t="s">
        <v>63</v>
      </c>
      <c r="AA900" s="6">
        <v>12</v>
      </c>
      <c r="AB900" s="6">
        <v>6</v>
      </c>
      <c r="AI900" s="5">
        <v>21</v>
      </c>
      <c r="AJ900" s="5">
        <v>34</v>
      </c>
      <c r="BQ900" s="6" t="s">
        <v>195</v>
      </c>
    </row>
    <row r="901" spans="1:70" hidden="1" x14ac:dyDescent="0.2">
      <c r="A901" s="91">
        <v>2050</v>
      </c>
      <c r="B901" s="231" t="s">
        <v>2805</v>
      </c>
      <c r="C901" s="261" t="s">
        <v>2806</v>
      </c>
      <c r="D901" s="231" t="s">
        <v>2816</v>
      </c>
      <c r="E901" s="3" t="s">
        <v>102</v>
      </c>
      <c r="F901" s="26" t="s">
        <v>103</v>
      </c>
      <c r="G901" s="26" t="s">
        <v>56</v>
      </c>
      <c r="H901" s="26" t="s">
        <v>77</v>
      </c>
      <c r="J901" s="22">
        <v>2</v>
      </c>
      <c r="L901" s="28" t="s">
        <v>58</v>
      </c>
      <c r="M901" s="22" t="s">
        <v>78</v>
      </c>
      <c r="N901" s="22">
        <v>258</v>
      </c>
      <c r="O901" s="22" t="s">
        <v>60</v>
      </c>
      <c r="P901" s="22" t="s">
        <v>79</v>
      </c>
      <c r="Q901" s="23" t="s">
        <v>102</v>
      </c>
      <c r="R901" s="23" t="s">
        <v>171</v>
      </c>
      <c r="Z901" s="83" t="s">
        <v>63</v>
      </c>
      <c r="AA901" s="6">
        <v>12</v>
      </c>
      <c r="AB901" s="6">
        <v>6</v>
      </c>
      <c r="AI901" s="5">
        <v>21</v>
      </c>
      <c r="AJ901" s="5">
        <v>34</v>
      </c>
      <c r="BQ901" s="6" t="s">
        <v>195</v>
      </c>
    </row>
    <row r="902" spans="1:70" hidden="1" x14ac:dyDescent="0.2">
      <c r="A902" s="91">
        <v>2051</v>
      </c>
      <c r="B902" s="231" t="s">
        <v>2805</v>
      </c>
      <c r="C902" s="261" t="s">
        <v>2806</v>
      </c>
      <c r="D902" s="231" t="s">
        <v>2817</v>
      </c>
      <c r="E902" s="3" t="s">
        <v>102</v>
      </c>
      <c r="F902" s="26" t="s">
        <v>103</v>
      </c>
      <c r="G902" s="26" t="s">
        <v>56</v>
      </c>
      <c r="H902" s="26" t="s">
        <v>77</v>
      </c>
      <c r="J902" s="22">
        <v>4</v>
      </c>
      <c r="L902" s="28" t="s">
        <v>58</v>
      </c>
      <c r="M902" s="22" t="s">
        <v>59</v>
      </c>
      <c r="N902" s="22">
        <v>372</v>
      </c>
      <c r="O902" s="22" t="s">
        <v>60</v>
      </c>
      <c r="P902" s="22" t="s">
        <v>79</v>
      </c>
      <c r="Q902" s="23" t="s">
        <v>102</v>
      </c>
      <c r="R902" s="23" t="s">
        <v>2748</v>
      </c>
      <c r="Z902" s="83" t="s">
        <v>63</v>
      </c>
      <c r="AA902" s="6">
        <v>12</v>
      </c>
      <c r="AB902" s="6">
        <v>6</v>
      </c>
      <c r="AI902" s="5">
        <v>21</v>
      </c>
      <c r="AJ902" s="5">
        <v>34</v>
      </c>
      <c r="BQ902" s="6" t="s">
        <v>195</v>
      </c>
    </row>
    <row r="903" spans="1:70" hidden="1" x14ac:dyDescent="0.2">
      <c r="A903" s="91">
        <v>2052</v>
      </c>
      <c r="B903" s="231" t="s">
        <v>2805</v>
      </c>
      <c r="C903" s="261" t="s">
        <v>2806</v>
      </c>
      <c r="D903" s="231" t="s">
        <v>2818</v>
      </c>
      <c r="E903" s="3" t="s">
        <v>102</v>
      </c>
      <c r="F903" s="26" t="s">
        <v>103</v>
      </c>
      <c r="G903" s="26" t="s">
        <v>56</v>
      </c>
      <c r="H903" s="26" t="s">
        <v>77</v>
      </c>
      <c r="J903" s="22">
        <v>2</v>
      </c>
      <c r="L903" s="28" t="s">
        <v>58</v>
      </c>
      <c r="M903" s="22" t="s">
        <v>78</v>
      </c>
      <c r="N903" s="22">
        <v>378</v>
      </c>
      <c r="O903" s="22" t="s">
        <v>60</v>
      </c>
      <c r="P903" s="22" t="s">
        <v>79</v>
      </c>
      <c r="Q903" s="23" t="s">
        <v>102</v>
      </c>
      <c r="R903" s="23" t="s">
        <v>171</v>
      </c>
      <c r="Z903" s="83" t="s">
        <v>63</v>
      </c>
      <c r="AA903" s="6">
        <v>12</v>
      </c>
      <c r="AB903" s="6">
        <v>6</v>
      </c>
      <c r="AI903" s="5">
        <v>21</v>
      </c>
      <c r="AJ903" s="5">
        <v>34</v>
      </c>
      <c r="BQ903" s="6" t="s">
        <v>195</v>
      </c>
    </row>
    <row r="904" spans="1:70" hidden="1" x14ac:dyDescent="0.2">
      <c r="A904" s="91">
        <v>2053</v>
      </c>
      <c r="B904" s="231" t="s">
        <v>2805</v>
      </c>
      <c r="C904" s="261" t="s">
        <v>2806</v>
      </c>
      <c r="D904" s="231" t="s">
        <v>2819</v>
      </c>
      <c r="E904" s="3" t="s">
        <v>102</v>
      </c>
      <c r="F904" s="26" t="s">
        <v>103</v>
      </c>
      <c r="G904" s="26" t="s">
        <v>56</v>
      </c>
      <c r="H904" s="26" t="s">
        <v>77</v>
      </c>
      <c r="J904" s="22">
        <v>4</v>
      </c>
      <c r="L904" s="28" t="s">
        <v>58</v>
      </c>
      <c r="M904" s="22" t="s">
        <v>59</v>
      </c>
      <c r="N904" s="22">
        <v>516</v>
      </c>
      <c r="O904" s="22" t="s">
        <v>60</v>
      </c>
      <c r="P904" s="22" t="s">
        <v>79</v>
      </c>
      <c r="Q904" s="23" t="s">
        <v>102</v>
      </c>
      <c r="R904" s="23" t="s">
        <v>2748</v>
      </c>
      <c r="Z904" s="83" t="s">
        <v>63</v>
      </c>
      <c r="AA904" s="6">
        <v>12</v>
      </c>
      <c r="AB904" s="6">
        <v>6</v>
      </c>
      <c r="AI904" s="5">
        <v>21</v>
      </c>
      <c r="AJ904" s="5">
        <v>34</v>
      </c>
      <c r="BQ904" s="6" t="s">
        <v>195</v>
      </c>
    </row>
    <row r="905" spans="1:70" hidden="1" x14ac:dyDescent="0.2">
      <c r="A905" s="91">
        <v>2054</v>
      </c>
      <c r="B905" s="231" t="s">
        <v>2805</v>
      </c>
      <c r="C905" s="261" t="s">
        <v>2806</v>
      </c>
      <c r="D905" s="231" t="s">
        <v>2820</v>
      </c>
      <c r="E905" s="3" t="s">
        <v>102</v>
      </c>
      <c r="F905" s="26" t="s">
        <v>103</v>
      </c>
      <c r="G905" s="26" t="s">
        <v>56</v>
      </c>
      <c r="H905" s="26" t="s">
        <v>77</v>
      </c>
      <c r="J905" s="22">
        <v>2</v>
      </c>
      <c r="L905" s="28" t="s">
        <v>58</v>
      </c>
      <c r="M905" s="22" t="s">
        <v>78</v>
      </c>
      <c r="N905" s="22">
        <v>522</v>
      </c>
      <c r="O905" s="22" t="s">
        <v>60</v>
      </c>
      <c r="P905" s="22" t="s">
        <v>79</v>
      </c>
      <c r="Q905" s="23" t="s">
        <v>102</v>
      </c>
      <c r="R905" s="23" t="s">
        <v>171</v>
      </c>
      <c r="Z905" s="83" t="s">
        <v>63</v>
      </c>
      <c r="AA905" s="6">
        <v>12</v>
      </c>
      <c r="AB905" s="6">
        <v>6</v>
      </c>
      <c r="AI905" s="5">
        <v>21</v>
      </c>
      <c r="AJ905" s="5">
        <v>34</v>
      </c>
      <c r="BQ905" s="6" t="s">
        <v>195</v>
      </c>
    </row>
    <row r="906" spans="1:70" ht="14.25" hidden="1" x14ac:dyDescent="0.2">
      <c r="A906" s="183">
        <v>5197</v>
      </c>
      <c r="B906" s="124" t="s">
        <v>1316</v>
      </c>
      <c r="C906" s="265" t="s">
        <v>1317</v>
      </c>
      <c r="D906" s="124" t="s">
        <v>1318</v>
      </c>
      <c r="E906" s="3" t="s">
        <v>149</v>
      </c>
      <c r="F906" s="26" t="s">
        <v>103</v>
      </c>
      <c r="G906" s="26" t="s">
        <v>56</v>
      </c>
      <c r="H906" s="26" t="s">
        <v>182</v>
      </c>
      <c r="J906" s="22">
        <v>2.5</v>
      </c>
      <c r="L906" s="28" t="s">
        <v>107</v>
      </c>
      <c r="M906" s="22" t="s">
        <v>78</v>
      </c>
      <c r="N906" s="22">
        <v>0</v>
      </c>
      <c r="O906" s="22" t="s">
        <v>60</v>
      </c>
      <c r="P906" s="22" t="s">
        <v>1319</v>
      </c>
      <c r="R906" s="23" t="s">
        <v>1320</v>
      </c>
      <c r="S906" s="24">
        <v>60</v>
      </c>
      <c r="W906" s="167"/>
      <c r="X906" s="167"/>
      <c r="Z906" s="82" t="s">
        <v>63</v>
      </c>
      <c r="AA906" s="6">
        <v>6</v>
      </c>
      <c r="AB906" s="6">
        <v>2</v>
      </c>
      <c r="AC906" s="5">
        <v>1.4</v>
      </c>
      <c r="AD906" s="5" t="s">
        <v>80</v>
      </c>
      <c r="AE906" s="5" t="s">
        <v>116</v>
      </c>
      <c r="AI906" s="5">
        <v>0.7</v>
      </c>
      <c r="AJ906" s="5">
        <v>2</v>
      </c>
      <c r="AK906" s="6">
        <v>9.1</v>
      </c>
      <c r="AL906" s="6" t="s">
        <v>81</v>
      </c>
      <c r="AM906" s="6" t="s">
        <v>116</v>
      </c>
      <c r="AQ906" s="6">
        <v>6.5</v>
      </c>
      <c r="AR906" s="6">
        <v>11.9</v>
      </c>
      <c r="AS906" s="5">
        <v>67.8</v>
      </c>
      <c r="AT906" s="5" t="s">
        <v>119</v>
      </c>
      <c r="AU906" s="5" t="s">
        <v>118</v>
      </c>
      <c r="AY906" s="5">
        <v>29.2</v>
      </c>
      <c r="AZ906" s="5">
        <v>86.5</v>
      </c>
      <c r="BQ906" s="6" t="s">
        <v>214</v>
      </c>
      <c r="BR906" s="5" t="s">
        <v>1321</v>
      </c>
    </row>
    <row r="907" spans="1:70" ht="14.25" hidden="1" x14ac:dyDescent="0.2">
      <c r="A907" s="183">
        <v>5198</v>
      </c>
      <c r="B907" s="124" t="s">
        <v>1316</v>
      </c>
      <c r="C907" s="265" t="s">
        <v>1317</v>
      </c>
      <c r="D907" s="124" t="s">
        <v>1322</v>
      </c>
      <c r="E907" s="3" t="s">
        <v>149</v>
      </c>
      <c r="F907" s="26" t="s">
        <v>103</v>
      </c>
      <c r="G907" s="26" t="s">
        <v>56</v>
      </c>
      <c r="H907" s="26" t="s">
        <v>421</v>
      </c>
      <c r="J907" s="22">
        <v>2.5</v>
      </c>
      <c r="L907" s="28" t="s">
        <v>107</v>
      </c>
      <c r="M907" s="22" t="s">
        <v>78</v>
      </c>
      <c r="N907" s="22">
        <v>0</v>
      </c>
      <c r="O907" s="22" t="s">
        <v>60</v>
      </c>
      <c r="P907" s="22" t="s">
        <v>1319</v>
      </c>
      <c r="R907" s="23" t="s">
        <v>1320</v>
      </c>
      <c r="S907" s="24">
        <v>60</v>
      </c>
      <c r="W907" s="167"/>
      <c r="X907" s="167"/>
      <c r="Z907" s="82" t="s">
        <v>63</v>
      </c>
      <c r="AA907" s="6">
        <v>9</v>
      </c>
      <c r="AB907" s="6">
        <v>3</v>
      </c>
      <c r="AC907" s="5">
        <v>4.2</v>
      </c>
      <c r="AD907" s="5" t="s">
        <v>80</v>
      </c>
      <c r="AE907" s="5" t="s">
        <v>116</v>
      </c>
      <c r="AI907" s="5">
        <v>2.2000000000000002</v>
      </c>
      <c r="AJ907" s="5">
        <v>5.6</v>
      </c>
      <c r="AK907" s="6">
        <v>18.2</v>
      </c>
      <c r="AL907" s="6" t="s">
        <v>81</v>
      </c>
      <c r="AM907" s="6" t="s">
        <v>116</v>
      </c>
      <c r="AQ907" s="6">
        <v>13.8</v>
      </c>
      <c r="AR907" s="6">
        <v>25.8</v>
      </c>
      <c r="AS907" s="5">
        <v>102.2</v>
      </c>
      <c r="AT907" s="5" t="s">
        <v>119</v>
      </c>
      <c r="AU907" s="5" t="s">
        <v>118</v>
      </c>
      <c r="AY907" s="5">
        <v>84</v>
      </c>
      <c r="AZ907" s="5">
        <v>131</v>
      </c>
      <c r="BQ907" s="6" t="s">
        <v>214</v>
      </c>
      <c r="BR907" s="5" t="s">
        <v>1323</v>
      </c>
    </row>
    <row r="908" spans="1:70" ht="14.25" hidden="1" x14ac:dyDescent="0.2">
      <c r="A908" s="183">
        <v>5199</v>
      </c>
      <c r="B908" s="124" t="s">
        <v>1316</v>
      </c>
      <c r="C908" s="265" t="s">
        <v>1317</v>
      </c>
      <c r="D908" s="124" t="s">
        <v>1324</v>
      </c>
      <c r="E908" s="3" t="s">
        <v>149</v>
      </c>
      <c r="F908" s="26" t="s">
        <v>103</v>
      </c>
      <c r="G908" s="26" t="s">
        <v>56</v>
      </c>
      <c r="H908" s="26" t="s">
        <v>211</v>
      </c>
      <c r="J908" s="22">
        <v>2.5</v>
      </c>
      <c r="L908" s="28" t="s">
        <v>107</v>
      </c>
      <c r="M908" s="22" t="s">
        <v>78</v>
      </c>
      <c r="N908" s="22">
        <v>0</v>
      </c>
      <c r="O908" s="22" t="s">
        <v>60</v>
      </c>
      <c r="P908" s="22" t="s">
        <v>1319</v>
      </c>
      <c r="R908" s="23" t="s">
        <v>1320</v>
      </c>
      <c r="S908" s="24">
        <v>60</v>
      </c>
      <c r="W908" s="167"/>
      <c r="X908" s="167"/>
      <c r="Z908" s="82" t="s">
        <v>63</v>
      </c>
      <c r="AA908" s="6">
        <v>7</v>
      </c>
      <c r="AB908" s="6">
        <v>4</v>
      </c>
      <c r="AC908" s="5">
        <v>9.5</v>
      </c>
      <c r="AD908" s="5" t="s">
        <v>80</v>
      </c>
      <c r="AE908" s="5" t="s">
        <v>116</v>
      </c>
      <c r="AI908" s="5">
        <v>8</v>
      </c>
      <c r="AJ908" s="5">
        <v>11.1</v>
      </c>
      <c r="AK908" s="6">
        <v>28.8</v>
      </c>
      <c r="AL908" s="6" t="s">
        <v>81</v>
      </c>
      <c r="AM908" s="6" t="s">
        <v>116</v>
      </c>
      <c r="AQ908" s="6">
        <v>22.4</v>
      </c>
      <c r="AR908" s="6">
        <v>48.5</v>
      </c>
      <c r="AS908" s="5">
        <v>130.4</v>
      </c>
      <c r="AT908" s="5" t="s">
        <v>119</v>
      </c>
      <c r="AU908" s="5" t="s">
        <v>118</v>
      </c>
      <c r="AY908" s="5">
        <v>120</v>
      </c>
      <c r="AZ908" s="5">
        <v>160</v>
      </c>
      <c r="BQ908" s="6" t="s">
        <v>214</v>
      </c>
      <c r="BR908" s="5" t="s">
        <v>1325</v>
      </c>
    </row>
    <row r="909" spans="1:70" ht="14.25" hidden="1" x14ac:dyDescent="0.2">
      <c r="A909" s="183">
        <v>5200</v>
      </c>
      <c r="B909" s="124" t="s">
        <v>1316</v>
      </c>
      <c r="C909" s="265" t="s">
        <v>1317</v>
      </c>
      <c r="D909" s="237" t="s">
        <v>1326</v>
      </c>
      <c r="E909" s="3" t="s">
        <v>149</v>
      </c>
      <c r="F909" s="26" t="s">
        <v>103</v>
      </c>
      <c r="G909" s="26" t="s">
        <v>56</v>
      </c>
      <c r="H909" s="26" t="s">
        <v>211</v>
      </c>
      <c r="J909" s="22">
        <v>2.5</v>
      </c>
      <c r="L909" s="28" t="s">
        <v>107</v>
      </c>
      <c r="M909" s="22" t="s">
        <v>78</v>
      </c>
      <c r="N909" s="22">
        <v>0</v>
      </c>
      <c r="O909" s="22" t="s">
        <v>60</v>
      </c>
      <c r="P909" s="22" t="s">
        <v>1319</v>
      </c>
      <c r="R909" s="23" t="s">
        <v>1320</v>
      </c>
      <c r="S909" s="24">
        <v>60</v>
      </c>
      <c r="W909" s="167"/>
      <c r="X909" s="167"/>
      <c r="Z909" s="82" t="s">
        <v>63</v>
      </c>
      <c r="AA909" s="6">
        <v>11</v>
      </c>
      <c r="AB909" s="6">
        <v>5</v>
      </c>
      <c r="AC909" s="5">
        <v>14</v>
      </c>
      <c r="AD909" s="5" t="s">
        <v>80</v>
      </c>
      <c r="AE909" s="5" t="s">
        <v>116</v>
      </c>
      <c r="AI909" s="5">
        <v>12.3</v>
      </c>
      <c r="AJ909" s="5">
        <v>16.899999999999999</v>
      </c>
      <c r="AK909" s="6">
        <v>55.1</v>
      </c>
      <c r="AL909" s="6" t="s">
        <v>81</v>
      </c>
      <c r="AM909" s="6" t="s">
        <v>116</v>
      </c>
      <c r="AQ909" s="6">
        <v>29.8</v>
      </c>
      <c r="AR909" s="6">
        <v>87.8</v>
      </c>
      <c r="AS909" s="5">
        <v>151.1</v>
      </c>
      <c r="AT909" s="5" t="s">
        <v>119</v>
      </c>
      <c r="AU909" s="5" t="s">
        <v>118</v>
      </c>
      <c r="AY909" s="5">
        <v>135</v>
      </c>
      <c r="AZ909" s="5">
        <v>167</v>
      </c>
      <c r="BQ909" s="6" t="s">
        <v>214</v>
      </c>
      <c r="BR909" s="5" t="s">
        <v>1325</v>
      </c>
    </row>
    <row r="910" spans="1:70" hidden="1" x14ac:dyDescent="0.2">
      <c r="A910" s="91">
        <v>5295</v>
      </c>
      <c r="B910" s="231" t="s">
        <v>1453</v>
      </c>
      <c r="C910" s="261" t="s">
        <v>1750</v>
      </c>
      <c r="D910" s="231" t="s">
        <v>1751</v>
      </c>
      <c r="E910" s="3" t="s">
        <v>1180</v>
      </c>
      <c r="F910" s="26" t="s">
        <v>103</v>
      </c>
      <c r="G910" s="26" t="s">
        <v>56</v>
      </c>
      <c r="H910" s="26" t="s">
        <v>194</v>
      </c>
      <c r="J910" s="22">
        <v>400</v>
      </c>
      <c r="L910" s="28" t="s">
        <v>58</v>
      </c>
      <c r="M910" s="22" t="s">
        <v>59</v>
      </c>
      <c r="N910" s="22">
        <v>0</v>
      </c>
      <c r="O910" s="22" t="s">
        <v>60</v>
      </c>
      <c r="P910" s="22" t="s">
        <v>79</v>
      </c>
      <c r="R910" s="23" t="s">
        <v>1752</v>
      </c>
      <c r="V910" s="25" t="s">
        <v>615</v>
      </c>
      <c r="Z910" s="83" t="s">
        <v>63</v>
      </c>
      <c r="AA910" s="6">
        <v>14</v>
      </c>
      <c r="AB910" s="6">
        <v>7</v>
      </c>
      <c r="AC910" s="5">
        <v>41</v>
      </c>
      <c r="AD910" s="5" t="s">
        <v>80</v>
      </c>
      <c r="AE910" s="5" t="s">
        <v>335</v>
      </c>
      <c r="AI910" s="5">
        <v>21</v>
      </c>
      <c r="AJ910" s="5">
        <v>51</v>
      </c>
      <c r="AK910" s="6">
        <v>77.400000000000006</v>
      </c>
      <c r="AL910" s="6" t="s">
        <v>81</v>
      </c>
      <c r="AM910" s="6" t="s">
        <v>118</v>
      </c>
      <c r="AQ910" s="6">
        <v>62</v>
      </c>
      <c r="AR910" s="6">
        <v>100.5</v>
      </c>
      <c r="BQ910" s="6" t="s">
        <v>214</v>
      </c>
      <c r="BR910" s="5" t="s">
        <v>1753</v>
      </c>
    </row>
    <row r="911" spans="1:70" hidden="1" x14ac:dyDescent="0.2">
      <c r="A911" s="91">
        <v>5296</v>
      </c>
      <c r="B911" s="231" t="s">
        <v>1754</v>
      </c>
      <c r="C911" s="261" t="s">
        <v>1755</v>
      </c>
      <c r="D911" s="231" t="s">
        <v>1756</v>
      </c>
      <c r="E911" s="3" t="s">
        <v>1180</v>
      </c>
      <c r="F911" s="26" t="s">
        <v>103</v>
      </c>
      <c r="G911" s="26" t="s">
        <v>56</v>
      </c>
      <c r="H911" s="26" t="s">
        <v>1757</v>
      </c>
      <c r="J911" s="22">
        <v>100</v>
      </c>
      <c r="L911" s="28" t="s">
        <v>58</v>
      </c>
      <c r="M911" s="22" t="s">
        <v>59</v>
      </c>
      <c r="N911" s="22" t="s">
        <v>1758</v>
      </c>
      <c r="O911" s="22" t="s">
        <v>60</v>
      </c>
      <c r="P911" s="22" t="s">
        <v>92</v>
      </c>
      <c r="R911" s="23" t="s">
        <v>1752</v>
      </c>
      <c r="V911" s="167" t="s">
        <v>615</v>
      </c>
      <c r="W911" s="168">
        <v>8</v>
      </c>
      <c r="X911" s="106">
        <v>4</v>
      </c>
      <c r="Y911" s="25" t="s">
        <v>1759</v>
      </c>
      <c r="Z911" s="83" t="s">
        <v>63</v>
      </c>
      <c r="AA911" s="6">
        <v>7</v>
      </c>
      <c r="AB911" s="6">
        <v>0</v>
      </c>
      <c r="AC911" s="5">
        <v>46</v>
      </c>
      <c r="AD911" s="5" t="s">
        <v>80</v>
      </c>
      <c r="AE911" s="5" t="s">
        <v>335</v>
      </c>
      <c r="AF911" s="5">
        <v>13</v>
      </c>
      <c r="AG911" s="5" t="s">
        <v>80</v>
      </c>
      <c r="BR911" s="5" t="s">
        <v>448</v>
      </c>
    </row>
    <row r="912" spans="1:70" hidden="1" x14ac:dyDescent="0.2">
      <c r="A912" s="91">
        <v>5297</v>
      </c>
      <c r="B912" s="231" t="s">
        <v>1754</v>
      </c>
      <c r="C912" s="261" t="s">
        <v>1755</v>
      </c>
      <c r="D912" s="231" t="s">
        <v>1760</v>
      </c>
      <c r="E912" s="3" t="s">
        <v>1180</v>
      </c>
      <c r="F912" s="26" t="s">
        <v>103</v>
      </c>
      <c r="G912" s="26" t="s">
        <v>56</v>
      </c>
      <c r="H912" s="26" t="s">
        <v>1757</v>
      </c>
      <c r="J912" s="22">
        <v>200</v>
      </c>
      <c r="L912" s="28" t="s">
        <v>58</v>
      </c>
      <c r="M912" s="22" t="s">
        <v>59</v>
      </c>
      <c r="N912" s="178" t="s">
        <v>1758</v>
      </c>
      <c r="O912" s="22" t="s">
        <v>60</v>
      </c>
      <c r="P912" s="22" t="s">
        <v>92</v>
      </c>
      <c r="R912" s="23" t="s">
        <v>1752</v>
      </c>
      <c r="V912" s="167" t="s">
        <v>615</v>
      </c>
      <c r="W912" s="168">
        <v>8</v>
      </c>
      <c r="X912" s="106">
        <v>4</v>
      </c>
      <c r="Y912" s="25" t="s">
        <v>1759</v>
      </c>
      <c r="Z912" s="83" t="s">
        <v>63</v>
      </c>
      <c r="AA912" s="6">
        <v>7</v>
      </c>
      <c r="AB912" s="6">
        <v>1</v>
      </c>
      <c r="AC912" s="5">
        <v>37</v>
      </c>
      <c r="AD912" s="5" t="s">
        <v>80</v>
      </c>
      <c r="AE912" s="5" t="s">
        <v>335</v>
      </c>
      <c r="AF912" s="5">
        <v>12</v>
      </c>
      <c r="AG912" s="5" t="s">
        <v>80</v>
      </c>
    </row>
    <row r="913" spans="1:70" hidden="1" x14ac:dyDescent="0.2">
      <c r="A913" s="91">
        <v>5298</v>
      </c>
      <c r="B913" s="231" t="s">
        <v>1754</v>
      </c>
      <c r="C913" s="261" t="s">
        <v>1755</v>
      </c>
      <c r="D913" s="231" t="s">
        <v>1761</v>
      </c>
      <c r="E913" s="3" t="s">
        <v>1180</v>
      </c>
      <c r="F913" s="26" t="s">
        <v>103</v>
      </c>
      <c r="G913" s="26" t="s">
        <v>56</v>
      </c>
      <c r="H913" s="26" t="s">
        <v>1757</v>
      </c>
      <c r="J913" s="22">
        <v>400</v>
      </c>
      <c r="L913" s="28" t="s">
        <v>58</v>
      </c>
      <c r="M913" s="22" t="s">
        <v>59</v>
      </c>
      <c r="N913" s="178" t="s">
        <v>1758</v>
      </c>
      <c r="O913" s="22" t="s">
        <v>60</v>
      </c>
      <c r="P913" s="22" t="s">
        <v>92</v>
      </c>
      <c r="R913" s="23" t="s">
        <v>1752</v>
      </c>
      <c r="V913" s="167" t="s">
        <v>615</v>
      </c>
      <c r="W913" s="168">
        <v>8</v>
      </c>
      <c r="X913" s="106">
        <v>4</v>
      </c>
      <c r="Y913" s="25" t="s">
        <v>1759</v>
      </c>
      <c r="Z913" s="83" t="s">
        <v>63</v>
      </c>
      <c r="AA913" s="6">
        <v>6</v>
      </c>
      <c r="AB913" s="6">
        <v>0</v>
      </c>
      <c r="AC913" s="5">
        <v>41</v>
      </c>
      <c r="AD913" s="5" t="s">
        <v>80</v>
      </c>
      <c r="AE913" s="5" t="s">
        <v>335</v>
      </c>
      <c r="AF913" s="5">
        <v>10</v>
      </c>
      <c r="AG913" s="5" t="s">
        <v>80</v>
      </c>
    </row>
    <row r="914" spans="1:70" hidden="1" x14ac:dyDescent="0.2">
      <c r="A914" s="91">
        <v>5299</v>
      </c>
      <c r="B914" s="231" t="s">
        <v>1754</v>
      </c>
      <c r="C914" s="261" t="s">
        <v>1755</v>
      </c>
      <c r="D914" s="231" t="s">
        <v>1762</v>
      </c>
      <c r="E914" s="3" t="s">
        <v>1180</v>
      </c>
      <c r="F914" s="26" t="s">
        <v>103</v>
      </c>
      <c r="G914" s="26" t="s">
        <v>56</v>
      </c>
      <c r="H914" s="26" t="s">
        <v>1757</v>
      </c>
      <c r="J914" s="22">
        <v>600</v>
      </c>
      <c r="L914" s="28" t="s">
        <v>58</v>
      </c>
      <c r="M914" s="22" t="s">
        <v>59</v>
      </c>
      <c r="N914" s="178" t="s">
        <v>1758</v>
      </c>
      <c r="O914" s="22" t="s">
        <v>60</v>
      </c>
      <c r="P914" s="22" t="s">
        <v>92</v>
      </c>
      <c r="R914" s="23" t="s">
        <v>1752</v>
      </c>
      <c r="V914" s="167" t="s">
        <v>615</v>
      </c>
      <c r="W914" s="168">
        <v>8</v>
      </c>
      <c r="X914" s="106">
        <v>4</v>
      </c>
      <c r="Y914" s="25" t="s">
        <v>1759</v>
      </c>
      <c r="Z914" s="83" t="s">
        <v>63</v>
      </c>
      <c r="AA914" s="6">
        <v>8</v>
      </c>
      <c r="AB914" s="6">
        <v>0</v>
      </c>
      <c r="AC914" s="5">
        <v>39</v>
      </c>
      <c r="AD914" s="5" t="s">
        <v>80</v>
      </c>
      <c r="AE914" s="5" t="s">
        <v>335</v>
      </c>
      <c r="AF914" s="5">
        <v>6</v>
      </c>
      <c r="AG914" s="5" t="s">
        <v>80</v>
      </c>
    </row>
    <row r="915" spans="1:70" hidden="1" x14ac:dyDescent="0.2">
      <c r="A915" s="91">
        <v>5300</v>
      </c>
      <c r="B915" s="231" t="s">
        <v>1763</v>
      </c>
      <c r="C915" s="261" t="s">
        <v>1764</v>
      </c>
      <c r="D915" s="231" t="s">
        <v>1765</v>
      </c>
      <c r="E915" s="3" t="s">
        <v>1180</v>
      </c>
      <c r="F915" s="26" t="s">
        <v>103</v>
      </c>
      <c r="G915" s="26" t="s">
        <v>56</v>
      </c>
      <c r="H915" s="26" t="s">
        <v>296</v>
      </c>
      <c r="J915" s="22">
        <v>200</v>
      </c>
      <c r="L915" s="28" t="s">
        <v>58</v>
      </c>
      <c r="M915" s="22" t="s">
        <v>59</v>
      </c>
      <c r="N915" s="178">
        <v>0</v>
      </c>
      <c r="O915" s="22" t="s">
        <v>60</v>
      </c>
      <c r="P915" s="22" t="s">
        <v>79</v>
      </c>
      <c r="R915" s="23" t="s">
        <v>1752</v>
      </c>
      <c r="V915" s="167" t="s">
        <v>615</v>
      </c>
      <c r="W915" s="168"/>
      <c r="Z915" s="83" t="s">
        <v>63</v>
      </c>
      <c r="AA915" s="6">
        <v>8</v>
      </c>
      <c r="AD915" s="5" t="s">
        <v>80</v>
      </c>
      <c r="AI915" s="5">
        <v>8</v>
      </c>
      <c r="AJ915" s="5">
        <v>45</v>
      </c>
    </row>
    <row r="916" spans="1:70" hidden="1" x14ac:dyDescent="0.2">
      <c r="A916" s="91">
        <v>5301</v>
      </c>
      <c r="B916" s="231" t="s">
        <v>1766</v>
      </c>
      <c r="C916" s="261" t="s">
        <v>1767</v>
      </c>
      <c r="D916" s="231" t="s">
        <v>1768</v>
      </c>
      <c r="E916" s="3" t="s">
        <v>1180</v>
      </c>
      <c r="F916" s="26" t="s">
        <v>103</v>
      </c>
      <c r="G916" s="26" t="s">
        <v>56</v>
      </c>
      <c r="H916" s="26" t="s">
        <v>421</v>
      </c>
      <c r="J916" s="22">
        <v>5.7</v>
      </c>
      <c r="L916" s="28" t="s">
        <v>107</v>
      </c>
      <c r="M916" s="22" t="s">
        <v>59</v>
      </c>
      <c r="N916" s="178">
        <v>0</v>
      </c>
      <c r="O916" s="22" t="s">
        <v>60</v>
      </c>
      <c r="P916" s="22" t="s">
        <v>1769</v>
      </c>
      <c r="R916" s="23" t="s">
        <v>1770</v>
      </c>
      <c r="U916" s="23" t="s">
        <v>1771</v>
      </c>
      <c r="V916" s="167"/>
      <c r="W916" s="168"/>
      <c r="Y916" s="25" t="s">
        <v>1772</v>
      </c>
      <c r="Z916" s="83" t="s">
        <v>63</v>
      </c>
      <c r="AA916" s="6">
        <v>11</v>
      </c>
      <c r="AC916" s="5">
        <v>3.5</v>
      </c>
      <c r="AD916" s="5" t="s">
        <v>213</v>
      </c>
      <c r="AE916" s="5" t="s">
        <v>335</v>
      </c>
      <c r="AI916" s="5">
        <v>1</v>
      </c>
      <c r="AJ916" s="5">
        <v>6</v>
      </c>
      <c r="AK916" s="6">
        <v>5.5</v>
      </c>
      <c r="AL916" s="6" t="s">
        <v>81</v>
      </c>
      <c r="AM916" s="6" t="s">
        <v>1773</v>
      </c>
      <c r="AN916" s="6">
        <v>22</v>
      </c>
      <c r="AO916" s="6" t="s">
        <v>447</v>
      </c>
      <c r="AP916" s="6" t="s">
        <v>1774</v>
      </c>
      <c r="BQ916" s="6" t="s">
        <v>214</v>
      </c>
      <c r="BR916" s="5" t="s">
        <v>1775</v>
      </c>
    </row>
    <row r="917" spans="1:70" hidden="1" x14ac:dyDescent="0.2">
      <c r="A917" s="91">
        <v>5302</v>
      </c>
      <c r="B917" s="231" t="s">
        <v>1766</v>
      </c>
      <c r="C917" s="261" t="s">
        <v>1767</v>
      </c>
      <c r="D917" s="231" t="s">
        <v>1776</v>
      </c>
      <c r="E917" s="3" t="s">
        <v>1180</v>
      </c>
      <c r="F917" s="26" t="s">
        <v>103</v>
      </c>
      <c r="G917" s="26" t="s">
        <v>56</v>
      </c>
      <c r="H917" s="26" t="s">
        <v>421</v>
      </c>
      <c r="J917" s="22">
        <v>5.9</v>
      </c>
      <c r="L917" s="28" t="s">
        <v>107</v>
      </c>
      <c r="M917" s="22" t="s">
        <v>59</v>
      </c>
      <c r="N917" s="22">
        <v>0</v>
      </c>
      <c r="O917" s="22" t="s">
        <v>60</v>
      </c>
      <c r="P917" s="22" t="s">
        <v>1769</v>
      </c>
      <c r="R917" s="23" t="s">
        <v>1770</v>
      </c>
      <c r="U917" s="23" t="s">
        <v>1771</v>
      </c>
      <c r="Y917" s="25" t="s">
        <v>1772</v>
      </c>
      <c r="Z917" s="83" t="s">
        <v>63</v>
      </c>
      <c r="AA917" s="6">
        <v>8</v>
      </c>
      <c r="AC917" s="5">
        <v>15</v>
      </c>
      <c r="AD917" s="5" t="s">
        <v>213</v>
      </c>
      <c r="AE917" s="5" t="s">
        <v>335</v>
      </c>
      <c r="AI917" s="5">
        <v>6</v>
      </c>
      <c r="AJ917" s="5">
        <v>24</v>
      </c>
      <c r="AK917" s="6">
        <v>8.5</v>
      </c>
      <c r="AL917" s="6" t="s">
        <v>81</v>
      </c>
      <c r="AM917" s="6" t="s">
        <v>1773</v>
      </c>
      <c r="AN917" s="6">
        <v>8.5</v>
      </c>
      <c r="AO917" s="6" t="s">
        <v>447</v>
      </c>
      <c r="AP917" s="6" t="s">
        <v>1774</v>
      </c>
      <c r="BQ917" s="6" t="s">
        <v>214</v>
      </c>
      <c r="BR917" s="5" t="s">
        <v>1775</v>
      </c>
    </row>
    <row r="918" spans="1:70" hidden="1" x14ac:dyDescent="0.2">
      <c r="A918" s="91">
        <v>5303</v>
      </c>
      <c r="B918" s="231" t="s">
        <v>1777</v>
      </c>
      <c r="C918" s="261" t="s">
        <v>1778</v>
      </c>
      <c r="D918" s="231" t="s">
        <v>1779</v>
      </c>
      <c r="E918" s="3" t="s">
        <v>1180</v>
      </c>
      <c r="F918" s="26" t="s">
        <v>103</v>
      </c>
      <c r="G918" s="26" t="s">
        <v>56</v>
      </c>
      <c r="H918" s="26" t="s">
        <v>1780</v>
      </c>
      <c r="J918" s="22">
        <v>400</v>
      </c>
      <c r="L918" s="28" t="s">
        <v>58</v>
      </c>
      <c r="M918" s="22" t="s">
        <v>59</v>
      </c>
      <c r="N918" s="22">
        <v>0</v>
      </c>
      <c r="O918" s="22" t="s">
        <v>60</v>
      </c>
      <c r="P918" s="22" t="s">
        <v>1781</v>
      </c>
      <c r="R918" s="23" t="s">
        <v>1752</v>
      </c>
      <c r="Y918" s="25" t="s">
        <v>1772</v>
      </c>
      <c r="Z918" s="83" t="s">
        <v>63</v>
      </c>
    </row>
    <row r="919" spans="1:70" hidden="1" x14ac:dyDescent="0.2">
      <c r="A919" s="91">
        <v>5304</v>
      </c>
      <c r="B919" s="231" t="s">
        <v>1777</v>
      </c>
      <c r="C919" s="261" t="s">
        <v>1778</v>
      </c>
      <c r="D919" s="231" t="s">
        <v>1782</v>
      </c>
      <c r="E919" s="3" t="s">
        <v>1180</v>
      </c>
      <c r="F919" s="26" t="s">
        <v>103</v>
      </c>
      <c r="G919" s="26" t="s">
        <v>56</v>
      </c>
      <c r="H919" s="26" t="s">
        <v>1780</v>
      </c>
      <c r="J919" s="22">
        <v>400</v>
      </c>
      <c r="L919" s="28" t="s">
        <v>58</v>
      </c>
      <c r="M919" s="22" t="s">
        <v>59</v>
      </c>
      <c r="N919" s="22">
        <v>0</v>
      </c>
      <c r="O919" s="22" t="s">
        <v>60</v>
      </c>
      <c r="P919" s="22" t="s">
        <v>1781</v>
      </c>
      <c r="R919" s="23" t="s">
        <v>1752</v>
      </c>
      <c r="Y919" s="25" t="s">
        <v>1772</v>
      </c>
      <c r="Z919" s="83" t="s">
        <v>63</v>
      </c>
    </row>
    <row r="920" spans="1:70" hidden="1" x14ac:dyDescent="0.2">
      <c r="A920" s="91">
        <v>5305</v>
      </c>
      <c r="B920" s="231" t="s">
        <v>1777</v>
      </c>
      <c r="C920" s="261" t="s">
        <v>1778</v>
      </c>
      <c r="D920" s="231" t="s">
        <v>1783</v>
      </c>
      <c r="E920" s="3" t="s">
        <v>1180</v>
      </c>
      <c r="F920" s="26" t="s">
        <v>103</v>
      </c>
      <c r="G920" s="26" t="s">
        <v>56</v>
      </c>
      <c r="H920" s="26" t="s">
        <v>1780</v>
      </c>
      <c r="J920" s="22">
        <v>6</v>
      </c>
      <c r="L920" s="28" t="s">
        <v>107</v>
      </c>
      <c r="M920" s="22" t="s">
        <v>59</v>
      </c>
      <c r="N920" s="22">
        <v>0</v>
      </c>
      <c r="O920" s="22" t="s">
        <v>60</v>
      </c>
      <c r="P920" s="22" t="s">
        <v>1781</v>
      </c>
      <c r="R920" s="23" t="s">
        <v>1784</v>
      </c>
      <c r="Y920" s="25" t="s">
        <v>1772</v>
      </c>
      <c r="Z920" s="83" t="s">
        <v>63</v>
      </c>
    </row>
    <row r="921" spans="1:70" hidden="1" x14ac:dyDescent="0.2">
      <c r="A921" s="91">
        <v>5306</v>
      </c>
      <c r="B921" s="231" t="s">
        <v>1777</v>
      </c>
      <c r="C921" s="261" t="s">
        <v>1778</v>
      </c>
      <c r="D921" s="231" t="s">
        <v>1785</v>
      </c>
      <c r="E921" s="3" t="s">
        <v>1180</v>
      </c>
      <c r="F921" s="26" t="s">
        <v>103</v>
      </c>
      <c r="G921" s="26" t="s">
        <v>56</v>
      </c>
      <c r="H921" s="26" t="s">
        <v>1780</v>
      </c>
      <c r="I921" s="181"/>
      <c r="J921" s="22">
        <v>6</v>
      </c>
      <c r="L921" s="28" t="s">
        <v>107</v>
      </c>
      <c r="M921" s="22" t="s">
        <v>59</v>
      </c>
      <c r="N921" s="22">
        <v>0</v>
      </c>
      <c r="O921" s="22" t="s">
        <v>60</v>
      </c>
      <c r="P921" s="22" t="s">
        <v>1781</v>
      </c>
      <c r="R921" s="23" t="s">
        <v>1784</v>
      </c>
      <c r="Y921" s="25" t="s">
        <v>1772</v>
      </c>
      <c r="Z921" s="83" t="s">
        <v>63</v>
      </c>
    </row>
    <row r="922" spans="1:70" hidden="1" x14ac:dyDescent="0.2">
      <c r="A922" s="91">
        <v>5307</v>
      </c>
      <c r="B922" s="231" t="s">
        <v>1786</v>
      </c>
      <c r="C922" s="261" t="s">
        <v>1787</v>
      </c>
      <c r="D922" s="231" t="s">
        <v>1788</v>
      </c>
      <c r="E922" s="3" t="s">
        <v>1180</v>
      </c>
      <c r="F922" s="26" t="s">
        <v>103</v>
      </c>
      <c r="G922" s="26" t="s">
        <v>56</v>
      </c>
      <c r="H922" s="26" t="s">
        <v>1789</v>
      </c>
      <c r="I922" s="181"/>
      <c r="R922" s="23" t="s">
        <v>1784</v>
      </c>
      <c r="Y922" s="25" t="s">
        <v>1790</v>
      </c>
      <c r="Z922" s="83" t="s">
        <v>63</v>
      </c>
    </row>
    <row r="923" spans="1:70" hidden="1" x14ac:dyDescent="0.2">
      <c r="A923" s="91">
        <v>5308</v>
      </c>
      <c r="B923" s="231" t="s">
        <v>1786</v>
      </c>
      <c r="C923" s="261" t="s">
        <v>1787</v>
      </c>
      <c r="D923" s="231" t="s">
        <v>1791</v>
      </c>
      <c r="E923" s="3" t="s">
        <v>1180</v>
      </c>
      <c r="F923" s="26" t="s">
        <v>103</v>
      </c>
      <c r="G923" s="26" t="s">
        <v>56</v>
      </c>
      <c r="H923" s="26" t="s">
        <v>1789</v>
      </c>
      <c r="I923" s="181"/>
      <c r="R923" s="23" t="s">
        <v>1784</v>
      </c>
      <c r="Y923" s="25" t="s">
        <v>1790</v>
      </c>
      <c r="Z923" s="83" t="s">
        <v>63</v>
      </c>
    </row>
    <row r="924" spans="1:70" hidden="1" x14ac:dyDescent="0.2">
      <c r="A924" s="91">
        <v>5309</v>
      </c>
      <c r="B924" s="231" t="s">
        <v>1786</v>
      </c>
      <c r="C924" s="261" t="s">
        <v>1787</v>
      </c>
      <c r="D924" s="231" t="s">
        <v>1792</v>
      </c>
      <c r="E924" s="3" t="s">
        <v>1180</v>
      </c>
      <c r="F924" s="26" t="s">
        <v>103</v>
      </c>
      <c r="G924" s="26" t="s">
        <v>56</v>
      </c>
      <c r="H924" s="26" t="s">
        <v>1789</v>
      </c>
      <c r="I924" s="181"/>
      <c r="R924" s="23" t="s">
        <v>1752</v>
      </c>
      <c r="Y924" s="25" t="s">
        <v>1790</v>
      </c>
      <c r="Z924" s="83" t="s">
        <v>63</v>
      </c>
    </row>
    <row r="925" spans="1:70" hidden="1" x14ac:dyDescent="0.2">
      <c r="A925" s="91">
        <v>5433</v>
      </c>
      <c r="B925" s="231" t="s">
        <v>1786</v>
      </c>
      <c r="C925" s="261" t="s">
        <v>1787</v>
      </c>
      <c r="D925" s="231" t="s">
        <v>1793</v>
      </c>
      <c r="E925" s="3" t="s">
        <v>1180</v>
      </c>
      <c r="F925" s="26" t="s">
        <v>103</v>
      </c>
      <c r="G925" s="26" t="s">
        <v>56</v>
      </c>
      <c r="H925" s="26" t="s">
        <v>1789</v>
      </c>
      <c r="I925" s="181"/>
      <c r="R925" s="23" t="s">
        <v>1752</v>
      </c>
      <c r="Y925" s="25" t="s">
        <v>1790</v>
      </c>
      <c r="Z925" s="83" t="s">
        <v>63</v>
      </c>
    </row>
    <row r="926" spans="1:70" hidden="1" x14ac:dyDescent="0.2">
      <c r="A926" s="91">
        <v>5435</v>
      </c>
      <c r="B926" s="231" t="s">
        <v>1794</v>
      </c>
      <c r="C926" s="261" t="s">
        <v>1795</v>
      </c>
      <c r="D926" s="231" t="s">
        <v>1796</v>
      </c>
      <c r="E926" s="3" t="s">
        <v>1180</v>
      </c>
      <c r="F926" s="26" t="s">
        <v>103</v>
      </c>
      <c r="G926" s="26" t="s">
        <v>56</v>
      </c>
      <c r="H926" s="26" t="s">
        <v>194</v>
      </c>
      <c r="J926" s="22">
        <v>400</v>
      </c>
      <c r="L926" s="28" t="s">
        <v>58</v>
      </c>
      <c r="M926" s="22" t="s">
        <v>1797</v>
      </c>
      <c r="N926" s="22">
        <v>0</v>
      </c>
      <c r="O926" s="22" t="s">
        <v>60</v>
      </c>
      <c r="P926" s="22" t="s">
        <v>79</v>
      </c>
      <c r="Q926" s="23" t="s">
        <v>1798</v>
      </c>
      <c r="R926" s="23" t="s">
        <v>1784</v>
      </c>
      <c r="U926" s="23" t="s">
        <v>1799</v>
      </c>
      <c r="V926" s="25" t="s">
        <v>615</v>
      </c>
      <c r="Z926" s="83" t="s">
        <v>63</v>
      </c>
      <c r="AA926" s="6">
        <v>12</v>
      </c>
      <c r="AB926" s="6">
        <v>3</v>
      </c>
      <c r="AC926" s="5">
        <v>40</v>
      </c>
      <c r="AD926" s="5" t="s">
        <v>80</v>
      </c>
      <c r="AE926" s="5" t="s">
        <v>335</v>
      </c>
      <c r="AI926" s="5">
        <v>26</v>
      </c>
      <c r="AJ926" s="5">
        <v>52</v>
      </c>
      <c r="BA926" s="6">
        <v>26.4</v>
      </c>
      <c r="BB926" s="6" t="s">
        <v>367</v>
      </c>
      <c r="BC926" s="6" t="s">
        <v>118</v>
      </c>
      <c r="BG926" s="6">
        <v>20.8</v>
      </c>
      <c r="BH926" s="6">
        <v>31.4</v>
      </c>
    </row>
    <row r="927" spans="1:70" hidden="1" x14ac:dyDescent="0.2">
      <c r="A927" s="91">
        <v>5436</v>
      </c>
      <c r="B927" s="231" t="s">
        <v>1794</v>
      </c>
      <c r="C927" s="261" t="s">
        <v>1795</v>
      </c>
      <c r="D927" s="231" t="s">
        <v>1800</v>
      </c>
      <c r="E927" s="3" t="s">
        <v>1180</v>
      </c>
      <c r="F927" s="26" t="s">
        <v>103</v>
      </c>
      <c r="G927" s="26" t="s">
        <v>56</v>
      </c>
      <c r="H927" s="26" t="s">
        <v>194</v>
      </c>
      <c r="J927" s="22">
        <v>400</v>
      </c>
      <c r="L927" s="28" t="s">
        <v>58</v>
      </c>
      <c r="M927" s="22" t="s">
        <v>1797</v>
      </c>
      <c r="N927" s="22">
        <v>0</v>
      </c>
      <c r="O927" s="22" t="s">
        <v>60</v>
      </c>
      <c r="P927" s="22" t="s">
        <v>79</v>
      </c>
      <c r="Q927" s="23" t="s">
        <v>1798</v>
      </c>
      <c r="R927" s="23" t="s">
        <v>1784</v>
      </c>
      <c r="U927" s="23" t="s">
        <v>1799</v>
      </c>
      <c r="V927" s="25" t="s">
        <v>644</v>
      </c>
      <c r="Y927" s="25" t="s">
        <v>1801</v>
      </c>
      <c r="Z927" s="83" t="s">
        <v>63</v>
      </c>
      <c r="AA927" s="6">
        <v>12</v>
      </c>
      <c r="AB927" s="6">
        <v>3</v>
      </c>
      <c r="AC927" s="5">
        <v>40</v>
      </c>
      <c r="AD927" s="5" t="s">
        <v>80</v>
      </c>
      <c r="AE927" s="5" t="s">
        <v>335</v>
      </c>
      <c r="AI927" s="5">
        <v>26</v>
      </c>
      <c r="AJ927" s="5">
        <v>52</v>
      </c>
      <c r="BA927" s="6">
        <v>26.4</v>
      </c>
      <c r="BB927" s="6" t="s">
        <v>367</v>
      </c>
      <c r="BC927" s="6" t="s">
        <v>118</v>
      </c>
      <c r="BG927" s="6">
        <v>20.8</v>
      </c>
      <c r="BH927" s="6">
        <v>31.4</v>
      </c>
    </row>
    <row r="928" spans="1:70" hidden="1" x14ac:dyDescent="0.2">
      <c r="A928" s="91">
        <v>5437</v>
      </c>
      <c r="B928" s="231" t="s">
        <v>1794</v>
      </c>
      <c r="C928" s="261" t="s">
        <v>1795</v>
      </c>
      <c r="D928" s="231" t="s">
        <v>1802</v>
      </c>
      <c r="E928" s="3" t="s">
        <v>1180</v>
      </c>
      <c r="F928" s="26" t="s">
        <v>103</v>
      </c>
      <c r="G928" s="26" t="s">
        <v>56</v>
      </c>
      <c r="H928" s="26" t="s">
        <v>194</v>
      </c>
      <c r="J928" s="22">
        <v>400</v>
      </c>
      <c r="L928" s="28" t="s">
        <v>58</v>
      </c>
      <c r="M928" s="22" t="s">
        <v>1797</v>
      </c>
      <c r="N928" s="22">
        <v>0</v>
      </c>
      <c r="O928" s="22" t="s">
        <v>60</v>
      </c>
      <c r="P928" s="22" t="s">
        <v>79</v>
      </c>
      <c r="R928" s="23" t="s">
        <v>1803</v>
      </c>
      <c r="U928" s="23" t="s">
        <v>1804</v>
      </c>
      <c r="V928" s="25" t="s">
        <v>615</v>
      </c>
      <c r="Z928" s="83" t="s">
        <v>63</v>
      </c>
      <c r="AA928" s="6">
        <v>12</v>
      </c>
      <c r="AB928" s="6">
        <v>3</v>
      </c>
      <c r="AC928" s="5">
        <v>40</v>
      </c>
      <c r="AD928" s="5" t="s">
        <v>80</v>
      </c>
      <c r="AE928" s="5" t="s">
        <v>335</v>
      </c>
      <c r="AI928" s="5">
        <v>26</v>
      </c>
      <c r="AJ928" s="5">
        <v>52</v>
      </c>
      <c r="BA928" s="6">
        <v>26.4</v>
      </c>
      <c r="BB928" s="6" t="s">
        <v>367</v>
      </c>
      <c r="BC928" s="6" t="s">
        <v>118</v>
      </c>
      <c r="BG928" s="6">
        <v>20.8</v>
      </c>
      <c r="BH928" s="6">
        <v>31.4</v>
      </c>
    </row>
    <row r="929" spans="1:70" hidden="1" x14ac:dyDescent="0.2">
      <c r="A929" s="91">
        <v>5438</v>
      </c>
      <c r="B929" s="231" t="s">
        <v>1794</v>
      </c>
      <c r="C929" s="261" t="s">
        <v>1795</v>
      </c>
      <c r="D929" s="231" t="s">
        <v>1752</v>
      </c>
      <c r="E929" s="3" t="s">
        <v>1180</v>
      </c>
      <c r="F929" s="26" t="s">
        <v>103</v>
      </c>
      <c r="G929" s="26" t="s">
        <v>56</v>
      </c>
      <c r="H929" s="26" t="s">
        <v>194</v>
      </c>
      <c r="J929" s="22">
        <v>400</v>
      </c>
      <c r="L929" s="28" t="s">
        <v>58</v>
      </c>
      <c r="M929" s="22" t="s">
        <v>1797</v>
      </c>
      <c r="N929" s="22">
        <v>0</v>
      </c>
      <c r="O929" s="22" t="s">
        <v>60</v>
      </c>
      <c r="P929" s="22" t="s">
        <v>79</v>
      </c>
      <c r="R929" s="23" t="s">
        <v>1752</v>
      </c>
      <c r="U929" s="23" t="s">
        <v>1804</v>
      </c>
      <c r="V929" s="25" t="s">
        <v>615</v>
      </c>
      <c r="Z929" s="83" t="s">
        <v>63</v>
      </c>
      <c r="AA929" s="6">
        <v>12</v>
      </c>
      <c r="AB929" s="6">
        <v>3</v>
      </c>
      <c r="AC929" s="5">
        <v>40</v>
      </c>
      <c r="AD929" s="5" t="s">
        <v>80</v>
      </c>
      <c r="AE929" s="5" t="s">
        <v>335</v>
      </c>
      <c r="AI929" s="5">
        <v>26</v>
      </c>
      <c r="AJ929" s="5">
        <v>52</v>
      </c>
      <c r="BA929" s="6">
        <v>26.4</v>
      </c>
      <c r="BB929" s="6" t="s">
        <v>367</v>
      </c>
      <c r="BC929" s="6" t="s">
        <v>118</v>
      </c>
      <c r="BG929" s="6">
        <v>20.8</v>
      </c>
      <c r="BH929" s="6">
        <v>31.4</v>
      </c>
    </row>
    <row r="930" spans="1:70" hidden="1" x14ac:dyDescent="0.2">
      <c r="A930" s="91">
        <v>5439</v>
      </c>
      <c r="B930" s="231" t="s">
        <v>1453</v>
      </c>
      <c r="C930" s="261" t="s">
        <v>1805</v>
      </c>
      <c r="D930" s="231" t="s">
        <v>1806</v>
      </c>
      <c r="E930" s="3" t="s">
        <v>1180</v>
      </c>
      <c r="F930" s="26" t="s">
        <v>103</v>
      </c>
      <c r="G930" s="26" t="s">
        <v>56</v>
      </c>
      <c r="H930" s="26" t="s">
        <v>194</v>
      </c>
      <c r="J930" s="22">
        <v>10</v>
      </c>
      <c r="L930" s="28" t="s">
        <v>58</v>
      </c>
      <c r="M930" s="22" t="s">
        <v>59</v>
      </c>
      <c r="N930" s="22">
        <v>0</v>
      </c>
      <c r="O930" s="22" t="s">
        <v>60</v>
      </c>
      <c r="P930" s="22" t="s">
        <v>79</v>
      </c>
      <c r="Q930" s="23" t="s">
        <v>1807</v>
      </c>
      <c r="R930" s="23" t="s">
        <v>1807</v>
      </c>
      <c r="V930" s="25" t="s">
        <v>615</v>
      </c>
      <c r="Z930" s="83" t="s">
        <v>63</v>
      </c>
      <c r="AA930" s="6">
        <v>24</v>
      </c>
      <c r="AB930" s="6">
        <v>0</v>
      </c>
      <c r="AC930" s="5">
        <v>37</v>
      </c>
      <c r="AD930" s="5" t="s">
        <v>80</v>
      </c>
      <c r="AE930" s="5" t="s">
        <v>335</v>
      </c>
      <c r="AI930" s="5">
        <v>18</v>
      </c>
      <c r="AJ930" s="5">
        <v>50</v>
      </c>
      <c r="AK930" s="6">
        <v>73.5</v>
      </c>
      <c r="AL930" s="6" t="s">
        <v>81</v>
      </c>
      <c r="AM930" s="6" t="s">
        <v>118</v>
      </c>
      <c r="AQ930" s="6">
        <v>51</v>
      </c>
      <c r="AR930" s="6">
        <v>107</v>
      </c>
      <c r="BQ930" s="6" t="s">
        <v>214</v>
      </c>
      <c r="BR930" s="5" t="s">
        <v>1808</v>
      </c>
    </row>
    <row r="931" spans="1:70" hidden="1" x14ac:dyDescent="0.2">
      <c r="A931" s="91">
        <v>5440</v>
      </c>
      <c r="B931" s="231" t="s">
        <v>1453</v>
      </c>
      <c r="C931" s="261" t="s">
        <v>1805</v>
      </c>
      <c r="D931" s="231" t="s">
        <v>1809</v>
      </c>
      <c r="E931" s="3" t="s">
        <v>1180</v>
      </c>
      <c r="F931" s="26" t="s">
        <v>103</v>
      </c>
      <c r="G931" s="26" t="s">
        <v>56</v>
      </c>
      <c r="H931" s="26" t="s">
        <v>194</v>
      </c>
      <c r="J931" s="22">
        <v>25</v>
      </c>
      <c r="L931" s="28" t="s">
        <v>58</v>
      </c>
      <c r="M931" s="22" t="s">
        <v>59</v>
      </c>
      <c r="N931" s="22">
        <v>0</v>
      </c>
      <c r="O931" s="22" t="s">
        <v>60</v>
      </c>
      <c r="P931" s="22" t="s">
        <v>79</v>
      </c>
      <c r="Q931" s="23" t="s">
        <v>1807</v>
      </c>
      <c r="R931" s="23" t="s">
        <v>1807</v>
      </c>
      <c r="V931" s="25" t="s">
        <v>615</v>
      </c>
      <c r="Z931" s="83" t="s">
        <v>63</v>
      </c>
      <c r="AA931" s="6">
        <v>24</v>
      </c>
      <c r="AB931" s="6">
        <v>0</v>
      </c>
      <c r="AC931" s="5">
        <v>37</v>
      </c>
      <c r="AD931" s="5" t="s">
        <v>80</v>
      </c>
      <c r="AE931" s="5" t="s">
        <v>335</v>
      </c>
      <c r="AI931" s="5">
        <v>18</v>
      </c>
      <c r="AJ931" s="5">
        <v>50</v>
      </c>
      <c r="AK931" s="6">
        <v>73.5</v>
      </c>
      <c r="AL931" s="6" t="s">
        <v>81</v>
      </c>
      <c r="AM931" s="6" t="s">
        <v>118</v>
      </c>
      <c r="AQ931" s="6">
        <v>51</v>
      </c>
      <c r="AR931" s="6">
        <v>107</v>
      </c>
      <c r="BQ931" s="6" t="s">
        <v>214</v>
      </c>
      <c r="BR931" s="5" t="s">
        <v>1808</v>
      </c>
    </row>
    <row r="932" spans="1:70" hidden="1" x14ac:dyDescent="0.2">
      <c r="A932" s="91">
        <v>5441</v>
      </c>
      <c r="B932" s="231" t="s">
        <v>1453</v>
      </c>
      <c r="C932" s="261" t="s">
        <v>1805</v>
      </c>
      <c r="D932" s="231" t="s">
        <v>1810</v>
      </c>
      <c r="E932" s="3" t="s">
        <v>1180</v>
      </c>
      <c r="F932" s="26" t="s">
        <v>103</v>
      </c>
      <c r="G932" s="26" t="s">
        <v>56</v>
      </c>
      <c r="H932" s="26" t="s">
        <v>194</v>
      </c>
      <c r="J932" s="22">
        <v>50</v>
      </c>
      <c r="L932" s="28" t="s">
        <v>58</v>
      </c>
      <c r="M932" s="22" t="s">
        <v>59</v>
      </c>
      <c r="N932" s="22">
        <v>0</v>
      </c>
      <c r="O932" s="22" t="s">
        <v>60</v>
      </c>
      <c r="P932" s="22" t="s">
        <v>79</v>
      </c>
      <c r="Q932" s="23" t="s">
        <v>1807</v>
      </c>
      <c r="R932" s="23" t="s">
        <v>1807</v>
      </c>
      <c r="V932" s="25" t="s">
        <v>615</v>
      </c>
      <c r="Z932" s="83" t="s">
        <v>63</v>
      </c>
      <c r="AA932" s="6">
        <v>24</v>
      </c>
      <c r="AB932" s="6">
        <v>0</v>
      </c>
      <c r="AC932" s="5">
        <v>37</v>
      </c>
      <c r="AD932" s="5" t="s">
        <v>80</v>
      </c>
      <c r="AE932" s="5" t="s">
        <v>335</v>
      </c>
      <c r="AI932" s="5">
        <v>18</v>
      </c>
      <c r="AJ932" s="5">
        <v>50</v>
      </c>
      <c r="AK932" s="6">
        <v>73.5</v>
      </c>
      <c r="AL932" s="6" t="s">
        <v>81</v>
      </c>
      <c r="AM932" s="6" t="s">
        <v>118</v>
      </c>
      <c r="AQ932" s="6">
        <v>51</v>
      </c>
      <c r="AR932" s="6">
        <v>107</v>
      </c>
      <c r="BQ932" s="6" t="s">
        <v>214</v>
      </c>
      <c r="BR932" s="5" t="s">
        <v>1808</v>
      </c>
    </row>
    <row r="933" spans="1:70" hidden="1" x14ac:dyDescent="0.2">
      <c r="A933" s="91">
        <v>5442</v>
      </c>
      <c r="B933" s="231" t="s">
        <v>1453</v>
      </c>
      <c r="C933" s="261" t="s">
        <v>1805</v>
      </c>
      <c r="D933" s="231" t="s">
        <v>1811</v>
      </c>
      <c r="E933" s="3" t="s">
        <v>1180</v>
      </c>
      <c r="F933" s="26" t="s">
        <v>103</v>
      </c>
      <c r="G933" s="26" t="s">
        <v>56</v>
      </c>
      <c r="H933" s="26" t="s">
        <v>194</v>
      </c>
      <c r="J933" s="22">
        <v>100</v>
      </c>
      <c r="L933" s="28" t="s">
        <v>58</v>
      </c>
      <c r="M933" s="22" t="s">
        <v>59</v>
      </c>
      <c r="N933" s="22">
        <v>0</v>
      </c>
      <c r="O933" s="22" t="s">
        <v>60</v>
      </c>
      <c r="P933" s="22" t="s">
        <v>79</v>
      </c>
      <c r="Q933" s="23" t="s">
        <v>1807</v>
      </c>
      <c r="R933" s="23" t="s">
        <v>1807</v>
      </c>
      <c r="V933" s="25" t="s">
        <v>615</v>
      </c>
      <c r="Z933" s="83" t="s">
        <v>63</v>
      </c>
      <c r="AA933" s="6">
        <v>24</v>
      </c>
      <c r="AB933" s="6">
        <v>0</v>
      </c>
      <c r="AC933" s="5">
        <v>37</v>
      </c>
      <c r="AD933" s="5" t="s">
        <v>80</v>
      </c>
      <c r="AE933" s="5" t="s">
        <v>335</v>
      </c>
      <c r="AI933" s="5">
        <v>18</v>
      </c>
      <c r="AJ933" s="5">
        <v>50</v>
      </c>
      <c r="AK933" s="6">
        <v>73.5</v>
      </c>
      <c r="AL933" s="6" t="s">
        <v>81</v>
      </c>
      <c r="AM933" s="6" t="s">
        <v>118</v>
      </c>
      <c r="AQ933" s="6">
        <v>51</v>
      </c>
      <c r="AR933" s="6">
        <v>107</v>
      </c>
      <c r="BQ933" s="6" t="s">
        <v>214</v>
      </c>
      <c r="BR933" s="5" t="s">
        <v>1808</v>
      </c>
    </row>
    <row r="934" spans="1:70" hidden="1" x14ac:dyDescent="0.2">
      <c r="A934" s="91">
        <v>5443</v>
      </c>
      <c r="B934" s="231" t="s">
        <v>1453</v>
      </c>
      <c r="C934" s="261" t="s">
        <v>1805</v>
      </c>
      <c r="D934" s="231" t="s">
        <v>1812</v>
      </c>
      <c r="E934" s="3" t="s">
        <v>1180</v>
      </c>
      <c r="F934" s="26" t="s">
        <v>103</v>
      </c>
      <c r="G934" s="26" t="s">
        <v>56</v>
      </c>
      <c r="H934" s="26" t="s">
        <v>194</v>
      </c>
      <c r="J934" s="22">
        <v>200</v>
      </c>
      <c r="L934" s="28" t="s">
        <v>58</v>
      </c>
      <c r="M934" s="22" t="s">
        <v>59</v>
      </c>
      <c r="N934" s="22">
        <v>0</v>
      </c>
      <c r="O934" s="22" t="s">
        <v>60</v>
      </c>
      <c r="P934" s="22" t="s">
        <v>79</v>
      </c>
      <c r="Q934" s="23" t="s">
        <v>1807</v>
      </c>
      <c r="R934" s="23" t="s">
        <v>1807</v>
      </c>
      <c r="V934" s="25" t="s">
        <v>615</v>
      </c>
      <c r="Z934" s="83" t="s">
        <v>63</v>
      </c>
      <c r="AA934" s="6">
        <v>24</v>
      </c>
      <c r="AB934" s="6">
        <v>0</v>
      </c>
      <c r="AC934" s="5">
        <v>37</v>
      </c>
      <c r="AD934" s="5" t="s">
        <v>80</v>
      </c>
      <c r="AE934" s="5" t="s">
        <v>335</v>
      </c>
      <c r="AI934" s="5">
        <v>18</v>
      </c>
      <c r="AJ934" s="5">
        <v>50</v>
      </c>
      <c r="AK934" s="6">
        <v>73.5</v>
      </c>
      <c r="AL934" s="6" t="s">
        <v>81</v>
      </c>
      <c r="AM934" s="6" t="s">
        <v>118</v>
      </c>
      <c r="AQ934" s="6">
        <v>51</v>
      </c>
      <c r="AR934" s="6">
        <v>107</v>
      </c>
      <c r="BQ934" s="6" t="s">
        <v>214</v>
      </c>
      <c r="BR934" s="5" t="s">
        <v>1808</v>
      </c>
    </row>
    <row r="935" spans="1:70" hidden="1" x14ac:dyDescent="0.2">
      <c r="A935" s="91">
        <v>5444</v>
      </c>
      <c r="B935" s="231" t="s">
        <v>1453</v>
      </c>
      <c r="C935" s="261" t="s">
        <v>1805</v>
      </c>
      <c r="D935" s="231" t="s">
        <v>1813</v>
      </c>
      <c r="E935" s="3" t="s">
        <v>1180</v>
      </c>
      <c r="F935" s="26" t="s">
        <v>103</v>
      </c>
      <c r="G935" s="26" t="s">
        <v>56</v>
      </c>
      <c r="H935" s="26" t="s">
        <v>194</v>
      </c>
      <c r="J935" s="22">
        <v>400</v>
      </c>
      <c r="L935" s="28" t="s">
        <v>58</v>
      </c>
      <c r="M935" s="22" t="s">
        <v>59</v>
      </c>
      <c r="N935" s="22">
        <v>0</v>
      </c>
      <c r="O935" s="22" t="s">
        <v>60</v>
      </c>
      <c r="P935" s="22" t="s">
        <v>79</v>
      </c>
      <c r="Q935" s="23" t="s">
        <v>1807</v>
      </c>
      <c r="R935" s="23" t="s">
        <v>1807</v>
      </c>
      <c r="V935" s="25" t="s">
        <v>615</v>
      </c>
      <c r="Z935" s="83" t="s">
        <v>63</v>
      </c>
      <c r="AA935" s="6">
        <v>24</v>
      </c>
      <c r="AB935" s="6">
        <v>0</v>
      </c>
      <c r="AC935" s="5">
        <v>37</v>
      </c>
      <c r="AD935" s="5" t="s">
        <v>80</v>
      </c>
      <c r="AE935" s="5" t="s">
        <v>335</v>
      </c>
      <c r="AI935" s="5">
        <v>18</v>
      </c>
      <c r="AJ935" s="5">
        <v>50</v>
      </c>
      <c r="AK935" s="6">
        <v>73.5</v>
      </c>
      <c r="AL935" s="6" t="s">
        <v>81</v>
      </c>
      <c r="AM935" s="6" t="s">
        <v>118</v>
      </c>
      <c r="AQ935" s="6">
        <v>51</v>
      </c>
      <c r="AR935" s="6">
        <v>107</v>
      </c>
      <c r="BQ935" s="6" t="s">
        <v>214</v>
      </c>
      <c r="BR935" s="5" t="s">
        <v>1808</v>
      </c>
    </row>
    <row r="936" spans="1:70" hidden="1" x14ac:dyDescent="0.2">
      <c r="A936" s="91">
        <v>5445</v>
      </c>
      <c r="B936" s="231" t="s">
        <v>1453</v>
      </c>
      <c r="C936" s="261" t="s">
        <v>1805</v>
      </c>
      <c r="D936" s="231" t="s">
        <v>1814</v>
      </c>
      <c r="E936" s="3" t="s">
        <v>1180</v>
      </c>
      <c r="F936" s="26" t="s">
        <v>103</v>
      </c>
      <c r="G936" s="26" t="s">
        <v>56</v>
      </c>
      <c r="H936" s="26" t="s">
        <v>194</v>
      </c>
      <c r="J936" s="22">
        <v>800</v>
      </c>
      <c r="L936" s="28" t="s">
        <v>58</v>
      </c>
      <c r="M936" s="22" t="s">
        <v>59</v>
      </c>
      <c r="N936" s="22">
        <v>0</v>
      </c>
      <c r="O936" s="22" t="s">
        <v>60</v>
      </c>
      <c r="P936" s="22" t="s">
        <v>79</v>
      </c>
      <c r="Q936" s="23" t="s">
        <v>1807</v>
      </c>
      <c r="R936" s="23" t="s">
        <v>1807</v>
      </c>
      <c r="V936" s="25" t="s">
        <v>615</v>
      </c>
      <c r="Z936" s="83" t="s">
        <v>63</v>
      </c>
      <c r="AA936" s="6">
        <v>24</v>
      </c>
      <c r="AB936" s="6">
        <v>0</v>
      </c>
      <c r="AC936" s="5">
        <v>37</v>
      </c>
      <c r="AD936" s="5" t="s">
        <v>80</v>
      </c>
      <c r="AE936" s="5" t="s">
        <v>335</v>
      </c>
      <c r="AI936" s="5">
        <v>18</v>
      </c>
      <c r="AJ936" s="5">
        <v>50</v>
      </c>
      <c r="AK936" s="6">
        <v>73.5</v>
      </c>
      <c r="AL936" s="6" t="s">
        <v>81</v>
      </c>
      <c r="AM936" s="6" t="s">
        <v>118</v>
      </c>
      <c r="AQ936" s="6">
        <v>51</v>
      </c>
      <c r="AR936" s="6">
        <v>107</v>
      </c>
      <c r="BQ936" s="6" t="s">
        <v>214</v>
      </c>
      <c r="BR936" s="5" t="s">
        <v>1808</v>
      </c>
    </row>
    <row r="937" spans="1:70" hidden="1" x14ac:dyDescent="0.2">
      <c r="A937" s="91">
        <v>5446</v>
      </c>
      <c r="B937" s="231" t="s">
        <v>1453</v>
      </c>
      <c r="C937" s="261" t="s">
        <v>1805</v>
      </c>
      <c r="D937" s="231" t="s">
        <v>1815</v>
      </c>
      <c r="E937" s="3" t="s">
        <v>1180</v>
      </c>
      <c r="F937" s="26" t="s">
        <v>103</v>
      </c>
      <c r="G937" s="26" t="s">
        <v>56</v>
      </c>
      <c r="H937" s="26" t="s">
        <v>194</v>
      </c>
      <c r="J937" s="22">
        <v>1200</v>
      </c>
      <c r="L937" s="28" t="s">
        <v>58</v>
      </c>
      <c r="M937" s="22" t="s">
        <v>59</v>
      </c>
      <c r="N937" s="22">
        <v>0</v>
      </c>
      <c r="O937" s="22" t="s">
        <v>60</v>
      </c>
      <c r="P937" s="22" t="s">
        <v>79</v>
      </c>
      <c r="Q937" s="23" t="s">
        <v>1807</v>
      </c>
      <c r="R937" s="23" t="s">
        <v>1807</v>
      </c>
      <c r="V937" s="25" t="s">
        <v>615</v>
      </c>
      <c r="Z937" s="83" t="s">
        <v>63</v>
      </c>
      <c r="AA937" s="6">
        <v>24</v>
      </c>
      <c r="AB937" s="6">
        <v>0</v>
      </c>
      <c r="AC937" s="5">
        <v>37</v>
      </c>
      <c r="AD937" s="5" t="s">
        <v>80</v>
      </c>
      <c r="AE937" s="5" t="s">
        <v>335</v>
      </c>
      <c r="AI937" s="5">
        <v>18</v>
      </c>
      <c r="AJ937" s="5">
        <v>50</v>
      </c>
      <c r="AK937" s="6">
        <v>73.5</v>
      </c>
      <c r="AL937" s="6" t="s">
        <v>81</v>
      </c>
      <c r="AM937" s="6" t="s">
        <v>118</v>
      </c>
      <c r="AQ937" s="6">
        <v>51</v>
      </c>
      <c r="AR937" s="6">
        <v>107</v>
      </c>
      <c r="BQ937" s="6" t="s">
        <v>214</v>
      </c>
      <c r="BR937" s="5" t="s">
        <v>1808</v>
      </c>
    </row>
    <row r="938" spans="1:70" hidden="1" x14ac:dyDescent="0.2">
      <c r="A938" s="91">
        <v>5447</v>
      </c>
      <c r="B938" s="231" t="s">
        <v>1453</v>
      </c>
      <c r="C938" s="261" t="s">
        <v>1805</v>
      </c>
      <c r="D938" s="231" t="s">
        <v>1816</v>
      </c>
      <c r="E938" s="3" t="s">
        <v>1180</v>
      </c>
      <c r="F938" s="26" t="s">
        <v>103</v>
      </c>
      <c r="G938" s="26" t="s">
        <v>56</v>
      </c>
      <c r="H938" s="26" t="s">
        <v>194</v>
      </c>
      <c r="J938" s="22">
        <v>1600</v>
      </c>
      <c r="L938" s="28" t="s">
        <v>58</v>
      </c>
      <c r="M938" s="22" t="s">
        <v>59</v>
      </c>
      <c r="N938" s="22">
        <v>0</v>
      </c>
      <c r="O938" s="22" t="s">
        <v>60</v>
      </c>
      <c r="P938" s="22" t="s">
        <v>79</v>
      </c>
      <c r="Q938" s="23" t="s">
        <v>1807</v>
      </c>
      <c r="R938" s="23" t="s">
        <v>1807</v>
      </c>
      <c r="V938" s="25" t="s">
        <v>615</v>
      </c>
      <c r="Z938" s="83" t="s">
        <v>63</v>
      </c>
      <c r="AA938" s="6">
        <v>24</v>
      </c>
      <c r="AB938" s="6">
        <v>0</v>
      </c>
      <c r="AC938" s="5">
        <v>37</v>
      </c>
      <c r="AD938" s="5" t="s">
        <v>80</v>
      </c>
      <c r="AE938" s="5" t="s">
        <v>335</v>
      </c>
      <c r="AI938" s="5">
        <v>18</v>
      </c>
      <c r="AJ938" s="5">
        <v>50</v>
      </c>
      <c r="AK938" s="6">
        <v>73.5</v>
      </c>
      <c r="AL938" s="6" t="s">
        <v>81</v>
      </c>
      <c r="AM938" s="6" t="s">
        <v>118</v>
      </c>
      <c r="AQ938" s="6">
        <v>51</v>
      </c>
      <c r="AR938" s="6">
        <v>107</v>
      </c>
      <c r="BQ938" s="6" t="s">
        <v>214</v>
      </c>
      <c r="BR938" s="5" t="s">
        <v>1808</v>
      </c>
    </row>
    <row r="939" spans="1:70" hidden="1" x14ac:dyDescent="0.2">
      <c r="A939" s="91">
        <v>5448</v>
      </c>
      <c r="B939" s="231" t="s">
        <v>1817</v>
      </c>
      <c r="C939" s="261" t="s">
        <v>1818</v>
      </c>
      <c r="D939" s="231" t="s">
        <v>1819</v>
      </c>
      <c r="E939" s="3" t="s">
        <v>1180</v>
      </c>
      <c r="F939" s="26" t="s">
        <v>103</v>
      </c>
      <c r="G939" s="26" t="s">
        <v>56</v>
      </c>
      <c r="H939" s="26" t="s">
        <v>194</v>
      </c>
      <c r="J939" s="22">
        <v>400</v>
      </c>
      <c r="L939" s="28" t="s">
        <v>58</v>
      </c>
      <c r="M939" s="22" t="s">
        <v>59</v>
      </c>
      <c r="N939" s="22">
        <v>0</v>
      </c>
      <c r="O939" s="22" t="s">
        <v>60</v>
      </c>
      <c r="P939" s="22" t="s">
        <v>79</v>
      </c>
      <c r="Q939" s="23" t="s">
        <v>1807</v>
      </c>
      <c r="R939" s="23" t="s">
        <v>1807</v>
      </c>
      <c r="V939" s="25" t="s">
        <v>615</v>
      </c>
      <c r="Z939" s="83" t="s">
        <v>63</v>
      </c>
      <c r="AA939" s="6">
        <v>10</v>
      </c>
      <c r="AB939" s="6">
        <v>3</v>
      </c>
      <c r="AC939" s="5">
        <v>38.4</v>
      </c>
      <c r="AD939" s="5" t="s">
        <v>80</v>
      </c>
      <c r="AE939" s="5" t="s">
        <v>335</v>
      </c>
      <c r="AI939" s="5">
        <v>24</v>
      </c>
      <c r="AJ939" s="5">
        <v>52</v>
      </c>
      <c r="AK939" s="6">
        <v>73.099999999999994</v>
      </c>
      <c r="AL939" s="6" t="s">
        <v>81</v>
      </c>
      <c r="AM939" s="6" t="s">
        <v>118</v>
      </c>
      <c r="AQ939" s="6">
        <v>64.099999999999994</v>
      </c>
      <c r="AR939" s="6">
        <v>101</v>
      </c>
      <c r="BQ939" s="6" t="s">
        <v>214</v>
      </c>
      <c r="BR939" s="5" t="s">
        <v>1820</v>
      </c>
    </row>
    <row r="940" spans="1:70" hidden="1" x14ac:dyDescent="0.2">
      <c r="A940" s="91">
        <v>5449</v>
      </c>
      <c r="B940" s="231" t="s">
        <v>1786</v>
      </c>
      <c r="C940" s="261" t="s">
        <v>1787</v>
      </c>
      <c r="D940" s="231" t="s">
        <v>1821</v>
      </c>
      <c r="E940" s="3" t="s">
        <v>1180</v>
      </c>
      <c r="F940" s="26" t="s">
        <v>103</v>
      </c>
      <c r="G940" s="26" t="s">
        <v>56</v>
      </c>
      <c r="H940" s="26" t="s">
        <v>194</v>
      </c>
      <c r="J940" s="22">
        <v>400</v>
      </c>
      <c r="L940" s="28" t="s">
        <v>58</v>
      </c>
      <c r="M940" s="22" t="s">
        <v>59</v>
      </c>
      <c r="N940" s="22">
        <v>0</v>
      </c>
      <c r="O940" s="22" t="s">
        <v>60</v>
      </c>
      <c r="P940" s="22" t="s">
        <v>79</v>
      </c>
      <c r="R940" s="23" t="s">
        <v>1752</v>
      </c>
      <c r="V940" s="25" t="s">
        <v>644</v>
      </c>
      <c r="Y940" s="25" t="s">
        <v>1822</v>
      </c>
      <c r="Z940" s="83" t="s">
        <v>63</v>
      </c>
      <c r="AA940" s="6">
        <v>21</v>
      </c>
      <c r="AD940" s="5" t="s">
        <v>80</v>
      </c>
      <c r="AE940" s="5" t="s">
        <v>335</v>
      </c>
      <c r="AI940" s="5">
        <v>8</v>
      </c>
      <c r="AJ940" s="5">
        <v>18</v>
      </c>
      <c r="BQ940" s="6" t="s">
        <v>214</v>
      </c>
      <c r="BR940" s="5" t="s">
        <v>1823</v>
      </c>
    </row>
    <row r="941" spans="1:70" hidden="1" x14ac:dyDescent="0.2">
      <c r="A941" s="91">
        <v>5450</v>
      </c>
      <c r="B941" s="231" t="s">
        <v>1817</v>
      </c>
      <c r="C941" s="261" t="s">
        <v>1818</v>
      </c>
      <c r="D941" s="231" t="s">
        <v>1824</v>
      </c>
      <c r="E941" s="3" t="s">
        <v>1180</v>
      </c>
      <c r="F941" s="26" t="s">
        <v>103</v>
      </c>
      <c r="G941" s="26" t="s">
        <v>56</v>
      </c>
      <c r="H941" s="26" t="s">
        <v>1825</v>
      </c>
      <c r="I941" s="26" t="s">
        <v>1826</v>
      </c>
    </row>
    <row r="942" spans="1:70" s="124" customFormat="1" hidden="1" x14ac:dyDescent="0.2">
      <c r="A942" s="91">
        <v>5451</v>
      </c>
      <c r="B942" s="231" t="s">
        <v>1817</v>
      </c>
      <c r="C942" s="261" t="s">
        <v>1818</v>
      </c>
      <c r="D942" s="231" t="s">
        <v>1827</v>
      </c>
      <c r="E942" s="125" t="s">
        <v>1180</v>
      </c>
      <c r="F942" s="181" t="s">
        <v>103</v>
      </c>
      <c r="G942" s="181" t="s">
        <v>56</v>
      </c>
      <c r="H942" s="181" t="s">
        <v>296</v>
      </c>
      <c r="I942" s="181" t="s">
        <v>1826</v>
      </c>
      <c r="J942" s="178"/>
      <c r="K942" s="182"/>
      <c r="L942" s="182"/>
      <c r="M942" s="178"/>
      <c r="N942" s="178"/>
      <c r="O942" s="178"/>
      <c r="P942" s="178"/>
      <c r="Q942" s="179"/>
      <c r="R942" s="179"/>
      <c r="S942" s="180"/>
      <c r="T942" s="179"/>
      <c r="U942" s="179"/>
      <c r="V942" s="167"/>
      <c r="W942" s="168"/>
      <c r="X942" s="106"/>
      <c r="Y942" s="167"/>
      <c r="Z942" s="169"/>
      <c r="AA942" s="166"/>
      <c r="AB942" s="166"/>
      <c r="AC942" s="165"/>
      <c r="AD942" s="165"/>
      <c r="AE942" s="165"/>
      <c r="AF942" s="165"/>
      <c r="AG942" s="165"/>
      <c r="AH942" s="165"/>
      <c r="AI942" s="165"/>
      <c r="AJ942" s="165"/>
      <c r="AK942" s="166"/>
      <c r="AL942" s="166"/>
      <c r="AM942" s="166"/>
      <c r="AN942" s="166"/>
      <c r="AO942" s="166"/>
      <c r="AP942" s="166"/>
      <c r="AQ942" s="166"/>
      <c r="AR942" s="166"/>
      <c r="AS942" s="165"/>
      <c r="AT942" s="165"/>
      <c r="AU942" s="165"/>
      <c r="AV942" s="165"/>
      <c r="AW942" s="165"/>
      <c r="AX942" s="165"/>
      <c r="AY942" s="165"/>
      <c r="AZ942" s="165"/>
      <c r="BA942" s="166"/>
      <c r="BB942" s="166"/>
      <c r="BC942" s="166"/>
      <c r="BD942" s="166"/>
      <c r="BE942" s="166"/>
      <c r="BF942" s="166"/>
      <c r="BG942" s="166"/>
      <c r="BH942" s="166"/>
      <c r="BI942" s="165"/>
      <c r="BJ942" s="165"/>
      <c r="BK942" s="165"/>
      <c r="BL942" s="165"/>
      <c r="BM942" s="165"/>
      <c r="BN942" s="165"/>
      <c r="BO942" s="165"/>
      <c r="BP942" s="165"/>
      <c r="BQ942" s="166"/>
      <c r="BR942" s="165"/>
    </row>
    <row r="943" spans="1:70" hidden="1" x14ac:dyDescent="0.2">
      <c r="A943" s="91">
        <v>806</v>
      </c>
      <c r="B943" s="231" t="s">
        <v>822</v>
      </c>
      <c r="C943" s="261" t="s">
        <v>823</v>
      </c>
      <c r="D943" s="231" t="s">
        <v>2887</v>
      </c>
      <c r="E943" s="3" t="s">
        <v>356</v>
      </c>
      <c r="F943" s="26" t="s">
        <v>103</v>
      </c>
      <c r="G943" s="26" t="s">
        <v>56</v>
      </c>
      <c r="H943" s="26" t="s">
        <v>1967</v>
      </c>
      <c r="J943" s="22">
        <v>500</v>
      </c>
      <c r="L943" s="28" t="s">
        <v>58</v>
      </c>
      <c r="M943" s="22" t="s">
        <v>59</v>
      </c>
      <c r="N943" s="22" t="s">
        <v>2888</v>
      </c>
      <c r="O943" s="22" t="s">
        <v>60</v>
      </c>
      <c r="P943" s="22" t="s">
        <v>1119</v>
      </c>
      <c r="R943" s="23" t="s">
        <v>2889</v>
      </c>
      <c r="V943" s="25" t="s">
        <v>62</v>
      </c>
      <c r="Z943" s="83" t="s">
        <v>63</v>
      </c>
      <c r="AA943" s="6">
        <v>6</v>
      </c>
      <c r="AB943" s="6">
        <v>4</v>
      </c>
      <c r="AI943" s="5">
        <v>20</v>
      </c>
      <c r="AJ943" s="5">
        <v>22</v>
      </c>
      <c r="AQ943" s="6">
        <v>56</v>
      </c>
      <c r="AR943" s="6">
        <v>70</v>
      </c>
      <c r="BQ943" s="6" t="s">
        <v>354</v>
      </c>
      <c r="BR943" s="5" t="s">
        <v>825</v>
      </c>
    </row>
    <row r="944" spans="1:70" hidden="1" x14ac:dyDescent="0.2">
      <c r="A944" s="91">
        <v>807</v>
      </c>
      <c r="B944" s="231" t="s">
        <v>822</v>
      </c>
      <c r="C944" s="261" t="s">
        <v>823</v>
      </c>
      <c r="D944" s="231" t="s">
        <v>2890</v>
      </c>
      <c r="E944" s="3" t="s">
        <v>356</v>
      </c>
      <c r="F944" s="26" t="s">
        <v>103</v>
      </c>
      <c r="G944" s="26" t="s">
        <v>76</v>
      </c>
      <c r="H944" s="26" t="s">
        <v>430</v>
      </c>
      <c r="J944" s="22">
        <v>500</v>
      </c>
      <c r="L944" s="28" t="s">
        <v>58</v>
      </c>
      <c r="M944" s="22" t="s">
        <v>59</v>
      </c>
      <c r="N944" s="22" t="s">
        <v>2888</v>
      </c>
      <c r="O944" s="22" t="s">
        <v>60</v>
      </c>
      <c r="P944" s="22" t="s">
        <v>1119</v>
      </c>
      <c r="R944" s="23" t="s">
        <v>2889</v>
      </c>
      <c r="V944" s="25" t="s">
        <v>62</v>
      </c>
      <c r="Z944" s="83" t="s">
        <v>63</v>
      </c>
      <c r="AA944" s="6">
        <v>1</v>
      </c>
      <c r="BQ944" s="6" t="s">
        <v>354</v>
      </c>
      <c r="BR944" s="5" t="s">
        <v>825</v>
      </c>
    </row>
    <row r="945" spans="1:70" hidden="1" x14ac:dyDescent="0.2">
      <c r="A945" s="91">
        <v>808</v>
      </c>
      <c r="B945" s="231" t="s">
        <v>822</v>
      </c>
      <c r="C945" s="261" t="s">
        <v>823</v>
      </c>
      <c r="D945" s="231" t="s">
        <v>2891</v>
      </c>
      <c r="E945" s="3" t="s">
        <v>356</v>
      </c>
      <c r="F945" s="26" t="s">
        <v>103</v>
      </c>
      <c r="G945" s="26" t="s">
        <v>76</v>
      </c>
      <c r="H945" s="26" t="s">
        <v>430</v>
      </c>
      <c r="J945" s="22">
        <v>500</v>
      </c>
      <c r="L945" s="28" t="s">
        <v>58</v>
      </c>
      <c r="M945" s="22" t="s">
        <v>59</v>
      </c>
      <c r="N945" s="22" t="s">
        <v>2888</v>
      </c>
      <c r="O945" s="22" t="s">
        <v>60</v>
      </c>
      <c r="P945" s="22" t="s">
        <v>1119</v>
      </c>
      <c r="R945" s="23" t="s">
        <v>2889</v>
      </c>
      <c r="V945" s="25" t="s">
        <v>62</v>
      </c>
      <c r="Z945" s="83" t="s">
        <v>63</v>
      </c>
      <c r="AA945" s="6">
        <v>1</v>
      </c>
      <c r="BQ945" s="6" t="s">
        <v>354</v>
      </c>
      <c r="BR945" s="5" t="s">
        <v>825</v>
      </c>
    </row>
    <row r="946" spans="1:70" hidden="1" x14ac:dyDescent="0.2">
      <c r="A946" s="91">
        <v>809</v>
      </c>
      <c r="B946" s="231" t="s">
        <v>822</v>
      </c>
      <c r="C946" s="261" t="s">
        <v>823</v>
      </c>
      <c r="D946" s="231" t="s">
        <v>2892</v>
      </c>
      <c r="E946" s="3" t="s">
        <v>356</v>
      </c>
      <c r="F946" s="26" t="s">
        <v>103</v>
      </c>
      <c r="G946" s="26" t="s">
        <v>76</v>
      </c>
      <c r="H946" s="26" t="s">
        <v>430</v>
      </c>
      <c r="J946" s="22">
        <v>500</v>
      </c>
      <c r="L946" s="28" t="s">
        <v>58</v>
      </c>
      <c r="M946" s="22" t="s">
        <v>59</v>
      </c>
      <c r="N946" s="22" t="s">
        <v>2888</v>
      </c>
      <c r="O946" s="22" t="s">
        <v>60</v>
      </c>
      <c r="P946" s="22" t="s">
        <v>1119</v>
      </c>
      <c r="R946" s="23" t="s">
        <v>2889</v>
      </c>
      <c r="V946" s="25" t="s">
        <v>62</v>
      </c>
      <c r="Z946" s="83" t="s">
        <v>63</v>
      </c>
      <c r="AA946" s="6">
        <v>1</v>
      </c>
      <c r="BQ946" s="6" t="s">
        <v>354</v>
      </c>
      <c r="BR946" s="5" t="s">
        <v>825</v>
      </c>
    </row>
    <row r="947" spans="1:70" hidden="1" x14ac:dyDescent="0.2">
      <c r="A947" s="91">
        <v>810</v>
      </c>
      <c r="B947" s="231" t="s">
        <v>822</v>
      </c>
      <c r="C947" s="261" t="s">
        <v>823</v>
      </c>
      <c r="D947" s="231" t="s">
        <v>2893</v>
      </c>
      <c r="E947" s="3" t="s">
        <v>356</v>
      </c>
      <c r="F947" s="26" t="s">
        <v>103</v>
      </c>
      <c r="G947" s="26" t="s">
        <v>76</v>
      </c>
      <c r="H947" s="26" t="s">
        <v>430</v>
      </c>
      <c r="J947" s="22">
        <v>500</v>
      </c>
      <c r="L947" s="28" t="s">
        <v>58</v>
      </c>
      <c r="M947" s="22" t="s">
        <v>59</v>
      </c>
      <c r="N947" s="22" t="s">
        <v>2888</v>
      </c>
      <c r="O947" s="22" t="s">
        <v>60</v>
      </c>
      <c r="P947" s="22" t="s">
        <v>1119</v>
      </c>
      <c r="R947" s="23" t="s">
        <v>2889</v>
      </c>
      <c r="V947" s="25" t="s">
        <v>62</v>
      </c>
      <c r="Z947" s="83" t="s">
        <v>63</v>
      </c>
      <c r="AA947" s="6">
        <v>1</v>
      </c>
      <c r="BQ947" s="6" t="s">
        <v>354</v>
      </c>
      <c r="BR947" s="5" t="s">
        <v>825</v>
      </c>
    </row>
    <row r="948" spans="1:70" hidden="1" x14ac:dyDescent="0.2">
      <c r="A948" s="91">
        <v>811</v>
      </c>
      <c r="B948" s="231" t="s">
        <v>822</v>
      </c>
      <c r="C948" s="261" t="s">
        <v>823</v>
      </c>
      <c r="D948" s="231" t="s">
        <v>2894</v>
      </c>
      <c r="E948" s="3" t="s">
        <v>356</v>
      </c>
      <c r="F948" s="26" t="s">
        <v>103</v>
      </c>
      <c r="G948" s="26" t="s">
        <v>76</v>
      </c>
      <c r="H948" s="26" t="s">
        <v>430</v>
      </c>
      <c r="J948" s="22">
        <v>500</v>
      </c>
      <c r="L948" s="28" t="s">
        <v>58</v>
      </c>
      <c r="M948" s="22" t="s">
        <v>59</v>
      </c>
      <c r="N948" s="22" t="s">
        <v>2888</v>
      </c>
      <c r="O948" s="22" t="s">
        <v>60</v>
      </c>
      <c r="P948" s="22" t="s">
        <v>1119</v>
      </c>
      <c r="R948" s="23" t="s">
        <v>2889</v>
      </c>
      <c r="V948" s="25" t="s">
        <v>62</v>
      </c>
      <c r="Z948" s="83" t="s">
        <v>63</v>
      </c>
      <c r="AA948" s="6">
        <v>1</v>
      </c>
      <c r="BQ948" s="6" t="s">
        <v>354</v>
      </c>
      <c r="BR948" s="5" t="s">
        <v>825</v>
      </c>
    </row>
    <row r="949" spans="1:70" hidden="1" x14ac:dyDescent="0.2">
      <c r="A949" s="91">
        <v>812</v>
      </c>
      <c r="B949" s="231" t="s">
        <v>822</v>
      </c>
      <c r="C949" s="261" t="s">
        <v>823</v>
      </c>
      <c r="D949" s="231" t="s">
        <v>2895</v>
      </c>
      <c r="E949" s="3" t="s">
        <v>356</v>
      </c>
      <c r="F949" s="26" t="s">
        <v>103</v>
      </c>
      <c r="G949" s="26" t="s">
        <v>76</v>
      </c>
      <c r="H949" s="26" t="s">
        <v>430</v>
      </c>
      <c r="J949" s="22">
        <v>500</v>
      </c>
      <c r="L949" s="28" t="s">
        <v>58</v>
      </c>
      <c r="M949" s="22" t="s">
        <v>59</v>
      </c>
      <c r="N949" s="22" t="s">
        <v>2888</v>
      </c>
      <c r="O949" s="22" t="s">
        <v>60</v>
      </c>
      <c r="P949" s="22" t="s">
        <v>1119</v>
      </c>
      <c r="R949" s="23" t="s">
        <v>2889</v>
      </c>
      <c r="V949" s="25" t="s">
        <v>62</v>
      </c>
      <c r="Z949" s="83" t="s">
        <v>63</v>
      </c>
      <c r="AA949" s="6">
        <v>1</v>
      </c>
      <c r="BQ949" s="6" t="s">
        <v>354</v>
      </c>
      <c r="BR949" s="5" t="s">
        <v>825</v>
      </c>
    </row>
    <row r="950" spans="1:70" hidden="1" x14ac:dyDescent="0.2">
      <c r="A950" s="91">
        <v>813</v>
      </c>
      <c r="B950" s="231" t="s">
        <v>822</v>
      </c>
      <c r="C950" s="261" t="s">
        <v>823</v>
      </c>
      <c r="D950" s="231" t="s">
        <v>2896</v>
      </c>
      <c r="E950" s="3" t="s">
        <v>356</v>
      </c>
      <c r="F950" s="26" t="s">
        <v>103</v>
      </c>
      <c r="G950" s="26" t="s">
        <v>56</v>
      </c>
      <c r="H950" s="26" t="s">
        <v>1967</v>
      </c>
      <c r="J950" s="22">
        <v>500</v>
      </c>
      <c r="L950" s="28" t="s">
        <v>58</v>
      </c>
      <c r="M950" s="22" t="s">
        <v>59</v>
      </c>
      <c r="N950" s="22" t="s">
        <v>2888</v>
      </c>
      <c r="O950" s="22" t="s">
        <v>60</v>
      </c>
      <c r="P950" s="22" t="s">
        <v>1119</v>
      </c>
      <c r="R950" s="23" t="s">
        <v>2889</v>
      </c>
      <c r="V950" s="25" t="s">
        <v>62</v>
      </c>
      <c r="Z950" s="83" t="s">
        <v>63</v>
      </c>
      <c r="AA950" s="6">
        <v>12</v>
      </c>
      <c r="AB950" s="6">
        <v>9</v>
      </c>
      <c r="AI950" s="5">
        <v>18</v>
      </c>
      <c r="AJ950" s="5">
        <v>29</v>
      </c>
      <c r="AQ950" s="6">
        <v>50</v>
      </c>
      <c r="AR950" s="6">
        <v>73</v>
      </c>
      <c r="BQ950" s="6" t="s">
        <v>354</v>
      </c>
      <c r="BR950" s="5" t="s">
        <v>825</v>
      </c>
    </row>
    <row r="951" spans="1:70" hidden="1" x14ac:dyDescent="0.2">
      <c r="A951" s="91">
        <v>814</v>
      </c>
      <c r="B951" s="231" t="s">
        <v>822</v>
      </c>
      <c r="C951" s="261" t="s">
        <v>2897</v>
      </c>
      <c r="D951" s="231" t="s">
        <v>2898</v>
      </c>
      <c r="E951" s="3" t="s">
        <v>356</v>
      </c>
      <c r="F951" s="26" t="s">
        <v>103</v>
      </c>
      <c r="G951" s="26" t="s">
        <v>76</v>
      </c>
      <c r="H951" s="26" t="s">
        <v>430</v>
      </c>
      <c r="J951" s="22">
        <v>500</v>
      </c>
      <c r="L951" s="28" t="s">
        <v>58</v>
      </c>
      <c r="M951" s="22" t="s">
        <v>59</v>
      </c>
      <c r="N951" s="22" t="s">
        <v>2888</v>
      </c>
      <c r="O951" s="22" t="s">
        <v>60</v>
      </c>
      <c r="P951" s="22" t="s">
        <v>1119</v>
      </c>
      <c r="R951" s="23" t="s">
        <v>2889</v>
      </c>
      <c r="V951" s="25" t="s">
        <v>62</v>
      </c>
      <c r="Z951" s="83" t="s">
        <v>63</v>
      </c>
      <c r="AA951" s="6">
        <v>1</v>
      </c>
      <c r="BQ951" s="6" t="s">
        <v>354</v>
      </c>
      <c r="BR951" s="5" t="s">
        <v>825</v>
      </c>
    </row>
    <row r="952" spans="1:70" hidden="1" x14ac:dyDescent="0.2">
      <c r="A952" s="91">
        <v>815</v>
      </c>
      <c r="B952" s="231" t="s">
        <v>822</v>
      </c>
      <c r="C952" s="261" t="s">
        <v>2899</v>
      </c>
      <c r="D952" s="231" t="s">
        <v>2900</v>
      </c>
      <c r="E952" s="3" t="s">
        <v>356</v>
      </c>
      <c r="F952" s="26" t="s">
        <v>103</v>
      </c>
      <c r="G952" s="26" t="s">
        <v>76</v>
      </c>
      <c r="H952" s="26" t="s">
        <v>430</v>
      </c>
      <c r="J952" s="22">
        <v>500</v>
      </c>
      <c r="L952" s="28" t="s">
        <v>58</v>
      </c>
      <c r="M952" s="22" t="s">
        <v>59</v>
      </c>
      <c r="N952" s="22" t="s">
        <v>2888</v>
      </c>
      <c r="O952" s="22" t="s">
        <v>60</v>
      </c>
      <c r="P952" s="22" t="s">
        <v>1119</v>
      </c>
      <c r="R952" s="23" t="s">
        <v>2889</v>
      </c>
      <c r="V952" s="25" t="s">
        <v>62</v>
      </c>
      <c r="Z952" s="83" t="s">
        <v>63</v>
      </c>
      <c r="AA952" s="6">
        <v>1</v>
      </c>
      <c r="BQ952" s="6" t="s">
        <v>354</v>
      </c>
      <c r="BR952" s="5" t="s">
        <v>825</v>
      </c>
    </row>
    <row r="953" spans="1:70" hidden="1" x14ac:dyDescent="0.2">
      <c r="A953" s="91">
        <v>816</v>
      </c>
      <c r="B953" s="231" t="s">
        <v>822</v>
      </c>
      <c r="C953" s="261" t="s">
        <v>2901</v>
      </c>
      <c r="D953" s="231" t="s">
        <v>2902</v>
      </c>
      <c r="E953" s="3" t="s">
        <v>356</v>
      </c>
      <c r="F953" s="26" t="s">
        <v>103</v>
      </c>
      <c r="G953" s="26" t="s">
        <v>76</v>
      </c>
      <c r="H953" s="26" t="s">
        <v>430</v>
      </c>
      <c r="J953" s="22">
        <v>500</v>
      </c>
      <c r="L953" s="28" t="s">
        <v>58</v>
      </c>
      <c r="M953" s="22" t="s">
        <v>59</v>
      </c>
      <c r="N953" s="22" t="s">
        <v>2888</v>
      </c>
      <c r="O953" s="22" t="s">
        <v>60</v>
      </c>
      <c r="P953" s="22" t="s">
        <v>1119</v>
      </c>
      <c r="R953" s="23" t="s">
        <v>2889</v>
      </c>
      <c r="V953" s="25" t="s">
        <v>62</v>
      </c>
      <c r="Z953" s="83" t="s">
        <v>63</v>
      </c>
      <c r="AA953" s="6">
        <v>1</v>
      </c>
      <c r="BQ953" s="6" t="s">
        <v>354</v>
      </c>
      <c r="BR953" s="5" t="s">
        <v>825</v>
      </c>
    </row>
    <row r="954" spans="1:70" hidden="1" x14ac:dyDescent="0.2">
      <c r="A954" s="91">
        <v>817</v>
      </c>
      <c r="B954" s="231" t="s">
        <v>822</v>
      </c>
      <c r="C954" s="261" t="s">
        <v>2903</v>
      </c>
      <c r="D954" s="231" t="s">
        <v>2904</v>
      </c>
      <c r="E954" s="3" t="s">
        <v>356</v>
      </c>
      <c r="F954" s="26" t="s">
        <v>103</v>
      </c>
      <c r="G954" s="26" t="s">
        <v>76</v>
      </c>
      <c r="H954" s="26" t="s">
        <v>430</v>
      </c>
      <c r="J954" s="22">
        <v>500</v>
      </c>
      <c r="L954" s="28" t="s">
        <v>58</v>
      </c>
      <c r="M954" s="22" t="s">
        <v>59</v>
      </c>
      <c r="N954" s="22" t="s">
        <v>2888</v>
      </c>
      <c r="O954" s="22" t="s">
        <v>60</v>
      </c>
      <c r="P954" s="22" t="s">
        <v>1119</v>
      </c>
      <c r="R954" s="23" t="s">
        <v>2889</v>
      </c>
      <c r="V954" s="25" t="s">
        <v>62</v>
      </c>
      <c r="Z954" s="83" t="s">
        <v>63</v>
      </c>
      <c r="AA954" s="6">
        <v>1</v>
      </c>
      <c r="BQ954" s="6" t="s">
        <v>354</v>
      </c>
      <c r="BR954" s="5" t="s">
        <v>825</v>
      </c>
    </row>
    <row r="955" spans="1:70" hidden="1" x14ac:dyDescent="0.2">
      <c r="A955" s="91">
        <v>818</v>
      </c>
      <c r="B955" s="231" t="s">
        <v>822</v>
      </c>
      <c r="C955" s="261" t="s">
        <v>2905</v>
      </c>
      <c r="D955" s="231" t="s">
        <v>2906</v>
      </c>
      <c r="E955" s="3" t="s">
        <v>356</v>
      </c>
      <c r="F955" s="26" t="s">
        <v>103</v>
      </c>
      <c r="G955" s="26" t="s">
        <v>76</v>
      </c>
      <c r="H955" s="26" t="s">
        <v>430</v>
      </c>
      <c r="J955" s="22">
        <v>500</v>
      </c>
      <c r="L955" s="28" t="s">
        <v>58</v>
      </c>
      <c r="M955" s="22" t="s">
        <v>59</v>
      </c>
      <c r="N955" s="22" t="s">
        <v>2888</v>
      </c>
      <c r="O955" s="22" t="s">
        <v>60</v>
      </c>
      <c r="P955" s="22" t="s">
        <v>1119</v>
      </c>
      <c r="R955" s="23" t="s">
        <v>2889</v>
      </c>
      <c r="V955" s="25" t="s">
        <v>62</v>
      </c>
      <c r="Z955" s="83" t="s">
        <v>63</v>
      </c>
      <c r="AA955" s="6">
        <v>1</v>
      </c>
      <c r="BQ955" s="6" t="s">
        <v>354</v>
      </c>
      <c r="BR955" s="5" t="s">
        <v>825</v>
      </c>
    </row>
    <row r="956" spans="1:70" hidden="1" x14ac:dyDescent="0.2">
      <c r="A956" s="91">
        <v>819</v>
      </c>
      <c r="B956" s="231" t="s">
        <v>822</v>
      </c>
      <c r="C956" s="261" t="s">
        <v>2907</v>
      </c>
      <c r="D956" s="231" t="s">
        <v>2908</v>
      </c>
      <c r="E956" s="3" t="s">
        <v>356</v>
      </c>
      <c r="F956" s="26" t="s">
        <v>103</v>
      </c>
      <c r="G956" s="26" t="s">
        <v>76</v>
      </c>
      <c r="H956" s="26" t="s">
        <v>430</v>
      </c>
      <c r="J956" s="22">
        <v>500</v>
      </c>
      <c r="L956" s="28" t="s">
        <v>58</v>
      </c>
      <c r="M956" s="22" t="s">
        <v>59</v>
      </c>
      <c r="N956" s="22" t="s">
        <v>2888</v>
      </c>
      <c r="O956" s="22" t="s">
        <v>60</v>
      </c>
      <c r="P956" s="22" t="s">
        <v>1119</v>
      </c>
      <c r="R956" s="23" t="s">
        <v>2889</v>
      </c>
      <c r="V956" s="25" t="s">
        <v>62</v>
      </c>
      <c r="Z956" s="83" t="s">
        <v>63</v>
      </c>
      <c r="AA956" s="6">
        <v>1</v>
      </c>
      <c r="BQ956" s="6" t="s">
        <v>354</v>
      </c>
      <c r="BR956" s="5" t="s">
        <v>825</v>
      </c>
    </row>
    <row r="957" spans="1:70" hidden="1" x14ac:dyDescent="0.2">
      <c r="A957" s="91">
        <v>820</v>
      </c>
      <c r="B957" s="231" t="s">
        <v>822</v>
      </c>
      <c r="C957" s="261" t="s">
        <v>2909</v>
      </c>
      <c r="D957" s="231" t="s">
        <v>2910</v>
      </c>
      <c r="E957" s="3" t="s">
        <v>356</v>
      </c>
      <c r="F957" s="26" t="s">
        <v>103</v>
      </c>
      <c r="G957" s="26" t="s">
        <v>76</v>
      </c>
      <c r="H957" s="26" t="s">
        <v>430</v>
      </c>
      <c r="J957" s="22">
        <v>500</v>
      </c>
      <c r="L957" s="28" t="s">
        <v>58</v>
      </c>
      <c r="M957" s="22" t="s">
        <v>59</v>
      </c>
      <c r="N957" s="22" t="s">
        <v>2888</v>
      </c>
      <c r="O957" s="22" t="s">
        <v>60</v>
      </c>
      <c r="P957" s="22" t="s">
        <v>1119</v>
      </c>
      <c r="R957" s="23" t="s">
        <v>2889</v>
      </c>
      <c r="V957" s="25" t="s">
        <v>62</v>
      </c>
      <c r="Z957" s="83" t="s">
        <v>63</v>
      </c>
      <c r="AA957" s="6">
        <v>1</v>
      </c>
      <c r="BQ957" s="6" t="s">
        <v>354</v>
      </c>
      <c r="BR957" s="5" t="s">
        <v>825</v>
      </c>
    </row>
    <row r="958" spans="1:70" hidden="1" x14ac:dyDescent="0.2">
      <c r="A958" s="91">
        <v>821</v>
      </c>
      <c r="B958" s="231" t="s">
        <v>822</v>
      </c>
      <c r="C958" s="261" t="s">
        <v>2911</v>
      </c>
      <c r="D958" s="231" t="s">
        <v>2912</v>
      </c>
      <c r="E958" s="3" t="s">
        <v>356</v>
      </c>
      <c r="F958" s="26" t="s">
        <v>103</v>
      </c>
      <c r="G958" s="26" t="s">
        <v>76</v>
      </c>
      <c r="H958" s="26" t="s">
        <v>430</v>
      </c>
      <c r="J958" s="22">
        <v>500</v>
      </c>
      <c r="L958" s="28" t="s">
        <v>58</v>
      </c>
      <c r="M958" s="22" t="s">
        <v>59</v>
      </c>
      <c r="N958" s="22" t="s">
        <v>2888</v>
      </c>
      <c r="O958" s="22" t="s">
        <v>60</v>
      </c>
      <c r="P958" s="22" t="s">
        <v>1119</v>
      </c>
      <c r="R958" s="23" t="s">
        <v>2889</v>
      </c>
      <c r="V958" s="25" t="s">
        <v>62</v>
      </c>
      <c r="Z958" s="83" t="s">
        <v>63</v>
      </c>
      <c r="AA958" s="6">
        <v>1</v>
      </c>
      <c r="BQ958" s="6" t="s">
        <v>354</v>
      </c>
      <c r="BR958" s="5" t="s">
        <v>825</v>
      </c>
    </row>
    <row r="959" spans="1:70" hidden="1" x14ac:dyDescent="0.2">
      <c r="A959" s="91">
        <v>822</v>
      </c>
      <c r="B959" s="231" t="s">
        <v>822</v>
      </c>
      <c r="C959" s="261" t="s">
        <v>2913</v>
      </c>
      <c r="D959" s="231" t="s">
        <v>2914</v>
      </c>
      <c r="E959" s="3" t="s">
        <v>356</v>
      </c>
      <c r="F959" s="26" t="s">
        <v>103</v>
      </c>
      <c r="G959" s="26" t="s">
        <v>76</v>
      </c>
      <c r="H959" s="26" t="s">
        <v>430</v>
      </c>
      <c r="J959" s="22">
        <v>500</v>
      </c>
      <c r="L959" s="28" t="s">
        <v>58</v>
      </c>
      <c r="M959" s="22" t="s">
        <v>59</v>
      </c>
      <c r="N959" s="22" t="s">
        <v>2888</v>
      </c>
      <c r="O959" s="22" t="s">
        <v>60</v>
      </c>
      <c r="P959" s="22" t="s">
        <v>1119</v>
      </c>
      <c r="R959" s="23" t="s">
        <v>2889</v>
      </c>
      <c r="V959" s="25" t="s">
        <v>62</v>
      </c>
      <c r="Z959" s="83" t="s">
        <v>63</v>
      </c>
      <c r="AA959" s="6">
        <v>1</v>
      </c>
      <c r="BQ959" s="6" t="s">
        <v>354</v>
      </c>
      <c r="BR959" s="5" t="s">
        <v>825</v>
      </c>
    </row>
    <row r="960" spans="1:70" hidden="1" x14ac:dyDescent="0.2">
      <c r="A960" s="91">
        <v>823</v>
      </c>
      <c r="B960" s="231" t="s">
        <v>822</v>
      </c>
      <c r="C960" s="261" t="s">
        <v>2915</v>
      </c>
      <c r="D960" s="231" t="s">
        <v>2916</v>
      </c>
      <c r="E960" s="3" t="s">
        <v>356</v>
      </c>
      <c r="F960" s="26" t="s">
        <v>103</v>
      </c>
      <c r="G960" s="26" t="s">
        <v>76</v>
      </c>
      <c r="H960" s="26" t="s">
        <v>430</v>
      </c>
      <c r="J960" s="22">
        <v>500</v>
      </c>
      <c r="L960" s="28" t="s">
        <v>58</v>
      </c>
      <c r="M960" s="22" t="s">
        <v>59</v>
      </c>
      <c r="N960" s="22" t="s">
        <v>2888</v>
      </c>
      <c r="O960" s="22" t="s">
        <v>60</v>
      </c>
      <c r="P960" s="22" t="s">
        <v>1119</v>
      </c>
      <c r="R960" s="23" t="s">
        <v>2889</v>
      </c>
      <c r="V960" s="25" t="s">
        <v>62</v>
      </c>
      <c r="Z960" s="83" t="s">
        <v>63</v>
      </c>
      <c r="AA960" s="6">
        <v>1</v>
      </c>
      <c r="BQ960" s="6" t="s">
        <v>354</v>
      </c>
      <c r="BR960" s="5" t="s">
        <v>825</v>
      </c>
    </row>
    <row r="961" spans="1:70" hidden="1" x14ac:dyDescent="0.2">
      <c r="A961" s="91">
        <v>824</v>
      </c>
      <c r="B961" s="231" t="s">
        <v>822</v>
      </c>
      <c r="C961" s="261" t="s">
        <v>2917</v>
      </c>
      <c r="D961" s="231" t="s">
        <v>2918</v>
      </c>
      <c r="E961" s="3" t="s">
        <v>356</v>
      </c>
      <c r="F961" s="26" t="s">
        <v>103</v>
      </c>
      <c r="G961" s="26" t="s">
        <v>76</v>
      </c>
      <c r="H961" s="26" t="s">
        <v>430</v>
      </c>
      <c r="J961" s="22">
        <v>500</v>
      </c>
      <c r="L961" s="28" t="s">
        <v>58</v>
      </c>
      <c r="M961" s="22" t="s">
        <v>59</v>
      </c>
      <c r="N961" s="22" t="s">
        <v>2888</v>
      </c>
      <c r="O961" s="22" t="s">
        <v>60</v>
      </c>
      <c r="P961" s="22" t="s">
        <v>1119</v>
      </c>
      <c r="R961" s="23" t="s">
        <v>2889</v>
      </c>
      <c r="V961" s="25" t="s">
        <v>62</v>
      </c>
      <c r="Z961" s="83" t="s">
        <v>63</v>
      </c>
      <c r="AA961" s="6">
        <v>1</v>
      </c>
      <c r="BQ961" s="6" t="s">
        <v>354</v>
      </c>
      <c r="BR961" s="5" t="s">
        <v>825</v>
      </c>
    </row>
    <row r="962" spans="1:70" hidden="1" x14ac:dyDescent="0.2">
      <c r="A962" s="91">
        <v>825</v>
      </c>
      <c r="B962" s="231" t="s">
        <v>822</v>
      </c>
      <c r="C962" s="261" t="s">
        <v>2919</v>
      </c>
      <c r="D962" s="231" t="s">
        <v>2920</v>
      </c>
      <c r="E962" s="3" t="s">
        <v>356</v>
      </c>
      <c r="F962" s="26" t="s">
        <v>103</v>
      </c>
      <c r="G962" s="26" t="s">
        <v>76</v>
      </c>
      <c r="H962" s="26" t="s">
        <v>430</v>
      </c>
      <c r="J962" s="22">
        <v>500</v>
      </c>
      <c r="L962" s="28" t="s">
        <v>58</v>
      </c>
      <c r="M962" s="22" t="s">
        <v>59</v>
      </c>
      <c r="N962" s="22" t="s">
        <v>2888</v>
      </c>
      <c r="O962" s="22" t="s">
        <v>60</v>
      </c>
      <c r="P962" s="22" t="s">
        <v>1119</v>
      </c>
      <c r="R962" s="23" t="s">
        <v>2889</v>
      </c>
      <c r="V962" s="25" t="s">
        <v>62</v>
      </c>
      <c r="Z962" s="83" t="s">
        <v>63</v>
      </c>
      <c r="AA962" s="6">
        <v>1</v>
      </c>
      <c r="BQ962" s="6" t="s">
        <v>354</v>
      </c>
      <c r="BR962" s="5" t="s">
        <v>825</v>
      </c>
    </row>
  </sheetData>
  <autoFilter ref="A2:BT962" xr:uid="{00000000-0009-0000-0000-000000000000}">
    <filterColumn colId="1">
      <filters>
        <filter val="Yeates 1996"/>
        <filter val="Yeates 1997"/>
      </filters>
    </filterColumn>
  </autoFilter>
  <sortState xmlns:xlrd2="http://schemas.microsoft.com/office/spreadsheetml/2017/richdata2"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932EF779-B11C-4D5F-A4D1-9CB51CA91BA5}"/>
  </hyperlinks>
  <pageMargins left="0.7" right="0.7" top="0.75" bottom="0.75" header="0.3" footer="0.3"/>
  <pageSetup paperSize="9" orientation="portrait"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E645"/>
  <sheetViews>
    <sheetView zoomScale="90" zoomScaleNormal="90" workbookViewId="0">
      <pane xSplit="5" ySplit="1" topLeftCell="F2" activePane="bottomRight" state="frozen"/>
      <selection pane="topRight" activeCell="F1" sqref="F1"/>
      <selection pane="bottomLeft" activeCell="A2" sqref="A2"/>
      <selection pane="bottomRight" activeCell="F517" sqref="F517:F522"/>
    </sheetView>
  </sheetViews>
  <sheetFormatPr baseColWidth="10" defaultColWidth="11" defaultRowHeight="14.25" x14ac:dyDescent="0.2"/>
  <cols>
    <col min="1" max="1" width="4.875" bestFit="1" customWidth="1"/>
    <col min="2" max="2" width="16.375" style="236" customWidth="1"/>
    <col min="3" max="3" width="40.25" style="236" customWidth="1"/>
    <col min="4" max="4" width="38" style="236"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hidden="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hidden="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hidden="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hidden="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hidden="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hidden="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hidden="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hidden="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hidden="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hidden="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hidden="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hidden="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hidden="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hidden="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hidden="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hidden="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hidden="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hidden="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hidden="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hidden="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hidden="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hidden="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hidden="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hidden="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hidden="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hidden="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hidden="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hidden="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hidden="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hidden="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hidden="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hidden="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hidden="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hidden="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hidden="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hidden="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hidden="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hidden="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hidden="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hidden="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hidden="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hidden="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hidden="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hidden="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hidden="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hidden="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hidden="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hidden="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hidden="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hidden="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hidden="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hidden="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hidden="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hidden="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hidden="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hidden="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hidden="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hidden="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hidden="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hidden="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hidden="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hidden="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hidden="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hidden="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hidden="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hidden="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hidden="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hidden="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hidden="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hidden="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hidden="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hidden="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hidden="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hidden="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hidden="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hidden="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hidden="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hidden="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hidden="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hidden="1"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hidden="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hidden="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hidden="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hidden="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hidden="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hidden="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hidden="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hidden="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hidden="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hidden="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hidden="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hidden="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hidden="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hidden="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hidden="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hidden="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hidden="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hidden="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hidden="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hidden="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hidden="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hidden="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hidden="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hidden="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hidden="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hidden="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hidden="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hidden="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hidden="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hidden="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hidden="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hidden="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hidden="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hidden="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hidden="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hidden="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hidden="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hidden="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hidden="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hidden="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hidden="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hidden="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hidden="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hidden="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hidden="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hidden="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hidden="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hidden="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hidden="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hidden="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hidden="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hidden="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hidden="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hidden="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hidden="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hidden="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hidden="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hidden="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hidden="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hidden="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hidden="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hidden="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hidden="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hidden="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hidden="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hidden="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hidden="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hidden="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hidden="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hidden="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hidden="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hidden="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hidden="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hidden="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hidden="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hidden="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hidden="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hidden="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hidden="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hidden="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hidden="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hidden="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hidden="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hidden="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hidden="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hidden="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hidden="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hidden="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hidden="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hidden="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hidden="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hidden="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hidden="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hidden="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hidden="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hidden="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hidden="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hidden="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hidden="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hidden="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hidden="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hidden="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hidden="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hidden="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hidden="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0</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hidden="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hidden="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hidden="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0</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hidden="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hidden="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hidden="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0</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hidden="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hidden="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0</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hidden="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hidden="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hidden="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hidden="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hidden="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hidden="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hidden="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hidden="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hidden="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hidden="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hidden="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hidden="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hidden="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hidden="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hidden="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hidden="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hidden="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hidden="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hidden="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hidden="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hidden="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hidden="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hidden="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hidden="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hidden="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hidden="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hidden="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hidden="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hidden="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hidden="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hidden="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hidden="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hidden="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hidden="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hidden="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hidden="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hidden="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hidden="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hidden="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hidden="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hidden="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hidden="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hidden="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hidden="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hidden="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hidden="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hidden="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hidden="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hidden="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hidden="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hidden="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hidden="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hidden="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hidden="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hidden="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hidden="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hidden="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hidden="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hidden="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hidden="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hidden="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hidden="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hidden="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hidden="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hidden="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hidden="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hidden="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hidden="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hidden="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hidden="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hidden="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hidden="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hidden="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hidden="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hidden="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hidden="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hidden="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hidden="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hidden="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hidden="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hidden="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hidden="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hidden="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hidden="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hidden="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hidden="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hidden="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hidden="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hidden="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hidden="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hidden="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hidden="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hidden="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hidden="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hidden="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hidden="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hidden="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hidden="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hidden="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hidden="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hidden="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hidden="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hidden="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hidden="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hidden="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hidden="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hidden="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hidden="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hidden="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hidden="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hidden="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hidden="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hidden="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hidden="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hidden="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hidden="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hidden="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hidden="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hidden="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hidden="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hidden="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hidden="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hidden="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hidden="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hidden="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hidden="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hidden="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hidden="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hidden="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hidden="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hidden="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hidden="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hidden="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hidden="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hidden="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hidden="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hidden="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hidden="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hidden="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hidden="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hidden="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hidden="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hidden="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hidden="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hidden="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hidden="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hidden="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hidden="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hidden="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hidden="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hidden="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hidden="1"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1327</v>
      </c>
      <c r="W346" s="196">
        <v>1143</v>
      </c>
      <c r="X346" s="196" t="s">
        <v>1214</v>
      </c>
      <c r="Y346" s="196" t="s">
        <v>335</v>
      </c>
      <c r="Z346" s="197">
        <v>513</v>
      </c>
      <c r="AA346" s="197" t="s">
        <v>1214</v>
      </c>
      <c r="AB346" s="197" t="s">
        <v>335</v>
      </c>
      <c r="AC346" s="200" t="s">
        <v>952</v>
      </c>
      <c r="AD346" s="202"/>
    </row>
    <row r="347" spans="1:30" hidden="1"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1327</v>
      </c>
      <c r="W347" s="196">
        <v>529</v>
      </c>
      <c r="X347" s="196" t="s">
        <v>1214</v>
      </c>
      <c r="Y347" s="196" t="s">
        <v>335</v>
      </c>
      <c r="Z347" s="197">
        <v>611</v>
      </c>
      <c r="AA347" s="197" t="s">
        <v>1214</v>
      </c>
      <c r="AB347" s="197" t="s">
        <v>335</v>
      </c>
      <c r="AC347" s="200" t="s">
        <v>952</v>
      </c>
      <c r="AD347" s="202"/>
    </row>
    <row r="348" spans="1:30" hidden="1"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1327</v>
      </c>
      <c r="W348" s="196">
        <v>621</v>
      </c>
      <c r="X348" s="196" t="s">
        <v>1214</v>
      </c>
      <c r="Y348" s="196" t="s">
        <v>335</v>
      </c>
      <c r="Z348" s="197">
        <v>340</v>
      </c>
      <c r="AA348" s="197" t="s">
        <v>1214</v>
      </c>
      <c r="AB348" s="197" t="s">
        <v>335</v>
      </c>
      <c r="AC348" s="200" t="s">
        <v>952</v>
      </c>
    </row>
    <row r="349" spans="1:30" hidden="1"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1327</v>
      </c>
      <c r="W349" s="196">
        <v>777</v>
      </c>
      <c r="X349" s="196" t="s">
        <v>1214</v>
      </c>
      <c r="Y349" s="196" t="s">
        <v>335</v>
      </c>
      <c r="Z349" s="197">
        <v>455</v>
      </c>
      <c r="AA349" s="197" t="s">
        <v>1214</v>
      </c>
      <c r="AB349" s="197" t="s">
        <v>335</v>
      </c>
      <c r="AC349" s="200" t="s">
        <v>952</v>
      </c>
    </row>
    <row r="350" spans="1:30" hidden="1"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hidden="1"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hidden="1"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hidden="1"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hidden="1"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hidden="1"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hidden="1"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hidden="1"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hidden="1"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hidden="1"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hidden="1"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hidden="1"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hidden="1"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hidden="1"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hidden="1"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hidden="1"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hidden="1"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hidden="1"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hidden="1"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hidden="1"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hidden="1"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hidden="1"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hidden="1"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hidden="1"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1266</v>
      </c>
      <c r="K373" s="46" t="s">
        <v>116</v>
      </c>
      <c r="O373" s="46" t="s">
        <v>940</v>
      </c>
    </row>
    <row r="374" spans="1:30" hidden="1"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1266</v>
      </c>
      <c r="K374" s="46" t="s">
        <v>116</v>
      </c>
      <c r="O374" s="46" t="s">
        <v>940</v>
      </c>
    </row>
    <row r="375" spans="1:30" hidden="1"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1266</v>
      </c>
      <c r="K375" s="46" t="s">
        <v>116</v>
      </c>
      <c r="O375" s="46" t="s">
        <v>940</v>
      </c>
    </row>
    <row r="376" spans="1:30" hidden="1"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hidden="1"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hidden="1"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hidden="1"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hidden="1"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1409</v>
      </c>
    </row>
    <row r="381" spans="1:30" hidden="1"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1412</v>
      </c>
    </row>
    <row r="382" spans="1:30" hidden="1"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1412</v>
      </c>
    </row>
    <row r="383" spans="1:30" hidden="1"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hidden="1"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hidden="1"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hidden="1"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hidden="1"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hidden="1"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hidden="1"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hidden="1"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hidden="1"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hidden="1"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hidden="1"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hidden="1"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hidden="1"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hidden="1"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hidden="1"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hidden="1"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hidden="1"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hidden="1"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hidden="1"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idden="1" x14ac:dyDescent="0.2">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idden="1" x14ac:dyDescent="0.2">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idden="1" x14ac:dyDescent="0.2">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idden="1" x14ac:dyDescent="0.2">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idden="1" x14ac:dyDescent="0.2">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idden="1" x14ac:dyDescent="0.2">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idden="1" x14ac:dyDescent="0.2">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idden="1" x14ac:dyDescent="0.2">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idden="1" x14ac:dyDescent="0.2">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idden="1" x14ac:dyDescent="0.2">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idden="1" x14ac:dyDescent="0.2">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idden="1" x14ac:dyDescent="0.2">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hidden="1"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1221</v>
      </c>
      <c r="K414" s="46" t="s">
        <v>944</v>
      </c>
      <c r="L414" s="47">
        <v>122</v>
      </c>
      <c r="M414" s="47" t="s">
        <v>447</v>
      </c>
      <c r="N414" s="47" t="s">
        <v>1774</v>
      </c>
      <c r="O414" s="46" t="s">
        <v>940</v>
      </c>
      <c r="P414" s="48">
        <v>2.88</v>
      </c>
      <c r="Q414" s="48" t="s">
        <v>1220</v>
      </c>
      <c r="R414" s="48" t="s">
        <v>1773</v>
      </c>
      <c r="S414" s="49">
        <v>184</v>
      </c>
      <c r="T414" s="49" t="s">
        <v>1220</v>
      </c>
      <c r="U414" s="49" t="s">
        <v>1774</v>
      </c>
      <c r="V414" s="62" t="s">
        <v>942</v>
      </c>
    </row>
    <row r="415" spans="1:30" hidden="1"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1221</v>
      </c>
      <c r="K415" s="46" t="s">
        <v>944</v>
      </c>
      <c r="O415" s="46" t="s">
        <v>943</v>
      </c>
      <c r="P415" s="48">
        <v>2.1</v>
      </c>
      <c r="Q415" s="48" t="s">
        <v>1220</v>
      </c>
      <c r="R415" s="48" t="s">
        <v>1773</v>
      </c>
      <c r="AD415" s="70" t="s">
        <v>1828</v>
      </c>
    </row>
    <row r="416" spans="1:30" hidden="1"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1221</v>
      </c>
      <c r="K416" s="46" t="s">
        <v>944</v>
      </c>
      <c r="O416" s="46" t="s">
        <v>943</v>
      </c>
      <c r="P416" s="48">
        <v>3.5</v>
      </c>
      <c r="Q416" s="48" t="s">
        <v>1220</v>
      </c>
      <c r="R416" s="48" t="s">
        <v>1773</v>
      </c>
      <c r="AD416" s="70" t="s">
        <v>1828</v>
      </c>
    </row>
    <row r="417" spans="1:30" hidden="1"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1221</v>
      </c>
      <c r="K417" s="46" t="s">
        <v>944</v>
      </c>
      <c r="O417" s="46" t="s">
        <v>943</v>
      </c>
      <c r="P417" s="48">
        <v>4.5</v>
      </c>
      <c r="Q417" s="48" t="s">
        <v>1220</v>
      </c>
      <c r="R417" s="48" t="s">
        <v>1773</v>
      </c>
      <c r="AD417" s="70" t="s">
        <v>1828</v>
      </c>
    </row>
    <row r="418" spans="1:30" hidden="1"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1221</v>
      </c>
      <c r="K418" s="46" t="s">
        <v>944</v>
      </c>
      <c r="O418" s="46" t="s">
        <v>943</v>
      </c>
      <c r="P418" s="48">
        <v>3.8</v>
      </c>
      <c r="Q418" s="48" t="s">
        <v>1220</v>
      </c>
      <c r="R418" s="48" t="s">
        <v>1773</v>
      </c>
      <c r="AD418" s="70" t="s">
        <v>1828</v>
      </c>
    </row>
    <row r="419" spans="1:30" hidden="1"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1221</v>
      </c>
      <c r="K419" s="46" t="s">
        <v>335</v>
      </c>
      <c r="L419" s="47">
        <v>4.3600000000000003</v>
      </c>
      <c r="M419" s="47" t="s">
        <v>1221</v>
      </c>
      <c r="N419" s="47" t="s">
        <v>117</v>
      </c>
      <c r="O419" s="46" t="s">
        <v>943</v>
      </c>
      <c r="P419" s="48">
        <v>4.9400000000000004</v>
      </c>
      <c r="Q419" s="48" t="s">
        <v>1220</v>
      </c>
      <c r="R419" s="48" t="s">
        <v>116</v>
      </c>
      <c r="S419" s="49">
        <v>1.8</v>
      </c>
      <c r="T419" s="49" t="s">
        <v>1220</v>
      </c>
      <c r="U419" s="49" t="s">
        <v>117</v>
      </c>
      <c r="V419" s="62" t="s">
        <v>942</v>
      </c>
      <c r="AD419" s="70" t="s">
        <v>1829</v>
      </c>
    </row>
    <row r="420" spans="1:30" hidden="1"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1221</v>
      </c>
      <c r="K420" s="46" t="s">
        <v>944</v>
      </c>
      <c r="L420" s="47">
        <v>40</v>
      </c>
      <c r="M420" s="47" t="s">
        <v>447</v>
      </c>
      <c r="N420" s="47" t="s">
        <v>1774</v>
      </c>
      <c r="O420" s="46" t="s">
        <v>957</v>
      </c>
    </row>
    <row r="421" spans="1:30" hidden="1"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1221</v>
      </c>
      <c r="K421" s="46" t="s">
        <v>944</v>
      </c>
      <c r="L421" s="47">
        <v>34</v>
      </c>
      <c r="M421" s="47" t="s">
        <v>447</v>
      </c>
      <c r="N421" s="47" t="s">
        <v>1774</v>
      </c>
      <c r="O421" s="46" t="s">
        <v>957</v>
      </c>
    </row>
    <row r="422" spans="1:30" hidden="1" x14ac:dyDescent="0.2">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1830</v>
      </c>
    </row>
    <row r="423" spans="1:30" hidden="1" x14ac:dyDescent="0.2">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1830</v>
      </c>
    </row>
    <row r="424" spans="1:30" hidden="1" x14ac:dyDescent="0.2">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1830</v>
      </c>
    </row>
    <row r="425" spans="1:30" hidden="1" x14ac:dyDescent="0.2">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1830</v>
      </c>
    </row>
    <row r="426" spans="1:30" hidden="1"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1221</v>
      </c>
      <c r="K426" s="46" t="s">
        <v>944</v>
      </c>
      <c r="L426" s="47">
        <v>59</v>
      </c>
      <c r="M426" s="47" t="s">
        <v>447</v>
      </c>
      <c r="N426" s="47" t="s">
        <v>1774</v>
      </c>
      <c r="O426" s="46" t="s">
        <v>957</v>
      </c>
    </row>
    <row r="427" spans="1:30" hidden="1"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1221</v>
      </c>
      <c r="K427" s="46" t="s">
        <v>944</v>
      </c>
      <c r="L427" s="47">
        <v>34</v>
      </c>
      <c r="M427" s="47" t="s">
        <v>447</v>
      </c>
      <c r="N427" s="47" t="s">
        <v>1774</v>
      </c>
      <c r="O427" s="46" t="s">
        <v>957</v>
      </c>
    </row>
    <row r="428" spans="1:30" hidden="1"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1221</v>
      </c>
      <c r="K428" s="46" t="s">
        <v>944</v>
      </c>
      <c r="L428" s="47">
        <v>120</v>
      </c>
      <c r="M428" s="47" t="s">
        <v>447</v>
      </c>
      <c r="N428" s="47" t="s">
        <v>1774</v>
      </c>
      <c r="O428" s="46" t="s">
        <v>957</v>
      </c>
    </row>
    <row r="429" spans="1:30" hidden="1"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1221</v>
      </c>
      <c r="K429" s="46" t="s">
        <v>944</v>
      </c>
      <c r="L429" s="47">
        <v>98</v>
      </c>
      <c r="M429" s="47" t="s">
        <v>447</v>
      </c>
      <c r="N429" s="47" t="s">
        <v>1774</v>
      </c>
      <c r="O429" s="46" t="s">
        <v>957</v>
      </c>
    </row>
    <row r="430" spans="1:30" hidden="1"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1221</v>
      </c>
      <c r="K430" s="46" t="s">
        <v>944</v>
      </c>
      <c r="O430" s="46" t="s">
        <v>940</v>
      </c>
      <c r="P430" s="48">
        <v>16.100000000000001</v>
      </c>
      <c r="Q430" s="48" t="s">
        <v>1220</v>
      </c>
      <c r="R430" s="48" t="s">
        <v>1831</v>
      </c>
      <c r="V430" s="62" t="s">
        <v>942</v>
      </c>
    </row>
    <row r="431" spans="1:30" hidden="1"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1221</v>
      </c>
      <c r="K431" s="46" t="s">
        <v>944</v>
      </c>
      <c r="O431" s="46" t="s">
        <v>940</v>
      </c>
      <c r="P431" s="48">
        <v>6.14</v>
      </c>
      <c r="Q431" s="48" t="s">
        <v>1220</v>
      </c>
      <c r="R431" s="48" t="s">
        <v>1831</v>
      </c>
      <c r="V431" s="62" t="s">
        <v>942</v>
      </c>
    </row>
    <row r="432" spans="1:30" hidden="1"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1221</v>
      </c>
      <c r="K432" s="46" t="s">
        <v>944</v>
      </c>
      <c r="O432" s="46" t="s">
        <v>940</v>
      </c>
      <c r="P432" s="48">
        <v>23.2</v>
      </c>
      <c r="Q432" s="48" t="s">
        <v>1220</v>
      </c>
      <c r="R432" s="48" t="s">
        <v>1831</v>
      </c>
      <c r="V432" s="62" t="s">
        <v>942</v>
      </c>
    </row>
    <row r="433" spans="1:30" hidden="1"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1221</v>
      </c>
      <c r="K433" s="46" t="s">
        <v>944</v>
      </c>
      <c r="O433" s="46" t="s">
        <v>940</v>
      </c>
      <c r="P433" s="48">
        <v>5</v>
      </c>
      <c r="Q433" s="48" t="s">
        <v>1220</v>
      </c>
      <c r="R433" s="48" t="s">
        <v>1831</v>
      </c>
      <c r="V433" s="62" t="s">
        <v>942</v>
      </c>
    </row>
    <row r="434" spans="1:30" hidden="1"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1221</v>
      </c>
      <c r="K434" s="46" t="s">
        <v>944</v>
      </c>
      <c r="O434" s="46" t="s">
        <v>940</v>
      </c>
      <c r="P434" s="48">
        <v>0.57999999999999996</v>
      </c>
      <c r="Q434" s="48" t="s">
        <v>1220</v>
      </c>
      <c r="R434" s="48" t="s">
        <v>1831</v>
      </c>
      <c r="V434" s="62" t="s">
        <v>942</v>
      </c>
      <c r="W434" s="54">
        <v>51.62</v>
      </c>
      <c r="X434" s="54" t="s">
        <v>954</v>
      </c>
      <c r="Y434" s="54" t="s">
        <v>118</v>
      </c>
    </row>
    <row r="435" spans="1:30" hidden="1"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1221</v>
      </c>
      <c r="K435" s="46" t="s">
        <v>944</v>
      </c>
      <c r="O435" s="46" t="s">
        <v>940</v>
      </c>
      <c r="P435" s="48">
        <v>1.17</v>
      </c>
      <c r="Q435" s="48" t="s">
        <v>1220</v>
      </c>
      <c r="R435" s="48" t="s">
        <v>1831</v>
      </c>
      <c r="V435" s="62" t="s">
        <v>942</v>
      </c>
      <c r="W435" s="54">
        <v>78.400000000000006</v>
      </c>
      <c r="X435" s="54" t="s">
        <v>954</v>
      </c>
      <c r="Y435" s="54" t="s">
        <v>118</v>
      </c>
    </row>
    <row r="436" spans="1:30" hidden="1"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1221</v>
      </c>
      <c r="K436" s="46" t="s">
        <v>944</v>
      </c>
      <c r="O436" s="46" t="s">
        <v>940</v>
      </c>
      <c r="P436" s="48">
        <v>2.37</v>
      </c>
      <c r="Q436" s="48" t="s">
        <v>1220</v>
      </c>
      <c r="R436" s="48" t="s">
        <v>1831</v>
      </c>
      <c r="V436" s="62" t="s">
        <v>942</v>
      </c>
      <c r="W436" s="54">
        <v>53.92</v>
      </c>
      <c r="X436" s="54" t="s">
        <v>954</v>
      </c>
      <c r="Y436" s="54" t="s">
        <v>118</v>
      </c>
    </row>
    <row r="437" spans="1:30" hidden="1"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1221</v>
      </c>
      <c r="K437" s="46" t="s">
        <v>944</v>
      </c>
      <c r="O437" s="46" t="s">
        <v>940</v>
      </c>
      <c r="P437" s="48">
        <v>2.75</v>
      </c>
      <c r="Q437" s="48" t="s">
        <v>1220</v>
      </c>
      <c r="R437" s="48" t="s">
        <v>1831</v>
      </c>
      <c r="V437" s="62" t="s">
        <v>942</v>
      </c>
      <c r="W437" s="54">
        <v>59</v>
      </c>
      <c r="X437" s="54" t="s">
        <v>954</v>
      </c>
      <c r="Y437" s="54" t="s">
        <v>118</v>
      </c>
    </row>
    <row r="438" spans="1:30" hidden="1"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1221</v>
      </c>
      <c r="K438" s="46" t="s">
        <v>944</v>
      </c>
      <c r="O438" s="46" t="s">
        <v>940</v>
      </c>
      <c r="P438" s="48">
        <v>5.83</v>
      </c>
      <c r="Q438" s="48" t="s">
        <v>1220</v>
      </c>
      <c r="R438" s="48" t="s">
        <v>1831</v>
      </c>
      <c r="V438" s="62" t="s">
        <v>942</v>
      </c>
      <c r="W438" s="54">
        <v>46.53</v>
      </c>
      <c r="X438" s="54" t="s">
        <v>954</v>
      </c>
      <c r="Y438" s="54" t="s">
        <v>118</v>
      </c>
    </row>
    <row r="439" spans="1:30" hidden="1"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1221</v>
      </c>
      <c r="K439" s="46" t="s">
        <v>944</v>
      </c>
      <c r="O439" s="46" t="s">
        <v>940</v>
      </c>
      <c r="P439" s="48">
        <v>10.63</v>
      </c>
      <c r="Q439" s="48" t="s">
        <v>1220</v>
      </c>
      <c r="R439" s="48" t="s">
        <v>1831</v>
      </c>
      <c r="V439" s="62" t="s">
        <v>942</v>
      </c>
      <c r="W439" s="54">
        <v>60.88</v>
      </c>
      <c r="X439" s="54" t="s">
        <v>954</v>
      </c>
      <c r="Y439" s="54" t="s">
        <v>118</v>
      </c>
    </row>
    <row r="440" spans="1:30" hidden="1"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1221</v>
      </c>
      <c r="K440" s="46" t="s">
        <v>944</v>
      </c>
      <c r="O440" s="46" t="s">
        <v>940</v>
      </c>
      <c r="P440" s="48">
        <v>24.67</v>
      </c>
      <c r="Q440" s="48" t="s">
        <v>1220</v>
      </c>
      <c r="R440" s="48" t="s">
        <v>1831</v>
      </c>
      <c r="V440" s="62" t="s">
        <v>942</v>
      </c>
      <c r="W440" s="54">
        <v>48.52</v>
      </c>
      <c r="X440" s="54" t="s">
        <v>954</v>
      </c>
      <c r="Y440" s="54" t="s">
        <v>118</v>
      </c>
    </row>
    <row r="441" spans="1:30" hidden="1"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1221</v>
      </c>
      <c r="K441" s="46" t="s">
        <v>944</v>
      </c>
      <c r="O441" s="46" t="s">
        <v>940</v>
      </c>
      <c r="P441" s="48">
        <v>30.96</v>
      </c>
      <c r="Q441" s="48" t="s">
        <v>1220</v>
      </c>
      <c r="R441" s="48" t="s">
        <v>1831</v>
      </c>
      <c r="V441" s="62" t="s">
        <v>942</v>
      </c>
      <c r="W441" s="54">
        <v>42.22</v>
      </c>
      <c r="X441" s="54" t="s">
        <v>954</v>
      </c>
      <c r="Y441" s="54" t="s">
        <v>118</v>
      </c>
    </row>
    <row r="442" spans="1:30" hidden="1"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1221</v>
      </c>
      <c r="K442" s="46" t="s">
        <v>944</v>
      </c>
      <c r="O442" s="46" t="s">
        <v>940</v>
      </c>
      <c r="P442" s="48">
        <v>36.06</v>
      </c>
      <c r="Q442" s="48" t="s">
        <v>1220</v>
      </c>
      <c r="R442" s="48" t="s">
        <v>1831</v>
      </c>
      <c r="V442" s="62" t="s">
        <v>942</v>
      </c>
      <c r="W442" s="54">
        <v>43.52</v>
      </c>
      <c r="X442" s="54" t="s">
        <v>954</v>
      </c>
      <c r="Y442" s="54" t="s">
        <v>118</v>
      </c>
    </row>
    <row r="443" spans="1:30" hidden="1"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1221</v>
      </c>
      <c r="K443" s="46" t="s">
        <v>944</v>
      </c>
      <c r="O443" s="46" t="s">
        <v>940</v>
      </c>
      <c r="P443" s="48">
        <v>8.61</v>
      </c>
      <c r="Q443" s="48" t="s">
        <v>1220</v>
      </c>
      <c r="R443" s="48" t="s">
        <v>1831</v>
      </c>
    </row>
    <row r="444" spans="1:30" hidden="1" x14ac:dyDescent="0.2">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1940</v>
      </c>
    </row>
    <row r="445" spans="1:30" hidden="1" x14ac:dyDescent="0.2">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1941</v>
      </c>
    </row>
    <row r="446" spans="1:30" hidden="1" x14ac:dyDescent="0.2">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1941</v>
      </c>
    </row>
    <row r="447" spans="1:30" hidden="1" x14ac:dyDescent="0.2">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1941</v>
      </c>
    </row>
    <row r="448" spans="1:30" hidden="1" x14ac:dyDescent="0.2">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1941</v>
      </c>
    </row>
    <row r="449" spans="1:30" hidden="1" x14ac:dyDescent="0.2">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1852</v>
      </c>
      <c r="AC449" s="61" t="s">
        <v>969</v>
      </c>
      <c r="AD449" s="70" t="s">
        <v>1942</v>
      </c>
    </row>
    <row r="450" spans="1:30" hidden="1" x14ac:dyDescent="0.2">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1852</v>
      </c>
      <c r="AC450" s="61" t="s">
        <v>1198</v>
      </c>
      <c r="AD450" s="70" t="s">
        <v>1943</v>
      </c>
    </row>
    <row r="451" spans="1:30" hidden="1"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hidden="1"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hidden="1"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1944</v>
      </c>
    </row>
    <row r="454" spans="1:30" hidden="1"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1945</v>
      </c>
      <c r="V454" s="62" t="s">
        <v>942</v>
      </c>
      <c r="AD454" s="70" t="s">
        <v>1946</v>
      </c>
    </row>
    <row r="455" spans="1:30" hidden="1"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hidden="1"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1947</v>
      </c>
    </row>
    <row r="457" spans="1:30" hidden="1"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1945</v>
      </c>
      <c r="O457" s="46" t="s">
        <v>940</v>
      </c>
      <c r="P457" s="48">
        <v>1.3</v>
      </c>
      <c r="Q457" s="48" t="s">
        <v>959</v>
      </c>
      <c r="R457" s="48" t="s">
        <v>335</v>
      </c>
      <c r="S457" s="49">
        <v>0.1</v>
      </c>
      <c r="T457" s="49" t="s">
        <v>959</v>
      </c>
      <c r="U457" s="49" t="s">
        <v>1945</v>
      </c>
      <c r="V457" s="62" t="s">
        <v>942</v>
      </c>
    </row>
    <row r="458" spans="1:30" hidden="1"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1945</v>
      </c>
      <c r="O458" s="46" t="s">
        <v>940</v>
      </c>
      <c r="P458" s="48">
        <v>2.8</v>
      </c>
      <c r="Q458" s="48" t="s">
        <v>959</v>
      </c>
      <c r="R458" s="48" t="s">
        <v>335</v>
      </c>
      <c r="S458" s="49">
        <v>0.3</v>
      </c>
      <c r="T458" s="49" t="s">
        <v>959</v>
      </c>
      <c r="U458" s="49" t="s">
        <v>1945</v>
      </c>
      <c r="V458" s="62" t="s">
        <v>942</v>
      </c>
    </row>
    <row r="459" spans="1:30" hidden="1"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1945</v>
      </c>
      <c r="O459" s="46" t="s">
        <v>940</v>
      </c>
      <c r="P459" s="48">
        <v>2.9</v>
      </c>
      <c r="Q459" s="48" t="s">
        <v>959</v>
      </c>
      <c r="R459" s="48" t="s">
        <v>335</v>
      </c>
      <c r="S459" s="49">
        <v>0.5</v>
      </c>
      <c r="T459" s="49" t="s">
        <v>959</v>
      </c>
      <c r="U459" s="49" t="s">
        <v>1945</v>
      </c>
      <c r="V459" s="62" t="s">
        <v>942</v>
      </c>
    </row>
    <row r="460" spans="1:30" hidden="1"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1945</v>
      </c>
      <c r="O460" s="46" t="s">
        <v>940</v>
      </c>
      <c r="P460" s="48">
        <v>8</v>
      </c>
      <c r="Q460" s="48" t="s">
        <v>962</v>
      </c>
      <c r="R460" s="48" t="s">
        <v>116</v>
      </c>
      <c r="S460" s="49">
        <v>1.3</v>
      </c>
      <c r="T460" s="49" t="s">
        <v>962</v>
      </c>
      <c r="U460" s="49" t="s">
        <v>1945</v>
      </c>
      <c r="V460" s="62" t="s">
        <v>942</v>
      </c>
      <c r="W460" s="54">
        <v>0.64</v>
      </c>
      <c r="X460" s="54" t="s">
        <v>947</v>
      </c>
      <c r="Y460" s="54" t="s">
        <v>335</v>
      </c>
      <c r="Z460" s="56">
        <v>0.14000000000000001</v>
      </c>
      <c r="AA460" s="56" t="s">
        <v>947</v>
      </c>
      <c r="AB460" s="56" t="s">
        <v>1945</v>
      </c>
      <c r="AC460" s="61" t="s">
        <v>948</v>
      </c>
    </row>
    <row r="461" spans="1:30" hidden="1"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1945</v>
      </c>
      <c r="O461" s="46" t="s">
        <v>943</v>
      </c>
      <c r="P461" s="48">
        <v>6.8</v>
      </c>
      <c r="Q461" s="48" t="s">
        <v>962</v>
      </c>
      <c r="R461" s="48" t="s">
        <v>116</v>
      </c>
      <c r="S461" s="49">
        <v>0.7</v>
      </c>
      <c r="T461" s="49" t="s">
        <v>962</v>
      </c>
      <c r="U461" s="49" t="s">
        <v>1945</v>
      </c>
      <c r="V461" s="62" t="s">
        <v>942</v>
      </c>
      <c r="W461" s="54">
        <v>0.69</v>
      </c>
      <c r="X461" s="54" t="s">
        <v>947</v>
      </c>
      <c r="Y461" s="54" t="s">
        <v>335</v>
      </c>
      <c r="Z461" s="56">
        <v>0.11</v>
      </c>
      <c r="AA461" s="56" t="s">
        <v>947</v>
      </c>
      <c r="AB461" s="56" t="s">
        <v>1945</v>
      </c>
      <c r="AC461" s="61" t="s">
        <v>948</v>
      </c>
    </row>
    <row r="462" spans="1:30" hidden="1"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1948</v>
      </c>
    </row>
    <row r="463" spans="1:30" hidden="1"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hidden="1"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hidden="1"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hidden="1"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hidden="1"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1949</v>
      </c>
      <c r="O467" s="46" t="s">
        <v>940</v>
      </c>
      <c r="P467" s="48">
        <v>2</v>
      </c>
      <c r="Q467" s="48" t="s">
        <v>962</v>
      </c>
      <c r="R467" s="48" t="s">
        <v>116</v>
      </c>
      <c r="S467" s="49">
        <v>0.3</v>
      </c>
      <c r="T467" s="49" t="s">
        <v>962</v>
      </c>
      <c r="U467" s="49" t="s">
        <v>1949</v>
      </c>
      <c r="V467" s="62" t="s">
        <v>942</v>
      </c>
      <c r="AD467" s="70" t="s">
        <v>1950</v>
      </c>
    </row>
    <row r="468" spans="1:30" hidden="1"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1949</v>
      </c>
      <c r="O468" s="46" t="s">
        <v>940</v>
      </c>
      <c r="P468" s="48">
        <v>1.5</v>
      </c>
      <c r="Q468" s="48" t="s">
        <v>962</v>
      </c>
      <c r="R468" s="48" t="s">
        <v>116</v>
      </c>
      <c r="S468" s="49">
        <v>0.5</v>
      </c>
      <c r="T468" s="49" t="s">
        <v>962</v>
      </c>
      <c r="U468" s="49" t="s">
        <v>1949</v>
      </c>
      <c r="V468" s="62" t="s">
        <v>942</v>
      </c>
      <c r="AD468" s="70" t="s">
        <v>1950</v>
      </c>
    </row>
    <row r="469" spans="1:30" hidden="1"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1949</v>
      </c>
      <c r="O469" s="46" t="s">
        <v>940</v>
      </c>
      <c r="P469" s="48">
        <v>2.2000000000000002</v>
      </c>
      <c r="Q469" s="48" t="s">
        <v>962</v>
      </c>
      <c r="R469" s="48" t="s">
        <v>116</v>
      </c>
      <c r="S469" s="49">
        <v>0.4</v>
      </c>
      <c r="T469" s="49" t="s">
        <v>962</v>
      </c>
      <c r="U469" s="49" t="s">
        <v>1949</v>
      </c>
      <c r="V469" s="62" t="s">
        <v>942</v>
      </c>
    </row>
    <row r="470" spans="1:30" hidden="1"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1949</v>
      </c>
      <c r="O470" s="46" t="s">
        <v>940</v>
      </c>
      <c r="P470" s="48">
        <v>1.5</v>
      </c>
      <c r="Q470" s="48" t="s">
        <v>962</v>
      </c>
      <c r="R470" s="48" t="s">
        <v>116</v>
      </c>
      <c r="S470" s="49">
        <v>0.2</v>
      </c>
      <c r="T470" s="49" t="s">
        <v>962</v>
      </c>
      <c r="U470" s="49" t="s">
        <v>1949</v>
      </c>
      <c r="V470" s="62" t="s">
        <v>942</v>
      </c>
    </row>
    <row r="471" spans="1:30" hidden="1"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1951</v>
      </c>
    </row>
    <row r="472" spans="1:30" hidden="1"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1952</v>
      </c>
    </row>
    <row r="473" spans="1:30" hidden="1"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1953</v>
      </c>
    </row>
    <row r="474" spans="1:30" hidden="1"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1953</v>
      </c>
    </row>
    <row r="475" spans="1:30" hidden="1"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hidden="1"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hidden="1"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1954</v>
      </c>
    </row>
    <row r="478" spans="1:30" hidden="1"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1955</v>
      </c>
    </row>
    <row r="479" spans="1:30" hidden="1"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1955</v>
      </c>
    </row>
    <row r="480" spans="1:30" hidden="1"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1955</v>
      </c>
    </row>
    <row r="481" spans="1:30" hidden="1"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hidden="1"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hidden="1"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2153</v>
      </c>
    </row>
    <row r="484" spans="1:30" hidden="1"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2153</v>
      </c>
    </row>
    <row r="485" spans="1:30" hidden="1"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2153</v>
      </c>
    </row>
    <row r="486" spans="1:30" hidden="1"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2153</v>
      </c>
    </row>
    <row r="487" spans="1:30" hidden="1"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2153</v>
      </c>
    </row>
    <row r="488" spans="1:30" hidden="1"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2153</v>
      </c>
    </row>
    <row r="489" spans="1:30" hidden="1"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2153</v>
      </c>
    </row>
    <row r="490" spans="1:30" hidden="1"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2153</v>
      </c>
    </row>
    <row r="491" spans="1:30" hidden="1"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2153</v>
      </c>
    </row>
    <row r="492" spans="1:30" hidden="1"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2153</v>
      </c>
    </row>
    <row r="493" spans="1:30" hidden="1"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2153</v>
      </c>
    </row>
    <row r="494" spans="1:30" hidden="1"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2153</v>
      </c>
    </row>
    <row r="495" spans="1:30" hidden="1"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2153</v>
      </c>
    </row>
    <row r="496" spans="1:30" hidden="1"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2153</v>
      </c>
    </row>
    <row r="497" spans="1:30" hidden="1"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2153</v>
      </c>
    </row>
    <row r="498" spans="1:30" hidden="1"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2153</v>
      </c>
    </row>
    <row r="499" spans="1:30" hidden="1"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2560</v>
      </c>
    </row>
    <row r="500" spans="1:30" hidden="1"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2561</v>
      </c>
    </row>
    <row r="501" spans="1:30" hidden="1"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2560</v>
      </c>
    </row>
    <row r="502" spans="1:30" hidden="1"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2741</v>
      </c>
    </row>
    <row r="503" spans="1:30" hidden="1"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2741</v>
      </c>
    </row>
    <row r="504" spans="1:30" hidden="1"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2741</v>
      </c>
    </row>
    <row r="505" spans="1:30" hidden="1"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2741</v>
      </c>
    </row>
    <row r="506" spans="1:30" hidden="1"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2741</v>
      </c>
    </row>
    <row r="507" spans="1:30" hidden="1"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2741</v>
      </c>
    </row>
    <row r="508" spans="1:30" hidden="1"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2562</v>
      </c>
    </row>
    <row r="509" spans="1:30" hidden="1"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2563</v>
      </c>
    </row>
    <row r="510" spans="1:30" hidden="1"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436</v>
      </c>
      <c r="G510" s="58" t="s">
        <v>938</v>
      </c>
      <c r="H510" s="58" t="s">
        <v>60</v>
      </c>
      <c r="W510" s="54">
        <v>3.6</v>
      </c>
      <c r="X510" s="54" t="s">
        <v>966</v>
      </c>
      <c r="Y510" s="54" t="s">
        <v>116</v>
      </c>
      <c r="Z510" s="56">
        <v>0.9</v>
      </c>
      <c r="AA510" s="56" t="s">
        <v>966</v>
      </c>
      <c r="AB510" s="56" t="s">
        <v>117</v>
      </c>
      <c r="AC510" s="61" t="s">
        <v>948</v>
      </c>
      <c r="AD510" s="70" t="s">
        <v>2564</v>
      </c>
    </row>
    <row r="511" spans="1:30"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2565</v>
      </c>
      <c r="M511" s="47" t="s">
        <v>967</v>
      </c>
      <c r="N511" s="47" t="s">
        <v>1099</v>
      </c>
      <c r="O511" s="46" t="s">
        <v>940</v>
      </c>
      <c r="P511" s="48">
        <v>58</v>
      </c>
      <c r="Q511" s="48" t="s">
        <v>968</v>
      </c>
      <c r="R511" s="48" t="s">
        <v>335</v>
      </c>
      <c r="S511" s="49" t="s">
        <v>2566</v>
      </c>
      <c r="T511" s="49" t="s">
        <v>968</v>
      </c>
      <c r="U511" s="49" t="s">
        <v>1099</v>
      </c>
      <c r="V511" s="62" t="s">
        <v>942</v>
      </c>
      <c r="W511" s="54">
        <v>36</v>
      </c>
      <c r="X511" s="54" t="s">
        <v>966</v>
      </c>
      <c r="Y511" s="54" t="s">
        <v>335</v>
      </c>
      <c r="Z511" s="56" t="s">
        <v>2567</v>
      </c>
      <c r="AA511" s="56" t="s">
        <v>966</v>
      </c>
      <c r="AB511" s="56" t="s">
        <v>1099</v>
      </c>
      <c r="AC511" s="61" t="s">
        <v>969</v>
      </c>
      <c r="AD511" s="70" t="s">
        <v>2568</v>
      </c>
    </row>
    <row r="512" spans="1:30"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2569</v>
      </c>
      <c r="M512" s="47" t="s">
        <v>967</v>
      </c>
      <c r="N512" s="47" t="s">
        <v>1099</v>
      </c>
      <c r="O512" s="46" t="s">
        <v>940</v>
      </c>
      <c r="P512" s="48">
        <v>59</v>
      </c>
      <c r="Q512" s="48" t="s">
        <v>968</v>
      </c>
      <c r="R512" s="48" t="s">
        <v>335</v>
      </c>
      <c r="S512" s="49" t="s">
        <v>2570</v>
      </c>
      <c r="T512" s="49" t="s">
        <v>968</v>
      </c>
      <c r="U512" s="49" t="s">
        <v>1099</v>
      </c>
      <c r="V512" s="62" t="s">
        <v>942</v>
      </c>
      <c r="W512" s="54">
        <v>30.4</v>
      </c>
      <c r="X512" s="54" t="s">
        <v>966</v>
      </c>
      <c r="Y512" s="54" t="s">
        <v>335</v>
      </c>
      <c r="Z512" s="56" t="s">
        <v>2571</v>
      </c>
      <c r="AA512" s="56" t="s">
        <v>966</v>
      </c>
      <c r="AB512" s="56" t="s">
        <v>1099</v>
      </c>
      <c r="AC512" s="61" t="s">
        <v>969</v>
      </c>
      <c r="AD512" s="70" t="s">
        <v>2568</v>
      </c>
    </row>
    <row r="513" spans="1:30"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2572</v>
      </c>
      <c r="M513" s="47" t="s">
        <v>967</v>
      </c>
      <c r="N513" s="47" t="s">
        <v>1099</v>
      </c>
      <c r="O513" s="46" t="s">
        <v>940</v>
      </c>
      <c r="P513" s="48">
        <v>58</v>
      </c>
      <c r="Q513" s="48" t="s">
        <v>968</v>
      </c>
      <c r="R513" s="48" t="s">
        <v>335</v>
      </c>
      <c r="S513" s="49" t="s">
        <v>2570</v>
      </c>
      <c r="T513" s="49" t="s">
        <v>968</v>
      </c>
      <c r="U513" s="49" t="s">
        <v>1099</v>
      </c>
      <c r="V513" s="62" t="s">
        <v>942</v>
      </c>
      <c r="W513" s="54">
        <v>33.200000000000003</v>
      </c>
      <c r="X513" s="54" t="s">
        <v>966</v>
      </c>
      <c r="Y513" s="54" t="s">
        <v>335</v>
      </c>
      <c r="Z513" s="56" t="s">
        <v>2573</v>
      </c>
      <c r="AA513" s="56" t="s">
        <v>966</v>
      </c>
      <c r="AB513" s="56" t="s">
        <v>1099</v>
      </c>
      <c r="AC513" s="61" t="s">
        <v>969</v>
      </c>
      <c r="AD513" s="70" t="s">
        <v>2568</v>
      </c>
    </row>
    <row r="514" spans="1:30"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2574</v>
      </c>
      <c r="M514" s="47" t="s">
        <v>967</v>
      </c>
      <c r="N514" s="47" t="s">
        <v>1099</v>
      </c>
      <c r="O514" s="46" t="s">
        <v>940</v>
      </c>
      <c r="P514" s="48">
        <v>12</v>
      </c>
      <c r="Q514" s="48" t="s">
        <v>968</v>
      </c>
      <c r="R514" s="48" t="s">
        <v>335</v>
      </c>
      <c r="S514" s="49" t="s">
        <v>2575</v>
      </c>
      <c r="T514" s="49" t="s">
        <v>968</v>
      </c>
      <c r="U514" s="49" t="s">
        <v>1099</v>
      </c>
      <c r="V514" s="62" t="s">
        <v>942</v>
      </c>
      <c r="W514" s="54">
        <v>124</v>
      </c>
      <c r="X514" s="54" t="s">
        <v>966</v>
      </c>
      <c r="Y514" s="54" t="s">
        <v>335</v>
      </c>
      <c r="Z514" s="56" t="s">
        <v>2576</v>
      </c>
      <c r="AA514" s="56" t="s">
        <v>966</v>
      </c>
      <c r="AB514" s="56" t="s">
        <v>1099</v>
      </c>
      <c r="AC514" s="61" t="s">
        <v>948</v>
      </c>
      <c r="AD514" s="70" t="s">
        <v>2568</v>
      </c>
    </row>
    <row r="515" spans="1:30"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2577</v>
      </c>
      <c r="M515" s="47" t="s">
        <v>967</v>
      </c>
      <c r="N515" s="47" t="s">
        <v>1099</v>
      </c>
      <c r="O515" s="46" t="s">
        <v>940</v>
      </c>
      <c r="P515" s="48">
        <v>12</v>
      </c>
      <c r="Q515" s="48" t="s">
        <v>968</v>
      </c>
      <c r="R515" s="48" t="s">
        <v>335</v>
      </c>
      <c r="S515" s="49" t="s">
        <v>2578</v>
      </c>
      <c r="T515" s="49" t="s">
        <v>968</v>
      </c>
      <c r="U515" s="49" t="s">
        <v>1099</v>
      </c>
      <c r="V515" s="62" t="s">
        <v>942</v>
      </c>
      <c r="W515" s="54">
        <v>119</v>
      </c>
      <c r="X515" s="54" t="s">
        <v>966</v>
      </c>
      <c r="Y515" s="54" t="s">
        <v>335</v>
      </c>
      <c r="Z515" s="56" t="s">
        <v>2579</v>
      </c>
      <c r="AA515" s="56" t="s">
        <v>966</v>
      </c>
      <c r="AB515" s="56" t="s">
        <v>1099</v>
      </c>
      <c r="AC515" s="61" t="s">
        <v>948</v>
      </c>
      <c r="AD515" s="70" t="s">
        <v>2568</v>
      </c>
    </row>
    <row r="516" spans="1:30"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2580</v>
      </c>
      <c r="M516" s="47" t="s">
        <v>967</v>
      </c>
      <c r="N516" s="47" t="s">
        <v>1099</v>
      </c>
      <c r="O516" s="46" t="s">
        <v>940</v>
      </c>
      <c r="P516" s="48">
        <v>12</v>
      </c>
      <c r="Q516" s="48" t="s">
        <v>968</v>
      </c>
      <c r="R516" s="48" t="s">
        <v>335</v>
      </c>
      <c r="S516" s="49" t="s">
        <v>2581</v>
      </c>
      <c r="T516" s="49" t="s">
        <v>968</v>
      </c>
      <c r="U516" s="49" t="s">
        <v>1099</v>
      </c>
      <c r="V516" s="62" t="s">
        <v>942</v>
      </c>
      <c r="W516" s="54">
        <v>121</v>
      </c>
      <c r="X516" s="54" t="s">
        <v>966</v>
      </c>
      <c r="Y516" s="54" t="s">
        <v>335</v>
      </c>
      <c r="Z516" s="56" t="s">
        <v>2582</v>
      </c>
      <c r="AA516" s="56" t="s">
        <v>966</v>
      </c>
      <c r="AB516" s="56" t="s">
        <v>1099</v>
      </c>
      <c r="AC516" s="61" t="s">
        <v>948</v>
      </c>
      <c r="AD516" s="70" t="s">
        <v>2568</v>
      </c>
    </row>
    <row r="517" spans="1:30"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146</v>
      </c>
      <c r="G517" s="58" t="s">
        <v>938</v>
      </c>
      <c r="H517" s="58" t="s">
        <v>60</v>
      </c>
      <c r="I517" s="46">
        <v>409</v>
      </c>
      <c r="J517" s="46" t="s">
        <v>967</v>
      </c>
      <c r="K517" s="46" t="s">
        <v>335</v>
      </c>
      <c r="L517" s="47" t="s">
        <v>2583</v>
      </c>
      <c r="M517" s="47" t="s">
        <v>967</v>
      </c>
      <c r="N517" s="47" t="s">
        <v>1099</v>
      </c>
      <c r="O517" s="46" t="s">
        <v>940</v>
      </c>
      <c r="P517" s="48">
        <v>70</v>
      </c>
      <c r="Q517" s="48" t="s">
        <v>968</v>
      </c>
      <c r="R517" s="48" t="s">
        <v>335</v>
      </c>
      <c r="S517" s="49" t="s">
        <v>2584</v>
      </c>
      <c r="T517" s="49" t="s">
        <v>968</v>
      </c>
      <c r="U517" s="49" t="s">
        <v>1099</v>
      </c>
      <c r="V517" s="62" t="s">
        <v>942</v>
      </c>
      <c r="W517" s="54">
        <v>10.6</v>
      </c>
      <c r="X517" s="54" t="s">
        <v>966</v>
      </c>
      <c r="Y517" s="54" t="s">
        <v>335</v>
      </c>
      <c r="Z517" s="56" t="s">
        <v>2585</v>
      </c>
      <c r="AA517" s="56" t="s">
        <v>966</v>
      </c>
      <c r="AB517" s="56" t="s">
        <v>1099</v>
      </c>
      <c r="AC517" s="61" t="s">
        <v>969</v>
      </c>
      <c r="AD517" s="70" t="s">
        <v>2568</v>
      </c>
    </row>
    <row r="518" spans="1:30"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146</v>
      </c>
      <c r="G518" s="58" t="s">
        <v>938</v>
      </c>
      <c r="H518" s="58" t="s">
        <v>60</v>
      </c>
      <c r="I518" s="46">
        <v>397</v>
      </c>
      <c r="J518" s="46" t="s">
        <v>967</v>
      </c>
      <c r="K518" s="46" t="s">
        <v>335</v>
      </c>
      <c r="L518" s="47" t="s">
        <v>2586</v>
      </c>
      <c r="M518" s="47" t="s">
        <v>967</v>
      </c>
      <c r="N518" s="47" t="s">
        <v>1099</v>
      </c>
      <c r="O518" s="46" t="s">
        <v>940</v>
      </c>
      <c r="P518" s="48">
        <v>66</v>
      </c>
      <c r="Q518" s="48" t="s">
        <v>968</v>
      </c>
      <c r="R518" s="48" t="s">
        <v>335</v>
      </c>
      <c r="S518" s="49" t="s">
        <v>2587</v>
      </c>
      <c r="T518" s="49" t="s">
        <v>968</v>
      </c>
      <c r="U518" s="49" t="s">
        <v>1099</v>
      </c>
      <c r="V518" s="62" t="s">
        <v>942</v>
      </c>
      <c r="W518" s="54">
        <v>12.4</v>
      </c>
      <c r="X518" s="54" t="s">
        <v>966</v>
      </c>
      <c r="Y518" s="54" t="s">
        <v>335</v>
      </c>
      <c r="Z518" s="56" t="s">
        <v>2588</v>
      </c>
      <c r="AA518" s="56" t="s">
        <v>966</v>
      </c>
      <c r="AB518" s="56" t="s">
        <v>1099</v>
      </c>
      <c r="AC518" s="61" t="s">
        <v>969</v>
      </c>
      <c r="AD518" s="70" t="s">
        <v>2568</v>
      </c>
    </row>
    <row r="519" spans="1:30"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146</v>
      </c>
      <c r="G519" s="58" t="s">
        <v>938</v>
      </c>
      <c r="H519" s="58" t="s">
        <v>60</v>
      </c>
      <c r="I519" s="46">
        <v>403</v>
      </c>
      <c r="J519" s="46" t="s">
        <v>967</v>
      </c>
      <c r="K519" s="46" t="s">
        <v>335</v>
      </c>
      <c r="L519" s="47" t="s">
        <v>2589</v>
      </c>
      <c r="M519" s="47" t="s">
        <v>967</v>
      </c>
      <c r="N519" s="47" t="s">
        <v>1099</v>
      </c>
      <c r="O519" s="46" t="s">
        <v>940</v>
      </c>
      <c r="P519" s="48">
        <v>68</v>
      </c>
      <c r="Q519" s="48" t="s">
        <v>968</v>
      </c>
      <c r="R519" s="48" t="s">
        <v>335</v>
      </c>
      <c r="S519" s="49" t="s">
        <v>2590</v>
      </c>
      <c r="T519" s="49" t="s">
        <v>968</v>
      </c>
      <c r="U519" s="49" t="s">
        <v>1099</v>
      </c>
      <c r="V519" s="62" t="s">
        <v>942</v>
      </c>
      <c r="W519" s="54">
        <v>11.5</v>
      </c>
      <c r="X519" s="54" t="s">
        <v>966</v>
      </c>
      <c r="Y519" s="54" t="s">
        <v>335</v>
      </c>
      <c r="Z519" s="56" t="s">
        <v>2591</v>
      </c>
      <c r="AA519" s="56" t="s">
        <v>966</v>
      </c>
      <c r="AB519" s="56" t="s">
        <v>1099</v>
      </c>
      <c r="AC519" s="61" t="s">
        <v>969</v>
      </c>
      <c r="AD519" s="70" t="s">
        <v>2568</v>
      </c>
    </row>
    <row r="520" spans="1:30"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146</v>
      </c>
      <c r="G520" s="58" t="s">
        <v>938</v>
      </c>
      <c r="H520" s="58" t="s">
        <v>60</v>
      </c>
      <c r="I520" s="46">
        <v>304</v>
      </c>
      <c r="J520" s="46" t="s">
        <v>967</v>
      </c>
      <c r="K520" s="46" t="s">
        <v>335</v>
      </c>
      <c r="L520" s="47" t="s">
        <v>2592</v>
      </c>
      <c r="M520" s="47" t="s">
        <v>967</v>
      </c>
      <c r="N520" s="47" t="s">
        <v>1099</v>
      </c>
      <c r="O520" s="46" t="s">
        <v>940</v>
      </c>
      <c r="P520" s="48">
        <v>34</v>
      </c>
      <c r="Q520" s="48" t="s">
        <v>968</v>
      </c>
      <c r="R520" s="48" t="s">
        <v>335</v>
      </c>
      <c r="S520" s="49" t="s">
        <v>2593</v>
      </c>
      <c r="T520" s="49" t="s">
        <v>968</v>
      </c>
      <c r="U520" s="49" t="s">
        <v>1099</v>
      </c>
      <c r="V520" s="62" t="s">
        <v>942</v>
      </c>
      <c r="W520" s="54">
        <v>16.2</v>
      </c>
      <c r="X520" s="54" t="s">
        <v>966</v>
      </c>
      <c r="Y520" s="54" t="s">
        <v>335</v>
      </c>
      <c r="Z520" s="56" t="s">
        <v>2594</v>
      </c>
      <c r="AA520" s="56" t="s">
        <v>966</v>
      </c>
      <c r="AB520" s="56" t="s">
        <v>1099</v>
      </c>
      <c r="AC520" s="61" t="s">
        <v>948</v>
      </c>
      <c r="AD520" s="70" t="s">
        <v>2568</v>
      </c>
    </row>
    <row r="521" spans="1:30"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146</v>
      </c>
      <c r="G521" s="58" t="s">
        <v>938</v>
      </c>
      <c r="H521" s="58" t="s">
        <v>60</v>
      </c>
      <c r="I521" s="46">
        <v>290</v>
      </c>
      <c r="J521" s="46" t="s">
        <v>967</v>
      </c>
      <c r="K521" s="46" t="s">
        <v>335</v>
      </c>
      <c r="L521" s="47" t="s">
        <v>2595</v>
      </c>
      <c r="M521" s="47" t="s">
        <v>967</v>
      </c>
      <c r="N521" s="47" t="s">
        <v>1099</v>
      </c>
      <c r="O521" s="46" t="s">
        <v>940</v>
      </c>
      <c r="P521" s="48">
        <v>31</v>
      </c>
      <c r="Q521" s="48" t="s">
        <v>968</v>
      </c>
      <c r="R521" s="48" t="s">
        <v>335</v>
      </c>
      <c r="S521" s="49" t="s">
        <v>2596</v>
      </c>
      <c r="T521" s="49" t="s">
        <v>968</v>
      </c>
      <c r="U521" s="49" t="s">
        <v>1099</v>
      </c>
      <c r="V521" s="62" t="s">
        <v>942</v>
      </c>
      <c r="W521" s="54">
        <v>18.600000000000001</v>
      </c>
      <c r="X521" s="54" t="s">
        <v>966</v>
      </c>
      <c r="Y521" s="54" t="s">
        <v>335</v>
      </c>
      <c r="Z521" s="56" t="s">
        <v>2597</v>
      </c>
      <c r="AA521" s="56" t="s">
        <v>966</v>
      </c>
      <c r="AB521" s="56" t="s">
        <v>1099</v>
      </c>
      <c r="AC521" s="61" t="s">
        <v>948</v>
      </c>
      <c r="AD521" s="70" t="s">
        <v>2568</v>
      </c>
    </row>
    <row r="522" spans="1:30"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146</v>
      </c>
      <c r="G522" s="58" t="s">
        <v>938</v>
      </c>
      <c r="H522" s="58" t="s">
        <v>60</v>
      </c>
      <c r="I522" s="46">
        <v>297</v>
      </c>
      <c r="J522" s="46" t="s">
        <v>967</v>
      </c>
      <c r="K522" s="46" t="s">
        <v>335</v>
      </c>
      <c r="L522" s="47" t="s">
        <v>2598</v>
      </c>
      <c r="M522" s="47" t="s">
        <v>967</v>
      </c>
      <c r="N522" s="47" t="s">
        <v>1099</v>
      </c>
      <c r="O522" s="46" t="s">
        <v>940</v>
      </c>
      <c r="P522" s="48">
        <v>33</v>
      </c>
      <c r="Q522" s="48" t="s">
        <v>968</v>
      </c>
      <c r="R522" s="48" t="s">
        <v>335</v>
      </c>
      <c r="S522" s="49" t="s">
        <v>2599</v>
      </c>
      <c r="T522" s="49" t="s">
        <v>968</v>
      </c>
      <c r="U522" s="49" t="s">
        <v>1099</v>
      </c>
      <c r="V522" s="62" t="s">
        <v>942</v>
      </c>
      <c r="W522" s="54">
        <v>17.399999999999999</v>
      </c>
      <c r="X522" s="54" t="s">
        <v>966</v>
      </c>
      <c r="Y522" s="54" t="s">
        <v>335</v>
      </c>
      <c r="Z522" s="56" t="s">
        <v>2600</v>
      </c>
      <c r="AA522" s="56" t="s">
        <v>966</v>
      </c>
      <c r="AB522" s="56" t="s">
        <v>1099</v>
      </c>
      <c r="AC522" s="61" t="s">
        <v>948</v>
      </c>
      <c r="AD522" s="70" t="s">
        <v>2568</v>
      </c>
    </row>
    <row r="523" spans="1:30"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1221</v>
      </c>
      <c r="K523" s="46" t="s">
        <v>335</v>
      </c>
      <c r="L523" s="47" t="s">
        <v>2601</v>
      </c>
      <c r="M523" s="47" t="s">
        <v>1221</v>
      </c>
      <c r="N523" s="47" t="s">
        <v>1099</v>
      </c>
      <c r="O523" s="46" t="s">
        <v>943</v>
      </c>
      <c r="W523" s="54">
        <v>10.9</v>
      </c>
      <c r="X523" s="54" t="s">
        <v>966</v>
      </c>
      <c r="Y523" s="54" t="s">
        <v>335</v>
      </c>
      <c r="Z523" s="56" t="s">
        <v>2602</v>
      </c>
      <c r="AA523" s="56" t="s">
        <v>966</v>
      </c>
      <c r="AB523" s="56" t="s">
        <v>1099</v>
      </c>
      <c r="AC523" s="61" t="s">
        <v>948</v>
      </c>
      <c r="AD523" s="70" t="s">
        <v>2603</v>
      </c>
    </row>
    <row r="524" spans="1:30"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1221</v>
      </c>
      <c r="K524" s="46" t="s">
        <v>335</v>
      </c>
      <c r="L524" s="47" t="s">
        <v>2604</v>
      </c>
      <c r="M524" s="191" t="s">
        <v>1221</v>
      </c>
      <c r="N524" s="47" t="s">
        <v>1099</v>
      </c>
      <c r="O524" s="46" t="s">
        <v>943</v>
      </c>
      <c r="AD524" s="70" t="s">
        <v>2603</v>
      </c>
    </row>
    <row r="525" spans="1:30"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1221</v>
      </c>
      <c r="K525" s="46" t="s">
        <v>335</v>
      </c>
      <c r="L525" s="47" t="s">
        <v>2605</v>
      </c>
      <c r="M525" s="191" t="s">
        <v>1221</v>
      </c>
      <c r="N525" s="47" t="s">
        <v>1099</v>
      </c>
      <c r="O525" s="46" t="s">
        <v>943</v>
      </c>
      <c r="AD525" s="70" t="s">
        <v>2603</v>
      </c>
    </row>
    <row r="526" spans="1:30" hidden="1" x14ac:dyDescent="0.2">
      <c r="A526">
        <v>2000</v>
      </c>
      <c r="B526" s="230" t="str">
        <f>IF(AND(A526&lt;&gt;"",ISNUMBER(A526)),VLOOKUP(A526,Studies!A:BR,2,FALSE),"")</f>
        <v>van Dyk 2018</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1241</v>
      </c>
      <c r="K526" s="46" t="s">
        <v>996</v>
      </c>
      <c r="L526" s="47" t="s">
        <v>2789</v>
      </c>
      <c r="M526" s="47" t="s">
        <v>1241</v>
      </c>
      <c r="N526" s="47" t="s">
        <v>1099</v>
      </c>
      <c r="O526" s="46" t="s">
        <v>957</v>
      </c>
      <c r="P526" s="48">
        <v>7.2</v>
      </c>
      <c r="Q526" s="48" t="s">
        <v>968</v>
      </c>
      <c r="R526" s="48" t="s">
        <v>996</v>
      </c>
      <c r="S526" s="49" t="s">
        <v>2790</v>
      </c>
      <c r="T526" s="49" t="s">
        <v>968</v>
      </c>
      <c r="U526" s="49" t="s">
        <v>1099</v>
      </c>
      <c r="V526" s="62" t="s">
        <v>942</v>
      </c>
    </row>
    <row r="527" spans="1:30" hidden="1" x14ac:dyDescent="0.2">
      <c r="A527">
        <v>2001</v>
      </c>
      <c r="B527" s="230" t="str">
        <f>IF(AND(A527&lt;&gt;"",ISNUMBER(A527)),VLOOKUP(A527,Studies!A:BR,2,FALSE),"")</f>
        <v>van Dyk 2018</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1241</v>
      </c>
      <c r="K527" s="46" t="s">
        <v>996</v>
      </c>
      <c r="L527" s="47" t="s">
        <v>2791</v>
      </c>
      <c r="M527" s="47" t="s">
        <v>1241</v>
      </c>
      <c r="N527" s="47" t="s">
        <v>1099</v>
      </c>
      <c r="O527" s="46" t="s">
        <v>957</v>
      </c>
      <c r="P527" s="48">
        <v>5.5</v>
      </c>
      <c r="Q527" s="48" t="s">
        <v>968</v>
      </c>
      <c r="R527" s="48" t="s">
        <v>996</v>
      </c>
      <c r="S527" s="49" t="s">
        <v>2792</v>
      </c>
      <c r="T527" s="49" t="s">
        <v>968</v>
      </c>
      <c r="U527" s="49" t="s">
        <v>1099</v>
      </c>
      <c r="V527" s="62" t="s">
        <v>942</v>
      </c>
    </row>
    <row r="528" spans="1:30" hidden="1" x14ac:dyDescent="0.2">
      <c r="A528">
        <v>2002</v>
      </c>
      <c r="B528" s="230" t="str">
        <f>IF(AND(A528&lt;&gt;"",ISNUMBER(A528)),VLOOKUP(A528,Studies!A:BR,2,FALSE),"")</f>
        <v>van Dyk 2018</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1241</v>
      </c>
      <c r="K528" s="46" t="s">
        <v>996</v>
      </c>
      <c r="L528" s="47" t="s">
        <v>2793</v>
      </c>
      <c r="M528" s="47" t="s">
        <v>1241</v>
      </c>
      <c r="N528" s="47" t="s">
        <v>1099</v>
      </c>
      <c r="O528" s="46" t="s">
        <v>957</v>
      </c>
      <c r="P528" s="48">
        <v>2.7</v>
      </c>
      <c r="Q528" s="48" t="s">
        <v>968</v>
      </c>
      <c r="R528" s="48" t="s">
        <v>996</v>
      </c>
      <c r="S528" s="49" t="s">
        <v>2794</v>
      </c>
      <c r="T528" s="49" t="s">
        <v>968</v>
      </c>
      <c r="U528" s="49" t="s">
        <v>1099</v>
      </c>
      <c r="V528" s="62" t="s">
        <v>942</v>
      </c>
    </row>
    <row r="529" spans="1:30" hidden="1" x14ac:dyDescent="0.2">
      <c r="A529">
        <v>2003</v>
      </c>
      <c r="B529" s="230" t="str">
        <f>IF(AND(A529&lt;&gt;"",ISNUMBER(A529)),VLOOKUP(A529,Studies!A:BR,2,FALSE),"")</f>
        <v>van Dyk 2018</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1241</v>
      </c>
      <c r="K529" s="46" t="s">
        <v>996</v>
      </c>
      <c r="L529" s="47" t="s">
        <v>2795</v>
      </c>
      <c r="M529" s="47" t="s">
        <v>1241</v>
      </c>
      <c r="N529" s="47" t="s">
        <v>1099</v>
      </c>
      <c r="O529" s="46" t="s">
        <v>957</v>
      </c>
      <c r="P529" s="48">
        <v>1.2</v>
      </c>
      <c r="Q529" s="48" t="s">
        <v>968</v>
      </c>
      <c r="R529" s="48" t="s">
        <v>996</v>
      </c>
      <c r="S529" s="49" t="s">
        <v>2796</v>
      </c>
      <c r="T529" s="49" t="s">
        <v>968</v>
      </c>
      <c r="U529" s="49" t="s">
        <v>1099</v>
      </c>
      <c r="V529" s="62" t="s">
        <v>942</v>
      </c>
    </row>
    <row r="530" spans="1:30" hidden="1" x14ac:dyDescent="0.2">
      <c r="A530">
        <v>2004</v>
      </c>
      <c r="B530" s="230" t="str">
        <f>IF(AND(A530&lt;&gt;"",ISNUMBER(A530)),VLOOKUP(A530,Studies!A:BR,2,FALSE),"")</f>
        <v>van Dyk 2018</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1241</v>
      </c>
      <c r="K530" s="46" t="s">
        <v>996</v>
      </c>
      <c r="L530" s="47" t="s">
        <v>2797</v>
      </c>
      <c r="M530" s="47" t="s">
        <v>1241</v>
      </c>
      <c r="N530" s="47" t="s">
        <v>1099</v>
      </c>
      <c r="O530" s="46" t="s">
        <v>957</v>
      </c>
      <c r="P530" s="48">
        <v>12.6</v>
      </c>
      <c r="Q530" s="48" t="s">
        <v>968</v>
      </c>
      <c r="R530" s="48" t="s">
        <v>996</v>
      </c>
      <c r="S530" s="49" t="s">
        <v>2798</v>
      </c>
      <c r="T530" s="49" t="s">
        <v>968</v>
      </c>
      <c r="U530" s="49" t="s">
        <v>1099</v>
      </c>
      <c r="V530" s="62" t="s">
        <v>942</v>
      </c>
    </row>
    <row r="531" spans="1:30" hidden="1" x14ac:dyDescent="0.2">
      <c r="A531">
        <v>2005</v>
      </c>
      <c r="B531" s="230" t="str">
        <f>IF(AND(A531&lt;&gt;"",ISNUMBER(A531)),VLOOKUP(A531,Studies!A:BR,2,FALSE),"")</f>
        <v>van Dyk 2018</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1241</v>
      </c>
      <c r="K531" s="46" t="s">
        <v>996</v>
      </c>
      <c r="L531" s="47" t="s">
        <v>2606</v>
      </c>
      <c r="M531" s="47" t="s">
        <v>1241</v>
      </c>
      <c r="N531" s="47" t="s">
        <v>1099</v>
      </c>
      <c r="O531" s="46" t="s">
        <v>957</v>
      </c>
      <c r="P531" s="48">
        <v>8.3000000000000007</v>
      </c>
      <c r="Q531" s="48" t="s">
        <v>968</v>
      </c>
      <c r="R531" s="48" t="s">
        <v>996</v>
      </c>
      <c r="S531" s="49" t="s">
        <v>2607</v>
      </c>
      <c r="T531" s="49" t="s">
        <v>968</v>
      </c>
      <c r="U531" s="49" t="s">
        <v>1099</v>
      </c>
      <c r="V531" s="62" t="s">
        <v>942</v>
      </c>
    </row>
    <row r="532" spans="1:30" hidden="1"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1211</v>
      </c>
      <c r="Y532" s="54" t="s">
        <v>335</v>
      </c>
      <c r="Z532" s="56">
        <v>2.3999999999999998E-3</v>
      </c>
      <c r="AA532" s="56" t="s">
        <v>1211</v>
      </c>
      <c r="AB532" s="56" t="s">
        <v>117</v>
      </c>
      <c r="AC532" s="61" t="s">
        <v>969</v>
      </c>
      <c r="AD532" s="70" t="s">
        <v>2608</v>
      </c>
    </row>
    <row r="533" spans="1:30" hidden="1"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1211</v>
      </c>
      <c r="Y533" s="54" t="s">
        <v>335</v>
      </c>
      <c r="Z533" s="56">
        <v>2.0999999999999999E-3</v>
      </c>
      <c r="AA533" s="56" t="s">
        <v>1211</v>
      </c>
      <c r="AB533" s="56" t="s">
        <v>117</v>
      </c>
      <c r="AC533" s="61" t="s">
        <v>969</v>
      </c>
      <c r="AD533" s="70" t="s">
        <v>2609</v>
      </c>
    </row>
    <row r="534" spans="1:30" hidden="1" x14ac:dyDescent="0.2">
      <c r="A534" s="260">
        <v>749</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 alone</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1949</v>
      </c>
      <c r="O534" s="46" t="s">
        <v>940</v>
      </c>
      <c r="P534" s="48">
        <v>15.2</v>
      </c>
      <c r="Q534" s="48" t="s">
        <v>968</v>
      </c>
      <c r="R534" s="48" t="s">
        <v>335</v>
      </c>
      <c r="S534" s="49">
        <v>1.5</v>
      </c>
      <c r="T534" s="49" t="s">
        <v>968</v>
      </c>
      <c r="U534" s="49" t="s">
        <v>1949</v>
      </c>
      <c r="V534" s="62" t="s">
        <v>942</v>
      </c>
      <c r="W534" s="54">
        <v>1.1000000000000001</v>
      </c>
      <c r="X534" s="54" t="s">
        <v>976</v>
      </c>
      <c r="Y534" s="54" t="s">
        <v>335</v>
      </c>
      <c r="Z534" s="56">
        <v>0.1</v>
      </c>
      <c r="AA534" s="56" t="s">
        <v>976</v>
      </c>
      <c r="AB534" s="56" t="s">
        <v>1949</v>
      </c>
      <c r="AC534" s="61" t="s">
        <v>948</v>
      </c>
      <c r="AD534" s="70" t="s">
        <v>2752</v>
      </c>
    </row>
    <row r="535" spans="1:30" hidden="1" x14ac:dyDescent="0.2">
      <c r="A535" s="260">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1949</v>
      </c>
      <c r="O535" s="46" t="s">
        <v>940</v>
      </c>
      <c r="P535" s="48">
        <v>9.6999999999999993</v>
      </c>
      <c r="Q535" s="48" t="s">
        <v>968</v>
      </c>
      <c r="R535" s="48" t="s">
        <v>335</v>
      </c>
      <c r="S535" s="49">
        <v>2.6</v>
      </c>
      <c r="T535" s="49" t="s">
        <v>968</v>
      </c>
      <c r="U535" s="49" t="s">
        <v>1949</v>
      </c>
      <c r="V535" s="62" t="s">
        <v>942</v>
      </c>
      <c r="W535" s="54">
        <v>8.3000000000000007</v>
      </c>
      <c r="X535" s="54" t="s">
        <v>976</v>
      </c>
      <c r="Y535" s="54" t="s">
        <v>335</v>
      </c>
      <c r="Z535" s="56">
        <v>1.6</v>
      </c>
      <c r="AA535" s="56" t="s">
        <v>976</v>
      </c>
      <c r="AB535" s="56" t="s">
        <v>1949</v>
      </c>
      <c r="AC535" s="61" t="s">
        <v>948</v>
      </c>
      <c r="AD535" s="70" t="s">
        <v>2752</v>
      </c>
    </row>
    <row r="536" spans="1:30" hidden="1" x14ac:dyDescent="0.2">
      <c r="A536" s="260">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1949</v>
      </c>
      <c r="O536" s="46" t="s">
        <v>940</v>
      </c>
      <c r="P536" s="48">
        <v>16.399999999999999</v>
      </c>
      <c r="Q536" s="48" t="s">
        <v>968</v>
      </c>
      <c r="R536" s="48" t="s">
        <v>335</v>
      </c>
      <c r="S536" s="49">
        <v>2.9</v>
      </c>
      <c r="T536" s="49" t="s">
        <v>968</v>
      </c>
      <c r="U536" s="49" t="s">
        <v>1949</v>
      </c>
      <c r="V536" s="62" t="s">
        <v>942</v>
      </c>
      <c r="W536" s="54">
        <v>0.6</v>
      </c>
      <c r="X536" s="54" t="s">
        <v>976</v>
      </c>
      <c r="Y536" s="54" t="s">
        <v>335</v>
      </c>
      <c r="Z536" s="56">
        <v>0.1</v>
      </c>
      <c r="AA536" s="56" t="s">
        <v>976</v>
      </c>
      <c r="AB536" s="56" t="s">
        <v>1949</v>
      </c>
      <c r="AC536" s="61" t="s">
        <v>948</v>
      </c>
      <c r="AD536" s="70" t="s">
        <v>2752</v>
      </c>
    </row>
    <row r="537" spans="1:30" hidden="1" x14ac:dyDescent="0.2">
      <c r="A537" s="260">
        <v>726</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Triazolam + placebo</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1945</v>
      </c>
      <c r="O537" s="46" t="s">
        <v>940</v>
      </c>
      <c r="P537" s="48">
        <v>2.9</v>
      </c>
      <c r="Q537" s="48" t="s">
        <v>941</v>
      </c>
      <c r="R537" s="48" t="s">
        <v>335</v>
      </c>
      <c r="S537" s="49">
        <v>0.2</v>
      </c>
      <c r="T537" s="49" t="s">
        <v>941</v>
      </c>
      <c r="U537" s="49" t="s">
        <v>1945</v>
      </c>
      <c r="V537" s="62" t="s">
        <v>942</v>
      </c>
      <c r="AD537" s="70" t="s">
        <v>2753</v>
      </c>
    </row>
    <row r="538" spans="1:30" hidden="1" x14ac:dyDescent="0.2">
      <c r="A538" s="260">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1945</v>
      </c>
      <c r="O538" s="46" t="s">
        <v>940</v>
      </c>
      <c r="P538" s="48">
        <v>0.36</v>
      </c>
      <c r="Q538" s="48" t="s">
        <v>941</v>
      </c>
      <c r="R538" s="48" t="s">
        <v>335</v>
      </c>
      <c r="S538" s="49">
        <v>0.06</v>
      </c>
      <c r="T538" s="49" t="s">
        <v>941</v>
      </c>
      <c r="U538" s="49" t="s">
        <v>1945</v>
      </c>
      <c r="V538" s="62" t="s">
        <v>942</v>
      </c>
      <c r="AD538" s="70" t="s">
        <v>2754</v>
      </c>
    </row>
    <row r="539" spans="1:30" hidden="1" x14ac:dyDescent="0.2">
      <c r="A539" s="260">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2755</v>
      </c>
    </row>
    <row r="540" spans="1:30" hidden="1" x14ac:dyDescent="0.2">
      <c r="A540" s="260">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2756</v>
      </c>
    </row>
    <row r="541" spans="1:30" hidden="1" x14ac:dyDescent="0.2">
      <c r="A541" s="260">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1945</v>
      </c>
      <c r="O541" s="46" t="s">
        <v>940</v>
      </c>
      <c r="P541" s="48">
        <v>1.7</v>
      </c>
      <c r="Q541" s="48" t="s">
        <v>941</v>
      </c>
      <c r="R541" s="48" t="s">
        <v>116</v>
      </c>
      <c r="S541" s="49">
        <v>0.1</v>
      </c>
      <c r="T541" s="49" t="s">
        <v>941</v>
      </c>
      <c r="U541" s="49" t="s">
        <v>1945</v>
      </c>
      <c r="V541" s="62" t="s">
        <v>942</v>
      </c>
      <c r="AD541" s="70" t="s">
        <v>2757</v>
      </c>
    </row>
    <row r="542" spans="1:30" hidden="1" x14ac:dyDescent="0.2">
      <c r="A542" s="260">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1945</v>
      </c>
      <c r="O542" s="46" t="s">
        <v>940</v>
      </c>
      <c r="P542" s="48">
        <v>2.4</v>
      </c>
      <c r="Q542" s="48" t="s">
        <v>941</v>
      </c>
      <c r="R542" s="48" t="s">
        <v>116</v>
      </c>
      <c r="S542" s="49">
        <v>0.1</v>
      </c>
      <c r="T542" s="49" t="s">
        <v>941</v>
      </c>
      <c r="U542" s="49" t="s">
        <v>1945</v>
      </c>
      <c r="V542" s="62" t="s">
        <v>942</v>
      </c>
      <c r="AD542" s="70" t="s">
        <v>2758</v>
      </c>
    </row>
    <row r="543" spans="1:30" hidden="1" x14ac:dyDescent="0.2">
      <c r="A543" s="260">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1945</v>
      </c>
      <c r="O543" s="46" t="s">
        <v>940</v>
      </c>
      <c r="P543" s="48">
        <v>3</v>
      </c>
      <c r="Q543" s="48" t="s">
        <v>941</v>
      </c>
      <c r="R543" s="48" t="s">
        <v>116</v>
      </c>
      <c r="S543" s="49">
        <v>0.2</v>
      </c>
      <c r="T543" s="49" t="s">
        <v>941</v>
      </c>
      <c r="U543" s="49" t="s">
        <v>1945</v>
      </c>
      <c r="V543" s="62" t="s">
        <v>942</v>
      </c>
      <c r="AD543" s="70" t="s">
        <v>2759</v>
      </c>
    </row>
    <row r="544" spans="1:30" hidden="1" x14ac:dyDescent="0.2">
      <c r="A544" s="260">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1945</v>
      </c>
      <c r="O544" s="46" t="s">
        <v>940</v>
      </c>
      <c r="P544" s="48">
        <v>3</v>
      </c>
      <c r="Q544" s="48" t="s">
        <v>941</v>
      </c>
      <c r="R544" s="48" t="s">
        <v>116</v>
      </c>
      <c r="S544" s="49">
        <v>0.2</v>
      </c>
      <c r="T544" s="49" t="s">
        <v>941</v>
      </c>
      <c r="U544" s="49" t="s">
        <v>1945</v>
      </c>
      <c r="V544" s="62" t="s">
        <v>942</v>
      </c>
      <c r="AD544" s="70" t="s">
        <v>2760</v>
      </c>
    </row>
    <row r="545" spans="1:30" hidden="1" x14ac:dyDescent="0.2">
      <c r="A545" s="260">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1945</v>
      </c>
      <c r="O545" s="46" t="s">
        <v>940</v>
      </c>
      <c r="P545" s="48">
        <v>2.9</v>
      </c>
      <c r="Q545" s="48" t="s">
        <v>941</v>
      </c>
      <c r="R545" s="48" t="s">
        <v>116</v>
      </c>
      <c r="S545" s="49">
        <v>0.2</v>
      </c>
      <c r="T545" s="49" t="s">
        <v>941</v>
      </c>
      <c r="U545" s="49" t="s">
        <v>1945</v>
      </c>
      <c r="V545" s="62" t="s">
        <v>942</v>
      </c>
      <c r="AD545" s="70" t="s">
        <v>2761</v>
      </c>
    </row>
    <row r="546" spans="1:30" hidden="1" x14ac:dyDescent="0.2">
      <c r="A546" s="260">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1945</v>
      </c>
      <c r="O546" s="46" t="s">
        <v>957</v>
      </c>
      <c r="P546" s="48">
        <v>98.9</v>
      </c>
      <c r="Q546" s="48" t="s">
        <v>941</v>
      </c>
      <c r="R546" s="48" t="s">
        <v>116</v>
      </c>
      <c r="S546" s="49">
        <v>8.3000000000000007</v>
      </c>
      <c r="T546" s="49" t="s">
        <v>941</v>
      </c>
      <c r="U546" s="49" t="s">
        <v>1945</v>
      </c>
      <c r="V546" s="62" t="s">
        <v>942</v>
      </c>
    </row>
    <row r="547" spans="1:30" hidden="1" x14ac:dyDescent="0.2">
      <c r="A547" s="260">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3</v>
      </c>
      <c r="G547" s="58">
        <f>F547+17</f>
        <v>20</v>
      </c>
      <c r="H547" s="58" t="s">
        <v>60</v>
      </c>
      <c r="I547" s="46">
        <v>1634</v>
      </c>
      <c r="J547" s="46" t="s">
        <v>939</v>
      </c>
      <c r="K547" s="46" t="s">
        <v>335</v>
      </c>
      <c r="L547" s="47">
        <v>279</v>
      </c>
      <c r="M547" s="47" t="s">
        <v>939</v>
      </c>
      <c r="N547" s="47" t="s">
        <v>1945</v>
      </c>
      <c r="O547" s="46" t="s">
        <v>957</v>
      </c>
      <c r="P547" s="48">
        <v>175</v>
      </c>
      <c r="Q547" s="48" t="s">
        <v>941</v>
      </c>
      <c r="R547" s="48" t="s">
        <v>116</v>
      </c>
      <c r="S547" s="49">
        <v>30</v>
      </c>
      <c r="T547" s="49" t="s">
        <v>941</v>
      </c>
      <c r="U547" s="49" t="s">
        <v>1945</v>
      </c>
      <c r="V547" s="62" t="s">
        <v>942</v>
      </c>
    </row>
    <row r="548" spans="1:30" hidden="1" x14ac:dyDescent="0.2">
      <c r="A548" s="260">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12</v>
      </c>
      <c r="G548" s="198">
        <f t="shared" ref="G548:G549" si="3">F548+17</f>
        <v>29</v>
      </c>
      <c r="H548" s="58" t="s">
        <v>60</v>
      </c>
      <c r="I548" s="46">
        <v>528</v>
      </c>
      <c r="J548" s="46" t="s">
        <v>939</v>
      </c>
      <c r="K548" s="46" t="s">
        <v>335</v>
      </c>
      <c r="L548" s="47">
        <v>78</v>
      </c>
      <c r="M548" s="47" t="s">
        <v>939</v>
      </c>
      <c r="N548" s="47" t="s">
        <v>1945</v>
      </c>
      <c r="O548" s="46" t="s">
        <v>957</v>
      </c>
      <c r="P548" s="48">
        <v>55.2</v>
      </c>
      <c r="Q548" s="48" t="s">
        <v>941</v>
      </c>
      <c r="R548" s="48" t="s">
        <v>116</v>
      </c>
      <c r="S548" s="49">
        <v>8.5</v>
      </c>
      <c r="T548" s="49" t="s">
        <v>941</v>
      </c>
      <c r="U548" s="49" t="s">
        <v>1945</v>
      </c>
      <c r="V548" s="62" t="s">
        <v>942</v>
      </c>
    </row>
    <row r="549" spans="1:30" hidden="1" x14ac:dyDescent="0.2">
      <c r="A549" s="260">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24</v>
      </c>
      <c r="G549" s="198">
        <f t="shared" si="3"/>
        <v>41</v>
      </c>
      <c r="H549" s="58" t="s">
        <v>60</v>
      </c>
      <c r="I549" s="46">
        <v>499</v>
      </c>
      <c r="J549" s="46" t="s">
        <v>939</v>
      </c>
      <c r="K549" s="46" t="s">
        <v>335</v>
      </c>
      <c r="L549" s="47">
        <v>77</v>
      </c>
      <c r="M549" s="47" t="s">
        <v>939</v>
      </c>
      <c r="N549" s="47" t="s">
        <v>1945</v>
      </c>
      <c r="O549" s="46" t="s">
        <v>957</v>
      </c>
      <c r="P549" s="48">
        <v>45.3</v>
      </c>
      <c r="Q549" s="48" t="s">
        <v>941</v>
      </c>
      <c r="R549" s="48" t="s">
        <v>116</v>
      </c>
      <c r="S549" s="49">
        <v>6.8</v>
      </c>
      <c r="T549" s="49" t="s">
        <v>941</v>
      </c>
      <c r="U549" s="49" t="s">
        <v>1945</v>
      </c>
      <c r="V549" s="62" t="s">
        <v>942</v>
      </c>
    </row>
    <row r="550" spans="1:30" hidden="1" x14ac:dyDescent="0.2">
      <c r="A550" s="260">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hidden="1" x14ac:dyDescent="0.2">
      <c r="A551" s="260">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hidden="1" x14ac:dyDescent="0.2">
      <c r="A552" s="260">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hidden="1" x14ac:dyDescent="0.2">
      <c r="A553" s="260">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hidden="1" x14ac:dyDescent="0.2">
      <c r="A554" s="260">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2800</v>
      </c>
    </row>
    <row r="555" spans="1:30" hidden="1" x14ac:dyDescent="0.2">
      <c r="A555" s="260">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2800</v>
      </c>
    </row>
    <row r="556" spans="1:30" hidden="1" x14ac:dyDescent="0.2">
      <c r="A556" s="260">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2800</v>
      </c>
    </row>
    <row r="557" spans="1:30" hidden="1" x14ac:dyDescent="0.2">
      <c r="A557" s="260">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2800</v>
      </c>
    </row>
    <row r="558" spans="1:30" hidden="1" x14ac:dyDescent="0.2">
      <c r="A558" s="260">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2800</v>
      </c>
    </row>
    <row r="559" spans="1:30" hidden="1" x14ac:dyDescent="0.2">
      <c r="A559" s="260">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2800</v>
      </c>
    </row>
    <row r="560" spans="1:30" hidden="1" x14ac:dyDescent="0.2">
      <c r="A560" s="260">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2762</v>
      </c>
      <c r="M560" s="47" t="s">
        <v>955</v>
      </c>
      <c r="N560" s="47" t="s">
        <v>1099</v>
      </c>
      <c r="O560" s="46" t="s">
        <v>940</v>
      </c>
      <c r="P560" s="48">
        <v>55.7</v>
      </c>
      <c r="Q560" s="48" t="s">
        <v>946</v>
      </c>
      <c r="R560" s="48" t="s">
        <v>996</v>
      </c>
      <c r="S560" s="49" t="s">
        <v>2763</v>
      </c>
      <c r="T560" s="49" t="s">
        <v>946</v>
      </c>
      <c r="U560" s="49" t="s">
        <v>1099</v>
      </c>
      <c r="V560" s="62" t="s">
        <v>942</v>
      </c>
      <c r="AD560" s="70" t="s">
        <v>2764</v>
      </c>
    </row>
    <row r="561" spans="1:30" hidden="1" x14ac:dyDescent="0.2">
      <c r="A561" s="260">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2765</v>
      </c>
      <c r="M561" s="47" t="s">
        <v>955</v>
      </c>
      <c r="N561" s="47" t="s">
        <v>1099</v>
      </c>
      <c r="O561" s="46" t="s">
        <v>940</v>
      </c>
      <c r="P561" s="48">
        <v>207</v>
      </c>
      <c r="Q561" s="48" t="s">
        <v>946</v>
      </c>
      <c r="R561" s="48" t="s">
        <v>996</v>
      </c>
      <c r="S561" s="49" t="s">
        <v>2766</v>
      </c>
      <c r="T561" s="49" t="s">
        <v>946</v>
      </c>
      <c r="U561" s="49" t="s">
        <v>1099</v>
      </c>
      <c r="V561" s="62" t="s">
        <v>942</v>
      </c>
      <c r="AD561" s="70" t="s">
        <v>2767</v>
      </c>
    </row>
    <row r="562" spans="1:30" hidden="1" x14ac:dyDescent="0.2">
      <c r="A562" s="260">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2768</v>
      </c>
      <c r="M562" s="47" t="s">
        <v>955</v>
      </c>
      <c r="N562" s="47" t="s">
        <v>1099</v>
      </c>
      <c r="O562" s="46" t="s">
        <v>940</v>
      </c>
      <c r="P562" s="48">
        <v>72.599999999999994</v>
      </c>
      <c r="Q562" s="48" t="s">
        <v>946</v>
      </c>
      <c r="R562" s="48" t="s">
        <v>996</v>
      </c>
      <c r="S562" s="49" t="s">
        <v>2769</v>
      </c>
      <c r="T562" s="49" t="s">
        <v>946</v>
      </c>
      <c r="U562" s="49" t="s">
        <v>1099</v>
      </c>
      <c r="V562" s="62" t="s">
        <v>942</v>
      </c>
      <c r="AD562" s="70" t="s">
        <v>2770</v>
      </c>
    </row>
    <row r="563" spans="1:30" hidden="1" x14ac:dyDescent="0.2">
      <c r="A563" s="260">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2771</v>
      </c>
      <c r="M563" s="47" t="s">
        <v>955</v>
      </c>
      <c r="N563" s="47" t="s">
        <v>1099</v>
      </c>
      <c r="O563" s="46" t="s">
        <v>940</v>
      </c>
      <c r="P563" s="48">
        <v>150</v>
      </c>
      <c r="Q563" s="48" t="s">
        <v>946</v>
      </c>
      <c r="R563" s="48" t="s">
        <v>996</v>
      </c>
      <c r="S563" s="49" t="s">
        <v>2772</v>
      </c>
      <c r="T563" s="49" t="s">
        <v>946</v>
      </c>
      <c r="U563" s="49" t="s">
        <v>1099</v>
      </c>
      <c r="V563" s="62" t="s">
        <v>942</v>
      </c>
      <c r="AD563" s="70" t="s">
        <v>2773</v>
      </c>
    </row>
    <row r="564" spans="1:30" hidden="1" x14ac:dyDescent="0.2">
      <c r="A564" s="260">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hidden="1" x14ac:dyDescent="0.2">
      <c r="A565" s="260">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216</v>
      </c>
      <c r="G565" s="58">
        <v>240</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2774</v>
      </c>
    </row>
    <row r="566" spans="1:30" hidden="1" x14ac:dyDescent="0.2">
      <c r="A566" s="260">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hidden="1" x14ac:dyDescent="0.2">
      <c r="A567" s="260">
        <v>1113</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 (day 10)</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2774</v>
      </c>
    </row>
    <row r="568" spans="1:30" hidden="1" x14ac:dyDescent="0.2">
      <c r="A568" s="260">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hidden="1" x14ac:dyDescent="0.2">
      <c r="A569" s="260">
        <v>1105</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hidden="1" x14ac:dyDescent="0.2">
      <c r="A570" s="260">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hidden="1" x14ac:dyDescent="0.2">
      <c r="A571" s="260">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 (day 10)</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hidden="1" x14ac:dyDescent="0.2">
      <c r="A572" s="260">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2630</v>
      </c>
      <c r="L572" s="47">
        <v>1</v>
      </c>
      <c r="M572" s="47" t="s">
        <v>1012</v>
      </c>
      <c r="N572" s="47" t="s">
        <v>1945</v>
      </c>
      <c r="O572" s="46" t="s">
        <v>940</v>
      </c>
      <c r="P572" s="48">
        <v>65</v>
      </c>
      <c r="Q572" s="48" t="s">
        <v>995</v>
      </c>
      <c r="R572" s="48" t="s">
        <v>2630</v>
      </c>
      <c r="S572" s="49">
        <v>9</v>
      </c>
      <c r="T572" s="49" t="s">
        <v>995</v>
      </c>
      <c r="U572" s="49" t="s">
        <v>1945</v>
      </c>
      <c r="V572" s="62" t="s">
        <v>942</v>
      </c>
    </row>
    <row r="573" spans="1:30" hidden="1" x14ac:dyDescent="0.2">
      <c r="A573" s="260">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2630</v>
      </c>
      <c r="L573" s="47">
        <v>5</v>
      </c>
      <c r="M573" s="47" t="s">
        <v>1012</v>
      </c>
      <c r="N573" s="47" t="s">
        <v>1945</v>
      </c>
      <c r="O573" s="46" t="s">
        <v>940</v>
      </c>
      <c r="P573" s="48">
        <v>128</v>
      </c>
      <c r="Q573" s="48" t="s">
        <v>995</v>
      </c>
      <c r="R573" s="48" t="s">
        <v>2630</v>
      </c>
      <c r="S573" s="49">
        <v>16</v>
      </c>
      <c r="T573" s="49" t="s">
        <v>995</v>
      </c>
      <c r="U573" s="49" t="s">
        <v>1945</v>
      </c>
      <c r="V573" s="62" t="s">
        <v>942</v>
      </c>
    </row>
    <row r="574" spans="1:30" hidden="1" x14ac:dyDescent="0.2">
      <c r="A574" s="260">
        <v>704</v>
      </c>
      <c r="B574" s="230" t="str">
        <f>IF(AND(A574&lt;&gt;"",ISNUMBER(A574)),VLOOKUP(A574,Studies!A:BR,2,FALSE),"")</f>
        <v>Greenblatt 1998a</v>
      </c>
      <c r="C574" s="230" t="str">
        <f>IF(AND(A574&lt;&gt;"",ISNUMBER(A574)),VLOOKUP(A574,Studies!A:BR,3,FALSE),"")</f>
        <v>https://www.ncbi.nlm.nih.gov/pubmed/9757151</v>
      </c>
      <c r="D574" s="230" t="str">
        <f>IF(AND(A574&lt;&gt;"",ISNUMBER(A574)),VLOOKUP(A574,Studies!A:BR,4,FALSE),"")</f>
        <v>Triazolam + Placebo (Trial B)</v>
      </c>
      <c r="E574" s="206" t="str">
        <f>IF(AND(A574&lt;&gt;"",ISNUMBER(A574)),VLOOKUP(A574,Studies!A:BR,5,FALSE),"")</f>
        <v>Triazolam</v>
      </c>
      <c r="F574" s="58">
        <v>0</v>
      </c>
      <c r="G574" s="58" t="s">
        <v>938</v>
      </c>
      <c r="H574" s="58" t="s">
        <v>60</v>
      </c>
      <c r="I574" s="46">
        <v>5.5</v>
      </c>
      <c r="J574" s="46" t="s">
        <v>939</v>
      </c>
      <c r="K574" s="46" t="s">
        <v>2630</v>
      </c>
      <c r="L574" s="47">
        <v>0.5</v>
      </c>
      <c r="M574" s="47" t="s">
        <v>939</v>
      </c>
      <c r="N574" s="47" t="s">
        <v>1949</v>
      </c>
      <c r="O574" s="46" t="s">
        <v>940</v>
      </c>
      <c r="P574" s="48">
        <v>1.25</v>
      </c>
      <c r="Q574" s="48" t="s">
        <v>941</v>
      </c>
      <c r="R574" s="48" t="s">
        <v>2630</v>
      </c>
      <c r="S574" s="49">
        <v>0.14000000000000001</v>
      </c>
      <c r="T574" s="49" t="s">
        <v>941</v>
      </c>
      <c r="U574" s="49" t="s">
        <v>1949</v>
      </c>
      <c r="V574" s="62" t="s">
        <v>942</v>
      </c>
      <c r="W574" s="54">
        <v>413</v>
      </c>
      <c r="X574" s="54" t="s">
        <v>954</v>
      </c>
      <c r="Y574" s="54" t="s">
        <v>2630</v>
      </c>
      <c r="Z574" s="56">
        <v>39</v>
      </c>
      <c r="AA574" s="56" t="s">
        <v>954</v>
      </c>
      <c r="AB574" s="56" t="s">
        <v>1949</v>
      </c>
      <c r="AC574" s="61" t="s">
        <v>948</v>
      </c>
    </row>
    <row r="575" spans="1:30" hidden="1" x14ac:dyDescent="0.2">
      <c r="A575" s="260">
        <v>781</v>
      </c>
      <c r="B575" s="230" t="str">
        <f>IF(AND(A575&lt;&gt;"",ISNUMBER(A575)),VLOOKUP(A575,Studies!A:BR,2,FALSE),"")</f>
        <v>Greenblatt 1998a</v>
      </c>
      <c r="C575" s="230" t="str">
        <f>IF(AND(A575&lt;&gt;"",ISNUMBER(A575)),VLOOKUP(A575,Studies!A:BR,3,FALSE),"")</f>
        <v>https://www.ncbi.nlm.nih.gov/pubmed/9757151</v>
      </c>
      <c r="D575" s="230" t="str">
        <f>IF(AND(A575&lt;&gt;"",ISNUMBER(A575)),VLOOKUP(A575,Studies!A:BR,4,FALSE),"")</f>
        <v>Triazolam + Erythromycin (Trial D)</v>
      </c>
      <c r="E575" s="206" t="str">
        <f>IF(AND(A575&lt;&gt;"",ISNUMBER(A575)),VLOOKUP(A575,Studies!A:BR,5,FALSE),"")</f>
        <v>Triazolam</v>
      </c>
      <c r="F575" s="58">
        <v>25</v>
      </c>
      <c r="G575" s="58" t="s">
        <v>938</v>
      </c>
      <c r="H575" s="58" t="s">
        <v>60</v>
      </c>
      <c r="I575" s="46">
        <v>20.9</v>
      </c>
      <c r="J575" s="46" t="s">
        <v>939</v>
      </c>
      <c r="K575" s="46" t="s">
        <v>2630</v>
      </c>
      <c r="L575" s="47">
        <v>3</v>
      </c>
      <c r="M575" s="47" t="s">
        <v>939</v>
      </c>
      <c r="N575" s="47" t="s">
        <v>1949</v>
      </c>
      <c r="O575" s="46" t="s">
        <v>940</v>
      </c>
      <c r="P575" s="48">
        <v>2.21</v>
      </c>
      <c r="Q575" s="48" t="s">
        <v>941</v>
      </c>
      <c r="R575" s="48" t="s">
        <v>2630</v>
      </c>
      <c r="S575" s="49">
        <v>0.24</v>
      </c>
      <c r="T575" s="49" t="s">
        <v>941</v>
      </c>
      <c r="U575" s="49" t="s">
        <v>1949</v>
      </c>
      <c r="V575" s="62" t="s">
        <v>942</v>
      </c>
      <c r="W575" s="54">
        <v>146</v>
      </c>
      <c r="X575" s="54" t="s">
        <v>954</v>
      </c>
      <c r="Y575" s="54" t="s">
        <v>2630</v>
      </c>
      <c r="Z575" s="56">
        <v>32</v>
      </c>
      <c r="AA575" s="56" t="s">
        <v>954</v>
      </c>
      <c r="AB575" s="56" t="s">
        <v>1949</v>
      </c>
      <c r="AC575" s="61" t="s">
        <v>948</v>
      </c>
    </row>
    <row r="576" spans="1:30" hidden="1" x14ac:dyDescent="0.2">
      <c r="A576" s="260">
        <v>1102</v>
      </c>
      <c r="B576" s="230" t="str">
        <f>IF(AND(A576&lt;&gt;"",ISNUMBER(A576)),VLOOKUP(A576,Studies!A:BR,2,FALSE),"")</f>
        <v>Greenblatt 1998a</v>
      </c>
      <c r="C576" s="230" t="str">
        <f>IF(AND(A576&lt;&gt;"",ISNUMBER(A576)),VLOOKUP(A576,Studies!A:BR,3,FALSE),"")</f>
        <v>https://www.ncbi.nlm.nih.gov/pubmed/9757151</v>
      </c>
      <c r="D576" s="230" t="str">
        <f>IF(AND(A576&lt;&gt;"",ISNUMBER(A576)),VLOOKUP(A576,Studies!A:BR,4,FALSE),"")</f>
        <v>Triazolam + Clarithromycin (Trial E)</v>
      </c>
      <c r="E576" s="206" t="str">
        <f>IF(AND(A576&lt;&gt;"",ISNUMBER(A576)),VLOOKUP(A576,Studies!A:BR,5,FALSE),"")</f>
        <v>Triazolam</v>
      </c>
      <c r="F576" s="58">
        <v>25</v>
      </c>
      <c r="G576" s="58" t="s">
        <v>938</v>
      </c>
      <c r="H576" s="58" t="s">
        <v>60</v>
      </c>
      <c r="I576" s="46">
        <v>28.9</v>
      </c>
      <c r="J576" s="46" t="s">
        <v>939</v>
      </c>
      <c r="K576" s="46" t="s">
        <v>2630</v>
      </c>
      <c r="L576" s="47">
        <v>4</v>
      </c>
      <c r="M576" s="47" t="s">
        <v>939</v>
      </c>
      <c r="N576" s="47" t="s">
        <v>1949</v>
      </c>
      <c r="O576" s="46" t="s">
        <v>940</v>
      </c>
      <c r="P576" s="48">
        <v>2.46</v>
      </c>
      <c r="Q576" s="48" t="s">
        <v>941</v>
      </c>
      <c r="R576" s="48" t="s">
        <v>2630</v>
      </c>
      <c r="S576" s="49">
        <v>0.26</v>
      </c>
      <c r="T576" s="49" t="s">
        <v>941</v>
      </c>
      <c r="U576" s="49" t="s">
        <v>1949</v>
      </c>
      <c r="V576" s="62" t="s">
        <v>942</v>
      </c>
      <c r="W576" s="54">
        <v>95</v>
      </c>
      <c r="X576" s="54" t="s">
        <v>954</v>
      </c>
      <c r="Y576" s="54" t="s">
        <v>2630</v>
      </c>
      <c r="Z576" s="56">
        <v>17</v>
      </c>
      <c r="AA576" s="56" t="s">
        <v>954</v>
      </c>
      <c r="AB576" s="56" t="s">
        <v>1949</v>
      </c>
      <c r="AC576" s="61" t="s">
        <v>948</v>
      </c>
    </row>
    <row r="577" spans="1:30" hidden="1" x14ac:dyDescent="0.2">
      <c r="A577" s="260">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1945</v>
      </c>
      <c r="O577" s="46" t="s">
        <v>940</v>
      </c>
      <c r="P577" s="48">
        <v>1.5</v>
      </c>
      <c r="Q577" s="48" t="s">
        <v>941</v>
      </c>
      <c r="R577" s="48" t="s">
        <v>335</v>
      </c>
      <c r="S577" s="49">
        <v>0.2</v>
      </c>
      <c r="T577" s="49" t="s">
        <v>941</v>
      </c>
      <c r="U577" s="49" t="s">
        <v>1945</v>
      </c>
      <c r="V577" s="62" t="s">
        <v>942</v>
      </c>
      <c r="AD577" s="70" t="s">
        <v>2775</v>
      </c>
    </row>
    <row r="578" spans="1:30" hidden="1" x14ac:dyDescent="0.2">
      <c r="A578" s="260">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1945</v>
      </c>
      <c r="O578" s="46" t="s">
        <v>940</v>
      </c>
      <c r="P578" s="48">
        <v>4.5999999999999996</v>
      </c>
      <c r="Q578" s="48" t="s">
        <v>941</v>
      </c>
      <c r="R578" s="48" t="s">
        <v>335</v>
      </c>
      <c r="S578" s="49">
        <v>0.5</v>
      </c>
      <c r="T578" s="49" t="s">
        <v>941</v>
      </c>
      <c r="U578" s="49" t="s">
        <v>1945</v>
      </c>
      <c r="V578" s="62" t="s">
        <v>942</v>
      </c>
      <c r="AD578" s="70" t="s">
        <v>2775</v>
      </c>
    </row>
    <row r="579" spans="1:30" hidden="1" x14ac:dyDescent="0.2">
      <c r="A579" s="260">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1945</v>
      </c>
      <c r="O579" s="46" t="s">
        <v>940</v>
      </c>
      <c r="P579" s="48">
        <v>4.2</v>
      </c>
      <c r="Q579" s="48" t="s">
        <v>941</v>
      </c>
      <c r="R579" s="48" t="s">
        <v>335</v>
      </c>
      <c r="S579" s="49">
        <v>0.9</v>
      </c>
      <c r="T579" s="49" t="s">
        <v>941</v>
      </c>
      <c r="U579" s="49" t="s">
        <v>1945</v>
      </c>
      <c r="V579" s="62" t="s">
        <v>942</v>
      </c>
      <c r="AD579" s="70" t="s">
        <v>2775</v>
      </c>
    </row>
    <row r="580" spans="1:30" hidden="1" x14ac:dyDescent="0.2">
      <c r="A580" s="260">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hidden="1" x14ac:dyDescent="0.2">
      <c r="A581" s="260">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hidden="1" x14ac:dyDescent="0.2">
      <c r="A582" s="260">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hidden="1" x14ac:dyDescent="0.2">
      <c r="A583" s="260">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hidden="1" x14ac:dyDescent="0.2">
      <c r="A584" s="260">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hidden="1" x14ac:dyDescent="0.2">
      <c r="A585" s="260">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hidden="1" x14ac:dyDescent="0.2">
      <c r="A586" s="260">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hidden="1" x14ac:dyDescent="0.2">
      <c r="A587" s="260">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hidden="1" x14ac:dyDescent="0.2">
      <c r="A588" s="260">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hidden="1" x14ac:dyDescent="0.2">
      <c r="A589" s="260">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hidden="1" x14ac:dyDescent="0.2">
      <c r="A590" s="260">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hidden="1" x14ac:dyDescent="0.2">
      <c r="A591" s="260">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hidden="1" x14ac:dyDescent="0.2">
      <c r="A592" s="260">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hidden="1" x14ac:dyDescent="0.2">
      <c r="A593" s="260">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hidden="1" x14ac:dyDescent="0.2">
      <c r="A594" s="260">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hidden="1" x14ac:dyDescent="0.2">
      <c r="A595" s="260">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hidden="1" x14ac:dyDescent="0.2">
      <c r="A596" s="260">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hidden="1" x14ac:dyDescent="0.2">
      <c r="A597" s="260">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hidden="1" x14ac:dyDescent="0.2">
      <c r="A598" s="260">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hidden="1" x14ac:dyDescent="0.2">
      <c r="A599" s="260">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hidden="1" x14ac:dyDescent="0.2">
      <c r="A600" s="260">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2775</v>
      </c>
    </row>
    <row r="601" spans="1:30" hidden="1" x14ac:dyDescent="0.2">
      <c r="A601" s="260">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2775</v>
      </c>
    </row>
    <row r="602" spans="1:30" hidden="1" x14ac:dyDescent="0.2">
      <c r="A602" s="260">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2775</v>
      </c>
    </row>
    <row r="603" spans="1:30" hidden="1" x14ac:dyDescent="0.2">
      <c r="A603" s="260">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2775</v>
      </c>
    </row>
    <row r="604" spans="1:30" hidden="1" x14ac:dyDescent="0.2">
      <c r="A604" s="260">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2775</v>
      </c>
    </row>
    <row r="605" spans="1:30" hidden="1" x14ac:dyDescent="0.2">
      <c r="A605" s="260">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2775</v>
      </c>
    </row>
    <row r="606" spans="1:30" hidden="1" x14ac:dyDescent="0.2">
      <c r="A606" s="260">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2775</v>
      </c>
    </row>
    <row r="607" spans="1:30" hidden="1" x14ac:dyDescent="0.2">
      <c r="A607" s="260">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2775</v>
      </c>
    </row>
    <row r="608" spans="1:30" hidden="1" x14ac:dyDescent="0.2">
      <c r="A608" s="260">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2775</v>
      </c>
    </row>
    <row r="609" spans="1:30" hidden="1" x14ac:dyDescent="0.2">
      <c r="A609" s="260">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2775</v>
      </c>
    </row>
    <row r="610" spans="1:30" hidden="1" x14ac:dyDescent="0.2">
      <c r="A610" s="260">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2775</v>
      </c>
    </row>
    <row r="611" spans="1:30" hidden="1" x14ac:dyDescent="0.2">
      <c r="A611" s="260">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2775</v>
      </c>
    </row>
    <row r="612" spans="1:30" hidden="1" x14ac:dyDescent="0.2">
      <c r="A612" s="260">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2775</v>
      </c>
    </row>
    <row r="613" spans="1:30" hidden="1" x14ac:dyDescent="0.2">
      <c r="A613" s="260">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2775</v>
      </c>
    </row>
    <row r="614" spans="1:30" hidden="1" x14ac:dyDescent="0.2">
      <c r="A614" s="260">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2775</v>
      </c>
    </row>
    <row r="615" spans="1:30" hidden="1" x14ac:dyDescent="0.2">
      <c r="A615" s="260">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2775</v>
      </c>
    </row>
    <row r="616" spans="1:30" hidden="1" x14ac:dyDescent="0.2">
      <c r="A616" s="260">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2775</v>
      </c>
    </row>
    <row r="617" spans="1:30" hidden="1" x14ac:dyDescent="0.2">
      <c r="A617" s="260">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2775</v>
      </c>
    </row>
    <row r="618" spans="1:30" hidden="1" x14ac:dyDescent="0.2">
      <c r="A618" s="260">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2775</v>
      </c>
    </row>
    <row r="619" spans="1:30" hidden="1" x14ac:dyDescent="0.2">
      <c r="A619" s="260">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2775</v>
      </c>
    </row>
    <row r="620" spans="1:30" hidden="1" x14ac:dyDescent="0.2">
      <c r="A620" s="260">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2775</v>
      </c>
    </row>
    <row r="621" spans="1:30" hidden="1" x14ac:dyDescent="0.2">
      <c r="A621" s="260">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2775</v>
      </c>
    </row>
    <row r="622" spans="1:30" hidden="1" x14ac:dyDescent="0.2">
      <c r="A622" s="260">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2775</v>
      </c>
    </row>
    <row r="623" spans="1:30" hidden="1" x14ac:dyDescent="0.2">
      <c r="A623" s="260">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2775</v>
      </c>
    </row>
    <row r="624" spans="1:30" hidden="1" x14ac:dyDescent="0.2">
      <c r="A624" s="260">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2775</v>
      </c>
    </row>
    <row r="625" spans="1:30" hidden="1" x14ac:dyDescent="0.2">
      <c r="A625" s="260">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2775</v>
      </c>
    </row>
    <row r="626" spans="1:30" hidden="1" x14ac:dyDescent="0.2">
      <c r="A626" s="260">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2775</v>
      </c>
    </row>
    <row r="627" spans="1:30" hidden="1"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hidden="1"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hidden="1"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hidden="1"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hidden="1"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hidden="1"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hidden="1"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hidden="1"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2821</v>
      </c>
      <c r="M634" s="47" t="s">
        <v>939</v>
      </c>
      <c r="N634" s="47" t="s">
        <v>1099</v>
      </c>
      <c r="O634" s="46" t="s">
        <v>957</v>
      </c>
      <c r="W634" s="54">
        <v>1313</v>
      </c>
      <c r="X634" s="54" t="s">
        <v>954</v>
      </c>
      <c r="Y634" s="54" t="s">
        <v>335</v>
      </c>
      <c r="Z634" s="56" t="s">
        <v>2822</v>
      </c>
      <c r="AA634" s="56" t="s">
        <v>954</v>
      </c>
      <c r="AB634" s="56" t="s">
        <v>117</v>
      </c>
      <c r="AC634" s="61" t="s">
        <v>948</v>
      </c>
    </row>
    <row r="635" spans="1:30" hidden="1"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2823</v>
      </c>
      <c r="M635" s="47" t="s">
        <v>939</v>
      </c>
      <c r="N635" s="47" t="s">
        <v>1099</v>
      </c>
      <c r="O635" s="46" t="s">
        <v>957</v>
      </c>
      <c r="W635" s="54">
        <v>393</v>
      </c>
      <c r="X635" s="54" t="s">
        <v>954</v>
      </c>
      <c r="Y635" s="54" t="s">
        <v>335</v>
      </c>
      <c r="Z635" s="56" t="s">
        <v>2824</v>
      </c>
      <c r="AA635" s="56" t="s">
        <v>954</v>
      </c>
      <c r="AB635" s="56" t="s">
        <v>117</v>
      </c>
      <c r="AC635" s="61" t="s">
        <v>969</v>
      </c>
    </row>
    <row r="636" spans="1:30" hidden="1"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2825</v>
      </c>
      <c r="M636" s="47" t="s">
        <v>939</v>
      </c>
      <c r="N636" s="47" t="s">
        <v>1099</v>
      </c>
      <c r="O636" s="46" t="s">
        <v>957</v>
      </c>
      <c r="W636" s="54">
        <v>2231</v>
      </c>
      <c r="X636" s="54" t="s">
        <v>954</v>
      </c>
      <c r="Y636" s="54" t="s">
        <v>335</v>
      </c>
      <c r="Z636" s="56" t="s">
        <v>2826</v>
      </c>
      <c r="AA636" s="56" t="s">
        <v>954</v>
      </c>
      <c r="AB636" s="56" t="s">
        <v>117</v>
      </c>
      <c r="AC636" s="61" t="s">
        <v>948</v>
      </c>
    </row>
    <row r="637" spans="1:30" hidden="1"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2827</v>
      </c>
      <c r="M637" s="47" t="s">
        <v>939</v>
      </c>
      <c r="N637" s="47" t="s">
        <v>1099</v>
      </c>
      <c r="O637" s="46" t="s">
        <v>957</v>
      </c>
      <c r="W637" s="54">
        <v>500</v>
      </c>
      <c r="X637" s="54" t="s">
        <v>954</v>
      </c>
      <c r="Y637" s="54" t="s">
        <v>335</v>
      </c>
      <c r="Z637" s="56" t="s">
        <v>2828</v>
      </c>
      <c r="AA637" s="56" t="s">
        <v>954</v>
      </c>
      <c r="AB637" s="56" t="s">
        <v>117</v>
      </c>
      <c r="AC637" s="61" t="s">
        <v>969</v>
      </c>
    </row>
    <row r="638" spans="1:30" hidden="1"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2829</v>
      </c>
      <c r="M638" s="47" t="s">
        <v>939</v>
      </c>
      <c r="N638" s="47" t="s">
        <v>1099</v>
      </c>
      <c r="O638" s="46" t="s">
        <v>957</v>
      </c>
      <c r="W638" s="54">
        <v>2138</v>
      </c>
      <c r="X638" s="54" t="s">
        <v>954</v>
      </c>
      <c r="Y638" s="54" t="s">
        <v>335</v>
      </c>
      <c r="Z638" s="56" t="s">
        <v>2830</v>
      </c>
      <c r="AA638" s="56" t="s">
        <v>954</v>
      </c>
      <c r="AB638" s="56" t="s">
        <v>117</v>
      </c>
      <c r="AC638" s="61" t="s">
        <v>948</v>
      </c>
    </row>
    <row r="639" spans="1:30" hidden="1"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2831</v>
      </c>
      <c r="M639" s="47" t="s">
        <v>939</v>
      </c>
      <c r="N639" s="47" t="s">
        <v>1099</v>
      </c>
      <c r="O639" s="46" t="s">
        <v>957</v>
      </c>
      <c r="W639" s="54">
        <v>506</v>
      </c>
      <c r="X639" s="54" t="s">
        <v>954</v>
      </c>
      <c r="Y639" s="54" t="s">
        <v>335</v>
      </c>
      <c r="Z639" s="56" t="s">
        <v>2832</v>
      </c>
      <c r="AA639" s="56" t="s">
        <v>954</v>
      </c>
      <c r="AB639" s="56" t="s">
        <v>117</v>
      </c>
      <c r="AC639" s="61" t="s">
        <v>969</v>
      </c>
    </row>
    <row r="640" spans="1:30" hidden="1"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2833</v>
      </c>
      <c r="M640" s="47" t="s">
        <v>939</v>
      </c>
      <c r="N640" s="47" t="s">
        <v>1099</v>
      </c>
      <c r="O640" s="46" t="s">
        <v>957</v>
      </c>
      <c r="W640" s="54">
        <v>1703</v>
      </c>
      <c r="X640" s="54" t="s">
        <v>954</v>
      </c>
      <c r="Y640" s="54" t="s">
        <v>335</v>
      </c>
      <c r="Z640" s="56" t="s">
        <v>2834</v>
      </c>
      <c r="AA640" s="56" t="s">
        <v>954</v>
      </c>
      <c r="AB640" s="56" t="s">
        <v>117</v>
      </c>
      <c r="AC640" s="61" t="s">
        <v>948</v>
      </c>
    </row>
    <row r="641" spans="1:29" hidden="1"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2835</v>
      </c>
      <c r="M641" s="47" t="s">
        <v>939</v>
      </c>
      <c r="N641" s="47" t="s">
        <v>1099</v>
      </c>
      <c r="O641" s="46" t="s">
        <v>957</v>
      </c>
      <c r="W641" s="54">
        <v>420</v>
      </c>
      <c r="X641" s="54" t="s">
        <v>954</v>
      </c>
      <c r="Y641" s="54" t="s">
        <v>335</v>
      </c>
      <c r="Z641" s="56" t="s">
        <v>2836</v>
      </c>
      <c r="AA641" s="56" t="s">
        <v>954</v>
      </c>
      <c r="AB641" s="56" t="s">
        <v>117</v>
      </c>
      <c r="AC641" s="61" t="s">
        <v>969</v>
      </c>
    </row>
    <row r="642" spans="1:29" hidden="1"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2837</v>
      </c>
      <c r="M642" s="47" t="s">
        <v>939</v>
      </c>
      <c r="N642" s="47" t="s">
        <v>1099</v>
      </c>
      <c r="O642" s="46" t="s">
        <v>957</v>
      </c>
      <c r="W642" s="54">
        <v>1755</v>
      </c>
      <c r="X642" s="54" t="s">
        <v>954</v>
      </c>
      <c r="Y642" s="54" t="s">
        <v>335</v>
      </c>
      <c r="Z642" s="56" t="s">
        <v>2838</v>
      </c>
      <c r="AA642" s="56" t="s">
        <v>954</v>
      </c>
      <c r="AB642" s="56" t="s">
        <v>117</v>
      </c>
      <c r="AC642" s="61" t="s">
        <v>948</v>
      </c>
    </row>
    <row r="643" spans="1:29" hidden="1"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2839</v>
      </c>
      <c r="M643" s="47" t="s">
        <v>939</v>
      </c>
      <c r="N643" s="47" t="s">
        <v>1099</v>
      </c>
      <c r="O643" s="46" t="s">
        <v>957</v>
      </c>
      <c r="W643" s="54">
        <v>461</v>
      </c>
      <c r="X643" s="54" t="s">
        <v>954</v>
      </c>
      <c r="Y643" s="54" t="s">
        <v>335</v>
      </c>
      <c r="Z643" s="56" t="s">
        <v>2840</v>
      </c>
      <c r="AA643" s="56" t="s">
        <v>954</v>
      </c>
      <c r="AB643" s="56" t="s">
        <v>117</v>
      </c>
      <c r="AC643" s="61" t="s">
        <v>969</v>
      </c>
    </row>
    <row r="644" spans="1:29" hidden="1"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2841</v>
      </c>
      <c r="M644" s="47" t="s">
        <v>939</v>
      </c>
      <c r="N644" s="47" t="s">
        <v>1099</v>
      </c>
      <c r="O644" s="46" t="s">
        <v>957</v>
      </c>
      <c r="W644" s="54">
        <v>1564</v>
      </c>
      <c r="X644" s="54" t="s">
        <v>954</v>
      </c>
      <c r="Y644" s="54" t="s">
        <v>335</v>
      </c>
      <c r="Z644" s="56" t="s">
        <v>2842</v>
      </c>
      <c r="AA644" s="56" t="s">
        <v>954</v>
      </c>
      <c r="AB644" s="56" t="s">
        <v>117</v>
      </c>
      <c r="AC644" s="61" t="s">
        <v>948</v>
      </c>
    </row>
    <row r="645" spans="1:29" hidden="1"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2843</v>
      </c>
      <c r="M645" s="47" t="s">
        <v>939</v>
      </c>
      <c r="N645" s="47" t="s">
        <v>1099</v>
      </c>
      <c r="O645" s="46" t="s">
        <v>957</v>
      </c>
      <c r="W645" s="54">
        <v>426</v>
      </c>
      <c r="X645" s="54" t="s">
        <v>954</v>
      </c>
      <c r="Y645" s="54" t="s">
        <v>335</v>
      </c>
      <c r="Z645" s="56" t="s">
        <v>2844</v>
      </c>
      <c r="AA645" s="56" t="s">
        <v>954</v>
      </c>
      <c r="AB645" s="56" t="s">
        <v>117</v>
      </c>
      <c r="AC645" s="61" t="s">
        <v>969</v>
      </c>
    </row>
  </sheetData>
  <autoFilter ref="A1:AE645" xr:uid="{00000000-0009-0000-0000-000001000000}">
    <filterColumn colId="1">
      <filters>
        <filter val="Quinney 2008"/>
      </filters>
    </filterColumn>
  </autoFilter>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225"/>
  <sheetViews>
    <sheetView zoomScale="85" zoomScaleNormal="85" workbookViewId="0">
      <pane ySplit="1" topLeftCell="A2" activePane="bottomLeft" state="frozen"/>
      <selection pane="bottomLeft" activeCell="M3648" sqref="M3648"/>
    </sheetView>
  </sheetViews>
  <sheetFormatPr baseColWidth="10" defaultColWidth="11" defaultRowHeight="12.75" x14ac:dyDescent="0.2"/>
  <cols>
    <col min="1" max="1" width="4.875" style="30" bestFit="1" customWidth="1"/>
    <col min="2" max="2" width="18.25" style="230" customWidth="1"/>
    <col min="3" max="3" width="15.625" style="230" customWidth="1"/>
    <col min="4" max="4" width="29.625" style="230" customWidth="1"/>
    <col min="5" max="5" width="10.125" style="97" customWidth="1"/>
    <col min="6" max="6" width="11" style="99"/>
    <col min="7" max="7" width="11.125" style="267"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266"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13.441757202148438</v>
      </c>
      <c r="J3" s="187" t="s">
        <v>959</v>
      </c>
      <c r="K3" s="187" t="s">
        <v>116</v>
      </c>
      <c r="M3" s="195"/>
      <c r="N3" s="195"/>
      <c r="O3" s="199"/>
      <c r="P3" s="188"/>
      <c r="Q3" s="174">
        <v>0</v>
      </c>
    </row>
    <row r="4" spans="1:17" ht="14.25" x14ac:dyDescent="0.2">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x14ac:dyDescent="0.2">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x14ac:dyDescent="0.2">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x14ac:dyDescent="0.2">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x14ac:dyDescent="0.2">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x14ac:dyDescent="0.2">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x14ac:dyDescent="0.2">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x14ac:dyDescent="0.2">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x14ac:dyDescent="0.2">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x14ac:dyDescent="0.2">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x14ac:dyDescent="0.2">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x14ac:dyDescent="0.2">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x14ac:dyDescent="0.2">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x14ac:dyDescent="0.2">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x14ac:dyDescent="0.2">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x14ac:dyDescent="0.2">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x14ac:dyDescent="0.2">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x14ac:dyDescent="0.2">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x14ac:dyDescent="0.2">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x14ac:dyDescent="0.2">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x14ac:dyDescent="0.2">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x14ac:dyDescent="0.2">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x14ac:dyDescent="0.2">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x14ac:dyDescent="0.2">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x14ac:dyDescent="0.2">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x14ac:dyDescent="0.2">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x14ac:dyDescent="0.2">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x14ac:dyDescent="0.2">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x14ac:dyDescent="0.2">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x14ac:dyDescent="0.2">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x14ac:dyDescent="0.2">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x14ac:dyDescent="0.2">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x14ac:dyDescent="0.2">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x14ac:dyDescent="0.2">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x14ac:dyDescent="0.2">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x14ac:dyDescent="0.2">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x14ac:dyDescent="0.2">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x14ac:dyDescent="0.2">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x14ac:dyDescent="0.2">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x14ac:dyDescent="0.2">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x14ac:dyDescent="0.2">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x14ac:dyDescent="0.2">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x14ac:dyDescent="0.2">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x14ac:dyDescent="0.2">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x14ac:dyDescent="0.2">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x14ac:dyDescent="0.2">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x14ac:dyDescent="0.2">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x14ac:dyDescent="0.2">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x14ac:dyDescent="0.2">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x14ac:dyDescent="0.2">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x14ac:dyDescent="0.2">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x14ac:dyDescent="0.2">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x14ac:dyDescent="0.2">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x14ac:dyDescent="0.2">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x14ac:dyDescent="0.2">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x14ac:dyDescent="0.2">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x14ac:dyDescent="0.2">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x14ac:dyDescent="0.2">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x14ac:dyDescent="0.2">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x14ac:dyDescent="0.2">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x14ac:dyDescent="0.2">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x14ac:dyDescent="0.2">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x14ac:dyDescent="0.2">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x14ac:dyDescent="0.2">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x14ac:dyDescent="0.2">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x14ac:dyDescent="0.2">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x14ac:dyDescent="0.2">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x14ac:dyDescent="0.2">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x14ac:dyDescent="0.2">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x14ac:dyDescent="0.2">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x14ac:dyDescent="0.2">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x14ac:dyDescent="0.2">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x14ac:dyDescent="0.2">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x14ac:dyDescent="0.2">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x14ac:dyDescent="0.2">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x14ac:dyDescent="0.2">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x14ac:dyDescent="0.2">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x14ac:dyDescent="0.2">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x14ac:dyDescent="0.2">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x14ac:dyDescent="0.2">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x14ac:dyDescent="0.2">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x14ac:dyDescent="0.2">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x14ac:dyDescent="0.2">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x14ac:dyDescent="0.2">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x14ac:dyDescent="0.2">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x14ac:dyDescent="0.2">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x14ac:dyDescent="0.2">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x14ac:dyDescent="0.2">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x14ac:dyDescent="0.2">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x14ac:dyDescent="0.2">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x14ac:dyDescent="0.2">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x14ac:dyDescent="0.2">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x14ac:dyDescent="0.2">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x14ac:dyDescent="0.2">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x14ac:dyDescent="0.2">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x14ac:dyDescent="0.2">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x14ac:dyDescent="0.2">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x14ac:dyDescent="0.2">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x14ac:dyDescent="0.2">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x14ac:dyDescent="0.2">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x14ac:dyDescent="0.2">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x14ac:dyDescent="0.2">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x14ac:dyDescent="0.2">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x14ac:dyDescent="0.2">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x14ac:dyDescent="0.2">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x14ac:dyDescent="0.2">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x14ac:dyDescent="0.2">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x14ac:dyDescent="0.2">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x14ac:dyDescent="0.2">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x14ac:dyDescent="0.2">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x14ac:dyDescent="0.2">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x14ac:dyDescent="0.2">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x14ac:dyDescent="0.2">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x14ac:dyDescent="0.2">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x14ac:dyDescent="0.2">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x14ac:dyDescent="0.2">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x14ac:dyDescent="0.2">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x14ac:dyDescent="0.2">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x14ac:dyDescent="0.2">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x14ac:dyDescent="0.2">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x14ac:dyDescent="0.2">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4.25" x14ac:dyDescent="0.2">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x14ac:dyDescent="0.2">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x14ac:dyDescent="0.2">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x14ac:dyDescent="0.2">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x14ac:dyDescent="0.2">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x14ac:dyDescent="0.2">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x14ac:dyDescent="0.2">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x14ac:dyDescent="0.2">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x14ac:dyDescent="0.2">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x14ac:dyDescent="0.2">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x14ac:dyDescent="0.2">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x14ac:dyDescent="0.2">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x14ac:dyDescent="0.2">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x14ac:dyDescent="0.2">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x14ac:dyDescent="0.2">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x14ac:dyDescent="0.2">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x14ac:dyDescent="0.2">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x14ac:dyDescent="0.2">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x14ac:dyDescent="0.2">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x14ac:dyDescent="0.2">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x14ac:dyDescent="0.2">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x14ac:dyDescent="0.2">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x14ac:dyDescent="0.2">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x14ac:dyDescent="0.2">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x14ac:dyDescent="0.2">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x14ac:dyDescent="0.2">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x14ac:dyDescent="0.2">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x14ac:dyDescent="0.2">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x14ac:dyDescent="0.2">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x14ac:dyDescent="0.2">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x14ac:dyDescent="0.2">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260.58798217773438</v>
      </c>
      <c r="J512" s="187" t="s">
        <v>941</v>
      </c>
      <c r="K512" s="187" t="s">
        <v>116</v>
      </c>
      <c r="M512" s="195"/>
      <c r="N512" s="195"/>
      <c r="O512" s="199"/>
      <c r="P512" s="188"/>
      <c r="Q512" s="174">
        <v>0</v>
      </c>
    </row>
    <row r="513" spans="1:17" ht="14.25" x14ac:dyDescent="0.2">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278.25601196289063</v>
      </c>
      <c r="J513" s="187" t="s">
        <v>941</v>
      </c>
      <c r="K513" s="187" t="s">
        <v>116</v>
      </c>
      <c r="M513" s="195"/>
      <c r="N513" s="195"/>
      <c r="O513" s="199"/>
      <c r="P513" s="188"/>
      <c r="Q513" s="174">
        <v>0</v>
      </c>
    </row>
    <row r="514" spans="1:17" ht="14.25" x14ac:dyDescent="0.2">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x14ac:dyDescent="0.2">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x14ac:dyDescent="0.2">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156.73159790039063</v>
      </c>
      <c r="J516" s="187" t="s">
        <v>941</v>
      </c>
      <c r="K516" s="187" t="s">
        <v>116</v>
      </c>
      <c r="M516" s="195"/>
      <c r="N516" s="195"/>
      <c r="O516" s="199"/>
      <c r="P516" s="188"/>
      <c r="Q516" s="174">
        <v>0</v>
      </c>
    </row>
    <row r="517" spans="1:17" ht="14.25" x14ac:dyDescent="0.2">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x14ac:dyDescent="0.2">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x14ac:dyDescent="0.2">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x14ac:dyDescent="0.2">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x14ac:dyDescent="0.2">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x14ac:dyDescent="0.2">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x14ac:dyDescent="0.2">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x14ac:dyDescent="0.2">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x14ac:dyDescent="0.2">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x14ac:dyDescent="0.2">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x14ac:dyDescent="0.2">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x14ac:dyDescent="0.2">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x14ac:dyDescent="0.2">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x14ac:dyDescent="0.2">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x14ac:dyDescent="0.2">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x14ac:dyDescent="0.2">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x14ac:dyDescent="0.2">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x14ac:dyDescent="0.2">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x14ac:dyDescent="0.2">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x14ac:dyDescent="0.2">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x14ac:dyDescent="0.2">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x14ac:dyDescent="0.2">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x14ac:dyDescent="0.2">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x14ac:dyDescent="0.2">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x14ac:dyDescent="0.2">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x14ac:dyDescent="0.2">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x14ac:dyDescent="0.2">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x14ac:dyDescent="0.2">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x14ac:dyDescent="0.2">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x14ac:dyDescent="0.2">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x14ac:dyDescent="0.2">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x14ac:dyDescent="0.2">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x14ac:dyDescent="0.2">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x14ac:dyDescent="0.2">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x14ac:dyDescent="0.2">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x14ac:dyDescent="0.2">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x14ac:dyDescent="0.2">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x14ac:dyDescent="0.2">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x14ac:dyDescent="0.2">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x14ac:dyDescent="0.2">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x14ac:dyDescent="0.2">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x14ac:dyDescent="0.2">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x14ac:dyDescent="0.2">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x14ac:dyDescent="0.2">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x14ac:dyDescent="0.2">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x14ac:dyDescent="0.2">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x14ac:dyDescent="0.2">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x14ac:dyDescent="0.2">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x14ac:dyDescent="0.2">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x14ac:dyDescent="0.2">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x14ac:dyDescent="0.2">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x14ac:dyDescent="0.2">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x14ac:dyDescent="0.2">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x14ac:dyDescent="0.2">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x14ac:dyDescent="0.2">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x14ac:dyDescent="0.2">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x14ac:dyDescent="0.2">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x14ac:dyDescent="0.2">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x14ac:dyDescent="0.2">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x14ac:dyDescent="0.2">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x14ac:dyDescent="0.2">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x14ac:dyDescent="0.2">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x14ac:dyDescent="0.2">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x14ac:dyDescent="0.2">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x14ac:dyDescent="0.2">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x14ac:dyDescent="0.2">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x14ac:dyDescent="0.2">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x14ac:dyDescent="0.2">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x14ac:dyDescent="0.2">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x14ac:dyDescent="0.2">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x14ac:dyDescent="0.2">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x14ac:dyDescent="0.2">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x14ac:dyDescent="0.2">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x14ac:dyDescent="0.2">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x14ac:dyDescent="0.2">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x14ac:dyDescent="0.2">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x14ac:dyDescent="0.2">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x14ac:dyDescent="0.2">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x14ac:dyDescent="0.2">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x14ac:dyDescent="0.2">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x14ac:dyDescent="0.2">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x14ac:dyDescent="0.2">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x14ac:dyDescent="0.2">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x14ac:dyDescent="0.2">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x14ac:dyDescent="0.2">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x14ac:dyDescent="0.2">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x14ac:dyDescent="0.2">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x14ac:dyDescent="0.2">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x14ac:dyDescent="0.2">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x14ac:dyDescent="0.2">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x14ac:dyDescent="0.2">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x14ac:dyDescent="0.2">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x14ac:dyDescent="0.2">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x14ac:dyDescent="0.2">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x14ac:dyDescent="0.2">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x14ac:dyDescent="0.2">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x14ac:dyDescent="0.2">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x14ac:dyDescent="0.2">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x14ac:dyDescent="0.2">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x14ac:dyDescent="0.2">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x14ac:dyDescent="0.2">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x14ac:dyDescent="0.2">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x14ac:dyDescent="0.2">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x14ac:dyDescent="0.2">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x14ac:dyDescent="0.2">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x14ac:dyDescent="0.2">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x14ac:dyDescent="0.2">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x14ac:dyDescent="0.2">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x14ac:dyDescent="0.2">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x14ac:dyDescent="0.2">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172.04818725585938</v>
      </c>
      <c r="J626" s="187" t="s">
        <v>941</v>
      </c>
      <c r="K626" s="187" t="s">
        <v>116</v>
      </c>
      <c r="M626" s="195"/>
      <c r="N626" s="195"/>
      <c r="O626" s="199"/>
      <c r="P626" s="188"/>
      <c r="Q626" s="174">
        <v>0</v>
      </c>
    </row>
    <row r="627" spans="1:17" ht="14.25" x14ac:dyDescent="0.2">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253.01205444335938</v>
      </c>
      <c r="J627" s="187" t="s">
        <v>941</v>
      </c>
      <c r="K627" s="187" t="s">
        <v>116</v>
      </c>
      <c r="M627" s="195"/>
      <c r="N627" s="195"/>
      <c r="O627" s="199"/>
      <c r="P627" s="188"/>
      <c r="Q627" s="174">
        <v>0</v>
      </c>
    </row>
    <row r="628" spans="1:17" ht="14.25" x14ac:dyDescent="0.2">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x14ac:dyDescent="0.2">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256.38552856445313</v>
      </c>
      <c r="J629" s="187" t="s">
        <v>941</v>
      </c>
      <c r="K629" s="187" t="s">
        <v>116</v>
      </c>
      <c r="M629" s="195"/>
      <c r="N629" s="195"/>
      <c r="O629" s="199"/>
      <c r="P629" s="188"/>
      <c r="Q629" s="174">
        <v>0</v>
      </c>
    </row>
    <row r="630" spans="1:17" ht="14.25" x14ac:dyDescent="0.2">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x14ac:dyDescent="0.2">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x14ac:dyDescent="0.2">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x14ac:dyDescent="0.2">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x14ac:dyDescent="0.2">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x14ac:dyDescent="0.2">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x14ac:dyDescent="0.2">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258.07229614257813</v>
      </c>
      <c r="J636" s="187" t="s">
        <v>941</v>
      </c>
      <c r="K636" s="187" t="s">
        <v>116</v>
      </c>
      <c r="M636" s="195"/>
      <c r="N636" s="195"/>
      <c r="O636" s="199"/>
      <c r="P636" s="188"/>
      <c r="Q636" s="174">
        <v>0</v>
      </c>
    </row>
    <row r="637" spans="1:17" ht="14.25" x14ac:dyDescent="0.2">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360.96383666992188</v>
      </c>
      <c r="J637" s="187" t="s">
        <v>941</v>
      </c>
      <c r="K637" s="187" t="s">
        <v>116</v>
      </c>
      <c r="M637" s="195"/>
      <c r="N637" s="195"/>
      <c r="O637" s="199"/>
      <c r="P637" s="188"/>
      <c r="Q637" s="174">
        <v>0</v>
      </c>
    </row>
    <row r="638" spans="1:17" ht="14.25" x14ac:dyDescent="0.2">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x14ac:dyDescent="0.2">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x14ac:dyDescent="0.2">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x14ac:dyDescent="0.2">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x14ac:dyDescent="0.2">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x14ac:dyDescent="0.2">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x14ac:dyDescent="0.2">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x14ac:dyDescent="0.2">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x14ac:dyDescent="0.2">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x14ac:dyDescent="0.2">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x14ac:dyDescent="0.2">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x14ac:dyDescent="0.2">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x14ac:dyDescent="0.2">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x14ac:dyDescent="0.2">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x14ac:dyDescent="0.2">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x14ac:dyDescent="0.2">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x14ac:dyDescent="0.2">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x14ac:dyDescent="0.2">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x14ac:dyDescent="0.2">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x14ac:dyDescent="0.2">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x14ac:dyDescent="0.2">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x14ac:dyDescent="0.2">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x14ac:dyDescent="0.2">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x14ac:dyDescent="0.2">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x14ac:dyDescent="0.2">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x14ac:dyDescent="0.2">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x14ac:dyDescent="0.2">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x14ac:dyDescent="0.2">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x14ac:dyDescent="0.2">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x14ac:dyDescent="0.2">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x14ac:dyDescent="0.2">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x14ac:dyDescent="0.2">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247.92330932617188</v>
      </c>
      <c r="J669" s="187" t="s">
        <v>941</v>
      </c>
      <c r="K669" s="187" t="s">
        <v>116</v>
      </c>
      <c r="M669" s="195"/>
      <c r="N669" s="195"/>
      <c r="O669" s="199"/>
      <c r="P669" s="188"/>
      <c r="Q669" s="174">
        <v>0</v>
      </c>
    </row>
    <row r="670" spans="1:17" ht="14.25" x14ac:dyDescent="0.2">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x14ac:dyDescent="0.2">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x14ac:dyDescent="0.2">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187.85940551757813</v>
      </c>
      <c r="J672" s="187" t="s">
        <v>941</v>
      </c>
      <c r="K672" s="187" t="s">
        <v>116</v>
      </c>
      <c r="M672" s="195"/>
      <c r="N672" s="195"/>
      <c r="O672" s="199"/>
      <c r="P672" s="188"/>
      <c r="Q672" s="174">
        <v>0</v>
      </c>
    </row>
    <row r="673" spans="1:17" ht="14.25" x14ac:dyDescent="0.2">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x14ac:dyDescent="0.2">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x14ac:dyDescent="0.2">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x14ac:dyDescent="0.2">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x14ac:dyDescent="0.2">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x14ac:dyDescent="0.2">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x14ac:dyDescent="0.2">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x14ac:dyDescent="0.2">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x14ac:dyDescent="0.2">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213.19149780273438</v>
      </c>
      <c r="J681" s="187" t="s">
        <v>941</v>
      </c>
      <c r="K681" s="187" t="s">
        <v>116</v>
      </c>
      <c r="M681" s="195"/>
      <c r="N681" s="195"/>
      <c r="O681" s="199"/>
      <c r="P681" s="188"/>
      <c r="Q681" s="174">
        <v>0</v>
      </c>
    </row>
    <row r="682" spans="1:17" ht="14.25" x14ac:dyDescent="0.2">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333.19149780273438</v>
      </c>
      <c r="J682" s="187" t="s">
        <v>941</v>
      </c>
      <c r="K682" s="187" t="s">
        <v>116</v>
      </c>
      <c r="M682" s="195"/>
      <c r="N682" s="195"/>
      <c r="O682" s="199"/>
      <c r="P682" s="188"/>
      <c r="Q682" s="174">
        <v>0</v>
      </c>
    </row>
    <row r="683" spans="1:17" ht="14.25" x14ac:dyDescent="0.2">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448.08511352539063</v>
      </c>
      <c r="J683" s="187" t="s">
        <v>941</v>
      </c>
      <c r="K683" s="187" t="s">
        <v>116</v>
      </c>
      <c r="M683" s="195"/>
      <c r="N683" s="195"/>
      <c r="O683" s="199"/>
      <c r="P683" s="188"/>
      <c r="Q683" s="174">
        <v>0</v>
      </c>
    </row>
    <row r="684" spans="1:17" ht="14.25" x14ac:dyDescent="0.2">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x14ac:dyDescent="0.2">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511.91488647460938</v>
      </c>
      <c r="J685" s="187" t="s">
        <v>941</v>
      </c>
      <c r="K685" s="187" t="s">
        <v>116</v>
      </c>
      <c r="M685" s="195"/>
      <c r="N685" s="195"/>
      <c r="O685" s="199"/>
      <c r="P685" s="188"/>
      <c r="Q685" s="174">
        <v>0</v>
      </c>
    </row>
    <row r="686" spans="1:17" ht="14.25" x14ac:dyDescent="0.2">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x14ac:dyDescent="0.2">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x14ac:dyDescent="0.2">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277.02127075195313</v>
      </c>
      <c r="J688" s="187" t="s">
        <v>941</v>
      </c>
      <c r="K688" s="187" t="s">
        <v>116</v>
      </c>
      <c r="M688" s="195"/>
      <c r="N688" s="195"/>
      <c r="O688" s="199"/>
      <c r="P688" s="188"/>
      <c r="Q688" s="174">
        <v>0</v>
      </c>
    </row>
    <row r="689" spans="1:17" ht="14.25" x14ac:dyDescent="0.2">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x14ac:dyDescent="0.2">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x14ac:dyDescent="0.2">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x14ac:dyDescent="0.2">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x14ac:dyDescent="0.2">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x14ac:dyDescent="0.2">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x14ac:dyDescent="0.2">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x14ac:dyDescent="0.2">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x14ac:dyDescent="0.2">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x14ac:dyDescent="0.2">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x14ac:dyDescent="0.2">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x14ac:dyDescent="0.2">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x14ac:dyDescent="0.2">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x14ac:dyDescent="0.2">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x14ac:dyDescent="0.2">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x14ac:dyDescent="0.2">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x14ac:dyDescent="0.2">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x14ac:dyDescent="0.2">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x14ac:dyDescent="0.2">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x14ac:dyDescent="0.2">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x14ac:dyDescent="0.2">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x14ac:dyDescent="0.2">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x14ac:dyDescent="0.2">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x14ac:dyDescent="0.2">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x14ac:dyDescent="0.2">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x14ac:dyDescent="0.2">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x14ac:dyDescent="0.2">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x14ac:dyDescent="0.2">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x14ac:dyDescent="0.2">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x14ac:dyDescent="0.2">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x14ac:dyDescent="0.2">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x14ac:dyDescent="0.2">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x14ac:dyDescent="0.2">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x14ac:dyDescent="0.2">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x14ac:dyDescent="0.2">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x14ac:dyDescent="0.2">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x14ac:dyDescent="0.2">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x14ac:dyDescent="0.2">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x14ac:dyDescent="0.2">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x14ac:dyDescent="0.2">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x14ac:dyDescent="0.2">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x14ac:dyDescent="0.2">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1357</v>
      </c>
      <c r="Q731" s="183"/>
    </row>
    <row r="732" spans="1:17" x14ac:dyDescent="0.2">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1358</v>
      </c>
      <c r="Q757" s="183"/>
    </row>
    <row r="758" spans="1:17" x14ac:dyDescent="0.2">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1359</v>
      </c>
      <c r="Q772" s="183"/>
    </row>
    <row r="773" spans="1:17" x14ac:dyDescent="0.2">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1358</v>
      </c>
      <c r="Q786" s="183"/>
    </row>
    <row r="787" spans="1:17" ht="14.25" x14ac:dyDescent="0.2">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x14ac:dyDescent="0.2">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x14ac:dyDescent="0.2">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x14ac:dyDescent="0.2">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x14ac:dyDescent="0.2">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x14ac:dyDescent="0.2">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x14ac:dyDescent="0.2">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x14ac:dyDescent="0.2">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x14ac:dyDescent="0.2">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x14ac:dyDescent="0.2">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x14ac:dyDescent="0.2">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x14ac:dyDescent="0.2">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x14ac:dyDescent="0.2">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x14ac:dyDescent="0.2">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x14ac:dyDescent="0.2">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x14ac:dyDescent="0.2">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x14ac:dyDescent="0.2">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x14ac:dyDescent="0.2">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x14ac:dyDescent="0.2">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x14ac:dyDescent="0.2">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x14ac:dyDescent="0.2">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x14ac:dyDescent="0.2">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x14ac:dyDescent="0.2">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x14ac:dyDescent="0.2">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x14ac:dyDescent="0.2">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x14ac:dyDescent="0.2">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x14ac:dyDescent="0.2">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x14ac:dyDescent="0.2">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x14ac:dyDescent="0.2">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x14ac:dyDescent="0.2">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x14ac:dyDescent="0.2">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x14ac:dyDescent="0.2">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x14ac:dyDescent="0.2">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x14ac:dyDescent="0.2">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x14ac:dyDescent="0.2">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x14ac:dyDescent="0.2">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x14ac:dyDescent="0.2">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x14ac:dyDescent="0.2">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x14ac:dyDescent="0.2">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x14ac:dyDescent="0.2">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x14ac:dyDescent="0.2">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x14ac:dyDescent="0.2">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x14ac:dyDescent="0.2">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x14ac:dyDescent="0.2">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x14ac:dyDescent="0.2">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x14ac:dyDescent="0.2">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x14ac:dyDescent="0.2">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x14ac:dyDescent="0.2">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x14ac:dyDescent="0.2">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x14ac:dyDescent="0.2">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x14ac:dyDescent="0.2">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x14ac:dyDescent="0.2">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x14ac:dyDescent="0.2">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x14ac:dyDescent="0.2">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x14ac:dyDescent="0.2">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x14ac:dyDescent="0.2">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x14ac:dyDescent="0.2">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x14ac:dyDescent="0.2">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x14ac:dyDescent="0.2">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x14ac:dyDescent="0.2">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x14ac:dyDescent="0.2">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x14ac:dyDescent="0.2">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x14ac:dyDescent="0.2">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x14ac:dyDescent="0.2">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x14ac:dyDescent="0.2">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x14ac:dyDescent="0.2">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x14ac:dyDescent="0.2">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x14ac:dyDescent="0.2">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x14ac:dyDescent="0.2">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x14ac:dyDescent="0.2">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x14ac:dyDescent="0.2">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x14ac:dyDescent="0.2">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x14ac:dyDescent="0.2">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x14ac:dyDescent="0.2">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x14ac:dyDescent="0.2">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x14ac:dyDescent="0.2">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x14ac:dyDescent="0.2">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x14ac:dyDescent="0.2">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x14ac:dyDescent="0.2">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x14ac:dyDescent="0.2">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x14ac:dyDescent="0.2">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x14ac:dyDescent="0.2">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x14ac:dyDescent="0.2">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x14ac:dyDescent="0.2">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x14ac:dyDescent="0.2">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x14ac:dyDescent="0.2">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x14ac:dyDescent="0.2">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x14ac:dyDescent="0.2">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x14ac:dyDescent="0.2">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x14ac:dyDescent="0.2">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x14ac:dyDescent="0.2">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x14ac:dyDescent="0.2">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x14ac:dyDescent="0.2">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x14ac:dyDescent="0.2">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x14ac:dyDescent="0.2">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x14ac:dyDescent="0.2">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x14ac:dyDescent="0.2">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x14ac:dyDescent="0.2">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x14ac:dyDescent="0.2">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x14ac:dyDescent="0.2">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x14ac:dyDescent="0.2">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x14ac:dyDescent="0.2">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x14ac:dyDescent="0.2">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x14ac:dyDescent="0.2">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x14ac:dyDescent="0.2">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x14ac:dyDescent="0.2">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x14ac:dyDescent="0.2">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x14ac:dyDescent="0.2">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x14ac:dyDescent="0.2">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x14ac:dyDescent="0.2">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x14ac:dyDescent="0.2">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x14ac:dyDescent="0.2">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x14ac:dyDescent="0.2">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x14ac:dyDescent="0.2">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x14ac:dyDescent="0.2">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4.25" x14ac:dyDescent="0.2">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x14ac:dyDescent="0.2">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x14ac:dyDescent="0.2">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x14ac:dyDescent="0.2">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x14ac:dyDescent="0.2">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x14ac:dyDescent="0.2">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x14ac:dyDescent="0.2">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x14ac:dyDescent="0.2">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x14ac:dyDescent="0.2">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x14ac:dyDescent="0.2">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4.25" x14ac:dyDescent="0.2">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4.25" x14ac:dyDescent="0.2">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4.25" x14ac:dyDescent="0.2">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4.25" x14ac:dyDescent="0.2">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x14ac:dyDescent="0.2">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x14ac:dyDescent="0.2">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x14ac:dyDescent="0.2">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x14ac:dyDescent="0.2">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x14ac:dyDescent="0.2">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x14ac:dyDescent="0.2">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x14ac:dyDescent="0.2">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x14ac:dyDescent="0.2">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x14ac:dyDescent="0.2">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x14ac:dyDescent="0.2">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x14ac:dyDescent="0.2">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x14ac:dyDescent="0.2">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4.25" x14ac:dyDescent="0.2">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x14ac:dyDescent="0.2">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x14ac:dyDescent="0.2">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x14ac:dyDescent="0.2">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x14ac:dyDescent="0.2">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x14ac:dyDescent="0.2">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x14ac:dyDescent="0.2">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x14ac:dyDescent="0.2">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x14ac:dyDescent="0.2">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x14ac:dyDescent="0.2">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x14ac:dyDescent="0.2">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x14ac:dyDescent="0.2">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x14ac:dyDescent="0.2">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x14ac:dyDescent="0.2">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x14ac:dyDescent="0.2">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x14ac:dyDescent="0.2">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x14ac:dyDescent="0.2">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x14ac:dyDescent="0.2">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x14ac:dyDescent="0.2">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x14ac:dyDescent="0.2">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x14ac:dyDescent="0.2">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x14ac:dyDescent="0.2">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x14ac:dyDescent="0.2">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x14ac:dyDescent="0.2">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x14ac:dyDescent="0.2">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x14ac:dyDescent="0.2">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1339</v>
      </c>
      <c r="Q990" s="183"/>
    </row>
    <row r="991" spans="1:17" x14ac:dyDescent="0.2">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1340</v>
      </c>
      <c r="Q1005" s="183"/>
    </row>
    <row r="1006" spans="1:17" x14ac:dyDescent="0.2">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1340</v>
      </c>
      <c r="Q1013" s="183"/>
    </row>
    <row r="1014" spans="1:17" ht="14.25" x14ac:dyDescent="0.2">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x14ac:dyDescent="0.2">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x14ac:dyDescent="0.2">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x14ac:dyDescent="0.2">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x14ac:dyDescent="0.2">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x14ac:dyDescent="0.2">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x14ac:dyDescent="0.2">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x14ac:dyDescent="0.2">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x14ac:dyDescent="0.2">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x14ac:dyDescent="0.2">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x14ac:dyDescent="0.2">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x14ac:dyDescent="0.2">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x14ac:dyDescent="0.2">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x14ac:dyDescent="0.2">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x14ac:dyDescent="0.2">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x14ac:dyDescent="0.2">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x14ac:dyDescent="0.2">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x14ac:dyDescent="0.2">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x14ac:dyDescent="0.2">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x14ac:dyDescent="0.2">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x14ac:dyDescent="0.2">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x14ac:dyDescent="0.2">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x14ac:dyDescent="0.2">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x14ac:dyDescent="0.2">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x14ac:dyDescent="0.2">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x14ac:dyDescent="0.2">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x14ac:dyDescent="0.2">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x14ac:dyDescent="0.2">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x14ac:dyDescent="0.2">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x14ac:dyDescent="0.2">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x14ac:dyDescent="0.2">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x14ac:dyDescent="0.2">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x14ac:dyDescent="0.2">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x14ac:dyDescent="0.2">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x14ac:dyDescent="0.2">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x14ac:dyDescent="0.2">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x14ac:dyDescent="0.2">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x14ac:dyDescent="0.2">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x14ac:dyDescent="0.2">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x14ac:dyDescent="0.2">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x14ac:dyDescent="0.2">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x14ac:dyDescent="0.2">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x14ac:dyDescent="0.2">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x14ac:dyDescent="0.2">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x14ac:dyDescent="0.2">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x14ac:dyDescent="0.2">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x14ac:dyDescent="0.2">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x14ac:dyDescent="0.2">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x14ac:dyDescent="0.2">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x14ac:dyDescent="0.2">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x14ac:dyDescent="0.2">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x14ac:dyDescent="0.2">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x14ac:dyDescent="0.2">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x14ac:dyDescent="0.2">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x14ac:dyDescent="0.2">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x14ac:dyDescent="0.2">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x14ac:dyDescent="0.2">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x14ac:dyDescent="0.2">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x14ac:dyDescent="0.2">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x14ac:dyDescent="0.2">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x14ac:dyDescent="0.2">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x14ac:dyDescent="0.2">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x14ac:dyDescent="0.2">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x14ac:dyDescent="0.2">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x14ac:dyDescent="0.2">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x14ac:dyDescent="0.2">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x14ac:dyDescent="0.2">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x14ac:dyDescent="0.2">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x14ac:dyDescent="0.2">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x14ac:dyDescent="0.2">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x14ac:dyDescent="0.2">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x14ac:dyDescent="0.2">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x14ac:dyDescent="0.2">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x14ac:dyDescent="0.2">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x14ac:dyDescent="0.2">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x14ac:dyDescent="0.2">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x14ac:dyDescent="0.2">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x14ac:dyDescent="0.2">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x14ac:dyDescent="0.2">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x14ac:dyDescent="0.2">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x14ac:dyDescent="0.2">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x14ac:dyDescent="0.2">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x14ac:dyDescent="0.2">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x14ac:dyDescent="0.2">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x14ac:dyDescent="0.2">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x14ac:dyDescent="0.2">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x14ac:dyDescent="0.2">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x14ac:dyDescent="0.2">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x14ac:dyDescent="0.2">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x14ac:dyDescent="0.2">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x14ac:dyDescent="0.2">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x14ac:dyDescent="0.2">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x14ac:dyDescent="0.2">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x14ac:dyDescent="0.2">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x14ac:dyDescent="0.2">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x14ac:dyDescent="0.2">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x14ac:dyDescent="0.2">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x14ac:dyDescent="0.2">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x14ac:dyDescent="0.2">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x14ac:dyDescent="0.2">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x14ac:dyDescent="0.2">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x14ac:dyDescent="0.2">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x14ac:dyDescent="0.2">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x14ac:dyDescent="0.2">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x14ac:dyDescent="0.2">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x14ac:dyDescent="0.2">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x14ac:dyDescent="0.2">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x14ac:dyDescent="0.2">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x14ac:dyDescent="0.2">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x14ac:dyDescent="0.2">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x14ac:dyDescent="0.2">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x14ac:dyDescent="0.2">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x14ac:dyDescent="0.2">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x14ac:dyDescent="0.2">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x14ac:dyDescent="0.2">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x14ac:dyDescent="0.2">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x14ac:dyDescent="0.2">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x14ac:dyDescent="0.2">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x14ac:dyDescent="0.2">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x14ac:dyDescent="0.2">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x14ac:dyDescent="0.2">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x14ac:dyDescent="0.2">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x14ac:dyDescent="0.2">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x14ac:dyDescent="0.2">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x14ac:dyDescent="0.2">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x14ac:dyDescent="0.2">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x14ac:dyDescent="0.2">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x14ac:dyDescent="0.2">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x14ac:dyDescent="0.2">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x14ac:dyDescent="0.2">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x14ac:dyDescent="0.2">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x14ac:dyDescent="0.2">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x14ac:dyDescent="0.2">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x14ac:dyDescent="0.2">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x14ac:dyDescent="0.2">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x14ac:dyDescent="0.2">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x14ac:dyDescent="0.2">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x14ac:dyDescent="0.2">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x14ac:dyDescent="0.2">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x14ac:dyDescent="0.2">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x14ac:dyDescent="0.2">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x14ac:dyDescent="0.2">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x14ac:dyDescent="0.2">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x14ac:dyDescent="0.2">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x14ac:dyDescent="0.2">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x14ac:dyDescent="0.2">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x14ac:dyDescent="0.2">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x14ac:dyDescent="0.2">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x14ac:dyDescent="0.2">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x14ac:dyDescent="0.2">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x14ac:dyDescent="0.2">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x14ac:dyDescent="0.2">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x14ac:dyDescent="0.2">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x14ac:dyDescent="0.2">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x14ac:dyDescent="0.2">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x14ac:dyDescent="0.2">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x14ac:dyDescent="0.2">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x14ac:dyDescent="0.2">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x14ac:dyDescent="0.2">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x14ac:dyDescent="0.2">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x14ac:dyDescent="0.2">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x14ac:dyDescent="0.2">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x14ac:dyDescent="0.2">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x14ac:dyDescent="0.2">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x14ac:dyDescent="0.2">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x14ac:dyDescent="0.2">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x14ac:dyDescent="0.2">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x14ac:dyDescent="0.2">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x14ac:dyDescent="0.2">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x14ac:dyDescent="0.2">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x14ac:dyDescent="0.2">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x14ac:dyDescent="0.2">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x14ac:dyDescent="0.2">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x14ac:dyDescent="0.2">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x14ac:dyDescent="0.2">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x14ac:dyDescent="0.2">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x14ac:dyDescent="0.2">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x14ac:dyDescent="0.2">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x14ac:dyDescent="0.2">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x14ac:dyDescent="0.2">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x14ac:dyDescent="0.2">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x14ac:dyDescent="0.2">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x14ac:dyDescent="0.2">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x14ac:dyDescent="0.2">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x14ac:dyDescent="0.2">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x14ac:dyDescent="0.2">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x14ac:dyDescent="0.2">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x14ac:dyDescent="0.2">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x14ac:dyDescent="0.2">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x14ac:dyDescent="0.2">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x14ac:dyDescent="0.2">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x14ac:dyDescent="0.2">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x14ac:dyDescent="0.2">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x14ac:dyDescent="0.2">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x14ac:dyDescent="0.2">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x14ac:dyDescent="0.2">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x14ac:dyDescent="0.2">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x14ac:dyDescent="0.2">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x14ac:dyDescent="0.2">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x14ac:dyDescent="0.2">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x14ac:dyDescent="0.2">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x14ac:dyDescent="0.2">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x14ac:dyDescent="0.2">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x14ac:dyDescent="0.2">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x14ac:dyDescent="0.2">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x14ac:dyDescent="0.2">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x14ac:dyDescent="0.2">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x14ac:dyDescent="0.2">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x14ac:dyDescent="0.2">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x14ac:dyDescent="0.2">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x14ac:dyDescent="0.2">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x14ac:dyDescent="0.2">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x14ac:dyDescent="0.2">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x14ac:dyDescent="0.2">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x14ac:dyDescent="0.2">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x14ac:dyDescent="0.2">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x14ac:dyDescent="0.2">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x14ac:dyDescent="0.2">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x14ac:dyDescent="0.2">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x14ac:dyDescent="0.2">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x14ac:dyDescent="0.2">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x14ac:dyDescent="0.2">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x14ac:dyDescent="0.2">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x14ac:dyDescent="0.2">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x14ac:dyDescent="0.2">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x14ac:dyDescent="0.2">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x14ac:dyDescent="0.2">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x14ac:dyDescent="0.2">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x14ac:dyDescent="0.2">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x14ac:dyDescent="0.2">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x14ac:dyDescent="0.2">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x14ac:dyDescent="0.2">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x14ac:dyDescent="0.2">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x14ac:dyDescent="0.2">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x14ac:dyDescent="0.2">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x14ac:dyDescent="0.2">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x14ac:dyDescent="0.2">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x14ac:dyDescent="0.2">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x14ac:dyDescent="0.2">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x14ac:dyDescent="0.2">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x14ac:dyDescent="0.2">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x14ac:dyDescent="0.2">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x14ac:dyDescent="0.2">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x14ac:dyDescent="0.2">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x14ac:dyDescent="0.2">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x14ac:dyDescent="0.2">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x14ac:dyDescent="0.2">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x14ac:dyDescent="0.2">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x14ac:dyDescent="0.2">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x14ac:dyDescent="0.2">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x14ac:dyDescent="0.2">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x14ac:dyDescent="0.2">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x14ac:dyDescent="0.2">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x14ac:dyDescent="0.2">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x14ac:dyDescent="0.2">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x14ac:dyDescent="0.2">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x14ac:dyDescent="0.2">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x14ac:dyDescent="0.2">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x14ac:dyDescent="0.2">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x14ac:dyDescent="0.2">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x14ac:dyDescent="0.2">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x14ac:dyDescent="0.2">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x14ac:dyDescent="0.2">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x14ac:dyDescent="0.2">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x14ac:dyDescent="0.2">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x14ac:dyDescent="0.2">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x14ac:dyDescent="0.2">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x14ac:dyDescent="0.2">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x14ac:dyDescent="0.2">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x14ac:dyDescent="0.2">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x14ac:dyDescent="0.2">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x14ac:dyDescent="0.2">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x14ac:dyDescent="0.2">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x14ac:dyDescent="0.2">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x14ac:dyDescent="0.2">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x14ac:dyDescent="0.2">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x14ac:dyDescent="0.2">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x14ac:dyDescent="0.2">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x14ac:dyDescent="0.2">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x14ac:dyDescent="0.2">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x14ac:dyDescent="0.2">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x14ac:dyDescent="0.2">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x14ac:dyDescent="0.2">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x14ac:dyDescent="0.2">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x14ac:dyDescent="0.2">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x14ac:dyDescent="0.2">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x14ac:dyDescent="0.2">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x14ac:dyDescent="0.2">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x14ac:dyDescent="0.2">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x14ac:dyDescent="0.2">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x14ac:dyDescent="0.2">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x14ac:dyDescent="0.2">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x14ac:dyDescent="0.2">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x14ac:dyDescent="0.2">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x14ac:dyDescent="0.2">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x14ac:dyDescent="0.2">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x14ac:dyDescent="0.2">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x14ac:dyDescent="0.2">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x14ac:dyDescent="0.2">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x14ac:dyDescent="0.2">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x14ac:dyDescent="0.2">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x14ac:dyDescent="0.2">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x14ac:dyDescent="0.2">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x14ac:dyDescent="0.2">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x14ac:dyDescent="0.2">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x14ac:dyDescent="0.2">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x14ac:dyDescent="0.2">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x14ac:dyDescent="0.2">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x14ac:dyDescent="0.2">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x14ac:dyDescent="0.2">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x14ac:dyDescent="0.2">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x14ac:dyDescent="0.2">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x14ac:dyDescent="0.2">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x14ac:dyDescent="0.2">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x14ac:dyDescent="0.2">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x14ac:dyDescent="0.2">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x14ac:dyDescent="0.2">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x14ac:dyDescent="0.2">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x14ac:dyDescent="0.2">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x14ac:dyDescent="0.2">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x14ac:dyDescent="0.2">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x14ac:dyDescent="0.2">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x14ac:dyDescent="0.2">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x14ac:dyDescent="0.2">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x14ac:dyDescent="0.2">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x14ac:dyDescent="0.2">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x14ac:dyDescent="0.2">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x14ac:dyDescent="0.2">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x14ac:dyDescent="0.2">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x14ac:dyDescent="0.2">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x14ac:dyDescent="0.2">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x14ac:dyDescent="0.2">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x14ac:dyDescent="0.2">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x14ac:dyDescent="0.2">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x14ac:dyDescent="0.2">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x14ac:dyDescent="0.2">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x14ac:dyDescent="0.2">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x14ac:dyDescent="0.2">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x14ac:dyDescent="0.2">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x14ac:dyDescent="0.2">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x14ac:dyDescent="0.2">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x14ac:dyDescent="0.2">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x14ac:dyDescent="0.2">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x14ac:dyDescent="0.2">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x14ac:dyDescent="0.2">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x14ac:dyDescent="0.2">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x14ac:dyDescent="0.2">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x14ac:dyDescent="0.2">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x14ac:dyDescent="0.2">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x14ac:dyDescent="0.2">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x14ac:dyDescent="0.2">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x14ac:dyDescent="0.2">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x14ac:dyDescent="0.2">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x14ac:dyDescent="0.2">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x14ac:dyDescent="0.2">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x14ac:dyDescent="0.2">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x14ac:dyDescent="0.2">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x14ac:dyDescent="0.2">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x14ac:dyDescent="0.2">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x14ac:dyDescent="0.2">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x14ac:dyDescent="0.2">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x14ac:dyDescent="0.2">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x14ac:dyDescent="0.2">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x14ac:dyDescent="0.2">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x14ac:dyDescent="0.2">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x14ac:dyDescent="0.2">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x14ac:dyDescent="0.2">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x14ac:dyDescent="0.2">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x14ac:dyDescent="0.2">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x14ac:dyDescent="0.2">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x14ac:dyDescent="0.2">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x14ac:dyDescent="0.2">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x14ac:dyDescent="0.2">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x14ac:dyDescent="0.2">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x14ac:dyDescent="0.2">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x14ac:dyDescent="0.2">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x14ac:dyDescent="0.2">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x14ac:dyDescent="0.2">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x14ac:dyDescent="0.2">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x14ac:dyDescent="0.2">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x14ac:dyDescent="0.2">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x14ac:dyDescent="0.2">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x14ac:dyDescent="0.2">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x14ac:dyDescent="0.2">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x14ac:dyDescent="0.2">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x14ac:dyDescent="0.2">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x14ac:dyDescent="0.2">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x14ac:dyDescent="0.2">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x14ac:dyDescent="0.2">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x14ac:dyDescent="0.2">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x14ac:dyDescent="0.2">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x14ac:dyDescent="0.2">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x14ac:dyDescent="0.2">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x14ac:dyDescent="0.2">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x14ac:dyDescent="0.2">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x14ac:dyDescent="0.2">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x14ac:dyDescent="0.2">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x14ac:dyDescent="0.2">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x14ac:dyDescent="0.2">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x14ac:dyDescent="0.2">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x14ac:dyDescent="0.2">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x14ac:dyDescent="0.2">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x14ac:dyDescent="0.2">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x14ac:dyDescent="0.2">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x14ac:dyDescent="0.2">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x14ac:dyDescent="0.2">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x14ac:dyDescent="0.2">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x14ac:dyDescent="0.2">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x14ac:dyDescent="0.2">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x14ac:dyDescent="0.2">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x14ac:dyDescent="0.2">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x14ac:dyDescent="0.2">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x14ac:dyDescent="0.2">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x14ac:dyDescent="0.2">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x14ac:dyDescent="0.2">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x14ac:dyDescent="0.2">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x14ac:dyDescent="0.2">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x14ac:dyDescent="0.2">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x14ac:dyDescent="0.2">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x14ac:dyDescent="0.2">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x14ac:dyDescent="0.2">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x14ac:dyDescent="0.2">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x14ac:dyDescent="0.2">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x14ac:dyDescent="0.2">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x14ac:dyDescent="0.2">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x14ac:dyDescent="0.2">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x14ac:dyDescent="0.2">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x14ac:dyDescent="0.2">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x14ac:dyDescent="0.2">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x14ac:dyDescent="0.2">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x14ac:dyDescent="0.2">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x14ac:dyDescent="0.2">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x14ac:dyDescent="0.2">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x14ac:dyDescent="0.2">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x14ac:dyDescent="0.2">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x14ac:dyDescent="0.2">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x14ac:dyDescent="0.2">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x14ac:dyDescent="0.2">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x14ac:dyDescent="0.2">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x14ac:dyDescent="0.2">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x14ac:dyDescent="0.2">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x14ac:dyDescent="0.2">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x14ac:dyDescent="0.2">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x14ac:dyDescent="0.2">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x14ac:dyDescent="0.2">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x14ac:dyDescent="0.2">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x14ac:dyDescent="0.2">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x14ac:dyDescent="0.2">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x14ac:dyDescent="0.2">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x14ac:dyDescent="0.2">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x14ac:dyDescent="0.2">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x14ac:dyDescent="0.2">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x14ac:dyDescent="0.2">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x14ac:dyDescent="0.2">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x14ac:dyDescent="0.2">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x14ac:dyDescent="0.2">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x14ac:dyDescent="0.2">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x14ac:dyDescent="0.2">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x14ac:dyDescent="0.2">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x14ac:dyDescent="0.2">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x14ac:dyDescent="0.2">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x14ac:dyDescent="0.2">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x14ac:dyDescent="0.2">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x14ac:dyDescent="0.2">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x14ac:dyDescent="0.2">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x14ac:dyDescent="0.2">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x14ac:dyDescent="0.2">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x14ac:dyDescent="0.2">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x14ac:dyDescent="0.2">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x14ac:dyDescent="0.2">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x14ac:dyDescent="0.2">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x14ac:dyDescent="0.2">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x14ac:dyDescent="0.2">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x14ac:dyDescent="0.2">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x14ac:dyDescent="0.2">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x14ac:dyDescent="0.2">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x14ac:dyDescent="0.2">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x14ac:dyDescent="0.2">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x14ac:dyDescent="0.2">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x14ac:dyDescent="0.2">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x14ac:dyDescent="0.2">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x14ac:dyDescent="0.2">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x14ac:dyDescent="0.2">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x14ac:dyDescent="0.2">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x14ac:dyDescent="0.2">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x14ac:dyDescent="0.2">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x14ac:dyDescent="0.2">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x14ac:dyDescent="0.2">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x14ac:dyDescent="0.2">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x14ac:dyDescent="0.2">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x14ac:dyDescent="0.2">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x14ac:dyDescent="0.2">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x14ac:dyDescent="0.2">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x14ac:dyDescent="0.2">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x14ac:dyDescent="0.2">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x14ac:dyDescent="0.2">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x14ac:dyDescent="0.2">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x14ac:dyDescent="0.2">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x14ac:dyDescent="0.2">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x14ac:dyDescent="0.2">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x14ac:dyDescent="0.2">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x14ac:dyDescent="0.2">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x14ac:dyDescent="0.2">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x14ac:dyDescent="0.2">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x14ac:dyDescent="0.2">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x14ac:dyDescent="0.2">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x14ac:dyDescent="0.2">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x14ac:dyDescent="0.2">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x14ac:dyDescent="0.2">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x14ac:dyDescent="0.2">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x14ac:dyDescent="0.2">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x14ac:dyDescent="0.2">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x14ac:dyDescent="0.2">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x14ac:dyDescent="0.2">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x14ac:dyDescent="0.2">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x14ac:dyDescent="0.2">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x14ac:dyDescent="0.2">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x14ac:dyDescent="0.2">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x14ac:dyDescent="0.2">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x14ac:dyDescent="0.2">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x14ac:dyDescent="0.2">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x14ac:dyDescent="0.2">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x14ac:dyDescent="0.2">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x14ac:dyDescent="0.2">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x14ac:dyDescent="0.2">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x14ac:dyDescent="0.2">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x14ac:dyDescent="0.2">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x14ac:dyDescent="0.2">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x14ac:dyDescent="0.2">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x14ac:dyDescent="0.2">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x14ac:dyDescent="0.2">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x14ac:dyDescent="0.2">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x14ac:dyDescent="0.2">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x14ac:dyDescent="0.2">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x14ac:dyDescent="0.2">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x14ac:dyDescent="0.2">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x14ac:dyDescent="0.2">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x14ac:dyDescent="0.2">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x14ac:dyDescent="0.2">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x14ac:dyDescent="0.2">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x14ac:dyDescent="0.2">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x14ac:dyDescent="0.2">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x14ac:dyDescent="0.2">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x14ac:dyDescent="0.2">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x14ac:dyDescent="0.2">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x14ac:dyDescent="0.2">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x14ac:dyDescent="0.2">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x14ac:dyDescent="0.2">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x14ac:dyDescent="0.2">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x14ac:dyDescent="0.2">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x14ac:dyDescent="0.2">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x14ac:dyDescent="0.2">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x14ac:dyDescent="0.2">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x14ac:dyDescent="0.2">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x14ac:dyDescent="0.2">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x14ac:dyDescent="0.2">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x14ac:dyDescent="0.2">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x14ac:dyDescent="0.2">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x14ac:dyDescent="0.2">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x14ac:dyDescent="0.2">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x14ac:dyDescent="0.2">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x14ac:dyDescent="0.2">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x14ac:dyDescent="0.2">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x14ac:dyDescent="0.2">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x14ac:dyDescent="0.2">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x14ac:dyDescent="0.2">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x14ac:dyDescent="0.2">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x14ac:dyDescent="0.2">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x14ac:dyDescent="0.2">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x14ac:dyDescent="0.2">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x14ac:dyDescent="0.2">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x14ac:dyDescent="0.2">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x14ac:dyDescent="0.2">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x14ac:dyDescent="0.2">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x14ac:dyDescent="0.2">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x14ac:dyDescent="0.2">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x14ac:dyDescent="0.2">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x14ac:dyDescent="0.2">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x14ac:dyDescent="0.2">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x14ac:dyDescent="0.2">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x14ac:dyDescent="0.2">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x14ac:dyDescent="0.2">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x14ac:dyDescent="0.2">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x14ac:dyDescent="0.2">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x14ac:dyDescent="0.2">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x14ac:dyDescent="0.2">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x14ac:dyDescent="0.2">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x14ac:dyDescent="0.2">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x14ac:dyDescent="0.2">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x14ac:dyDescent="0.2">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x14ac:dyDescent="0.2">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x14ac:dyDescent="0.2">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x14ac:dyDescent="0.2">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x14ac:dyDescent="0.2">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x14ac:dyDescent="0.2">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x14ac:dyDescent="0.2">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x14ac:dyDescent="0.2">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x14ac:dyDescent="0.2">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x14ac:dyDescent="0.2">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x14ac:dyDescent="0.2">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x14ac:dyDescent="0.2">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x14ac:dyDescent="0.2">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x14ac:dyDescent="0.2">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x14ac:dyDescent="0.2">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x14ac:dyDescent="0.2">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x14ac:dyDescent="0.2">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x14ac:dyDescent="0.2">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x14ac:dyDescent="0.2">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x14ac:dyDescent="0.2">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x14ac:dyDescent="0.2">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x14ac:dyDescent="0.2">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x14ac:dyDescent="0.2">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x14ac:dyDescent="0.2">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x14ac:dyDescent="0.2">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x14ac:dyDescent="0.2">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x14ac:dyDescent="0.2">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x14ac:dyDescent="0.2">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x14ac:dyDescent="0.2">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x14ac:dyDescent="0.2">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x14ac:dyDescent="0.2">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x14ac:dyDescent="0.2">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x14ac:dyDescent="0.2">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x14ac:dyDescent="0.2">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x14ac:dyDescent="0.2">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x14ac:dyDescent="0.2">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x14ac:dyDescent="0.2">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x14ac:dyDescent="0.2">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x14ac:dyDescent="0.2">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x14ac:dyDescent="0.2">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x14ac:dyDescent="0.2">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x14ac:dyDescent="0.2">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x14ac:dyDescent="0.2">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x14ac:dyDescent="0.2">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x14ac:dyDescent="0.2">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x14ac:dyDescent="0.2">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x14ac:dyDescent="0.2">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x14ac:dyDescent="0.2">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x14ac:dyDescent="0.2">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x14ac:dyDescent="0.2">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x14ac:dyDescent="0.2">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x14ac:dyDescent="0.2">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x14ac:dyDescent="0.2">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x14ac:dyDescent="0.2">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x14ac:dyDescent="0.2">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x14ac:dyDescent="0.2">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x14ac:dyDescent="0.2">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x14ac:dyDescent="0.2">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x14ac:dyDescent="0.2">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x14ac:dyDescent="0.2">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x14ac:dyDescent="0.2">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x14ac:dyDescent="0.2">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x14ac:dyDescent="0.2">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x14ac:dyDescent="0.2">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x14ac:dyDescent="0.2">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x14ac:dyDescent="0.2">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x14ac:dyDescent="0.2">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x14ac:dyDescent="0.2">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x14ac:dyDescent="0.2">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x14ac:dyDescent="0.2">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x14ac:dyDescent="0.2">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x14ac:dyDescent="0.2">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x14ac:dyDescent="0.2">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x14ac:dyDescent="0.2">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x14ac:dyDescent="0.2">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x14ac:dyDescent="0.2">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x14ac:dyDescent="0.2">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x14ac:dyDescent="0.2">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x14ac:dyDescent="0.2">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x14ac:dyDescent="0.2">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x14ac:dyDescent="0.2">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x14ac:dyDescent="0.2">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x14ac:dyDescent="0.2">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x14ac:dyDescent="0.2">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x14ac:dyDescent="0.2">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x14ac:dyDescent="0.2">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x14ac:dyDescent="0.2">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x14ac:dyDescent="0.2">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x14ac:dyDescent="0.2">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x14ac:dyDescent="0.2">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x14ac:dyDescent="0.2">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x14ac:dyDescent="0.2">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x14ac:dyDescent="0.2">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x14ac:dyDescent="0.2">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x14ac:dyDescent="0.2">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x14ac:dyDescent="0.2">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x14ac:dyDescent="0.2">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x14ac:dyDescent="0.2">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x14ac:dyDescent="0.2">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x14ac:dyDescent="0.2">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x14ac:dyDescent="0.2">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x14ac:dyDescent="0.2">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x14ac:dyDescent="0.2">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x14ac:dyDescent="0.2">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x14ac:dyDescent="0.2">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x14ac:dyDescent="0.2">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x14ac:dyDescent="0.2">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x14ac:dyDescent="0.2">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x14ac:dyDescent="0.2">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x14ac:dyDescent="0.2">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x14ac:dyDescent="0.2">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x14ac:dyDescent="0.2">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x14ac:dyDescent="0.2">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x14ac:dyDescent="0.2">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x14ac:dyDescent="0.2">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x14ac:dyDescent="0.2">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x14ac:dyDescent="0.2">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x14ac:dyDescent="0.2">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x14ac:dyDescent="0.2">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x14ac:dyDescent="0.2">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x14ac:dyDescent="0.2">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x14ac:dyDescent="0.2">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x14ac:dyDescent="0.2">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x14ac:dyDescent="0.2">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x14ac:dyDescent="0.2">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x14ac:dyDescent="0.2">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x14ac:dyDescent="0.2">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x14ac:dyDescent="0.2">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x14ac:dyDescent="0.2">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x14ac:dyDescent="0.2">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x14ac:dyDescent="0.2">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x14ac:dyDescent="0.2">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x14ac:dyDescent="0.2">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x14ac:dyDescent="0.2">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x14ac:dyDescent="0.2">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x14ac:dyDescent="0.2">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x14ac:dyDescent="0.2">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x14ac:dyDescent="0.2">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x14ac:dyDescent="0.2">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x14ac:dyDescent="0.2">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x14ac:dyDescent="0.2">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x14ac:dyDescent="0.2">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x14ac:dyDescent="0.2">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x14ac:dyDescent="0.2">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x14ac:dyDescent="0.2">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x14ac:dyDescent="0.2">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x14ac:dyDescent="0.2">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x14ac:dyDescent="0.2">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x14ac:dyDescent="0.2">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x14ac:dyDescent="0.2">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x14ac:dyDescent="0.2">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x14ac:dyDescent="0.2">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x14ac:dyDescent="0.2">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x14ac:dyDescent="0.2">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x14ac:dyDescent="0.2">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x14ac:dyDescent="0.2">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x14ac:dyDescent="0.2">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x14ac:dyDescent="0.2">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x14ac:dyDescent="0.2">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x14ac:dyDescent="0.2">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x14ac:dyDescent="0.2">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x14ac:dyDescent="0.2">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x14ac:dyDescent="0.2">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x14ac:dyDescent="0.2">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x14ac:dyDescent="0.2">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x14ac:dyDescent="0.2">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x14ac:dyDescent="0.2">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x14ac:dyDescent="0.2">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x14ac:dyDescent="0.2">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x14ac:dyDescent="0.2">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x14ac:dyDescent="0.2">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x14ac:dyDescent="0.2">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x14ac:dyDescent="0.2">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x14ac:dyDescent="0.2">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x14ac:dyDescent="0.2">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x14ac:dyDescent="0.2">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x14ac:dyDescent="0.2">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x14ac:dyDescent="0.2">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x14ac:dyDescent="0.2">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x14ac:dyDescent="0.2">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x14ac:dyDescent="0.2">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x14ac:dyDescent="0.2">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x14ac:dyDescent="0.2">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x14ac:dyDescent="0.2">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x14ac:dyDescent="0.2">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x14ac:dyDescent="0.2">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x14ac:dyDescent="0.2">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x14ac:dyDescent="0.2">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x14ac:dyDescent="0.2">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x14ac:dyDescent="0.2">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x14ac:dyDescent="0.2">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x14ac:dyDescent="0.2">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x14ac:dyDescent="0.2">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x14ac:dyDescent="0.2">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x14ac:dyDescent="0.2">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x14ac:dyDescent="0.2">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x14ac:dyDescent="0.2">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x14ac:dyDescent="0.2">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x14ac:dyDescent="0.2">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x14ac:dyDescent="0.2">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x14ac:dyDescent="0.2">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x14ac:dyDescent="0.2">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x14ac:dyDescent="0.2">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x14ac:dyDescent="0.2">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x14ac:dyDescent="0.2">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x14ac:dyDescent="0.2">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x14ac:dyDescent="0.2">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x14ac:dyDescent="0.2">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x14ac:dyDescent="0.2">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x14ac:dyDescent="0.2">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x14ac:dyDescent="0.2">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x14ac:dyDescent="0.2">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x14ac:dyDescent="0.2">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x14ac:dyDescent="0.2">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x14ac:dyDescent="0.2">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x14ac:dyDescent="0.2">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x14ac:dyDescent="0.2">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x14ac:dyDescent="0.2">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x14ac:dyDescent="0.2">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x14ac:dyDescent="0.2">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x14ac:dyDescent="0.2">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x14ac:dyDescent="0.2">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x14ac:dyDescent="0.2">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x14ac:dyDescent="0.2">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x14ac:dyDescent="0.2">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x14ac:dyDescent="0.2">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x14ac:dyDescent="0.2">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x14ac:dyDescent="0.2">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x14ac:dyDescent="0.2">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x14ac:dyDescent="0.2">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x14ac:dyDescent="0.2">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x14ac:dyDescent="0.2">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x14ac:dyDescent="0.2">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x14ac:dyDescent="0.2">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x14ac:dyDescent="0.2">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x14ac:dyDescent="0.2">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x14ac:dyDescent="0.2">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x14ac:dyDescent="0.2">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x14ac:dyDescent="0.2">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x14ac:dyDescent="0.2">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x14ac:dyDescent="0.2">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x14ac:dyDescent="0.2">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x14ac:dyDescent="0.2">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x14ac:dyDescent="0.2">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x14ac:dyDescent="0.2">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x14ac:dyDescent="0.2">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x14ac:dyDescent="0.2">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x14ac:dyDescent="0.2">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x14ac:dyDescent="0.2">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x14ac:dyDescent="0.2">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x14ac:dyDescent="0.2">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x14ac:dyDescent="0.2">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x14ac:dyDescent="0.2">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x14ac:dyDescent="0.2">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x14ac:dyDescent="0.2">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x14ac:dyDescent="0.2">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x14ac:dyDescent="0.2">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x14ac:dyDescent="0.2">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x14ac:dyDescent="0.2">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x14ac:dyDescent="0.2">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x14ac:dyDescent="0.2">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x14ac:dyDescent="0.2">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x14ac:dyDescent="0.2">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x14ac:dyDescent="0.2">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x14ac:dyDescent="0.2">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x14ac:dyDescent="0.2">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x14ac:dyDescent="0.2">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x14ac:dyDescent="0.2">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x14ac:dyDescent="0.2">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x14ac:dyDescent="0.2">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x14ac:dyDescent="0.2">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x14ac:dyDescent="0.2">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x14ac:dyDescent="0.2">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x14ac:dyDescent="0.2">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x14ac:dyDescent="0.2">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x14ac:dyDescent="0.2">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x14ac:dyDescent="0.2">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x14ac:dyDescent="0.2">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x14ac:dyDescent="0.2">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x14ac:dyDescent="0.2">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x14ac:dyDescent="0.2">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x14ac:dyDescent="0.2">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x14ac:dyDescent="0.2">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x14ac:dyDescent="0.2">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x14ac:dyDescent="0.2">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x14ac:dyDescent="0.2">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x14ac:dyDescent="0.2">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x14ac:dyDescent="0.2">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x14ac:dyDescent="0.2">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x14ac:dyDescent="0.2">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x14ac:dyDescent="0.2">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x14ac:dyDescent="0.2">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x14ac:dyDescent="0.2">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x14ac:dyDescent="0.2">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x14ac:dyDescent="0.2">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x14ac:dyDescent="0.2">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x14ac:dyDescent="0.2">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x14ac:dyDescent="0.2">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x14ac:dyDescent="0.2">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x14ac:dyDescent="0.2">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x14ac:dyDescent="0.2">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x14ac:dyDescent="0.2">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x14ac:dyDescent="0.2">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x14ac:dyDescent="0.2">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x14ac:dyDescent="0.2">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x14ac:dyDescent="0.2">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x14ac:dyDescent="0.2">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x14ac:dyDescent="0.2">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x14ac:dyDescent="0.2">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x14ac:dyDescent="0.2">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x14ac:dyDescent="0.2">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x14ac:dyDescent="0.2">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x14ac:dyDescent="0.2">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x14ac:dyDescent="0.2">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x14ac:dyDescent="0.2">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x14ac:dyDescent="0.2">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x14ac:dyDescent="0.2">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x14ac:dyDescent="0.2">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x14ac:dyDescent="0.2">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x14ac:dyDescent="0.2">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x14ac:dyDescent="0.2">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x14ac:dyDescent="0.2">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x14ac:dyDescent="0.2">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x14ac:dyDescent="0.2">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x14ac:dyDescent="0.2">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x14ac:dyDescent="0.2">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x14ac:dyDescent="0.2">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x14ac:dyDescent="0.2">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x14ac:dyDescent="0.2">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x14ac:dyDescent="0.2">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x14ac:dyDescent="0.2">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x14ac:dyDescent="0.2">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x14ac:dyDescent="0.2">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x14ac:dyDescent="0.2">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x14ac:dyDescent="0.2">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x14ac:dyDescent="0.2">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x14ac:dyDescent="0.2">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x14ac:dyDescent="0.2">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x14ac:dyDescent="0.2">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x14ac:dyDescent="0.2">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x14ac:dyDescent="0.2">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x14ac:dyDescent="0.2">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x14ac:dyDescent="0.2">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1410</v>
      </c>
      <c r="Q2011" s="183"/>
    </row>
    <row r="2012" spans="1:17" x14ac:dyDescent="0.2">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1411</v>
      </c>
      <c r="Q2020" s="183"/>
    </row>
    <row r="2021" spans="1:17" x14ac:dyDescent="0.2">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1411</v>
      </c>
      <c r="Q2021" s="183"/>
    </row>
    <row r="2022" spans="1:17" x14ac:dyDescent="0.2">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1411</v>
      </c>
      <c r="Q2022" s="183"/>
    </row>
    <row r="2023" spans="1:17" x14ac:dyDescent="0.2">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1411</v>
      </c>
      <c r="Q2023" s="183"/>
    </row>
    <row r="2024" spans="1:17" x14ac:dyDescent="0.2">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1411</v>
      </c>
      <c r="Q2024" s="183"/>
    </row>
    <row r="2025" spans="1:17" x14ac:dyDescent="0.2">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1411</v>
      </c>
      <c r="Q2025" s="183"/>
    </row>
    <row r="2026" spans="1:17" x14ac:dyDescent="0.2">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1411</v>
      </c>
      <c r="Q2026" s="183"/>
    </row>
    <row r="2027" spans="1:17" x14ac:dyDescent="0.2">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1411</v>
      </c>
      <c r="Q2027" s="183"/>
    </row>
    <row r="2028" spans="1:17" x14ac:dyDescent="0.2">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x14ac:dyDescent="0.2">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x14ac:dyDescent="0.2">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x14ac:dyDescent="0.2">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x14ac:dyDescent="0.2">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x14ac:dyDescent="0.2">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x14ac:dyDescent="0.2">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x14ac:dyDescent="0.2">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x14ac:dyDescent="0.2">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x14ac:dyDescent="0.2">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x14ac:dyDescent="0.2">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x14ac:dyDescent="0.2">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x14ac:dyDescent="0.2">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x14ac:dyDescent="0.2">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x14ac:dyDescent="0.2">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x14ac:dyDescent="0.2">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x14ac:dyDescent="0.2">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x14ac:dyDescent="0.2">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x14ac:dyDescent="0.2">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x14ac:dyDescent="0.2">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x14ac:dyDescent="0.2">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x14ac:dyDescent="0.2">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x14ac:dyDescent="0.2">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x14ac:dyDescent="0.2">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x14ac:dyDescent="0.2">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x14ac:dyDescent="0.2">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x14ac:dyDescent="0.2">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x14ac:dyDescent="0.2">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x14ac:dyDescent="0.2">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x14ac:dyDescent="0.2">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x14ac:dyDescent="0.2">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x14ac:dyDescent="0.2">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x14ac:dyDescent="0.2">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x14ac:dyDescent="0.2">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x14ac:dyDescent="0.2">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x14ac:dyDescent="0.2">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x14ac:dyDescent="0.2">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x14ac:dyDescent="0.2">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x14ac:dyDescent="0.2">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x14ac:dyDescent="0.2">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x14ac:dyDescent="0.2">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x14ac:dyDescent="0.2">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x14ac:dyDescent="0.2">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x14ac:dyDescent="0.2">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x14ac:dyDescent="0.2">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x14ac:dyDescent="0.2">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x14ac:dyDescent="0.2">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x14ac:dyDescent="0.2">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x14ac:dyDescent="0.2">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x14ac:dyDescent="0.2">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x14ac:dyDescent="0.2">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x14ac:dyDescent="0.2">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x14ac:dyDescent="0.2">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x14ac:dyDescent="0.2">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x14ac:dyDescent="0.2">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x14ac:dyDescent="0.2">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x14ac:dyDescent="0.2">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x14ac:dyDescent="0.2">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x14ac:dyDescent="0.2">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x14ac:dyDescent="0.2">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x14ac:dyDescent="0.2">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x14ac:dyDescent="0.2">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x14ac:dyDescent="0.2">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x14ac:dyDescent="0.2">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x14ac:dyDescent="0.2">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x14ac:dyDescent="0.2">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x14ac:dyDescent="0.2">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x14ac:dyDescent="0.2">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x14ac:dyDescent="0.2">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x14ac:dyDescent="0.2">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x14ac:dyDescent="0.2">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x14ac:dyDescent="0.2">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x14ac:dyDescent="0.2">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x14ac:dyDescent="0.2">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x14ac:dyDescent="0.2">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x14ac:dyDescent="0.2">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x14ac:dyDescent="0.2">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x14ac:dyDescent="0.2">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x14ac:dyDescent="0.2">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x14ac:dyDescent="0.2">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x14ac:dyDescent="0.2">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x14ac:dyDescent="0.2">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x14ac:dyDescent="0.2">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x14ac:dyDescent="0.2">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x14ac:dyDescent="0.2">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x14ac:dyDescent="0.2">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x14ac:dyDescent="0.2">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x14ac:dyDescent="0.2">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x14ac:dyDescent="0.2">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x14ac:dyDescent="0.2">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x14ac:dyDescent="0.2">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x14ac:dyDescent="0.2">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x14ac:dyDescent="0.2">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x14ac:dyDescent="0.2">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x14ac:dyDescent="0.2">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x14ac:dyDescent="0.2">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x14ac:dyDescent="0.2">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x14ac:dyDescent="0.2">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x14ac:dyDescent="0.2">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x14ac:dyDescent="0.2">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x14ac:dyDescent="0.2">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x14ac:dyDescent="0.2">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x14ac:dyDescent="0.2">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x14ac:dyDescent="0.2">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x14ac:dyDescent="0.2">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x14ac:dyDescent="0.2">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x14ac:dyDescent="0.2">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x14ac:dyDescent="0.2">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x14ac:dyDescent="0.2">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x14ac:dyDescent="0.2">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x14ac:dyDescent="0.2">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x14ac:dyDescent="0.2">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x14ac:dyDescent="0.2">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x14ac:dyDescent="0.2">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x14ac:dyDescent="0.2">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x14ac:dyDescent="0.2">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x14ac:dyDescent="0.2">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x14ac:dyDescent="0.2">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x14ac:dyDescent="0.2">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x14ac:dyDescent="0.2">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x14ac:dyDescent="0.2">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x14ac:dyDescent="0.2">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x14ac:dyDescent="0.2">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x14ac:dyDescent="0.2">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x14ac:dyDescent="0.2">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x14ac:dyDescent="0.2">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x14ac:dyDescent="0.2">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x14ac:dyDescent="0.2">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x14ac:dyDescent="0.2">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x14ac:dyDescent="0.2">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x14ac:dyDescent="0.2">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x14ac:dyDescent="0.2">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x14ac:dyDescent="0.2">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x14ac:dyDescent="0.2">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x14ac:dyDescent="0.2">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x14ac:dyDescent="0.2">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x14ac:dyDescent="0.2">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x14ac:dyDescent="0.2">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x14ac:dyDescent="0.2">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x14ac:dyDescent="0.2">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x14ac:dyDescent="0.2">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x14ac:dyDescent="0.2">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x14ac:dyDescent="0.2">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x14ac:dyDescent="0.2">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x14ac:dyDescent="0.2">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x14ac:dyDescent="0.2">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x14ac:dyDescent="0.2">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x14ac:dyDescent="0.2">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x14ac:dyDescent="0.2">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x14ac:dyDescent="0.2">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x14ac:dyDescent="0.2">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x14ac:dyDescent="0.2">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x14ac:dyDescent="0.2">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x14ac:dyDescent="0.2">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x14ac:dyDescent="0.2">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x14ac:dyDescent="0.2">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x14ac:dyDescent="0.2">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x14ac:dyDescent="0.2">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x14ac:dyDescent="0.2">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x14ac:dyDescent="0.2">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x14ac:dyDescent="0.2">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x14ac:dyDescent="0.2">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x14ac:dyDescent="0.2">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x14ac:dyDescent="0.2">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x14ac:dyDescent="0.2">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x14ac:dyDescent="0.2">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x14ac:dyDescent="0.2">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x14ac:dyDescent="0.2">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x14ac:dyDescent="0.2">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x14ac:dyDescent="0.2">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x14ac:dyDescent="0.2">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x14ac:dyDescent="0.2">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x14ac:dyDescent="0.2">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x14ac:dyDescent="0.2">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x14ac:dyDescent="0.2">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x14ac:dyDescent="0.2">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x14ac:dyDescent="0.2">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x14ac:dyDescent="0.2">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x14ac:dyDescent="0.2">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x14ac:dyDescent="0.2">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x14ac:dyDescent="0.2">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x14ac:dyDescent="0.2">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x14ac:dyDescent="0.2">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x14ac:dyDescent="0.2">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x14ac:dyDescent="0.2">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x14ac:dyDescent="0.2">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x14ac:dyDescent="0.2">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x14ac:dyDescent="0.2">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x14ac:dyDescent="0.2">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x14ac:dyDescent="0.2">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x14ac:dyDescent="0.2">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x14ac:dyDescent="0.2">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x14ac:dyDescent="0.2">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x14ac:dyDescent="0.2">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x14ac:dyDescent="0.2">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x14ac:dyDescent="0.2">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x14ac:dyDescent="0.2">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x14ac:dyDescent="0.2">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x14ac:dyDescent="0.2">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x14ac:dyDescent="0.2">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x14ac:dyDescent="0.2">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x14ac:dyDescent="0.2">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x14ac:dyDescent="0.2">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x14ac:dyDescent="0.2">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x14ac:dyDescent="0.2">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x14ac:dyDescent="0.2">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x14ac:dyDescent="0.2">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x14ac:dyDescent="0.2">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x14ac:dyDescent="0.2">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x14ac:dyDescent="0.2">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x14ac:dyDescent="0.2">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x14ac:dyDescent="0.2">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x14ac:dyDescent="0.2">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x14ac:dyDescent="0.2">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x14ac:dyDescent="0.2">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x14ac:dyDescent="0.2">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x14ac:dyDescent="0.2">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x14ac:dyDescent="0.2">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x14ac:dyDescent="0.2">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x14ac:dyDescent="0.2">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x14ac:dyDescent="0.2">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x14ac:dyDescent="0.2">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x14ac:dyDescent="0.2">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x14ac:dyDescent="0.2">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x14ac:dyDescent="0.2">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x14ac:dyDescent="0.2">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x14ac:dyDescent="0.2">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x14ac:dyDescent="0.2">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x14ac:dyDescent="0.2">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x14ac:dyDescent="0.2">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x14ac:dyDescent="0.2">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x14ac:dyDescent="0.2">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x14ac:dyDescent="0.2">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x14ac:dyDescent="0.2">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x14ac:dyDescent="0.2">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x14ac:dyDescent="0.2">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x14ac:dyDescent="0.2">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x14ac:dyDescent="0.2">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x14ac:dyDescent="0.2">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x14ac:dyDescent="0.2">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x14ac:dyDescent="0.2">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x14ac:dyDescent="0.2">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x14ac:dyDescent="0.2">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x14ac:dyDescent="0.2">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x14ac:dyDescent="0.2">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x14ac:dyDescent="0.2">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x14ac:dyDescent="0.2">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x14ac:dyDescent="0.2">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x14ac:dyDescent="0.2">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x14ac:dyDescent="0.2">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x14ac:dyDescent="0.2">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x14ac:dyDescent="0.2">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x14ac:dyDescent="0.2">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x14ac:dyDescent="0.2">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x14ac:dyDescent="0.2">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x14ac:dyDescent="0.2">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x14ac:dyDescent="0.2">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x14ac:dyDescent="0.2">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x14ac:dyDescent="0.2">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x14ac:dyDescent="0.2">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x14ac:dyDescent="0.2">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x14ac:dyDescent="0.2">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x14ac:dyDescent="0.2">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x14ac:dyDescent="0.2">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x14ac:dyDescent="0.2">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x14ac:dyDescent="0.2">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x14ac:dyDescent="0.2">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x14ac:dyDescent="0.2">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x14ac:dyDescent="0.2">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x14ac:dyDescent="0.2">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x14ac:dyDescent="0.2">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x14ac:dyDescent="0.2">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x14ac:dyDescent="0.2">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x14ac:dyDescent="0.2">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x14ac:dyDescent="0.2">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x14ac:dyDescent="0.2">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x14ac:dyDescent="0.2">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x14ac:dyDescent="0.2">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x14ac:dyDescent="0.2">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x14ac:dyDescent="0.2">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x14ac:dyDescent="0.2">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x14ac:dyDescent="0.2">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x14ac:dyDescent="0.2">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x14ac:dyDescent="0.2">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x14ac:dyDescent="0.2">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x14ac:dyDescent="0.2">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x14ac:dyDescent="0.2">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x14ac:dyDescent="0.2">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x14ac:dyDescent="0.2">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x14ac:dyDescent="0.2">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x14ac:dyDescent="0.2">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x14ac:dyDescent="0.2">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x14ac:dyDescent="0.2">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x14ac:dyDescent="0.2">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x14ac:dyDescent="0.2">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x14ac:dyDescent="0.2">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x14ac:dyDescent="0.2">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x14ac:dyDescent="0.2">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x14ac:dyDescent="0.2">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x14ac:dyDescent="0.2">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x14ac:dyDescent="0.2">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x14ac:dyDescent="0.2">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x14ac:dyDescent="0.2">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x14ac:dyDescent="0.2">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x14ac:dyDescent="0.2">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x14ac:dyDescent="0.2">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x14ac:dyDescent="0.2">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x14ac:dyDescent="0.2">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x14ac:dyDescent="0.2">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x14ac:dyDescent="0.2">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x14ac:dyDescent="0.2">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x14ac:dyDescent="0.2">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x14ac:dyDescent="0.2">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x14ac:dyDescent="0.2">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x14ac:dyDescent="0.2">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x14ac:dyDescent="0.2">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x14ac:dyDescent="0.2">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x14ac:dyDescent="0.2">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x14ac:dyDescent="0.2">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x14ac:dyDescent="0.2">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x14ac:dyDescent="0.2">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x14ac:dyDescent="0.2">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x14ac:dyDescent="0.2">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x14ac:dyDescent="0.2">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x14ac:dyDescent="0.2">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x14ac:dyDescent="0.2">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x14ac:dyDescent="0.2">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x14ac:dyDescent="0.2">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x14ac:dyDescent="0.2">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x14ac:dyDescent="0.2">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x14ac:dyDescent="0.2">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x14ac:dyDescent="0.2">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x14ac:dyDescent="0.2">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x14ac:dyDescent="0.2">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x14ac:dyDescent="0.2">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x14ac:dyDescent="0.2">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x14ac:dyDescent="0.2">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x14ac:dyDescent="0.2">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x14ac:dyDescent="0.2">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x14ac:dyDescent="0.2">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x14ac:dyDescent="0.2">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x14ac:dyDescent="0.2">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x14ac:dyDescent="0.2">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x14ac:dyDescent="0.2">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x14ac:dyDescent="0.2">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x14ac:dyDescent="0.2">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x14ac:dyDescent="0.2">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x14ac:dyDescent="0.2">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x14ac:dyDescent="0.2">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x14ac:dyDescent="0.2">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x14ac:dyDescent="0.2">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x14ac:dyDescent="0.2">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x14ac:dyDescent="0.2">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x14ac:dyDescent="0.2">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x14ac:dyDescent="0.2">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x14ac:dyDescent="0.2">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x14ac:dyDescent="0.2">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x14ac:dyDescent="0.2">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x14ac:dyDescent="0.2">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x14ac:dyDescent="0.2">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x14ac:dyDescent="0.2">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x14ac:dyDescent="0.2">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x14ac:dyDescent="0.2">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x14ac:dyDescent="0.2">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x14ac:dyDescent="0.2">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x14ac:dyDescent="0.2">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x14ac:dyDescent="0.2">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x14ac:dyDescent="0.2">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x14ac:dyDescent="0.2">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x14ac:dyDescent="0.2">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x14ac:dyDescent="0.2">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x14ac:dyDescent="0.2">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x14ac:dyDescent="0.2">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x14ac:dyDescent="0.2">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x14ac:dyDescent="0.2">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x14ac:dyDescent="0.2">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x14ac:dyDescent="0.2">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x14ac:dyDescent="0.2">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x14ac:dyDescent="0.2">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x14ac:dyDescent="0.2">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x14ac:dyDescent="0.2">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x14ac:dyDescent="0.2">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x14ac:dyDescent="0.2">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x14ac:dyDescent="0.2">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x14ac:dyDescent="0.2">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x14ac:dyDescent="0.2">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x14ac:dyDescent="0.2">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x14ac:dyDescent="0.2">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x14ac:dyDescent="0.2">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x14ac:dyDescent="0.2">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x14ac:dyDescent="0.2">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x14ac:dyDescent="0.2">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x14ac:dyDescent="0.2">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x14ac:dyDescent="0.2">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x14ac:dyDescent="0.2">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x14ac:dyDescent="0.2">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x14ac:dyDescent="0.2">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x14ac:dyDescent="0.2">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x14ac:dyDescent="0.2">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x14ac:dyDescent="0.2">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x14ac:dyDescent="0.2">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x14ac:dyDescent="0.2">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x14ac:dyDescent="0.2">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x14ac:dyDescent="0.2">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x14ac:dyDescent="0.2">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x14ac:dyDescent="0.2">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x14ac:dyDescent="0.2">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x14ac:dyDescent="0.2">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x14ac:dyDescent="0.2">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x14ac:dyDescent="0.2">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x14ac:dyDescent="0.2">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x14ac:dyDescent="0.2">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x14ac:dyDescent="0.2">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x14ac:dyDescent="0.2">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x14ac:dyDescent="0.2">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x14ac:dyDescent="0.2">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x14ac:dyDescent="0.2">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x14ac:dyDescent="0.2">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x14ac:dyDescent="0.2">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x14ac:dyDescent="0.2">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x14ac:dyDescent="0.2">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x14ac:dyDescent="0.2">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x14ac:dyDescent="0.2">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x14ac:dyDescent="0.2">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x14ac:dyDescent="0.2">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x14ac:dyDescent="0.2">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x14ac:dyDescent="0.2">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x14ac:dyDescent="0.2">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x14ac:dyDescent="0.2">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x14ac:dyDescent="0.2">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x14ac:dyDescent="0.2">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x14ac:dyDescent="0.2">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x14ac:dyDescent="0.2">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x14ac:dyDescent="0.2">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x14ac:dyDescent="0.2">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x14ac:dyDescent="0.2">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x14ac:dyDescent="0.2">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x14ac:dyDescent="0.2">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x14ac:dyDescent="0.2">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x14ac:dyDescent="0.2">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x14ac:dyDescent="0.2">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x14ac:dyDescent="0.2">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x14ac:dyDescent="0.2">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x14ac:dyDescent="0.2">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x14ac:dyDescent="0.2">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x14ac:dyDescent="0.2">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x14ac:dyDescent="0.2">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x14ac:dyDescent="0.2">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x14ac:dyDescent="0.2">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x14ac:dyDescent="0.2">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x14ac:dyDescent="0.2">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x14ac:dyDescent="0.2">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x14ac:dyDescent="0.2">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x14ac:dyDescent="0.2">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x14ac:dyDescent="0.2">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x14ac:dyDescent="0.2">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x14ac:dyDescent="0.2">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x14ac:dyDescent="0.2">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x14ac:dyDescent="0.2">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x14ac:dyDescent="0.2">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x14ac:dyDescent="0.2">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x14ac:dyDescent="0.2">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x14ac:dyDescent="0.2">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x14ac:dyDescent="0.2">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x14ac:dyDescent="0.2">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x14ac:dyDescent="0.2">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x14ac:dyDescent="0.2">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x14ac:dyDescent="0.2">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x14ac:dyDescent="0.2">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x14ac:dyDescent="0.2">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x14ac:dyDescent="0.2">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x14ac:dyDescent="0.2">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x14ac:dyDescent="0.2">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x14ac:dyDescent="0.2">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x14ac:dyDescent="0.2">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x14ac:dyDescent="0.2">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x14ac:dyDescent="0.2">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x14ac:dyDescent="0.2">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x14ac:dyDescent="0.2">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x14ac:dyDescent="0.2">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x14ac:dyDescent="0.2">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x14ac:dyDescent="0.2">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x14ac:dyDescent="0.2">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x14ac:dyDescent="0.2">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x14ac:dyDescent="0.2">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x14ac:dyDescent="0.2">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x14ac:dyDescent="0.2">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x14ac:dyDescent="0.2">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x14ac:dyDescent="0.2">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x14ac:dyDescent="0.2">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x14ac:dyDescent="0.2">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x14ac:dyDescent="0.2">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x14ac:dyDescent="0.2">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x14ac:dyDescent="0.2">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x14ac:dyDescent="0.2">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x14ac:dyDescent="0.2">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x14ac:dyDescent="0.2">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1334</v>
      </c>
      <c r="Q2574" s="183"/>
    </row>
    <row r="2575" spans="1:17" x14ac:dyDescent="0.2">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1335</v>
      </c>
      <c r="Q2587" s="183"/>
    </row>
    <row r="2588" spans="1:17" ht="14.25" x14ac:dyDescent="0.2">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x14ac:dyDescent="0.2">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x14ac:dyDescent="0.2">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x14ac:dyDescent="0.2">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x14ac:dyDescent="0.2">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x14ac:dyDescent="0.2">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x14ac:dyDescent="0.2">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x14ac:dyDescent="0.2">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x14ac:dyDescent="0.2">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x14ac:dyDescent="0.2">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x14ac:dyDescent="0.2">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x14ac:dyDescent="0.2">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x14ac:dyDescent="0.2">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x14ac:dyDescent="0.2">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x14ac:dyDescent="0.2">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x14ac:dyDescent="0.2">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x14ac:dyDescent="0.2">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x14ac:dyDescent="0.2">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x14ac:dyDescent="0.2">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x14ac:dyDescent="0.2">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x14ac:dyDescent="0.2">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x14ac:dyDescent="0.2">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x14ac:dyDescent="0.2">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x14ac:dyDescent="0.2">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x14ac:dyDescent="0.2">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x14ac:dyDescent="0.2">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x14ac:dyDescent="0.2">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x14ac:dyDescent="0.2">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x14ac:dyDescent="0.2">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x14ac:dyDescent="0.2">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x14ac:dyDescent="0.2">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x14ac:dyDescent="0.2">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x14ac:dyDescent="0.2">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x14ac:dyDescent="0.2">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x14ac:dyDescent="0.2">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x14ac:dyDescent="0.2">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x14ac:dyDescent="0.2">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7" ht="14.25" x14ac:dyDescent="0.2">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7" ht="14.25" x14ac:dyDescent="0.2">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7" ht="14.25" x14ac:dyDescent="0.2">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7" ht="14.25" x14ac:dyDescent="0.2">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7" ht="14.25" x14ac:dyDescent="0.2">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7" ht="14.25" x14ac:dyDescent="0.2">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7" ht="14.25" x14ac:dyDescent="0.2">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7" ht="14.25" x14ac:dyDescent="0.2">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7" ht="14.25" x14ac:dyDescent="0.2">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7" ht="14.25" x14ac:dyDescent="0.2">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7" ht="14.25" x14ac:dyDescent="0.2">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7" ht="14.25" x14ac:dyDescent="0.2">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row>
    <row r="2637" spans="1:17" ht="14.25" x14ac:dyDescent="0.2">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row>
    <row r="2638" spans="1:17" ht="14.25" x14ac:dyDescent="0.2">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row>
    <row r="2639" spans="1:17" ht="14.25" x14ac:dyDescent="0.2">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row>
    <row r="2640" spans="1:17" ht="14.25" x14ac:dyDescent="0.2">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row>
    <row r="2641" spans="1:17" ht="14.25" x14ac:dyDescent="0.2">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row>
    <row r="2642" spans="1:17" ht="14.25" x14ac:dyDescent="0.2">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row>
    <row r="2643" spans="1:17" ht="14.25" x14ac:dyDescent="0.2">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row>
    <row r="2644" spans="1:17" ht="14.25" x14ac:dyDescent="0.2">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row>
    <row r="2645" spans="1:17" ht="14.25" x14ac:dyDescent="0.2">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row>
    <row r="2646" spans="1:17" ht="14.25" x14ac:dyDescent="0.2">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row>
    <row r="2647" spans="1:17" ht="14.25" x14ac:dyDescent="0.2">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row>
    <row r="2648" spans="1:17" ht="14.25" x14ac:dyDescent="0.2">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row>
    <row r="2649" spans="1:17" ht="14.25" x14ac:dyDescent="0.2">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row>
    <row r="2650" spans="1:17" ht="14.25" x14ac:dyDescent="0.2">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row>
    <row r="2651" spans="1:17" ht="14.25" x14ac:dyDescent="0.2">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row>
    <row r="2652" spans="1:17" ht="14.25" x14ac:dyDescent="0.2">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row>
    <row r="2653" spans="1:17" ht="14.25" x14ac:dyDescent="0.2">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row>
    <row r="2654" spans="1:17" ht="14.25" x14ac:dyDescent="0.2">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row>
    <row r="2655" spans="1:17" ht="14.25" x14ac:dyDescent="0.2">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row>
    <row r="2656" spans="1:17" ht="14.25" x14ac:dyDescent="0.2">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row>
    <row r="2657" spans="1:17" ht="14.25" x14ac:dyDescent="0.2">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row>
    <row r="2658" spans="1:17" ht="14.25" x14ac:dyDescent="0.2">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row>
    <row r="2659" spans="1:17" ht="14.25" x14ac:dyDescent="0.2">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row>
    <row r="2660" spans="1:17" ht="14.25" x14ac:dyDescent="0.2">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row>
    <row r="2661" spans="1:17" ht="14.25" x14ac:dyDescent="0.2">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row>
    <row r="2662" spans="1:17" ht="14.25" x14ac:dyDescent="0.2">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row>
    <row r="2663" spans="1:17" ht="14.25" x14ac:dyDescent="0.2">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row>
    <row r="2664" spans="1:17" ht="14.25" x14ac:dyDescent="0.2">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row>
    <row r="2665" spans="1:17" ht="14.25" x14ac:dyDescent="0.2">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row>
    <row r="2666" spans="1:17" ht="14.25" x14ac:dyDescent="0.2">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row>
    <row r="2667" spans="1:17" ht="14.25" x14ac:dyDescent="0.2">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row>
    <row r="2668" spans="1:17" ht="14.25" x14ac:dyDescent="0.2">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row>
    <row r="2669" spans="1:17" ht="14.25" x14ac:dyDescent="0.2">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row>
    <row r="2670" spans="1:17" ht="14.25" x14ac:dyDescent="0.2">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row>
    <row r="2671" spans="1:17" ht="14.25" x14ac:dyDescent="0.2">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row>
    <row r="2672" spans="1:17" ht="14.25" x14ac:dyDescent="0.2">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row>
    <row r="2673" spans="1:17" ht="14.25" x14ac:dyDescent="0.2">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row>
    <row r="2674" spans="1:17" ht="14.25" x14ac:dyDescent="0.2">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row>
    <row r="2675" spans="1:17" ht="14.25" x14ac:dyDescent="0.2">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row>
    <row r="2676" spans="1:17" ht="14.25" x14ac:dyDescent="0.2">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row>
    <row r="2677" spans="1:17" ht="14.25" x14ac:dyDescent="0.2">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row>
    <row r="2678" spans="1:17" ht="14.25" x14ac:dyDescent="0.2">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row>
    <row r="2679" spans="1:17" ht="14.25" x14ac:dyDescent="0.2">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row>
    <row r="2680" spans="1:17" ht="14.25" x14ac:dyDescent="0.2">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row>
    <row r="2681" spans="1:17" ht="14.25" x14ac:dyDescent="0.2">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row>
    <row r="2682" spans="1:17" ht="14.25" x14ac:dyDescent="0.2">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row>
    <row r="2683" spans="1:17" ht="14.25" x14ac:dyDescent="0.2">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row>
    <row r="2684" spans="1:17" ht="14.25" x14ac:dyDescent="0.2">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row>
    <row r="2685" spans="1:17" ht="14.25" x14ac:dyDescent="0.2">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row>
    <row r="2686" spans="1:17" ht="14.25" x14ac:dyDescent="0.2">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row>
    <row r="2687" spans="1:17" ht="14.25" x14ac:dyDescent="0.2">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row>
    <row r="2688" spans="1:17" ht="14.25" x14ac:dyDescent="0.2">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row>
    <row r="2689" spans="1:17" ht="14.25" x14ac:dyDescent="0.2">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row>
    <row r="2690" spans="1:17" ht="14.25" x14ac:dyDescent="0.2">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row>
    <row r="2691" spans="1:17" ht="14.25" x14ac:dyDescent="0.2">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row>
    <row r="2692" spans="1:17" ht="14.25" x14ac:dyDescent="0.2">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row>
    <row r="2693" spans="1:17" ht="14.25" x14ac:dyDescent="0.2">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row>
    <row r="2694" spans="1:17" ht="14.25" x14ac:dyDescent="0.2">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row>
    <row r="2695" spans="1:17" ht="14.25" x14ac:dyDescent="0.2">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row>
    <row r="2696" spans="1:17" ht="14.25" x14ac:dyDescent="0.2">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row>
    <row r="2697" spans="1:17" ht="14.25" x14ac:dyDescent="0.2">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row>
    <row r="2698" spans="1:17" ht="14.25" x14ac:dyDescent="0.2">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row>
    <row r="2699" spans="1:17" ht="14.25" x14ac:dyDescent="0.2">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row>
    <row r="2700" spans="1:17" ht="14.25" x14ac:dyDescent="0.2">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row>
    <row r="2701" spans="1:17" ht="14.25" x14ac:dyDescent="0.2">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row>
    <row r="2702" spans="1:17" ht="14.25" x14ac:dyDescent="0.2">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row>
    <row r="2703" spans="1:17" ht="14.25" x14ac:dyDescent="0.2">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row>
    <row r="2704" spans="1:17" ht="14.25" x14ac:dyDescent="0.2">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row>
    <row r="2705" spans="1:17" ht="14.25" x14ac:dyDescent="0.2">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row>
    <row r="2706" spans="1:17" ht="14.25" x14ac:dyDescent="0.2">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row>
    <row r="2707" spans="1:17" ht="14.25" x14ac:dyDescent="0.2">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row>
    <row r="2708" spans="1:17" ht="14.25" x14ac:dyDescent="0.2">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row>
    <row r="2709" spans="1:17" ht="14.25" x14ac:dyDescent="0.2">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row>
    <row r="2710" spans="1:17" ht="14.25" x14ac:dyDescent="0.2">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row>
    <row r="2711" spans="1:17" ht="14.25" x14ac:dyDescent="0.2">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row>
    <row r="2712" spans="1:17" ht="14.25" x14ac:dyDescent="0.2">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row>
    <row r="2713" spans="1:17" ht="14.25" x14ac:dyDescent="0.2">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row>
    <row r="2714" spans="1:17" ht="14.25" x14ac:dyDescent="0.2">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row>
    <row r="2715" spans="1:17" ht="14.25" x14ac:dyDescent="0.2">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row>
    <row r="2716" spans="1:17" ht="14.25" x14ac:dyDescent="0.2">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row>
    <row r="2717" spans="1:17" ht="14.25" x14ac:dyDescent="0.2">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row>
    <row r="2718" spans="1:17" ht="14.25" x14ac:dyDescent="0.2">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row>
    <row r="2719" spans="1:17" ht="14.25" x14ac:dyDescent="0.2">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row>
    <row r="2720" spans="1:17" ht="14.25" x14ac:dyDescent="0.2">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row>
    <row r="2721" spans="1:17" ht="14.25" x14ac:dyDescent="0.2">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row>
    <row r="2722" spans="1:17" x14ac:dyDescent="0.2">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row>
    <row r="2723" spans="1:17" x14ac:dyDescent="0.2">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row>
    <row r="2724" spans="1:17" x14ac:dyDescent="0.2">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row>
    <row r="2725" spans="1:17" x14ac:dyDescent="0.2">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row>
    <row r="2726" spans="1:17" x14ac:dyDescent="0.2">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row>
    <row r="2727" spans="1:17" x14ac:dyDescent="0.2">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row>
    <row r="2728" spans="1:17" x14ac:dyDescent="0.2">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row>
    <row r="2729" spans="1:17" x14ac:dyDescent="0.2">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row>
    <row r="2730" spans="1:17" x14ac:dyDescent="0.2">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row>
    <row r="2731" spans="1:17" x14ac:dyDescent="0.2">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row>
    <row r="2732" spans="1:17" x14ac:dyDescent="0.2">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row>
    <row r="2733" spans="1:17" x14ac:dyDescent="0.2">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row>
    <row r="2734" spans="1:17" x14ac:dyDescent="0.2">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row>
    <row r="2735" spans="1:17" x14ac:dyDescent="0.2">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row>
    <row r="2736" spans="1:17" x14ac:dyDescent="0.2">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row>
    <row r="2737" spans="1:17" x14ac:dyDescent="0.2">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row>
    <row r="2738" spans="1:17" x14ac:dyDescent="0.2">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row>
    <row r="2739" spans="1:17" x14ac:dyDescent="0.2">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row>
    <row r="2740" spans="1:17" x14ac:dyDescent="0.2">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row>
    <row r="2741" spans="1:17" x14ac:dyDescent="0.2">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row>
    <row r="2742" spans="1:17" x14ac:dyDescent="0.2">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row>
    <row r="2743" spans="1:17" x14ac:dyDescent="0.2">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row>
    <row r="2744" spans="1:17" x14ac:dyDescent="0.2">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row>
    <row r="2745" spans="1:17" x14ac:dyDescent="0.2">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row>
    <row r="2746" spans="1:17" x14ac:dyDescent="0.2">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row>
    <row r="2747" spans="1:17" x14ac:dyDescent="0.2">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row>
    <row r="2748" spans="1:17" x14ac:dyDescent="0.2">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row>
    <row r="2749" spans="1:17" x14ac:dyDescent="0.2">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row>
    <row r="2750" spans="1:17" x14ac:dyDescent="0.2">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row>
    <row r="2751" spans="1:17" x14ac:dyDescent="0.2">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row>
    <row r="2752" spans="1:17" x14ac:dyDescent="0.2">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row>
    <row r="2753" spans="1:17" x14ac:dyDescent="0.2">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row>
    <row r="2754" spans="1:17" x14ac:dyDescent="0.2">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row>
    <row r="2755" spans="1:17" x14ac:dyDescent="0.2">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row>
    <row r="2756" spans="1:17" x14ac:dyDescent="0.2">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row>
    <row r="2757" spans="1:17" x14ac:dyDescent="0.2">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row>
    <row r="2758" spans="1:17" x14ac:dyDescent="0.2">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row>
    <row r="2759" spans="1:17" x14ac:dyDescent="0.2">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row>
    <row r="2760" spans="1:17" x14ac:dyDescent="0.2">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row>
    <row r="2761" spans="1:17" x14ac:dyDescent="0.2">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row>
    <row r="2762" spans="1:17" x14ac:dyDescent="0.2">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row>
    <row r="2763" spans="1:17" x14ac:dyDescent="0.2">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row>
    <row r="2764" spans="1:17" x14ac:dyDescent="0.2">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row>
    <row r="2765" spans="1:17" x14ac:dyDescent="0.2">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row>
    <row r="2766" spans="1:17" x14ac:dyDescent="0.2">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row>
    <row r="2767" spans="1:17" x14ac:dyDescent="0.2">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row>
    <row r="2768" spans="1:17" x14ac:dyDescent="0.2">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row>
    <row r="2769" spans="1:17" x14ac:dyDescent="0.2">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row>
    <row r="2770" spans="1:17" x14ac:dyDescent="0.2">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row>
    <row r="2771" spans="1:17" x14ac:dyDescent="0.2">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row>
    <row r="2772" spans="1:17" x14ac:dyDescent="0.2">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row>
    <row r="2773" spans="1:17" x14ac:dyDescent="0.2">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row>
    <row r="2774" spans="1:17" x14ac:dyDescent="0.2">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row>
    <row r="2775" spans="1:17" x14ac:dyDescent="0.2">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row>
    <row r="2776" spans="1:17" x14ac:dyDescent="0.2">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row>
    <row r="2777" spans="1:17" x14ac:dyDescent="0.2">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row>
    <row r="2778" spans="1:17" x14ac:dyDescent="0.2">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row>
    <row r="2779" spans="1:17" x14ac:dyDescent="0.2">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row>
    <row r="2780" spans="1:17" x14ac:dyDescent="0.2">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row>
    <row r="2781" spans="1:17" x14ac:dyDescent="0.2">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row>
    <row r="2782" spans="1:17" ht="14.25" x14ac:dyDescent="0.2">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row>
    <row r="2783" spans="1:17" ht="14.25" x14ac:dyDescent="0.2">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row>
    <row r="2784" spans="1:17" ht="14.25" x14ac:dyDescent="0.2">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row>
    <row r="2785" spans="1:17" ht="14.25" x14ac:dyDescent="0.2">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row>
    <row r="2786" spans="1:17" ht="14.25" x14ac:dyDescent="0.2">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row>
    <row r="2787" spans="1:17" ht="14.25" x14ac:dyDescent="0.2">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row>
    <row r="2788" spans="1:17" ht="14.25" x14ac:dyDescent="0.2">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row>
    <row r="2789" spans="1:17" ht="14.25" x14ac:dyDescent="0.2">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row>
    <row r="2790" spans="1:17" ht="14.25" x14ac:dyDescent="0.2">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row>
    <row r="2791" spans="1:17" ht="14.25" x14ac:dyDescent="0.2">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row>
    <row r="2792" spans="1:17" ht="14.25" x14ac:dyDescent="0.2">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row>
    <row r="2793" spans="1:17" ht="14.25" x14ac:dyDescent="0.2">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row>
    <row r="2794" spans="1:17" ht="14.25" x14ac:dyDescent="0.2">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row>
    <row r="2795" spans="1:17" ht="14.25" x14ac:dyDescent="0.2">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row>
    <row r="2796" spans="1:17" ht="14.25" x14ac:dyDescent="0.2">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row>
    <row r="2797" spans="1:17" ht="14.25" x14ac:dyDescent="0.2">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row>
    <row r="2798" spans="1:17" ht="14.25" x14ac:dyDescent="0.2">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row>
    <row r="2799" spans="1:17" ht="14.25" x14ac:dyDescent="0.2">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row>
    <row r="2800" spans="1:17" ht="14.25" x14ac:dyDescent="0.2">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row>
    <row r="2801" spans="1:17" ht="14.25" x14ac:dyDescent="0.2">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row>
    <row r="2802" spans="1:17" ht="14.25" x14ac:dyDescent="0.2">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row>
    <row r="2803" spans="1:17" ht="14.25" x14ac:dyDescent="0.2">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row>
    <row r="2804" spans="1:17" ht="14.25" x14ac:dyDescent="0.2">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row>
    <row r="2805" spans="1:17" ht="14.25" x14ac:dyDescent="0.2">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row>
    <row r="2806" spans="1:17" ht="14.25" x14ac:dyDescent="0.2">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row>
    <row r="2807" spans="1:17" ht="14.25" x14ac:dyDescent="0.2">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row>
    <row r="2808" spans="1:17" ht="14.25" x14ac:dyDescent="0.2">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row>
    <row r="2809" spans="1:17" ht="14.25" x14ac:dyDescent="0.2">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row>
    <row r="2810" spans="1:17" ht="14.25" x14ac:dyDescent="0.2">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row>
    <row r="2811" spans="1:17" ht="14.25" x14ac:dyDescent="0.2">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row>
    <row r="2812" spans="1:17" ht="14.25" x14ac:dyDescent="0.2">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7" ht="14.25" x14ac:dyDescent="0.2">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7" ht="14.25" x14ac:dyDescent="0.2">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7" ht="14.25" x14ac:dyDescent="0.2">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7" ht="14.25" x14ac:dyDescent="0.2">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x14ac:dyDescent="0.2">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x14ac:dyDescent="0.2">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x14ac:dyDescent="0.2">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x14ac:dyDescent="0.2">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x14ac:dyDescent="0.2">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x14ac:dyDescent="0.2">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x14ac:dyDescent="0.2">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x14ac:dyDescent="0.2">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x14ac:dyDescent="0.2">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x14ac:dyDescent="0.2">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x14ac:dyDescent="0.2">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x14ac:dyDescent="0.2">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x14ac:dyDescent="0.2">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x14ac:dyDescent="0.2">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x14ac:dyDescent="0.2">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x14ac:dyDescent="0.2">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x14ac:dyDescent="0.2">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x14ac:dyDescent="0.2">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x14ac:dyDescent="0.2">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x14ac:dyDescent="0.2">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x14ac:dyDescent="0.2">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x14ac:dyDescent="0.2">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x14ac:dyDescent="0.2">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x14ac:dyDescent="0.2">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x14ac:dyDescent="0.2">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x14ac:dyDescent="0.2">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x14ac:dyDescent="0.2">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x14ac:dyDescent="0.2">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x14ac:dyDescent="0.2">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x14ac:dyDescent="0.2">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x14ac:dyDescent="0.2">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x14ac:dyDescent="0.2">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x14ac:dyDescent="0.2">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x14ac:dyDescent="0.2">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x14ac:dyDescent="0.2">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1352</v>
      </c>
      <c r="Q2852" s="183"/>
    </row>
    <row r="2853" spans="1:17" x14ac:dyDescent="0.2">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1353</v>
      </c>
      <c r="Q2853" s="183"/>
    </row>
    <row r="2854" spans="1:17" x14ac:dyDescent="0.2">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1354</v>
      </c>
      <c r="Q2860" s="183"/>
    </row>
    <row r="2861" spans="1:17" x14ac:dyDescent="0.2">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1355</v>
      </c>
      <c r="Q2861" s="183"/>
    </row>
    <row r="2862" spans="1:17" x14ac:dyDescent="0.2">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1356</v>
      </c>
      <c r="Q2871" s="183"/>
    </row>
    <row r="2872" spans="1:17" x14ac:dyDescent="0.2">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1355</v>
      </c>
      <c r="Q2872" s="183"/>
    </row>
    <row r="2873" spans="1:17" x14ac:dyDescent="0.2">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x14ac:dyDescent="0.2">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x14ac:dyDescent="0.2">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x14ac:dyDescent="0.2">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x14ac:dyDescent="0.2">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x14ac:dyDescent="0.2">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x14ac:dyDescent="0.2">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x14ac:dyDescent="0.2">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x14ac:dyDescent="0.2">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x14ac:dyDescent="0.2">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x14ac:dyDescent="0.2">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x14ac:dyDescent="0.2">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x14ac:dyDescent="0.2">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x14ac:dyDescent="0.2">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x14ac:dyDescent="0.2">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x14ac:dyDescent="0.2">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x14ac:dyDescent="0.2">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x14ac:dyDescent="0.2">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x14ac:dyDescent="0.2">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x14ac:dyDescent="0.2">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x14ac:dyDescent="0.2">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x14ac:dyDescent="0.2">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x14ac:dyDescent="0.2">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x14ac:dyDescent="0.2">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x14ac:dyDescent="0.2">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x14ac:dyDescent="0.2">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x14ac:dyDescent="0.2">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x14ac:dyDescent="0.2">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x14ac:dyDescent="0.2">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x14ac:dyDescent="0.2">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x14ac:dyDescent="0.2">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x14ac:dyDescent="0.2">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x14ac:dyDescent="0.2">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x14ac:dyDescent="0.2">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x14ac:dyDescent="0.2">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x14ac:dyDescent="0.2">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x14ac:dyDescent="0.2">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x14ac:dyDescent="0.2">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x14ac:dyDescent="0.2">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x14ac:dyDescent="0.2">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x14ac:dyDescent="0.2">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x14ac:dyDescent="0.2">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x14ac:dyDescent="0.2">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0.33</v>
      </c>
      <c r="H2986" s="194" t="s">
        <v>60</v>
      </c>
      <c r="I2986" s="187">
        <v>8.2474220000000003</v>
      </c>
      <c r="J2986" s="187" t="s">
        <v>941</v>
      </c>
      <c r="K2986" s="187" t="s">
        <v>116</v>
      </c>
      <c r="L2986" s="195">
        <v>1.0309280000000001</v>
      </c>
      <c r="M2986" s="195" t="s">
        <v>941</v>
      </c>
      <c r="N2986" s="195" t="s">
        <v>117</v>
      </c>
      <c r="O2986" s="199"/>
      <c r="P2986" s="188" t="s">
        <v>2886</v>
      </c>
      <c r="Q2986" s="183"/>
    </row>
    <row r="2987" spans="1:17" x14ac:dyDescent="0.2">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0.66</v>
      </c>
      <c r="H2987" s="194" t="s">
        <v>60</v>
      </c>
      <c r="I2987" s="187">
        <v>16.082474000000001</v>
      </c>
      <c r="J2987" s="187" t="s">
        <v>941</v>
      </c>
      <c r="K2987" s="187" t="s">
        <v>116</v>
      </c>
      <c r="L2987" s="195">
        <v>1.0824750000000001</v>
      </c>
      <c r="M2987" s="195" t="s">
        <v>941</v>
      </c>
      <c r="N2987" s="195" t="s">
        <v>117</v>
      </c>
      <c r="O2987" s="199"/>
      <c r="P2987" s="188" t="s">
        <v>2886</v>
      </c>
      <c r="Q2987" s="183"/>
    </row>
    <row r="2988" spans="1:17" x14ac:dyDescent="0.2">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1</v>
      </c>
      <c r="H2988" s="194" t="s">
        <v>60</v>
      </c>
      <c r="I2988" s="187">
        <v>17.42268</v>
      </c>
      <c r="J2988" s="187" t="s">
        <v>941</v>
      </c>
      <c r="K2988" s="187" t="s">
        <v>116</v>
      </c>
      <c r="L2988" s="195">
        <v>1.0824750000000001</v>
      </c>
      <c r="M2988" s="195" t="s">
        <v>941</v>
      </c>
      <c r="N2988" s="195" t="s">
        <v>117</v>
      </c>
      <c r="O2988" s="199"/>
      <c r="P2988" s="188" t="s">
        <v>2886</v>
      </c>
      <c r="Q2988" s="183"/>
    </row>
    <row r="2989" spans="1:17" x14ac:dyDescent="0.2">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1.5</v>
      </c>
      <c r="H2989" s="194" t="s">
        <v>60</v>
      </c>
      <c r="I2989" s="187">
        <v>17.42268</v>
      </c>
      <c r="J2989" s="187" t="s">
        <v>941</v>
      </c>
      <c r="K2989" s="187" t="s">
        <v>116</v>
      </c>
      <c r="L2989" s="195">
        <v>1.0824750000000001</v>
      </c>
      <c r="M2989" s="195" t="s">
        <v>941</v>
      </c>
      <c r="N2989" s="195" t="s">
        <v>117</v>
      </c>
      <c r="O2989" s="199"/>
      <c r="P2989" s="188" t="s">
        <v>2886</v>
      </c>
      <c r="Q2989" s="183"/>
    </row>
    <row r="2990" spans="1:17" x14ac:dyDescent="0.2">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2</v>
      </c>
      <c r="H2990" s="194" t="s">
        <v>60</v>
      </c>
      <c r="I2990" s="187">
        <v>16.082474000000001</v>
      </c>
      <c r="J2990" s="187" t="s">
        <v>941</v>
      </c>
      <c r="K2990" s="187" t="s">
        <v>116</v>
      </c>
      <c r="L2990" s="195">
        <v>1.0824750000000001</v>
      </c>
      <c r="M2990" s="195" t="s">
        <v>941</v>
      </c>
      <c r="N2990" s="195" t="s">
        <v>117</v>
      </c>
      <c r="O2990" s="199"/>
      <c r="P2990" s="188" t="s">
        <v>2886</v>
      </c>
      <c r="Q2990" s="183"/>
    </row>
    <row r="2991" spans="1:17" x14ac:dyDescent="0.2">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3</v>
      </c>
      <c r="H2991" s="194" t="s">
        <v>60</v>
      </c>
      <c r="I2991" s="187">
        <v>10.72165</v>
      </c>
      <c r="J2991" s="187" t="s">
        <v>941</v>
      </c>
      <c r="K2991" s="187" t="s">
        <v>116</v>
      </c>
      <c r="L2991" s="195">
        <v>1.0824739999999999</v>
      </c>
      <c r="M2991" s="195" t="s">
        <v>941</v>
      </c>
      <c r="N2991" s="195" t="s">
        <v>117</v>
      </c>
      <c r="O2991" s="199"/>
      <c r="P2991" s="188" t="s">
        <v>2886</v>
      </c>
      <c r="Q2991" s="183"/>
    </row>
    <row r="2992" spans="1:17" x14ac:dyDescent="0.2">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5</v>
      </c>
      <c r="H2992" s="194" t="s">
        <v>60</v>
      </c>
      <c r="I2992" s="187">
        <v>4.5360820000000004</v>
      </c>
      <c r="J2992" s="187" t="s">
        <v>941</v>
      </c>
      <c r="K2992" s="187" t="s">
        <v>116</v>
      </c>
      <c r="L2992" s="195">
        <v>1.0309280000000001</v>
      </c>
      <c r="M2992" s="195" t="s">
        <v>941</v>
      </c>
      <c r="N2992" s="195" t="s">
        <v>117</v>
      </c>
      <c r="O2992" s="199"/>
      <c r="P2992" s="188" t="s">
        <v>2886</v>
      </c>
      <c r="Q2992" s="183"/>
    </row>
    <row r="2993" spans="1:17" x14ac:dyDescent="0.2">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8</v>
      </c>
      <c r="H2993" s="194" t="s">
        <v>60</v>
      </c>
      <c r="I2993" s="187">
        <v>2.5773199999999998</v>
      </c>
      <c r="J2993" s="187" t="s">
        <v>941</v>
      </c>
      <c r="K2993" s="187" t="s">
        <v>116</v>
      </c>
      <c r="L2993" s="195">
        <v>0.9793811</v>
      </c>
      <c r="M2993" s="195" t="s">
        <v>941</v>
      </c>
      <c r="N2993" s="195" t="s">
        <v>117</v>
      </c>
      <c r="O2993" s="199"/>
      <c r="P2993" s="188" t="s">
        <v>2886</v>
      </c>
      <c r="Q2993" s="183"/>
    </row>
    <row r="2994" spans="1:17" x14ac:dyDescent="0.2">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14</v>
      </c>
      <c r="H2994" s="194" t="s">
        <v>60</v>
      </c>
      <c r="I2994" s="187">
        <v>1.2371133999999999</v>
      </c>
      <c r="J2994" s="187" t="s">
        <v>941</v>
      </c>
      <c r="K2994" s="187" t="s">
        <v>116</v>
      </c>
      <c r="L2994" s="195">
        <v>1.0824739999999999</v>
      </c>
      <c r="M2994" s="195" t="s">
        <v>941</v>
      </c>
      <c r="N2994" s="195" t="s">
        <v>117</v>
      </c>
      <c r="O2994" s="199"/>
      <c r="P2994" s="188" t="s">
        <v>2886</v>
      </c>
      <c r="Q2994" s="183"/>
    </row>
    <row r="2995" spans="1:17" x14ac:dyDescent="0.2">
      <c r="A2995" s="205">
        <v>362</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2 with Perpetrator (Erythromycin)</v>
      </c>
      <c r="E2995" s="250" t="str">
        <f>IF(AND(A2995&lt;&gt;"",ISNUMBER(A2995)),VLOOKUP(A2995,Studies!A:BR,5,FALSE),"")</f>
        <v>Midazolam</v>
      </c>
      <c r="F2995" s="251" t="str">
        <f>IF(AND(A2995&lt;&gt;"",ISNUMBER(A2995)),VLOOKUP(A2995,Studies!A:BR,6,FALSE),"")</f>
        <v>Plasma</v>
      </c>
      <c r="G2995" s="194">
        <v>25</v>
      </c>
      <c r="H2995" s="194" t="s">
        <v>60</v>
      </c>
      <c r="I2995" s="187">
        <v>0</v>
      </c>
      <c r="J2995" s="187" t="s">
        <v>941</v>
      </c>
      <c r="K2995" s="187" t="s">
        <v>116</v>
      </c>
      <c r="M2995" s="195"/>
      <c r="N2995" s="195"/>
      <c r="O2995" s="199"/>
      <c r="P2995" s="188"/>
      <c r="Q2995" s="183"/>
    </row>
    <row r="2996" spans="1:17" x14ac:dyDescent="0.2">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4 with Perpetrator (Erythromycin)</v>
      </c>
      <c r="E3006" s="250" t="str">
        <f>IF(AND(A3006&lt;&gt;"",ISNUMBER(A3006)),VLOOKUP(A3006,Studies!A:BR,5,FALSE),"")</f>
        <v>Midazolam</v>
      </c>
      <c r="F3006" s="251" t="str">
        <f>IF(AND(A3006&lt;&gt;"",ISNUMBER(A3006)),VLOOKUP(A3006,Studies!A:BR,6,FALSE),"")</f>
        <v>Plasma</v>
      </c>
      <c r="G3006" s="194">
        <v>73</v>
      </c>
      <c r="H3006" s="194" t="s">
        <v>60</v>
      </c>
      <c r="I3006" s="187">
        <v>0</v>
      </c>
      <c r="J3006" s="187" t="s">
        <v>941</v>
      </c>
      <c r="K3006" s="187" t="s">
        <v>116</v>
      </c>
      <c r="M3006" s="195"/>
      <c r="N3006" s="195"/>
      <c r="O3006" s="199"/>
      <c r="P3006" s="188"/>
      <c r="Q3006" s="183"/>
    </row>
    <row r="3007" spans="1:17" x14ac:dyDescent="0.2">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7 with Perpetrator (Erythromycin)</v>
      </c>
      <c r="E3017" s="250" t="str">
        <f>IF(AND(A3017&lt;&gt;"",ISNUMBER(A3017)),VLOOKUP(A3017,Studies!A:BR,5,FALSE),"")</f>
        <v>Midazolam</v>
      </c>
      <c r="F3017" s="251" t="str">
        <f>IF(AND(A3017&lt;&gt;"",ISNUMBER(A3017)),VLOOKUP(A3017,Studies!A:BR,6,FALSE),"")</f>
        <v>Plasma</v>
      </c>
      <c r="G3017" s="194">
        <v>145</v>
      </c>
      <c r="H3017" s="194" t="s">
        <v>60</v>
      </c>
      <c r="I3017" s="187">
        <v>0</v>
      </c>
      <c r="J3017" s="187" t="s">
        <v>941</v>
      </c>
      <c r="K3017" s="187" t="s">
        <v>116</v>
      </c>
      <c r="M3017" s="195"/>
      <c r="N3017" s="195"/>
      <c r="O3017" s="199"/>
      <c r="P3017" s="188"/>
      <c r="Q3017" s="183"/>
    </row>
    <row r="3018" spans="1:17" x14ac:dyDescent="0.2">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49" t="str">
        <f>IF(AND(A3028&lt;&gt;"",ISNUMBER(A3028)),VLOOKUP(A3028,Studies!A:BR,2,FALSE),"")</f>
        <v>Olkkola 1993</v>
      </c>
      <c r="C3028" s="250" t="str">
        <f>IF(AND(A3028&lt;&gt;"",ISNUMBER(A3028)),VLOOKUP(A3028,Studies!A:BR,3,FALSE),"")</f>
        <v>https://www.ncbi.nlm.nih.gov/pubmed/8453848</v>
      </c>
      <c r="D3028" s="250" t="str">
        <f>IF(AND(A3028&lt;&gt;"",ISNUMBER(A3028)),VLOOKUP(A3028,Studies!A:BR,4,FALSE),"")</f>
        <v>po Control (Perpetrator Placebo)</v>
      </c>
      <c r="E3028" s="250" t="str">
        <f>IF(AND(A3028&lt;&gt;"",ISNUMBER(A3028)),VLOOKUP(A3028,Studies!A:BR,5,FALSE),"")</f>
        <v>Midazolam</v>
      </c>
      <c r="F3028" s="251" t="str">
        <f>IF(AND(A3028&lt;&gt;"",ISNUMBER(A3028)),VLOOKUP(A3028,Studies!A:BR,6,FALSE),"")</f>
        <v>Plasma</v>
      </c>
      <c r="G3028" s="194">
        <v>0</v>
      </c>
      <c r="H3028" s="194" t="s">
        <v>60</v>
      </c>
      <c r="I3028" s="187">
        <v>0</v>
      </c>
      <c r="J3028" s="187" t="s">
        <v>941</v>
      </c>
      <c r="K3028" s="187" t="s">
        <v>116</v>
      </c>
      <c r="M3028" s="195"/>
      <c r="N3028" s="195"/>
      <c r="O3028" s="199"/>
      <c r="P3028" s="188"/>
      <c r="Q3028" s="183"/>
    </row>
    <row r="3029" spans="1:17" x14ac:dyDescent="0.2">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with Perpetrator (Erythromycin)</v>
      </c>
      <c r="E3040" s="250" t="str">
        <f>IF(AND(A3040&lt;&gt;"",ISNUMBER(A3040)),VLOOKUP(A3040,Studies!A:BR,5,FALSE),"")</f>
        <v>Midazolam</v>
      </c>
      <c r="F3040" s="251" t="str">
        <f>IF(AND(A3040&lt;&gt;"",ISNUMBER(A3040)),VLOOKUP(A3040,Studies!A:BR,6,FALSE),"")</f>
        <v>Plasma</v>
      </c>
      <c r="G3040" s="194">
        <v>128</v>
      </c>
      <c r="H3040" s="194" t="s">
        <v>60</v>
      </c>
      <c r="I3040" s="187">
        <v>0</v>
      </c>
      <c r="J3040" s="187" t="s">
        <v>941</v>
      </c>
      <c r="K3040" s="187" t="s">
        <v>116</v>
      </c>
      <c r="M3040" s="195"/>
      <c r="N3040" s="195"/>
      <c r="O3040" s="199"/>
      <c r="P3040" s="188"/>
      <c r="Q3040" s="183"/>
    </row>
    <row r="3041" spans="1:17" x14ac:dyDescent="0.2">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iv Control (Perpetrator Placebo)</v>
      </c>
      <c r="E3052" s="250" t="str">
        <f>IF(AND(A3052&lt;&gt;"",ISNUMBER(A3052)),VLOOKUP(A3052,Studies!A:BR,5,FALSE),"")</f>
        <v>Midazolam</v>
      </c>
      <c r="F3052" s="251"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with Perpetrator (Erythromycin)</v>
      </c>
      <c r="E3064" s="250" t="str">
        <f>IF(AND(A3064&lt;&gt;"",ISNUMBER(A3064)),VLOOKUP(A3064,Studies!A:BR,5,FALSE),"")</f>
        <v>Midazolam</v>
      </c>
      <c r="F3064" s="251" t="str">
        <f>IF(AND(A3064&lt;&gt;"",ISNUMBER(A3064)),VLOOKUP(A3064,Studies!A:BR,6,FALSE),"")</f>
        <v>Plasma</v>
      </c>
      <c r="G3064" s="194">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2">
        <v>369</v>
      </c>
      <c r="B3076" s="249" t="str">
        <f>IF(AND(A3076&lt;&gt;"",ISNUMBER(A3076)),VLOOKUP(A3076,Studies!A:BR,2,FALSE),"")</f>
        <v>Olkkola 1994</v>
      </c>
      <c r="C3076" s="250" t="str">
        <f>IF(AND(A3076&lt;&gt;"",ISNUMBER(A3076)),VLOOKUP(A3076,Studies!A:BR,3,FALSE),"")</f>
        <v>https://www.ncbi.nlm.nih.gov/pubmed/8181191</v>
      </c>
      <c r="D3076" s="250" t="str">
        <f>IF(AND(A3076&lt;&gt;"",ISNUMBER(A3076)),VLOOKUP(A3076,Studies!A:BR,4,FALSE),"")</f>
        <v>po Control (Perpetrator Placebo)</v>
      </c>
      <c r="E3076" s="250" t="str">
        <f>IF(AND(A3076&lt;&gt;"",ISNUMBER(A3076)),VLOOKUP(A3076,Studies!A:BR,5,FALSE),"")</f>
        <v>Midazolam</v>
      </c>
      <c r="F3076" s="251" t="str">
        <f>IF(AND(A3076&lt;&gt;"",ISNUMBER(A3076)),VLOOKUP(A3076,Studies!A:BR,6,FALSE),"")</f>
        <v>Plasma</v>
      </c>
      <c r="G3076" s="194">
        <v>0</v>
      </c>
      <c r="H3076" s="194" t="s">
        <v>60</v>
      </c>
      <c r="I3076" s="187">
        <v>0</v>
      </c>
      <c r="J3076" s="187" t="s">
        <v>941</v>
      </c>
      <c r="K3076" s="187" t="s">
        <v>116</v>
      </c>
      <c r="M3076" s="195"/>
      <c r="N3076" s="195"/>
      <c r="O3076" s="199"/>
      <c r="P3076" s="188"/>
      <c r="Q3076" s="183"/>
    </row>
    <row r="3077" spans="1:17" x14ac:dyDescent="0.2">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0.5</v>
      </c>
      <c r="H3077" s="194" t="s">
        <v>60</v>
      </c>
      <c r="I3077" s="187">
        <v>4.0939040000000002</v>
      </c>
      <c r="J3077" s="187" t="s">
        <v>941</v>
      </c>
      <c r="K3077" s="187" t="s">
        <v>116</v>
      </c>
      <c r="M3077" s="195"/>
      <c r="N3077" s="195"/>
      <c r="O3077" s="199"/>
      <c r="P3077" s="188"/>
      <c r="Q3077" s="183"/>
    </row>
    <row r="3078" spans="1:17" x14ac:dyDescent="0.2">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1.5</v>
      </c>
      <c r="H3079" s="194" t="s">
        <v>60</v>
      </c>
      <c r="I3079" s="187">
        <v>19.038540000000001</v>
      </c>
      <c r="J3079" s="187" t="s">
        <v>941</v>
      </c>
      <c r="K3079" s="187" t="s">
        <v>116</v>
      </c>
      <c r="M3079" s="195"/>
      <c r="N3079" s="195"/>
      <c r="O3079" s="199"/>
      <c r="P3079" s="188"/>
      <c r="Q3079" s="183"/>
    </row>
    <row r="3080" spans="1:17" x14ac:dyDescent="0.2">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2</v>
      </c>
      <c r="H3080" s="194" t="s">
        <v>60</v>
      </c>
      <c r="I3080" s="187">
        <v>17.12886</v>
      </c>
      <c r="J3080" s="187" t="s">
        <v>941</v>
      </c>
      <c r="K3080" s="187" t="s">
        <v>116</v>
      </c>
      <c r="M3080" s="195"/>
      <c r="N3080" s="195"/>
      <c r="O3080" s="199"/>
      <c r="P3080" s="188"/>
      <c r="Q3080" s="183"/>
    </row>
    <row r="3081" spans="1:17" x14ac:dyDescent="0.2">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3</v>
      </c>
      <c r="H3081" s="194" t="s">
        <v>60</v>
      </c>
      <c r="I3081" s="187">
        <v>10.309100000000001</v>
      </c>
      <c r="J3081" s="187" t="s">
        <v>941</v>
      </c>
      <c r="K3081" s="187" t="s">
        <v>116</v>
      </c>
      <c r="M3081" s="195"/>
      <c r="N3081" s="195"/>
      <c r="O3081" s="199"/>
      <c r="P3081" s="188"/>
      <c r="Q3081" s="183"/>
    </row>
    <row r="3082" spans="1:17" x14ac:dyDescent="0.2">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4</v>
      </c>
      <c r="H3082" s="194" t="s">
        <v>60</v>
      </c>
      <c r="I3082" s="187">
        <v>6.6759579999999996</v>
      </c>
      <c r="J3082" s="187" t="s">
        <v>941</v>
      </c>
      <c r="K3082" s="187" t="s">
        <v>116</v>
      </c>
      <c r="M3082" s="195"/>
      <c r="N3082" s="195"/>
      <c r="O3082" s="199"/>
      <c r="P3082" s="188"/>
      <c r="Q3082" s="183"/>
    </row>
    <row r="3083" spans="1:17" x14ac:dyDescent="0.2">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5</v>
      </c>
      <c r="H3083" s="194" t="s">
        <v>60</v>
      </c>
      <c r="I3083" s="187">
        <v>3.6084429999999998</v>
      </c>
      <c r="J3083" s="187" t="s">
        <v>941</v>
      </c>
      <c r="K3083" s="187" t="s">
        <v>116</v>
      </c>
      <c r="M3083" s="195"/>
      <c r="N3083" s="195"/>
      <c r="O3083" s="199"/>
      <c r="P3083" s="188"/>
      <c r="Q3083" s="183"/>
    </row>
    <row r="3084" spans="1:17" x14ac:dyDescent="0.2">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6</v>
      </c>
      <c r="H3084" s="194" t="s">
        <v>60</v>
      </c>
      <c r="I3084" s="187">
        <v>2.6046610000000001</v>
      </c>
      <c r="J3084" s="187" t="s">
        <v>941</v>
      </c>
      <c r="K3084" s="187" t="s">
        <v>116</v>
      </c>
      <c r="M3084" s="195"/>
      <c r="N3084" s="195"/>
      <c r="O3084" s="199"/>
      <c r="P3084" s="188"/>
      <c r="Q3084" s="183"/>
    </row>
    <row r="3085" spans="1:17" x14ac:dyDescent="0.2">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7</v>
      </c>
      <c r="H3085" s="194" t="s">
        <v>60</v>
      </c>
      <c r="I3085" s="187">
        <v>1.976102</v>
      </c>
      <c r="J3085" s="187" t="s">
        <v>941</v>
      </c>
      <c r="K3085" s="187" t="s">
        <v>116</v>
      </c>
      <c r="M3085" s="195"/>
      <c r="N3085" s="195"/>
      <c r="O3085" s="199"/>
      <c r="P3085" s="188"/>
      <c r="Q3085" s="183"/>
    </row>
    <row r="3086" spans="1:17" x14ac:dyDescent="0.2">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17</v>
      </c>
      <c r="H3086" s="194" t="s">
        <v>60</v>
      </c>
      <c r="I3086" s="187">
        <v>0.183417</v>
      </c>
      <c r="J3086" s="187" t="s">
        <v>941</v>
      </c>
      <c r="K3086" s="187" t="s">
        <v>116</v>
      </c>
      <c r="M3086" s="195"/>
      <c r="N3086" s="195"/>
      <c r="O3086" s="199"/>
      <c r="P3086" s="188"/>
      <c r="Q3086" s="183"/>
    </row>
    <row r="3087" spans="1:17" x14ac:dyDescent="0.2">
      <c r="A3087" s="212">
        <v>370</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with Perpetrator (Itraconazole)</v>
      </c>
      <c r="E3087" s="250" t="str">
        <f>IF(AND(A3087&lt;&gt;"",ISNUMBER(A3087)),VLOOKUP(A3087,Studies!A:BR,5,FALSE),"")</f>
        <v>Midazolam</v>
      </c>
      <c r="F3087" s="251" t="str">
        <f>IF(AND(A3087&lt;&gt;"",ISNUMBER(A3087)),VLOOKUP(A3087,Studies!A:BR,6,FALSE),"")</f>
        <v>Plasma</v>
      </c>
      <c r="G3087" s="194">
        <v>73</v>
      </c>
      <c r="H3087" s="194" t="s">
        <v>60</v>
      </c>
      <c r="I3087" s="187">
        <v>0</v>
      </c>
      <c r="J3087" s="187" t="s">
        <v>941</v>
      </c>
      <c r="K3087" s="187" t="s">
        <v>116</v>
      </c>
      <c r="M3087" s="195"/>
      <c r="N3087" s="195"/>
      <c r="O3087" s="199"/>
      <c r="P3087" s="188"/>
      <c r="Q3087" s="183"/>
    </row>
    <row r="3088" spans="1:17" x14ac:dyDescent="0.2">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90</v>
      </c>
      <c r="H3097" s="194" t="s">
        <v>60</v>
      </c>
      <c r="I3097" s="187">
        <v>12.75342</v>
      </c>
      <c r="J3097" s="187" t="s">
        <v>941</v>
      </c>
      <c r="K3097" s="187" t="s">
        <v>116</v>
      </c>
      <c r="M3097" s="195"/>
      <c r="N3097" s="195"/>
      <c r="O3097" s="199"/>
      <c r="P3097" s="188"/>
      <c r="Q3097" s="183"/>
    </row>
    <row r="3098" spans="1:17" x14ac:dyDescent="0.2">
      <c r="A3098" s="212">
        <v>371</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(Ketoconazole</v>
      </c>
      <c r="E3098" s="250" t="str">
        <f>IF(AND(A3098&lt;&gt;"",ISNUMBER(A3098)),VLOOKUP(A3098,Studies!A:BR,5,FALSE),"")</f>
        <v>Midazolam</v>
      </c>
      <c r="F3098" s="251" t="str">
        <f>IF(AND(A3098&lt;&gt;"",ISNUMBER(A3098)),VLOOKUP(A3098,Studies!A:BR,6,FALSE),"")</f>
        <v>Plasma</v>
      </c>
      <c r="G3098" s="194">
        <v>73</v>
      </c>
      <c r="H3098" s="194" t="s">
        <v>60</v>
      </c>
      <c r="I3098" s="187">
        <v>0</v>
      </c>
      <c r="J3098" s="187" t="s">
        <v>941</v>
      </c>
      <c r="K3098" s="187" t="s">
        <v>116</v>
      </c>
      <c r="M3098" s="195"/>
      <c r="N3098" s="195"/>
      <c r="O3098" s="199"/>
      <c r="P3098" s="188"/>
      <c r="Q3098" s="183"/>
    </row>
    <row r="3099" spans="1:17" x14ac:dyDescent="0.2">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90</v>
      </c>
      <c r="H3108" s="194" t="s">
        <v>60</v>
      </c>
      <c r="I3108" s="187">
        <v>20.257899999999999</v>
      </c>
      <c r="J3108" s="187" t="s">
        <v>941</v>
      </c>
      <c r="K3108" s="187" t="s">
        <v>116</v>
      </c>
      <c r="M3108" s="195"/>
      <c r="N3108" s="195"/>
      <c r="O3108" s="199"/>
      <c r="P3108" s="188"/>
      <c r="Q3108" s="183"/>
    </row>
    <row r="3109" spans="1:17" x14ac:dyDescent="0.2">
      <c r="A3109" s="212">
        <v>372</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(Itraconazole)</v>
      </c>
      <c r="E3109" s="250" t="str">
        <f>IF(AND(A3109&lt;&gt;"",ISNUMBER(A3109)),VLOOKUP(A3109,Studies!A:BR,5,FALSE),"")</f>
        <v>Itraconazole</v>
      </c>
      <c r="F3109" s="251"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77</v>
      </c>
      <c r="H3115" s="194" t="s">
        <v>60</v>
      </c>
      <c r="I3115" s="187">
        <v>0.48583270000000001</v>
      </c>
      <c r="J3115" s="187" t="s">
        <v>962</v>
      </c>
      <c r="K3115" s="187" t="s">
        <v>116</v>
      </c>
      <c r="M3115" s="195"/>
      <c r="N3115" s="195"/>
      <c r="O3115" s="199"/>
      <c r="P3115" s="188"/>
      <c r="Q3115" s="183"/>
    </row>
    <row r="3116" spans="1:17" x14ac:dyDescent="0.2">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2">
        <v>373</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(Ketoconazole</v>
      </c>
      <c r="E3120" s="250" t="str">
        <f>IF(AND(A3120&lt;&gt;"",ISNUMBER(A3120)),VLOOKUP(A3120,Studies!A:BR,5,FALSE),"")</f>
        <v>Ketoconazole</v>
      </c>
      <c r="F3120" s="251"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76</v>
      </c>
      <c r="H3125" s="194" t="s">
        <v>60</v>
      </c>
      <c r="I3125" s="187">
        <v>6.8533949999999999</v>
      </c>
      <c r="J3125" s="187" t="s">
        <v>962</v>
      </c>
      <c r="K3125" s="187" t="s">
        <v>116</v>
      </c>
      <c r="M3125" s="195"/>
      <c r="N3125" s="195"/>
      <c r="O3125" s="199"/>
      <c r="P3125" s="188"/>
      <c r="Q3125" s="183"/>
    </row>
    <row r="3126" spans="1:17" x14ac:dyDescent="0.2">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77</v>
      </c>
      <c r="H3126" s="194" t="s">
        <v>60</v>
      </c>
      <c r="I3126" s="187">
        <v>7.0660069999999999</v>
      </c>
      <c r="J3126" s="187" t="s">
        <v>962</v>
      </c>
      <c r="K3126" s="187" t="s">
        <v>116</v>
      </c>
      <c r="M3126" s="195"/>
      <c r="N3126" s="195"/>
      <c r="O3126" s="199"/>
      <c r="P3126" s="188"/>
      <c r="Q3126" s="183"/>
    </row>
    <row r="3127" spans="1:17" x14ac:dyDescent="0.2">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78</v>
      </c>
      <c r="H3127" s="194" t="s">
        <v>60</v>
      </c>
      <c r="I3127" s="187">
        <v>5.8479469999999996</v>
      </c>
      <c r="J3127" s="187" t="s">
        <v>962</v>
      </c>
      <c r="K3127" s="187" t="s">
        <v>116</v>
      </c>
      <c r="M3127" s="195"/>
      <c r="N3127" s="195"/>
      <c r="O3127" s="199"/>
      <c r="P3127" s="188"/>
      <c r="Q3127" s="183"/>
    </row>
    <row r="3128" spans="1:17" x14ac:dyDescent="0.2">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2">
        <v>374</v>
      </c>
      <c r="B3131" s="249" t="str">
        <f>IF(AND(A3131&lt;&gt;"",ISNUMBER(A3131)),VLOOKUP(A3131,Studies!A:BR,2,FALSE),"")</f>
        <v>Olkkola 1996</v>
      </c>
      <c r="C3131" s="250" t="str">
        <f>IF(AND(A3131&lt;&gt;"",ISNUMBER(A3131)),VLOOKUP(A3131,Studies!A:BR,3,FALSE),"")</f>
        <v>https://www.ncbi.nlm.nih.gov/pubmed/8623953</v>
      </c>
      <c r="D3131" s="250" t="str">
        <f>IF(AND(A3131&lt;&gt;"",ISNUMBER(A3131)),VLOOKUP(A3131,Studies!A:BR,4,FALSE),"")</f>
        <v>day 1 (po) Control (Perpetrator Placebo)</v>
      </c>
      <c r="E3131" s="250" t="str">
        <f>IF(AND(A3131&lt;&gt;"",ISNUMBER(A3131)),VLOOKUP(A3131,Studies!A:BR,5,FALSE),"")</f>
        <v>Midazolam</v>
      </c>
      <c r="F3131" s="251" t="str">
        <f>IF(AND(A3131&lt;&gt;"",ISNUMBER(A3131)),VLOOKUP(A3131,Studies!A:BR,6,FALSE),"")</f>
        <v>Plasma</v>
      </c>
      <c r="G3131" s="194">
        <v>0</v>
      </c>
      <c r="H3131" s="194" t="s">
        <v>60</v>
      </c>
      <c r="I3131" s="187">
        <v>0</v>
      </c>
      <c r="J3131" s="187" t="s">
        <v>941</v>
      </c>
      <c r="K3131" s="187" t="s">
        <v>116</v>
      </c>
      <c r="M3131" s="195"/>
      <c r="N3131" s="195"/>
      <c r="O3131" s="199"/>
      <c r="P3131" s="188"/>
      <c r="Q3131" s="183"/>
    </row>
    <row r="3132" spans="1:17" x14ac:dyDescent="0.2">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1</v>
      </c>
      <c r="H3133" s="194" t="s">
        <v>60</v>
      </c>
      <c r="I3133" s="187">
        <v>25.882290000000001</v>
      </c>
      <c r="J3133" s="187" t="s">
        <v>941</v>
      </c>
      <c r="K3133" s="187" t="s">
        <v>116</v>
      </c>
      <c r="M3133" s="195"/>
      <c r="N3133" s="195"/>
      <c r="O3133" s="199"/>
      <c r="P3133" s="188"/>
      <c r="Q3133" s="183"/>
    </row>
    <row r="3134" spans="1:17" x14ac:dyDescent="0.2">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1.5</v>
      </c>
      <c r="H3134" s="194" t="s">
        <v>60</v>
      </c>
      <c r="I3134" s="187">
        <v>21.971139999999998</v>
      </c>
      <c r="J3134" s="187" t="s">
        <v>941</v>
      </c>
      <c r="K3134" s="187" t="s">
        <v>116</v>
      </c>
      <c r="M3134" s="195"/>
      <c r="N3134" s="195"/>
      <c r="O3134" s="199"/>
      <c r="P3134" s="188"/>
      <c r="Q3134" s="183"/>
    </row>
    <row r="3135" spans="1:17" x14ac:dyDescent="0.2">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2</v>
      </c>
      <c r="H3135" s="194" t="s">
        <v>60</v>
      </c>
      <c r="I3135" s="187">
        <v>16.948910000000001</v>
      </c>
      <c r="J3135" s="187" t="s">
        <v>941</v>
      </c>
      <c r="K3135" s="187" t="s">
        <v>116</v>
      </c>
      <c r="M3135" s="195"/>
      <c r="N3135" s="195"/>
      <c r="O3135" s="199"/>
      <c r="P3135" s="188"/>
      <c r="Q3135" s="183"/>
    </row>
    <row r="3136" spans="1:17" x14ac:dyDescent="0.2">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3</v>
      </c>
      <c r="H3136" s="194" t="s">
        <v>60</v>
      </c>
      <c r="I3136" s="187">
        <v>11.722709999999999</v>
      </c>
      <c r="J3136" s="187" t="s">
        <v>941</v>
      </c>
      <c r="K3136" s="187" t="s">
        <v>116</v>
      </c>
      <c r="M3136" s="195"/>
      <c r="N3136" s="195"/>
      <c r="O3136" s="199"/>
      <c r="P3136" s="188"/>
      <c r="Q3136" s="183"/>
    </row>
    <row r="3137" spans="1:17" x14ac:dyDescent="0.2">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4</v>
      </c>
      <c r="H3137" s="194" t="s">
        <v>60</v>
      </c>
      <c r="I3137" s="187">
        <v>8.3447390000000006</v>
      </c>
      <c r="J3137" s="187" t="s">
        <v>941</v>
      </c>
      <c r="K3137" s="187" t="s">
        <v>116</v>
      </c>
      <c r="M3137" s="195"/>
      <c r="N3137" s="195"/>
      <c r="O3137" s="199"/>
      <c r="P3137" s="188"/>
      <c r="Q3137" s="183"/>
    </row>
    <row r="3138" spans="1:17" x14ac:dyDescent="0.2">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5</v>
      </c>
      <c r="H3138" s="194" t="s">
        <v>60</v>
      </c>
      <c r="I3138" s="187">
        <v>4.9676600000000004</v>
      </c>
      <c r="J3138" s="187" t="s">
        <v>941</v>
      </c>
      <c r="K3138" s="187" t="s">
        <v>116</v>
      </c>
      <c r="M3138" s="195"/>
      <c r="N3138" s="195"/>
      <c r="O3138" s="199"/>
      <c r="P3138" s="188"/>
      <c r="Q3138" s="183"/>
    </row>
    <row r="3139" spans="1:17" x14ac:dyDescent="0.2">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6</v>
      </c>
      <c r="H3139" s="194" t="s">
        <v>60</v>
      </c>
      <c r="I3139" s="187">
        <v>4.1822100000000004</v>
      </c>
      <c r="J3139" s="187" t="s">
        <v>941</v>
      </c>
      <c r="K3139" s="187" t="s">
        <v>116</v>
      </c>
      <c r="M3139" s="195"/>
      <c r="N3139" s="195"/>
      <c r="O3139" s="199"/>
      <c r="P3139" s="188"/>
      <c r="Q3139" s="183"/>
    </row>
    <row r="3140" spans="1:17" x14ac:dyDescent="0.2">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7</v>
      </c>
      <c r="H3140" s="194" t="s">
        <v>60</v>
      </c>
      <c r="I3140" s="187">
        <v>3.4003380000000001</v>
      </c>
      <c r="J3140" s="187" t="s">
        <v>941</v>
      </c>
      <c r="K3140" s="187" t="s">
        <v>116</v>
      </c>
      <c r="M3140" s="195"/>
      <c r="N3140" s="195"/>
      <c r="O3140" s="199"/>
      <c r="P3140" s="188"/>
      <c r="Q3140" s="183"/>
    </row>
    <row r="3141" spans="1:17" x14ac:dyDescent="0.2">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17</v>
      </c>
      <c r="H3141" s="194" t="s">
        <v>60</v>
      </c>
      <c r="I3141" s="187">
        <v>-0.36946580000000001</v>
      </c>
      <c r="J3141" s="187" t="s">
        <v>941</v>
      </c>
      <c r="K3141" s="187" t="s">
        <v>116</v>
      </c>
      <c r="M3141" s="195"/>
      <c r="N3141" s="195"/>
      <c r="O3141" s="199"/>
      <c r="P3141" s="188"/>
      <c r="Q3141" s="183"/>
    </row>
    <row r="3142" spans="1:17" x14ac:dyDescent="0.2">
      <c r="A3142" s="212">
        <v>375</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4 (iv) Control (Perpetrator Placebo)</v>
      </c>
      <c r="E3142" s="250" t="str">
        <f>IF(AND(A3142&lt;&gt;"",ISNUMBER(A3142)),VLOOKUP(A3142,Studies!A:BR,5,FALSE),"")</f>
        <v>Midazolam</v>
      </c>
      <c r="F3142" s="251" t="str">
        <f>IF(AND(A3142&lt;&gt;"",ISNUMBER(A3142)),VLOOKUP(A3142,Studies!A:BR,6,FALSE),"")</f>
        <v>Plasma</v>
      </c>
      <c r="G3142" s="194">
        <v>0</v>
      </c>
      <c r="H3142" s="194" t="s">
        <v>60</v>
      </c>
      <c r="I3142" s="187">
        <v>0</v>
      </c>
      <c r="J3142" s="187" t="s">
        <v>941</v>
      </c>
      <c r="K3142" s="187" t="s">
        <v>116</v>
      </c>
      <c r="M3142" s="195"/>
      <c r="N3142" s="195"/>
      <c r="O3142" s="199"/>
      <c r="P3142" s="188"/>
      <c r="Q3142" s="183"/>
    </row>
    <row r="3143" spans="1:17" x14ac:dyDescent="0.2">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0.25</v>
      </c>
      <c r="H3143" s="194" t="s">
        <v>60</v>
      </c>
      <c r="I3143" s="187">
        <v>54.13523</v>
      </c>
      <c r="J3143" s="187" t="s">
        <v>941</v>
      </c>
      <c r="K3143" s="187" t="s">
        <v>116</v>
      </c>
      <c r="M3143" s="195"/>
      <c r="N3143" s="195"/>
      <c r="O3143" s="199"/>
      <c r="P3143" s="188"/>
      <c r="Q3143" s="183"/>
    </row>
    <row r="3144" spans="1:17" x14ac:dyDescent="0.2">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0.5</v>
      </c>
      <c r="H3144" s="194" t="s">
        <v>60</v>
      </c>
      <c r="I3144" s="187">
        <v>42.525260000000003</v>
      </c>
      <c r="J3144" s="187" t="s">
        <v>941</v>
      </c>
      <c r="K3144" s="187" t="s">
        <v>116</v>
      </c>
      <c r="M3144" s="195"/>
      <c r="N3144" s="195"/>
      <c r="O3144" s="199"/>
      <c r="P3144" s="188"/>
      <c r="Q3144" s="183"/>
    </row>
    <row r="3145" spans="1:17" x14ac:dyDescent="0.2">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1</v>
      </c>
      <c r="H3145" s="194" t="s">
        <v>60</v>
      </c>
      <c r="I3145" s="187">
        <v>28.696719999999999</v>
      </c>
      <c r="J3145" s="187" t="s">
        <v>941</v>
      </c>
      <c r="K3145" s="187" t="s">
        <v>116</v>
      </c>
      <c r="M3145" s="195"/>
      <c r="N3145" s="195"/>
      <c r="O3145" s="199"/>
      <c r="P3145" s="188"/>
      <c r="Q3145" s="183"/>
    </row>
    <row r="3146" spans="1:17" x14ac:dyDescent="0.2">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1.5</v>
      </c>
      <c r="H3146" s="194" t="s">
        <v>60</v>
      </c>
      <c r="I3146" s="187">
        <v>20.577089999999998</v>
      </c>
      <c r="J3146" s="187" t="s">
        <v>941</v>
      </c>
      <c r="K3146" s="187" t="s">
        <v>116</v>
      </c>
      <c r="M3146" s="195"/>
      <c r="N3146" s="195"/>
      <c r="O3146" s="199"/>
      <c r="P3146" s="188"/>
      <c r="Q3146" s="183"/>
    </row>
    <row r="3147" spans="1:17" x14ac:dyDescent="0.2">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2</v>
      </c>
      <c r="H3147" s="194" t="s">
        <v>60</v>
      </c>
      <c r="I3147" s="187">
        <v>15.957140000000001</v>
      </c>
      <c r="J3147" s="187" t="s">
        <v>941</v>
      </c>
      <c r="K3147" s="187" t="s">
        <v>116</v>
      </c>
      <c r="M3147" s="195"/>
      <c r="N3147" s="195"/>
      <c r="O3147" s="199"/>
      <c r="P3147" s="188"/>
      <c r="Q3147" s="183"/>
    </row>
    <row r="3148" spans="1:17" x14ac:dyDescent="0.2">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3</v>
      </c>
      <c r="H3148" s="194" t="s">
        <v>60</v>
      </c>
      <c r="I3148" s="187">
        <v>10.76871</v>
      </c>
      <c r="J3148" s="187" t="s">
        <v>941</v>
      </c>
      <c r="K3148" s="187" t="s">
        <v>116</v>
      </c>
      <c r="M3148" s="195"/>
      <c r="N3148" s="195"/>
      <c r="O3148" s="199"/>
      <c r="P3148" s="188"/>
      <c r="Q3148" s="183"/>
    </row>
    <row r="3149" spans="1:17" x14ac:dyDescent="0.2">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4</v>
      </c>
      <c r="H3149" s="194" t="s">
        <v>60</v>
      </c>
      <c r="I3149" s="187">
        <v>8.1578389999999992</v>
      </c>
      <c r="J3149" s="187" t="s">
        <v>941</v>
      </c>
      <c r="K3149" s="187" t="s">
        <v>116</v>
      </c>
      <c r="M3149" s="195"/>
      <c r="N3149" s="195"/>
      <c r="O3149" s="199"/>
      <c r="P3149" s="188"/>
      <c r="Q3149" s="183"/>
    </row>
    <row r="3150" spans="1:17" x14ac:dyDescent="0.2">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5</v>
      </c>
      <c r="H3150" s="194" t="s">
        <v>60</v>
      </c>
      <c r="I3150" s="187">
        <v>5.7311240000000003</v>
      </c>
      <c r="J3150" s="187" t="s">
        <v>941</v>
      </c>
      <c r="K3150" s="187" t="s">
        <v>116</v>
      </c>
      <c r="M3150" s="195"/>
      <c r="N3150" s="195"/>
      <c r="O3150" s="199"/>
      <c r="P3150" s="188"/>
      <c r="Q3150" s="183"/>
    </row>
    <row r="3151" spans="1:17" x14ac:dyDescent="0.2">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6</v>
      </c>
      <c r="H3151" s="194" t="s">
        <v>60</v>
      </c>
      <c r="I3151" s="187">
        <v>4.9618349999999998</v>
      </c>
      <c r="J3151" s="187" t="s">
        <v>941</v>
      </c>
      <c r="K3151" s="187" t="s">
        <v>116</v>
      </c>
      <c r="M3151" s="195"/>
      <c r="N3151" s="195"/>
      <c r="O3151" s="199"/>
      <c r="P3151" s="188"/>
      <c r="Q3151" s="183"/>
    </row>
    <row r="3152" spans="1:17" x14ac:dyDescent="0.2">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7</v>
      </c>
      <c r="H3152" s="194" t="s">
        <v>60</v>
      </c>
      <c r="I3152" s="187">
        <v>4.5615300000000003</v>
      </c>
      <c r="J3152" s="187" t="s">
        <v>941</v>
      </c>
      <c r="K3152" s="187" t="s">
        <v>116</v>
      </c>
      <c r="M3152" s="195"/>
      <c r="N3152" s="195"/>
      <c r="O3152" s="199"/>
      <c r="P3152" s="188"/>
      <c r="Q3152" s="183"/>
    </row>
    <row r="3153" spans="1:17" x14ac:dyDescent="0.2">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17</v>
      </c>
      <c r="H3153" s="194" t="s">
        <v>60</v>
      </c>
      <c r="I3153" s="187">
        <v>0</v>
      </c>
      <c r="J3153" s="187" t="s">
        <v>941</v>
      </c>
      <c r="K3153" s="187" t="s">
        <v>116</v>
      </c>
      <c r="M3153" s="195"/>
      <c r="N3153" s="195"/>
      <c r="O3153" s="199"/>
      <c r="P3153" s="188" t="s">
        <v>1076</v>
      </c>
      <c r="Q3153" s="183"/>
    </row>
    <row r="3154" spans="1:17" x14ac:dyDescent="0.2">
      <c r="A3154" s="212">
        <v>376</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6 (po) Control (Perpetrator Placebo)</v>
      </c>
      <c r="E3154" s="250" t="str">
        <f>IF(AND(A3154&lt;&gt;"",ISNUMBER(A3154)),VLOOKUP(A3154,Studies!A:BR,5,FALSE),"")</f>
        <v>Midazolam</v>
      </c>
      <c r="F3154" s="251" t="str">
        <f>IF(AND(A3154&lt;&gt;"",ISNUMBER(A3154)),VLOOKUP(A3154,Studies!A:BR,6,FALSE),"")</f>
        <v>Plasma</v>
      </c>
      <c r="G3154" s="194">
        <v>0</v>
      </c>
      <c r="H3154" s="194" t="s">
        <v>60</v>
      </c>
      <c r="I3154" s="187">
        <v>0</v>
      </c>
      <c r="J3154" s="187" t="s">
        <v>941</v>
      </c>
      <c r="K3154" s="187" t="s">
        <v>116</v>
      </c>
      <c r="M3154" s="195"/>
      <c r="N3154" s="195"/>
      <c r="O3154" s="199"/>
      <c r="P3154" s="188"/>
      <c r="Q3154" s="183"/>
    </row>
    <row r="3155" spans="1:17" x14ac:dyDescent="0.2">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1.5</v>
      </c>
      <c r="H3157" s="194" t="s">
        <v>60</v>
      </c>
      <c r="I3157" s="187">
        <v>26.373370000000001</v>
      </c>
      <c r="J3157" s="187" t="s">
        <v>941</v>
      </c>
      <c r="K3157" s="187" t="s">
        <v>116</v>
      </c>
      <c r="M3157" s="195"/>
      <c r="N3157" s="195"/>
      <c r="O3157" s="199"/>
      <c r="P3157" s="188"/>
      <c r="Q3157" s="183"/>
    </row>
    <row r="3158" spans="1:17" x14ac:dyDescent="0.2">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2</v>
      </c>
      <c r="H3158" s="194" t="s">
        <v>60</v>
      </c>
      <c r="I3158" s="187">
        <v>19.201519999999999</v>
      </c>
      <c r="J3158" s="187" t="s">
        <v>941</v>
      </c>
      <c r="K3158" s="187" t="s">
        <v>116</v>
      </c>
      <c r="M3158" s="195"/>
      <c r="N3158" s="195"/>
      <c r="O3158" s="199"/>
      <c r="P3158" s="188"/>
      <c r="Q3158" s="183"/>
    </row>
    <row r="3159" spans="1:17" x14ac:dyDescent="0.2">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3</v>
      </c>
      <c r="H3159" s="194" t="s">
        <v>60</v>
      </c>
      <c r="I3159" s="187">
        <v>12.013070000000001</v>
      </c>
      <c r="J3159" s="187" t="s">
        <v>941</v>
      </c>
      <c r="K3159" s="187" t="s">
        <v>116</v>
      </c>
      <c r="M3159" s="195"/>
      <c r="N3159" s="195"/>
      <c r="O3159" s="199"/>
      <c r="P3159" s="188"/>
      <c r="Q3159" s="183"/>
    </row>
    <row r="3160" spans="1:17" x14ac:dyDescent="0.2">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4</v>
      </c>
      <c r="H3160" s="194" t="s">
        <v>60</v>
      </c>
      <c r="I3160" s="187">
        <v>7.9438610000000001</v>
      </c>
      <c r="J3160" s="187" t="s">
        <v>941</v>
      </c>
      <c r="K3160" s="187" t="s">
        <v>116</v>
      </c>
      <c r="M3160" s="195"/>
      <c r="N3160" s="195"/>
      <c r="O3160" s="199"/>
      <c r="P3160" s="188"/>
      <c r="Q3160" s="183"/>
    </row>
    <row r="3161" spans="1:17" x14ac:dyDescent="0.2">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5</v>
      </c>
      <c r="H3161" s="194" t="s">
        <v>60</v>
      </c>
      <c r="I3161" s="187">
        <v>4.976229</v>
      </c>
      <c r="J3161" s="187" t="s">
        <v>941</v>
      </c>
      <c r="K3161" s="187" t="s">
        <v>116</v>
      </c>
      <c r="M3161" s="195"/>
      <c r="N3161" s="195"/>
      <c r="O3161" s="199"/>
      <c r="P3161" s="188"/>
      <c r="Q3161" s="183"/>
    </row>
    <row r="3162" spans="1:17" x14ac:dyDescent="0.2">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6</v>
      </c>
      <c r="H3162" s="194" t="s">
        <v>60</v>
      </c>
      <c r="I3162" s="187">
        <v>4.3932380000000002</v>
      </c>
      <c r="J3162" s="187" t="s">
        <v>941</v>
      </c>
      <c r="K3162" s="187" t="s">
        <v>116</v>
      </c>
      <c r="M3162" s="195"/>
      <c r="N3162" s="195"/>
      <c r="O3162" s="199"/>
      <c r="P3162" s="188"/>
      <c r="Q3162" s="183"/>
    </row>
    <row r="3163" spans="1:17" x14ac:dyDescent="0.2">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7</v>
      </c>
      <c r="H3163" s="194" t="s">
        <v>60</v>
      </c>
      <c r="I3163" s="187">
        <v>3.8109109999999999</v>
      </c>
      <c r="J3163" s="187" t="s">
        <v>941</v>
      </c>
      <c r="K3163" s="187" t="s">
        <v>116</v>
      </c>
      <c r="M3163" s="195"/>
      <c r="N3163" s="195"/>
      <c r="O3163" s="199"/>
      <c r="P3163" s="188"/>
      <c r="Q3163" s="183"/>
    </row>
    <row r="3164" spans="1:17" x14ac:dyDescent="0.2">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17</v>
      </c>
      <c r="H3164" s="194" t="s">
        <v>60</v>
      </c>
      <c r="I3164" s="187">
        <v>0.18414900000000001</v>
      </c>
      <c r="J3164" s="187" t="s">
        <v>941</v>
      </c>
      <c r="K3164" s="187" t="s">
        <v>116</v>
      </c>
      <c r="M3164" s="195"/>
      <c r="N3164" s="195"/>
      <c r="O3164" s="199"/>
      <c r="P3164" s="188"/>
      <c r="Q3164" s="183"/>
    </row>
    <row r="3165" spans="1:17" x14ac:dyDescent="0.2">
      <c r="A3165" s="212">
        <v>377</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1 (po) with Perpetrator (Itraconazole)</v>
      </c>
      <c r="E3165" s="250" t="str">
        <f>IF(AND(A3165&lt;&gt;"",ISNUMBER(A3165)),VLOOKUP(A3165,Studies!A:BR,5,FALSE),"")</f>
        <v>Midazolam</v>
      </c>
      <c r="F3165" s="251" t="str">
        <f>IF(AND(A3165&lt;&gt;"",ISNUMBER(A3165)),VLOOKUP(A3165,Studies!A:BR,6,FALSE),"")</f>
        <v>Plasma</v>
      </c>
      <c r="G3165" s="194">
        <v>2</v>
      </c>
      <c r="H3165" s="194" t="s">
        <v>60</v>
      </c>
      <c r="I3165" s="187">
        <v>0</v>
      </c>
      <c r="J3165" s="187" t="s">
        <v>941</v>
      </c>
      <c r="K3165" s="187" t="s">
        <v>116</v>
      </c>
      <c r="M3165" s="195"/>
      <c r="N3165" s="195"/>
      <c r="O3165" s="199"/>
      <c r="P3165" s="188"/>
      <c r="Q3165" s="183"/>
    </row>
    <row r="3166" spans="1:17" x14ac:dyDescent="0.2">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3.5</v>
      </c>
      <c r="H3168" s="194" t="s">
        <v>60</v>
      </c>
      <c r="I3168" s="187">
        <v>34.007849999999998</v>
      </c>
      <c r="J3168" s="187" t="s">
        <v>941</v>
      </c>
      <c r="K3168" s="187" t="s">
        <v>116</v>
      </c>
      <c r="M3168" s="195"/>
      <c r="N3168" s="195"/>
      <c r="O3168" s="199"/>
      <c r="P3168" s="188"/>
      <c r="Q3168" s="183"/>
    </row>
    <row r="3169" spans="1:17" x14ac:dyDescent="0.2">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4</v>
      </c>
      <c r="H3169" s="194" t="s">
        <v>60</v>
      </c>
      <c r="I3169" s="187">
        <v>34.356740000000002</v>
      </c>
      <c r="J3169" s="187" t="s">
        <v>941</v>
      </c>
      <c r="K3169" s="187" t="s">
        <v>116</v>
      </c>
      <c r="M3169" s="195"/>
      <c r="N3169" s="195"/>
      <c r="O3169" s="199"/>
      <c r="P3169" s="188"/>
      <c r="Q3169" s="183"/>
    </row>
    <row r="3170" spans="1:17" x14ac:dyDescent="0.2">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5</v>
      </c>
      <c r="H3170" s="194" t="s">
        <v>60</v>
      </c>
      <c r="I3170" s="187">
        <v>27.8325</v>
      </c>
      <c r="J3170" s="187" t="s">
        <v>941</v>
      </c>
      <c r="K3170" s="187" t="s">
        <v>116</v>
      </c>
      <c r="M3170" s="195"/>
      <c r="N3170" s="195"/>
      <c r="O3170" s="199"/>
      <c r="P3170" s="188"/>
      <c r="Q3170" s="183"/>
    </row>
    <row r="3171" spans="1:17" x14ac:dyDescent="0.2">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6</v>
      </c>
      <c r="H3171" s="194" t="s">
        <v>60</v>
      </c>
      <c r="I3171" s="187">
        <v>24.270240000000001</v>
      </c>
      <c r="J3171" s="187" t="s">
        <v>941</v>
      </c>
      <c r="K3171" s="187" t="s">
        <v>116</v>
      </c>
      <c r="M3171" s="195"/>
      <c r="N3171" s="195"/>
      <c r="O3171" s="199"/>
      <c r="P3171" s="188"/>
      <c r="Q3171" s="183"/>
    </row>
    <row r="3172" spans="1:17" x14ac:dyDescent="0.2">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7</v>
      </c>
      <c r="H3172" s="194" t="s">
        <v>60</v>
      </c>
      <c r="I3172" s="187">
        <v>17.004380000000001</v>
      </c>
      <c r="J3172" s="187" t="s">
        <v>941</v>
      </c>
      <c r="K3172" s="187" t="s">
        <v>116</v>
      </c>
      <c r="M3172" s="195"/>
      <c r="N3172" s="195"/>
      <c r="O3172" s="199"/>
      <c r="P3172" s="188"/>
      <c r="Q3172" s="183"/>
    </row>
    <row r="3173" spans="1:17" x14ac:dyDescent="0.2">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8</v>
      </c>
      <c r="H3173" s="194" t="s">
        <v>60</v>
      </c>
      <c r="I3173" s="187">
        <v>12.88747</v>
      </c>
      <c r="J3173" s="187" t="s">
        <v>941</v>
      </c>
      <c r="K3173" s="187" t="s">
        <v>116</v>
      </c>
      <c r="M3173" s="195"/>
      <c r="N3173" s="195"/>
      <c r="O3173" s="199"/>
      <c r="P3173" s="188"/>
      <c r="Q3173" s="183"/>
    </row>
    <row r="3174" spans="1:17" x14ac:dyDescent="0.2">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9</v>
      </c>
      <c r="H3174" s="194" t="s">
        <v>60</v>
      </c>
      <c r="I3174" s="187">
        <v>12.28899</v>
      </c>
      <c r="J3174" s="187" t="s">
        <v>941</v>
      </c>
      <c r="K3174" s="187" t="s">
        <v>116</v>
      </c>
      <c r="M3174" s="195"/>
      <c r="N3174" s="195"/>
      <c r="O3174" s="199"/>
      <c r="P3174" s="188"/>
      <c r="Q3174" s="183"/>
    </row>
    <row r="3175" spans="1:17" x14ac:dyDescent="0.2">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19</v>
      </c>
      <c r="H3175" s="194" t="s">
        <v>60</v>
      </c>
      <c r="I3175" s="187">
        <v>3.1489579999999999</v>
      </c>
      <c r="J3175" s="187" t="s">
        <v>941</v>
      </c>
      <c r="K3175" s="187" t="s">
        <v>116</v>
      </c>
      <c r="M3175" s="195"/>
      <c r="N3175" s="195"/>
      <c r="O3175" s="199"/>
      <c r="P3175" s="188"/>
      <c r="Q3175" s="183"/>
    </row>
    <row r="3176" spans="1:17" x14ac:dyDescent="0.2">
      <c r="A3176" s="212">
        <v>378</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4 (iv) with Perpetrator (Itraconazole)</v>
      </c>
      <c r="E3176" s="250" t="str">
        <f>IF(AND(A3176&lt;&gt;"",ISNUMBER(A3176)),VLOOKUP(A3176,Studies!A:BR,5,FALSE),"")</f>
        <v>Midazolam</v>
      </c>
      <c r="F3176" s="251" t="str">
        <f>IF(AND(A3176&lt;&gt;"",ISNUMBER(A3176)),VLOOKUP(A3176,Studies!A:BR,6,FALSE),"")</f>
        <v>Plasma</v>
      </c>
      <c r="G3176" s="194">
        <v>74</v>
      </c>
      <c r="H3176" s="194" t="s">
        <v>60</v>
      </c>
      <c r="I3176" s="187">
        <v>0</v>
      </c>
      <c r="J3176" s="187" t="s">
        <v>941</v>
      </c>
      <c r="K3176" s="187" t="s">
        <v>116</v>
      </c>
      <c r="M3176" s="195"/>
      <c r="N3176" s="195"/>
      <c r="O3176" s="199"/>
      <c r="P3176" s="188"/>
      <c r="Q3176" s="183"/>
    </row>
    <row r="3177" spans="1:17" x14ac:dyDescent="0.2">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74.5</v>
      </c>
      <c r="H3178" s="194" t="s">
        <v>60</v>
      </c>
      <c r="I3178" s="187">
        <v>55.968820000000001</v>
      </c>
      <c r="J3178" s="187" t="s">
        <v>941</v>
      </c>
      <c r="K3178" s="187" t="s">
        <v>116</v>
      </c>
      <c r="M3178" s="195"/>
      <c r="N3178" s="195"/>
      <c r="O3178" s="199"/>
      <c r="P3178" s="188"/>
      <c r="Q3178" s="183"/>
    </row>
    <row r="3179" spans="1:17" x14ac:dyDescent="0.2">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75</v>
      </c>
      <c r="H3179" s="194" t="s">
        <v>60</v>
      </c>
      <c r="I3179" s="187">
        <v>44.53434</v>
      </c>
      <c r="J3179" s="187" t="s">
        <v>941</v>
      </c>
      <c r="K3179" s="187" t="s">
        <v>116</v>
      </c>
      <c r="M3179" s="195"/>
      <c r="N3179" s="195"/>
      <c r="O3179" s="199"/>
      <c r="P3179" s="188"/>
      <c r="Q3179" s="183"/>
    </row>
    <row r="3180" spans="1:17" x14ac:dyDescent="0.2">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75.5</v>
      </c>
      <c r="H3180" s="194" t="s">
        <v>60</v>
      </c>
      <c r="I3180" s="187">
        <v>37.704479999999997</v>
      </c>
      <c r="J3180" s="187" t="s">
        <v>941</v>
      </c>
      <c r="K3180" s="187" t="s">
        <v>116</v>
      </c>
      <c r="M3180" s="195"/>
      <c r="N3180" s="195"/>
      <c r="O3180" s="199"/>
      <c r="P3180" s="188"/>
      <c r="Q3180" s="183"/>
    </row>
    <row r="3181" spans="1:17" x14ac:dyDescent="0.2">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76</v>
      </c>
      <c r="H3181" s="194" t="s">
        <v>60</v>
      </c>
      <c r="I3181" s="187">
        <v>32.347230000000003</v>
      </c>
      <c r="J3181" s="187" t="s">
        <v>941</v>
      </c>
      <c r="K3181" s="187" t="s">
        <v>116</v>
      </c>
      <c r="M3181" s="195"/>
      <c r="N3181" s="195"/>
      <c r="O3181" s="199"/>
      <c r="P3181" s="188"/>
      <c r="Q3181" s="183"/>
    </row>
    <row r="3182" spans="1:17" x14ac:dyDescent="0.2">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77</v>
      </c>
      <c r="H3182" s="194" t="s">
        <v>60</v>
      </c>
      <c r="I3182" s="187">
        <v>26.05452</v>
      </c>
      <c r="J3182" s="187" t="s">
        <v>941</v>
      </c>
      <c r="K3182" s="187" t="s">
        <v>116</v>
      </c>
      <c r="M3182" s="195"/>
      <c r="N3182" s="195"/>
      <c r="O3182" s="199"/>
      <c r="P3182" s="188"/>
      <c r="Q3182" s="183"/>
    </row>
    <row r="3183" spans="1:17" x14ac:dyDescent="0.2">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78</v>
      </c>
      <c r="H3183" s="194" t="s">
        <v>60</v>
      </c>
      <c r="I3183" s="187">
        <v>23.25883</v>
      </c>
      <c r="J3183" s="187" t="s">
        <v>941</v>
      </c>
      <c r="K3183" s="187" t="s">
        <v>116</v>
      </c>
      <c r="M3183" s="195"/>
      <c r="N3183" s="195"/>
      <c r="O3183" s="199"/>
      <c r="P3183" s="188"/>
      <c r="Q3183" s="183"/>
    </row>
    <row r="3184" spans="1:17" x14ac:dyDescent="0.2">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79</v>
      </c>
      <c r="H3184" s="194" t="s">
        <v>60</v>
      </c>
      <c r="I3184" s="187">
        <v>18.622209999999999</v>
      </c>
      <c r="J3184" s="187" t="s">
        <v>941</v>
      </c>
      <c r="K3184" s="187" t="s">
        <v>116</v>
      </c>
      <c r="M3184" s="195"/>
      <c r="N3184" s="195"/>
      <c r="O3184" s="199"/>
      <c r="P3184" s="188"/>
      <c r="Q3184" s="183"/>
    </row>
    <row r="3185" spans="1:17" x14ac:dyDescent="0.2">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80</v>
      </c>
      <c r="H3185" s="194" t="s">
        <v>60</v>
      </c>
      <c r="I3185" s="187">
        <v>16.56381</v>
      </c>
      <c r="J3185" s="187" t="s">
        <v>941</v>
      </c>
      <c r="K3185" s="187" t="s">
        <v>116</v>
      </c>
      <c r="M3185" s="195"/>
      <c r="N3185" s="195"/>
      <c r="O3185" s="199"/>
      <c r="P3185" s="188"/>
      <c r="Q3185" s="183"/>
    </row>
    <row r="3186" spans="1:17" x14ac:dyDescent="0.2">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81</v>
      </c>
      <c r="H3186" s="194" t="s">
        <v>60</v>
      </c>
      <c r="I3186" s="187">
        <v>15.79519</v>
      </c>
      <c r="J3186" s="187" t="s">
        <v>941</v>
      </c>
      <c r="K3186" s="187" t="s">
        <v>116</v>
      </c>
      <c r="M3186" s="195"/>
      <c r="N3186" s="195"/>
      <c r="O3186" s="199"/>
      <c r="P3186" s="188"/>
      <c r="Q3186" s="183"/>
    </row>
    <row r="3187" spans="1:17" x14ac:dyDescent="0.2">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91</v>
      </c>
      <c r="H3187" s="194" t="s">
        <v>60</v>
      </c>
      <c r="I3187" s="187">
        <v>6.0792260000000002</v>
      </c>
      <c r="J3187" s="187" t="s">
        <v>941</v>
      </c>
      <c r="K3187" s="187" t="s">
        <v>116</v>
      </c>
      <c r="M3187" s="195"/>
      <c r="N3187" s="195"/>
      <c r="O3187" s="199"/>
      <c r="P3187" s="188"/>
      <c r="Q3187" s="183"/>
    </row>
    <row r="3188" spans="1:17" x14ac:dyDescent="0.2">
      <c r="A3188" s="212">
        <v>379</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6 (po) with Perpetrator (Itraconazole)</v>
      </c>
      <c r="E3188" s="250" t="str">
        <f>IF(AND(A3188&lt;&gt;"",ISNUMBER(A3188)),VLOOKUP(A3188,Studies!A:BR,5,FALSE),"")</f>
        <v>Midazolam</v>
      </c>
      <c r="F3188" s="251" t="str">
        <f>IF(AND(A3188&lt;&gt;"",ISNUMBER(A3188)),VLOOKUP(A3188,Studies!A:BR,6,FALSE),"")</f>
        <v>Plasma</v>
      </c>
      <c r="G3188" s="194">
        <v>122</v>
      </c>
      <c r="H3188" s="194" t="s">
        <v>60</v>
      </c>
      <c r="I3188" s="187">
        <v>0</v>
      </c>
      <c r="J3188" s="187" t="s">
        <v>941</v>
      </c>
      <c r="K3188" s="187" t="s">
        <v>116</v>
      </c>
      <c r="M3188" s="195"/>
      <c r="N3188" s="195"/>
      <c r="O3188" s="199"/>
      <c r="P3188" s="188"/>
      <c r="Q3188" s="183"/>
    </row>
    <row r="3189" spans="1:17" x14ac:dyDescent="0.2">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129</v>
      </c>
      <c r="H3197" s="194" t="s">
        <v>60</v>
      </c>
      <c r="I3197" s="187">
        <v>32.802210000000002</v>
      </c>
      <c r="J3197" s="187" t="s">
        <v>941</v>
      </c>
      <c r="K3197" s="187" t="s">
        <v>116</v>
      </c>
      <c r="M3197" s="195"/>
      <c r="N3197" s="195"/>
      <c r="O3197" s="199"/>
      <c r="P3197" s="188"/>
      <c r="Q3197" s="183"/>
    </row>
    <row r="3198" spans="1:17" x14ac:dyDescent="0.2">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139</v>
      </c>
      <c r="H3198" s="194" t="s">
        <v>60</v>
      </c>
      <c r="I3198" s="187">
        <v>13.94685</v>
      </c>
      <c r="J3198" s="187" t="s">
        <v>941</v>
      </c>
      <c r="K3198" s="187" t="s">
        <v>116</v>
      </c>
      <c r="M3198" s="195"/>
      <c r="N3198" s="195"/>
      <c r="O3198" s="199"/>
      <c r="P3198" s="188"/>
      <c r="Q3198" s="183"/>
    </row>
    <row r="3199" spans="1:17" x14ac:dyDescent="0.2">
      <c r="A3199" s="212">
        <v>380</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1 (po) with Perpetrator (Fluconazole)</v>
      </c>
      <c r="E3199" s="250" t="str">
        <f>IF(AND(A3199&lt;&gt;"",ISNUMBER(A3199)),VLOOKUP(A3199,Studies!A:BR,5,FALSE),"")</f>
        <v>Midazolam</v>
      </c>
      <c r="F3199" s="251" t="str">
        <f>IF(AND(A3199&lt;&gt;"",ISNUMBER(A3199)),VLOOKUP(A3199,Studies!A:BR,6,FALSE),"")</f>
        <v>Plasma</v>
      </c>
      <c r="G3199" s="194">
        <v>2</v>
      </c>
      <c r="H3199" s="194" t="s">
        <v>60</v>
      </c>
      <c r="I3199" s="187">
        <v>0</v>
      </c>
      <c r="J3199" s="187" t="s">
        <v>941</v>
      </c>
      <c r="K3199" s="187" t="s">
        <v>116</v>
      </c>
      <c r="M3199" s="195"/>
      <c r="N3199" s="195"/>
      <c r="O3199" s="199"/>
      <c r="P3199" s="188"/>
      <c r="Q3199" s="183"/>
    </row>
    <row r="3200" spans="1:17" x14ac:dyDescent="0.2">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4</v>
      </c>
      <c r="H3203" s="194" t="s">
        <v>60</v>
      </c>
      <c r="I3203" s="187">
        <v>44.726840000000003</v>
      </c>
      <c r="J3203" s="187" t="s">
        <v>941</v>
      </c>
      <c r="K3203" s="187" t="s">
        <v>116</v>
      </c>
      <c r="M3203" s="195"/>
      <c r="N3203" s="195"/>
      <c r="O3203" s="199"/>
      <c r="P3203" s="188"/>
      <c r="Q3203" s="183"/>
    </row>
    <row r="3204" spans="1:17" x14ac:dyDescent="0.2">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5</v>
      </c>
      <c r="H3204" s="194" t="s">
        <v>60</v>
      </c>
      <c r="I3204" s="187">
        <v>33.387909999999998</v>
      </c>
      <c r="J3204" s="187" t="s">
        <v>941</v>
      </c>
      <c r="K3204" s="187" t="s">
        <v>116</v>
      </c>
      <c r="M3204" s="195"/>
      <c r="N3204" s="195"/>
      <c r="O3204" s="199"/>
      <c r="P3204" s="188"/>
      <c r="Q3204" s="183"/>
    </row>
    <row r="3205" spans="1:17" x14ac:dyDescent="0.2">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6</v>
      </c>
      <c r="H3205" s="194" t="s">
        <v>60</v>
      </c>
      <c r="I3205" s="187">
        <v>24.639700000000001</v>
      </c>
      <c r="J3205" s="187" t="s">
        <v>941</v>
      </c>
      <c r="K3205" s="187" t="s">
        <v>116</v>
      </c>
      <c r="M3205" s="195"/>
      <c r="N3205" s="195"/>
      <c r="O3205" s="199"/>
      <c r="P3205" s="188"/>
      <c r="Q3205" s="183"/>
    </row>
    <row r="3206" spans="1:17" x14ac:dyDescent="0.2">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7</v>
      </c>
      <c r="H3206" s="194" t="s">
        <v>60</v>
      </c>
      <c r="I3206" s="187">
        <v>17.745100000000001</v>
      </c>
      <c r="J3206" s="187" t="s">
        <v>941</v>
      </c>
      <c r="K3206" s="187" t="s">
        <v>116</v>
      </c>
      <c r="M3206" s="195"/>
      <c r="N3206" s="195"/>
      <c r="O3206" s="199"/>
      <c r="P3206" s="188"/>
      <c r="Q3206" s="183"/>
    </row>
    <row r="3207" spans="1:17" x14ac:dyDescent="0.2">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8</v>
      </c>
      <c r="H3207" s="194" t="s">
        <v>60</v>
      </c>
      <c r="I3207" s="187">
        <v>13.812480000000001</v>
      </c>
      <c r="J3207" s="187" t="s">
        <v>941</v>
      </c>
      <c r="K3207" s="187" t="s">
        <v>116</v>
      </c>
      <c r="M3207" s="195"/>
      <c r="N3207" s="195"/>
      <c r="O3207" s="199"/>
      <c r="P3207" s="188"/>
      <c r="Q3207" s="183"/>
    </row>
    <row r="3208" spans="1:17" x14ac:dyDescent="0.2">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9</v>
      </c>
      <c r="H3208" s="194" t="s">
        <v>60</v>
      </c>
      <c r="I3208" s="187">
        <v>12.103809999999999</v>
      </c>
      <c r="J3208" s="187" t="s">
        <v>941</v>
      </c>
      <c r="K3208" s="187" t="s">
        <v>116</v>
      </c>
      <c r="M3208" s="195"/>
      <c r="N3208" s="195"/>
      <c r="O3208" s="199"/>
      <c r="P3208" s="188"/>
      <c r="Q3208" s="183"/>
    </row>
    <row r="3209" spans="1:17" x14ac:dyDescent="0.2">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19</v>
      </c>
      <c r="H3209" s="194" t="s">
        <v>60</v>
      </c>
      <c r="I3209" s="187">
        <v>2.4091320000000001</v>
      </c>
      <c r="J3209" s="187" t="s">
        <v>941</v>
      </c>
      <c r="K3209" s="187" t="s">
        <v>116</v>
      </c>
      <c r="M3209" s="195"/>
      <c r="N3209" s="195"/>
      <c r="O3209" s="199"/>
      <c r="P3209" s="188"/>
      <c r="Q3209" s="183"/>
    </row>
    <row r="3210" spans="1:17" x14ac:dyDescent="0.2">
      <c r="A3210" s="212">
        <v>381</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4 (iv) with Perpetrator (Fluconazole)</v>
      </c>
      <c r="E3210" s="250" t="str">
        <f>IF(AND(A3210&lt;&gt;"",ISNUMBER(A3210)),VLOOKUP(A3210,Studies!A:BR,5,FALSE),"")</f>
        <v>Midazolam</v>
      </c>
      <c r="F3210" s="251" t="str">
        <f>IF(AND(A3210&lt;&gt;"",ISNUMBER(A3210)),VLOOKUP(A3210,Studies!A:BR,6,FALSE),"")</f>
        <v>Plasma</v>
      </c>
      <c r="G3210" s="194">
        <v>74</v>
      </c>
      <c r="H3210" s="194" t="s">
        <v>60</v>
      </c>
      <c r="I3210" s="187">
        <v>0</v>
      </c>
      <c r="J3210" s="187" t="s">
        <v>941</v>
      </c>
      <c r="K3210" s="187" t="s">
        <v>116</v>
      </c>
      <c r="M3210" s="195"/>
      <c r="N3210" s="195"/>
      <c r="O3210" s="199"/>
      <c r="P3210" s="188"/>
      <c r="Q3210" s="183"/>
    </row>
    <row r="3211" spans="1:17" x14ac:dyDescent="0.2">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75</v>
      </c>
      <c r="H3213" s="194" t="s">
        <v>60</v>
      </c>
      <c r="I3213" s="187">
        <v>42.140279999999997</v>
      </c>
      <c r="J3213" s="187" t="s">
        <v>941</v>
      </c>
      <c r="K3213" s="187" t="s">
        <v>116</v>
      </c>
      <c r="M3213" s="195"/>
      <c r="N3213" s="195"/>
      <c r="O3213" s="199"/>
      <c r="P3213" s="188"/>
      <c r="Q3213" s="183"/>
    </row>
    <row r="3214" spans="1:17" x14ac:dyDescent="0.2">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75.5</v>
      </c>
      <c r="H3214" s="194" t="s">
        <v>60</v>
      </c>
      <c r="I3214" s="187">
        <v>34.389629999999997</v>
      </c>
      <c r="J3214" s="187" t="s">
        <v>941</v>
      </c>
      <c r="K3214" s="187" t="s">
        <v>116</v>
      </c>
      <c r="M3214" s="195"/>
      <c r="N3214" s="195"/>
      <c r="O3214" s="199"/>
      <c r="P3214" s="188"/>
      <c r="Q3214" s="183"/>
    </row>
    <row r="3215" spans="1:17" x14ac:dyDescent="0.2">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76</v>
      </c>
      <c r="H3215" s="194" t="s">
        <v>60</v>
      </c>
      <c r="I3215" s="187">
        <v>28.664059999999999</v>
      </c>
      <c r="J3215" s="187" t="s">
        <v>941</v>
      </c>
      <c r="K3215" s="187" t="s">
        <v>116</v>
      </c>
      <c r="M3215" s="195"/>
      <c r="N3215" s="195"/>
      <c r="O3215" s="199"/>
      <c r="P3215" s="188"/>
      <c r="Q3215" s="183"/>
    </row>
    <row r="3216" spans="1:17" x14ac:dyDescent="0.2">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77</v>
      </c>
      <c r="H3216" s="194" t="s">
        <v>60</v>
      </c>
      <c r="I3216" s="187">
        <v>19.97663</v>
      </c>
      <c r="J3216" s="187" t="s">
        <v>941</v>
      </c>
      <c r="K3216" s="187" t="s">
        <v>116</v>
      </c>
      <c r="M3216" s="195"/>
      <c r="N3216" s="195"/>
      <c r="O3216" s="199"/>
      <c r="P3216" s="188"/>
      <c r="Q3216" s="183"/>
    </row>
    <row r="3217" spans="1:17" x14ac:dyDescent="0.2">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78</v>
      </c>
      <c r="H3217" s="194" t="s">
        <v>60</v>
      </c>
      <c r="I3217" s="187">
        <v>16.076650000000001</v>
      </c>
      <c r="J3217" s="187" t="s">
        <v>941</v>
      </c>
      <c r="K3217" s="187" t="s">
        <v>116</v>
      </c>
      <c r="M3217" s="195"/>
      <c r="N3217" s="195"/>
      <c r="O3217" s="199"/>
      <c r="P3217" s="188"/>
      <c r="Q3217" s="183"/>
    </row>
    <row r="3218" spans="1:17" x14ac:dyDescent="0.2">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79</v>
      </c>
      <c r="H3218" s="194" t="s">
        <v>60</v>
      </c>
      <c r="I3218" s="187">
        <v>11.808350000000001</v>
      </c>
      <c r="J3218" s="187" t="s">
        <v>941</v>
      </c>
      <c r="K3218" s="187" t="s">
        <v>116</v>
      </c>
      <c r="M3218" s="195"/>
      <c r="N3218" s="195"/>
      <c r="O3218" s="199"/>
      <c r="P3218" s="188"/>
      <c r="Q3218" s="183"/>
    </row>
    <row r="3219" spans="1:17" x14ac:dyDescent="0.2">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80</v>
      </c>
      <c r="H3219" s="194" t="s">
        <v>60</v>
      </c>
      <c r="I3219" s="187">
        <v>9.3816369999999996</v>
      </c>
      <c r="J3219" s="187" t="s">
        <v>941</v>
      </c>
      <c r="K3219" s="187" t="s">
        <v>116</v>
      </c>
      <c r="M3219" s="195"/>
      <c r="N3219" s="195"/>
      <c r="O3219" s="199"/>
      <c r="P3219" s="188"/>
      <c r="Q3219" s="183"/>
    </row>
    <row r="3220" spans="1:17" x14ac:dyDescent="0.2">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81</v>
      </c>
      <c r="H3220" s="194" t="s">
        <v>60</v>
      </c>
      <c r="I3220" s="187">
        <v>8.0612060000000003</v>
      </c>
      <c r="J3220" s="187" t="s">
        <v>941</v>
      </c>
      <c r="K3220" s="187" t="s">
        <v>116</v>
      </c>
      <c r="M3220" s="195"/>
      <c r="N3220" s="195"/>
      <c r="O3220" s="199"/>
      <c r="P3220" s="188"/>
      <c r="Q3220" s="183"/>
    </row>
    <row r="3221" spans="1:17" x14ac:dyDescent="0.2">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91</v>
      </c>
      <c r="H3221" s="194" t="s">
        <v>60</v>
      </c>
      <c r="I3221" s="187">
        <v>1.8429169999999999</v>
      </c>
      <c r="J3221" s="187" t="s">
        <v>941</v>
      </c>
      <c r="K3221" s="187" t="s">
        <v>116</v>
      </c>
      <c r="M3221" s="195"/>
      <c r="N3221" s="195"/>
      <c r="O3221" s="199"/>
      <c r="P3221" s="188"/>
      <c r="Q3221" s="183"/>
    </row>
    <row r="3222" spans="1:17" x14ac:dyDescent="0.2">
      <c r="A3222" s="212">
        <v>382</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6 (po) with Perpetrator (Fluconazole)</v>
      </c>
      <c r="E3222" s="250" t="str">
        <f>IF(AND(A3222&lt;&gt;"",ISNUMBER(A3222)),VLOOKUP(A3222,Studies!A:BR,5,FALSE),"")</f>
        <v>Midazolam</v>
      </c>
      <c r="F3222" s="251" t="str">
        <f>IF(AND(A3222&lt;&gt;"",ISNUMBER(A3222)),VLOOKUP(A3222,Studies!A:BR,6,FALSE),"")</f>
        <v>Plasma</v>
      </c>
      <c r="G3222" s="194">
        <v>122</v>
      </c>
      <c r="H3222" s="194" t="s">
        <v>60</v>
      </c>
      <c r="I3222" s="187">
        <v>0</v>
      </c>
      <c r="J3222" s="187" t="s">
        <v>941</v>
      </c>
      <c r="K3222" s="187" t="s">
        <v>116</v>
      </c>
      <c r="M3222" s="195"/>
      <c r="N3222" s="195"/>
      <c r="O3222" s="199"/>
      <c r="P3222" s="188"/>
      <c r="Q3222" s="183"/>
    </row>
    <row r="3223" spans="1:17" x14ac:dyDescent="0.2">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125</v>
      </c>
      <c r="H3227" s="194" t="s">
        <v>60</v>
      </c>
      <c r="I3227" s="187">
        <v>38.619059999999998</v>
      </c>
      <c r="J3227" s="187" t="s">
        <v>941</v>
      </c>
      <c r="K3227" s="187" t="s">
        <v>116</v>
      </c>
      <c r="M3227" s="195"/>
      <c r="N3227" s="195"/>
      <c r="O3227" s="199"/>
      <c r="P3227" s="188"/>
      <c r="Q3227" s="183"/>
    </row>
    <row r="3228" spans="1:17" x14ac:dyDescent="0.2">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126</v>
      </c>
      <c r="H3228" s="194" t="s">
        <v>60</v>
      </c>
      <c r="I3228" s="187">
        <v>30.14621</v>
      </c>
      <c r="J3228" s="187" t="s">
        <v>941</v>
      </c>
      <c r="K3228" s="187" t="s">
        <v>116</v>
      </c>
      <c r="M3228" s="195"/>
      <c r="N3228" s="195"/>
      <c r="O3228" s="199"/>
      <c r="P3228" s="188"/>
      <c r="Q3228" s="183"/>
    </row>
    <row r="3229" spans="1:17" x14ac:dyDescent="0.2">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127</v>
      </c>
      <c r="H3229" s="194" t="s">
        <v>60</v>
      </c>
      <c r="I3229" s="187">
        <v>21.3064</v>
      </c>
      <c r="J3229" s="187" t="s">
        <v>941</v>
      </c>
      <c r="K3229" s="187" t="s">
        <v>116</v>
      </c>
      <c r="M3229" s="195"/>
      <c r="N3229" s="195"/>
      <c r="O3229" s="199"/>
      <c r="P3229" s="188"/>
      <c r="Q3229" s="183"/>
    </row>
    <row r="3230" spans="1:17" x14ac:dyDescent="0.2">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128</v>
      </c>
      <c r="H3230" s="194" t="s">
        <v>60</v>
      </c>
      <c r="I3230" s="187">
        <v>16.319099999999999</v>
      </c>
      <c r="J3230" s="187" t="s">
        <v>941</v>
      </c>
      <c r="K3230" s="187" t="s">
        <v>116</v>
      </c>
      <c r="M3230" s="195"/>
      <c r="N3230" s="195"/>
      <c r="O3230" s="199"/>
      <c r="P3230" s="188"/>
      <c r="Q3230" s="183"/>
    </row>
    <row r="3231" spans="1:17" x14ac:dyDescent="0.2">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129</v>
      </c>
      <c r="H3231" s="194" t="s">
        <v>60</v>
      </c>
      <c r="I3231" s="187">
        <v>13.3528</v>
      </c>
      <c r="J3231" s="187" t="s">
        <v>941</v>
      </c>
      <c r="K3231" s="187" t="s">
        <v>116</v>
      </c>
      <c r="M3231" s="195"/>
      <c r="N3231" s="195"/>
      <c r="O3231" s="199"/>
      <c r="P3231" s="188"/>
      <c r="Q3231" s="183"/>
    </row>
    <row r="3232" spans="1:17" x14ac:dyDescent="0.2">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139</v>
      </c>
      <c r="H3232" s="194" t="s">
        <v>60</v>
      </c>
      <c r="I3232" s="187">
        <v>3.3047219999999999</v>
      </c>
      <c r="J3232" s="187" t="s">
        <v>941</v>
      </c>
      <c r="K3232" s="187" t="s">
        <v>116</v>
      </c>
      <c r="M3232" s="195"/>
      <c r="N3232" s="195"/>
      <c r="O3232" s="199"/>
      <c r="P3232" s="188"/>
      <c r="Q3232" s="183"/>
    </row>
    <row r="3233" spans="1:17" x14ac:dyDescent="0.2">
      <c r="A3233" s="189">
        <v>383</v>
      </c>
      <c r="B3233" s="249" t="str">
        <f>IF(AND(A3233&lt;&gt;"",ISNUMBER(A3233)),VLOOKUP(A3233,Studies!A:BR,2,FALSE),"")</f>
        <v>Peloquin 1997</v>
      </c>
      <c r="C3233" s="250" t="str">
        <f>IF(AND(A3233&lt;&gt;"",ISNUMBER(A3233)),VLOOKUP(A3233,Studies!A:BR,3,FALSE),"")</f>
        <v>https://www.ncbi.nlm.nih.gov/pubmed/9420037</v>
      </c>
      <c r="D3233" s="250" t="str">
        <f>IF(AND(A3233&lt;&gt;"",ISNUMBER(A3233)),VLOOKUP(A3233,Studies!A:BR,4,FALSE),"")</f>
        <v>600 mg</v>
      </c>
      <c r="E3233" s="250" t="str">
        <f>IF(AND(A3233&lt;&gt;"",ISNUMBER(A3233)),VLOOKUP(A3233,Studies!A:BR,5,FALSE),"")</f>
        <v>Rifampicin</v>
      </c>
      <c r="F3233" s="251" t="str">
        <f>IF(AND(A3233&lt;&gt;"",ISNUMBER(A3233)),VLOOKUP(A3233,Studies!A:BR,6,FALSE),"")</f>
        <v>Plasma</v>
      </c>
      <c r="G3233" s="194">
        <v>0</v>
      </c>
      <c r="H3233" s="194" t="s">
        <v>60</v>
      </c>
      <c r="I3233" s="187" t="s">
        <v>1018</v>
      </c>
      <c r="J3233" s="187" t="s">
        <v>959</v>
      </c>
      <c r="K3233" s="187" t="s">
        <v>116</v>
      </c>
      <c r="M3233" s="195"/>
      <c r="N3233" s="195"/>
      <c r="O3233" s="199">
        <v>0.4</v>
      </c>
      <c r="P3233" s="188"/>
      <c r="Q3233" s="183"/>
    </row>
    <row r="3234" spans="1:17" x14ac:dyDescent="0.2">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30</v>
      </c>
      <c r="H3246" s="194" t="s">
        <v>60</v>
      </c>
      <c r="I3246" s="187">
        <v>-7.0588239999999997E-2</v>
      </c>
      <c r="J3246" s="187" t="s">
        <v>959</v>
      </c>
      <c r="K3246" s="187" t="s">
        <v>116</v>
      </c>
      <c r="M3246" s="195"/>
      <c r="N3246" s="195"/>
      <c r="O3246" s="199">
        <v>0.4</v>
      </c>
      <c r="P3246" s="188"/>
      <c r="Q3246" s="183"/>
    </row>
    <row r="3247" spans="1:17" ht="14.25" x14ac:dyDescent="0.2">
      <c r="A3247" s="189">
        <v>384</v>
      </c>
      <c r="B3247" s="249" t="str">
        <f>IF(AND(A3247&lt;&gt;"",ISNUMBER(A3247)),VLOOKUP(A3247,Studies!A:BR,2,FALSE),"")</f>
        <v>Peloquin 1999</v>
      </c>
      <c r="C3247" s="250" t="str">
        <f>IF(AND(A3247&lt;&gt;"",ISNUMBER(A3247)),VLOOKUP(A3247,Studies!A:BR,3,FALSE),"")</f>
        <v>https://www.ncbi.nlm.nih.gov/pubmed/9925057</v>
      </c>
      <c r="D3247" s="250" t="str">
        <f>IF(AND(A3247&lt;&gt;"",ISNUMBER(A3247)),VLOOKUP(A3247,Studies!A:BR,4,FALSE),"")</f>
        <v>fast1</v>
      </c>
      <c r="E3247" s="250" t="str">
        <f>IF(AND(A3247&lt;&gt;"",ISNUMBER(A3247)),VLOOKUP(A3247,Studies!A:BR,5,FALSE),"")</f>
        <v>Rifampicin</v>
      </c>
      <c r="F3247" s="251" t="str">
        <f>IF(AND(A3247&lt;&gt;"",ISNUMBER(A3247)),VLOOKUP(A3247,Studies!A:BR,6,FALSE),"")</f>
        <v>Serum</v>
      </c>
      <c r="G3247" s="194">
        <v>0</v>
      </c>
      <c r="H3247" s="194" t="s">
        <v>60</v>
      </c>
      <c r="I3247" s="187">
        <v>0</v>
      </c>
      <c r="J3247" s="187" t="s">
        <v>959</v>
      </c>
      <c r="K3247" s="187" t="s">
        <v>335</v>
      </c>
      <c r="M3247" s="195"/>
      <c r="N3247" s="195"/>
      <c r="O3247" s="199"/>
      <c r="P3247" s="188"/>
      <c r="Q3247" s="174">
        <v>1</v>
      </c>
    </row>
    <row r="3248" spans="1:17" ht="14.25" x14ac:dyDescent="0.2">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0.25</v>
      </c>
      <c r="H3248" s="194" t="s">
        <v>60</v>
      </c>
      <c r="J3248" s="187"/>
      <c r="K3248" s="187"/>
      <c r="M3248" s="195"/>
      <c r="N3248" s="195"/>
      <c r="O3248" s="199"/>
      <c r="P3248" s="188" t="s">
        <v>1052</v>
      </c>
      <c r="Q3248" s="174">
        <v>1</v>
      </c>
    </row>
    <row r="3249" spans="1:17" ht="14.25" x14ac:dyDescent="0.2">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0.5</v>
      </c>
      <c r="H3249" s="194" t="s">
        <v>60</v>
      </c>
      <c r="I3249" s="187">
        <v>0.1655954</v>
      </c>
      <c r="J3249" s="187" t="s">
        <v>959</v>
      </c>
      <c r="K3249" s="187" t="s">
        <v>335</v>
      </c>
      <c r="M3249" s="195"/>
      <c r="N3249" s="195"/>
      <c r="O3249" s="199"/>
      <c r="P3249" s="188"/>
      <c r="Q3249" s="174">
        <v>1</v>
      </c>
    </row>
    <row r="3250" spans="1:17" ht="14.25" x14ac:dyDescent="0.2">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0.75</v>
      </c>
      <c r="H3250" s="194" t="s">
        <v>60</v>
      </c>
      <c r="I3250" s="187">
        <v>2.0657399999999999</v>
      </c>
      <c r="J3250" s="187" t="s">
        <v>959</v>
      </c>
      <c r="K3250" s="187" t="s">
        <v>335</v>
      </c>
      <c r="M3250" s="195"/>
      <c r="N3250" s="195"/>
      <c r="O3250" s="199"/>
      <c r="P3250" s="188"/>
      <c r="Q3250" s="174">
        <v>1</v>
      </c>
    </row>
    <row r="3251" spans="1:17" ht="14.25" x14ac:dyDescent="0.2">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1</v>
      </c>
      <c r="H3251" s="194" t="s">
        <v>60</v>
      </c>
      <c r="I3251" s="187">
        <v>3.5890930000000001</v>
      </c>
      <c r="J3251" s="187" t="s">
        <v>959</v>
      </c>
      <c r="K3251" s="187" t="s">
        <v>335</v>
      </c>
      <c r="M3251" s="195"/>
      <c r="N3251" s="195"/>
      <c r="O3251" s="199"/>
      <c r="P3251" s="188"/>
      <c r="Q3251" s="174">
        <v>1</v>
      </c>
    </row>
    <row r="3252" spans="1:17" ht="14.25" x14ac:dyDescent="0.2">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1.5</v>
      </c>
      <c r="H3252" s="194" t="s">
        <v>60</v>
      </c>
      <c r="I3252" s="187">
        <v>5.8450189999999997</v>
      </c>
      <c r="J3252" s="187" t="s">
        <v>959</v>
      </c>
      <c r="K3252" s="187" t="s">
        <v>335</v>
      </c>
      <c r="M3252" s="195"/>
      <c r="N3252" s="195"/>
      <c r="O3252" s="199"/>
      <c r="P3252" s="188"/>
      <c r="Q3252" s="174">
        <v>1</v>
      </c>
    </row>
    <row r="3253" spans="1:17" ht="14.25" x14ac:dyDescent="0.2">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2</v>
      </c>
      <c r="H3253" s="194" t="s">
        <v>60</v>
      </c>
      <c r="I3253" s="187">
        <v>7.8749630000000002</v>
      </c>
      <c r="J3253" s="187" t="s">
        <v>959</v>
      </c>
      <c r="K3253" s="187" t="s">
        <v>335</v>
      </c>
      <c r="M3253" s="195"/>
      <c r="N3253" s="195"/>
      <c r="O3253" s="199"/>
      <c r="P3253" s="188"/>
      <c r="Q3253" s="174">
        <v>1</v>
      </c>
    </row>
    <row r="3254" spans="1:17" ht="14.25" x14ac:dyDescent="0.2">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2.5</v>
      </c>
      <c r="H3254" s="194" t="s">
        <v>60</v>
      </c>
      <c r="I3254" s="187">
        <v>8.1722249999999992</v>
      </c>
      <c r="J3254" s="187" t="s">
        <v>959</v>
      </c>
      <c r="K3254" s="187" t="s">
        <v>335</v>
      </c>
      <c r="M3254" s="195"/>
      <c r="N3254" s="195"/>
      <c r="O3254" s="199"/>
      <c r="P3254" s="188"/>
      <c r="Q3254" s="174">
        <v>1</v>
      </c>
    </row>
    <row r="3255" spans="1:17" ht="14.25" x14ac:dyDescent="0.2">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3</v>
      </c>
      <c r="H3255" s="194" t="s">
        <v>60</v>
      </c>
      <c r="I3255" s="187">
        <v>8.3756400000000006</v>
      </c>
      <c r="J3255" s="187" t="s">
        <v>959</v>
      </c>
      <c r="K3255" s="187" t="s">
        <v>335</v>
      </c>
      <c r="M3255" s="195"/>
      <c r="N3255" s="195"/>
      <c r="O3255" s="199"/>
      <c r="P3255" s="188"/>
      <c r="Q3255" s="174">
        <v>1</v>
      </c>
    </row>
    <row r="3256" spans="1:17" ht="14.25" x14ac:dyDescent="0.2">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4</v>
      </c>
      <c r="H3256" s="194" t="s">
        <v>60</v>
      </c>
      <c r="I3256" s="187">
        <v>7.0493209999999999</v>
      </c>
      <c r="J3256" s="187" t="s">
        <v>959</v>
      </c>
      <c r="K3256" s="187" t="s">
        <v>335</v>
      </c>
      <c r="M3256" s="195"/>
      <c r="N3256" s="195"/>
      <c r="O3256" s="199"/>
      <c r="P3256" s="188"/>
      <c r="Q3256" s="174">
        <v>1</v>
      </c>
    </row>
    <row r="3257" spans="1:17" ht="14.25" x14ac:dyDescent="0.2">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6</v>
      </c>
      <c r="H3257" s="194" t="s">
        <v>60</v>
      </c>
      <c r="I3257" s="187">
        <v>5.0375860000000001</v>
      </c>
      <c r="J3257" s="187" t="s">
        <v>959</v>
      </c>
      <c r="K3257" s="187" t="s">
        <v>335</v>
      </c>
      <c r="M3257" s="195"/>
      <c r="N3257" s="195"/>
      <c r="O3257" s="199"/>
      <c r="P3257" s="188"/>
      <c r="Q3257" s="174">
        <v>1</v>
      </c>
    </row>
    <row r="3258" spans="1:17" ht="14.25" x14ac:dyDescent="0.2">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8</v>
      </c>
      <c r="H3258" s="194" t="s">
        <v>60</v>
      </c>
      <c r="I3258" s="187">
        <v>3.6093259999999998</v>
      </c>
      <c r="J3258" s="187" t="s">
        <v>959</v>
      </c>
      <c r="K3258" s="187" t="s">
        <v>335</v>
      </c>
      <c r="M3258" s="195"/>
      <c r="N3258" s="195"/>
      <c r="O3258" s="199"/>
      <c r="P3258" s="188"/>
      <c r="Q3258" s="174">
        <v>1</v>
      </c>
    </row>
    <row r="3259" spans="1:17" ht="14.25" x14ac:dyDescent="0.2">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10</v>
      </c>
      <c r="H3259" s="194" t="s">
        <v>60</v>
      </c>
      <c r="I3259" s="187">
        <v>2.3507069999999999</v>
      </c>
      <c r="J3259" s="187" t="s">
        <v>959</v>
      </c>
      <c r="K3259" s="187" t="s">
        <v>335</v>
      </c>
      <c r="M3259" s="195"/>
      <c r="N3259" s="195"/>
      <c r="O3259" s="199"/>
      <c r="P3259" s="188"/>
      <c r="Q3259" s="174">
        <v>1</v>
      </c>
    </row>
    <row r="3260" spans="1:17" ht="14.25" x14ac:dyDescent="0.2">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12</v>
      </c>
      <c r="H3260" s="194" t="s">
        <v>60</v>
      </c>
      <c r="I3260" s="187">
        <v>1.412385</v>
      </c>
      <c r="J3260" s="187" t="s">
        <v>959</v>
      </c>
      <c r="K3260" s="187" t="s">
        <v>335</v>
      </c>
      <c r="M3260" s="195"/>
      <c r="N3260" s="195"/>
      <c r="O3260" s="199"/>
      <c r="P3260" s="188"/>
      <c r="Q3260" s="174">
        <v>1</v>
      </c>
    </row>
    <row r="3261" spans="1:17" ht="14.25" x14ac:dyDescent="0.2">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16</v>
      </c>
      <c r="H3261" s="194" t="s">
        <v>60</v>
      </c>
      <c r="I3261" s="187">
        <v>0.51452850000000006</v>
      </c>
      <c r="J3261" s="187" t="s">
        <v>959</v>
      </c>
      <c r="K3261" s="187" t="s">
        <v>335</v>
      </c>
      <c r="M3261" s="195"/>
      <c r="N3261" s="195"/>
      <c r="O3261" s="199"/>
      <c r="P3261" s="188"/>
      <c r="Q3261" s="174">
        <v>1</v>
      </c>
    </row>
    <row r="3262" spans="1:17" ht="14.25" x14ac:dyDescent="0.2">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24</v>
      </c>
      <c r="H3262" s="194" t="s">
        <v>60</v>
      </c>
      <c r="I3262" s="187">
        <v>3.7196710000000001E-2</v>
      </c>
      <c r="J3262" s="187" t="s">
        <v>959</v>
      </c>
      <c r="K3262" s="187" t="s">
        <v>335</v>
      </c>
      <c r="M3262" s="195"/>
      <c r="N3262" s="195"/>
      <c r="O3262" s="199"/>
      <c r="P3262" s="188"/>
      <c r="Q3262" s="174">
        <v>1</v>
      </c>
    </row>
    <row r="3263" spans="1:17" ht="14.25" x14ac:dyDescent="0.2">
      <c r="A3263" s="189">
        <v>385</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fast2</v>
      </c>
      <c r="E3263" s="250" t="str">
        <f>IF(AND(A3263&lt;&gt;"",ISNUMBER(A3263)),VLOOKUP(A3263,Studies!A:BR,5,FALSE),"")</f>
        <v>Rifampicin</v>
      </c>
      <c r="F3263" s="251" t="str">
        <f>IF(AND(A3263&lt;&gt;"",ISNUMBER(A3263)),VLOOKUP(A3263,Studies!A:BR,6,FALSE),"")</f>
        <v>Serum</v>
      </c>
      <c r="G3263" s="194">
        <v>0</v>
      </c>
      <c r="H3263" s="194" t="s">
        <v>60</v>
      </c>
      <c r="I3263" s="187">
        <v>0</v>
      </c>
      <c r="J3263" s="187" t="s">
        <v>959</v>
      </c>
      <c r="K3263" s="187" t="s">
        <v>335</v>
      </c>
      <c r="M3263" s="195"/>
      <c r="N3263" s="195"/>
      <c r="O3263" s="199"/>
      <c r="P3263" s="188"/>
      <c r="Q3263" s="174">
        <v>1</v>
      </c>
    </row>
    <row r="3264" spans="1:17" ht="14.25" x14ac:dyDescent="0.2">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0.25</v>
      </c>
      <c r="H3264" s="194" t="s">
        <v>60</v>
      </c>
      <c r="I3264" s="187">
        <v>-2.069942E-2</v>
      </c>
      <c r="J3264" s="187" t="s">
        <v>959</v>
      </c>
      <c r="K3264" s="187" t="s">
        <v>335</v>
      </c>
      <c r="M3264" s="195"/>
      <c r="N3264" s="195"/>
      <c r="O3264" s="199"/>
      <c r="P3264" s="188"/>
      <c r="Q3264" s="174">
        <v>1</v>
      </c>
    </row>
    <row r="3265" spans="1:17" ht="14.25" x14ac:dyDescent="0.2">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0.5</v>
      </c>
      <c r="H3265" s="194" t="s">
        <v>60</v>
      </c>
      <c r="I3265" s="187">
        <v>0.14660790000000001</v>
      </c>
      <c r="J3265" s="187" t="s">
        <v>959</v>
      </c>
      <c r="K3265" s="187" t="s">
        <v>335</v>
      </c>
      <c r="M3265" s="195"/>
      <c r="N3265" s="195"/>
      <c r="O3265" s="199"/>
      <c r="P3265" s="188"/>
      <c r="Q3265" s="174">
        <v>1</v>
      </c>
    </row>
    <row r="3266" spans="1:17" ht="14.25" x14ac:dyDescent="0.2">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0.75</v>
      </c>
      <c r="H3266" s="194" t="s">
        <v>60</v>
      </c>
      <c r="I3266" s="187">
        <v>3.2521439999999999</v>
      </c>
      <c r="J3266" s="187" t="s">
        <v>959</v>
      </c>
      <c r="K3266" s="187" t="s">
        <v>335</v>
      </c>
      <c r="M3266" s="195"/>
      <c r="N3266" s="195"/>
      <c r="O3266" s="199"/>
      <c r="P3266" s="188"/>
      <c r="Q3266" s="174">
        <v>1</v>
      </c>
    </row>
    <row r="3267" spans="1:17" ht="14.25" x14ac:dyDescent="0.2">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1</v>
      </c>
      <c r="H3267" s="194" t="s">
        <v>60</v>
      </c>
      <c r="I3267" s="187">
        <v>5.8865730000000003</v>
      </c>
      <c r="J3267" s="187" t="s">
        <v>959</v>
      </c>
      <c r="K3267" s="187" t="s">
        <v>335</v>
      </c>
      <c r="M3267" s="195"/>
      <c r="N3267" s="195"/>
      <c r="O3267" s="199"/>
      <c r="P3267" s="188"/>
      <c r="Q3267" s="174">
        <v>1</v>
      </c>
    </row>
    <row r="3268" spans="1:17" ht="14.25" x14ac:dyDescent="0.2">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1.5</v>
      </c>
      <c r="H3268" s="194" t="s">
        <v>60</v>
      </c>
      <c r="I3268" s="187">
        <v>8.2178269999999998</v>
      </c>
      <c r="J3268" s="187" t="s">
        <v>959</v>
      </c>
      <c r="K3268" s="187" t="s">
        <v>335</v>
      </c>
      <c r="M3268" s="195"/>
      <c r="N3268" s="195"/>
      <c r="O3268" s="199"/>
      <c r="P3268" s="188"/>
      <c r="Q3268" s="174">
        <v>1</v>
      </c>
    </row>
    <row r="3269" spans="1:17" ht="14.25" x14ac:dyDescent="0.2">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2</v>
      </c>
      <c r="H3269" s="194" t="s">
        <v>60</v>
      </c>
      <c r="I3269" s="187">
        <v>8.4399180000000005</v>
      </c>
      <c r="J3269" s="187" t="s">
        <v>959</v>
      </c>
      <c r="K3269" s="187" t="s">
        <v>335</v>
      </c>
      <c r="M3269" s="195"/>
      <c r="N3269" s="195"/>
      <c r="O3269" s="199"/>
      <c r="P3269" s="188"/>
      <c r="Q3269" s="174">
        <v>1</v>
      </c>
    </row>
    <row r="3270" spans="1:17" ht="14.25" x14ac:dyDescent="0.2">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2.5</v>
      </c>
      <c r="H3270" s="194" t="s">
        <v>60</v>
      </c>
      <c r="I3270" s="187">
        <v>7.6449350000000003</v>
      </c>
      <c r="J3270" s="187" t="s">
        <v>959</v>
      </c>
      <c r="K3270" s="187" t="s">
        <v>335</v>
      </c>
      <c r="M3270" s="195"/>
      <c r="N3270" s="195"/>
      <c r="O3270" s="199"/>
      <c r="P3270" s="188"/>
      <c r="Q3270" s="174">
        <v>1</v>
      </c>
    </row>
    <row r="3271" spans="1:17" ht="14.25" x14ac:dyDescent="0.2">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3</v>
      </c>
      <c r="H3271" s="194" t="s">
        <v>60</v>
      </c>
      <c r="I3271" s="187">
        <v>7.1325849999999997</v>
      </c>
      <c r="J3271" s="187" t="s">
        <v>959</v>
      </c>
      <c r="K3271" s="187" t="s">
        <v>335</v>
      </c>
      <c r="M3271" s="195"/>
      <c r="N3271" s="195"/>
      <c r="O3271" s="199"/>
      <c r="P3271" s="188"/>
      <c r="Q3271" s="174">
        <v>1</v>
      </c>
    </row>
    <row r="3272" spans="1:17" s="183" customFormat="1" ht="14.25" x14ac:dyDescent="0.2">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v>1</v>
      </c>
    </row>
    <row r="3273" spans="1:17" s="183" customFormat="1" ht="14.25" x14ac:dyDescent="0.2">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v>1</v>
      </c>
    </row>
    <row r="3274" spans="1:17" s="183" customFormat="1" ht="14.25" x14ac:dyDescent="0.2">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v>1</v>
      </c>
    </row>
    <row r="3275" spans="1:17" s="183" customFormat="1" ht="14.25" x14ac:dyDescent="0.2">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v>1</v>
      </c>
    </row>
    <row r="3276" spans="1:17" s="183" customFormat="1" ht="14.25" x14ac:dyDescent="0.2">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12</v>
      </c>
      <c r="H3276" s="194" t="s">
        <v>60</v>
      </c>
      <c r="I3276" s="187">
        <v>1.242899</v>
      </c>
      <c r="J3276" s="187" t="s">
        <v>959</v>
      </c>
      <c r="K3276" s="187" t="s">
        <v>335</v>
      </c>
      <c r="L3276" s="195"/>
      <c r="M3276" s="195"/>
      <c r="N3276" s="195"/>
      <c r="O3276" s="199"/>
      <c r="P3276" s="188"/>
      <c r="Q3276" s="174">
        <v>1</v>
      </c>
    </row>
    <row r="3277" spans="1:17" s="183" customFormat="1" ht="14.25" x14ac:dyDescent="0.2">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v>1</v>
      </c>
    </row>
    <row r="3278" spans="1:17" s="183" customFormat="1" ht="14.25" x14ac:dyDescent="0.2">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v>1</v>
      </c>
    </row>
    <row r="3279" spans="1:17" s="183" customFormat="1" ht="14.25" x14ac:dyDescent="0.2">
      <c r="A3279" s="189">
        <v>386</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antacid</v>
      </c>
      <c r="E3279" s="250" t="str">
        <f>IF(AND(A3279&lt;&gt;"",ISNUMBER(A3279)),VLOOKUP(A3279,Studies!A:BR,5,FALSE),"")</f>
        <v>Rifampicin</v>
      </c>
      <c r="F3279" s="251" t="str">
        <f>IF(AND(A3279&lt;&gt;"",ISNUMBER(A3279)),VLOOKUP(A3279,Studies!A:BR,6,FALSE),"")</f>
        <v>Serum</v>
      </c>
      <c r="G3279" s="194">
        <v>0</v>
      </c>
      <c r="H3279" s="194" t="s">
        <v>60</v>
      </c>
      <c r="I3279" s="187">
        <v>0</v>
      </c>
      <c r="J3279" s="187" t="s">
        <v>959</v>
      </c>
      <c r="K3279" s="187" t="s">
        <v>335</v>
      </c>
      <c r="L3279" s="195"/>
      <c r="M3279" s="195"/>
      <c r="N3279" s="195"/>
      <c r="O3279" s="199"/>
      <c r="P3279" s="188"/>
      <c r="Q3279" s="174">
        <v>1</v>
      </c>
    </row>
    <row r="3280" spans="1:17" s="183" customFormat="1" ht="14.25" x14ac:dyDescent="0.2">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0.25</v>
      </c>
      <c r="H3280" s="194" t="s">
        <v>60</v>
      </c>
      <c r="I3280" s="187"/>
      <c r="J3280" s="187"/>
      <c r="K3280" s="187"/>
      <c r="L3280" s="195"/>
      <c r="M3280" s="195"/>
      <c r="N3280" s="195"/>
      <c r="O3280" s="199"/>
      <c r="P3280" s="188" t="s">
        <v>1052</v>
      </c>
      <c r="Q3280" s="174">
        <v>1</v>
      </c>
    </row>
    <row r="3281" spans="1:17" s="183" customFormat="1" ht="14.25" x14ac:dyDescent="0.2">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v>1</v>
      </c>
    </row>
    <row r="3282" spans="1:17" s="183" customFormat="1" ht="14.25" x14ac:dyDescent="0.2">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v>1</v>
      </c>
    </row>
    <row r="3283" spans="1:17" s="183" customFormat="1" ht="14.25" x14ac:dyDescent="0.2">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1</v>
      </c>
      <c r="H3283" s="194" t="s">
        <v>60</v>
      </c>
      <c r="I3283" s="187">
        <v>2.233203</v>
      </c>
      <c r="J3283" s="187" t="s">
        <v>959</v>
      </c>
      <c r="K3283" s="187" t="s">
        <v>335</v>
      </c>
      <c r="L3283" s="195"/>
      <c r="M3283" s="195"/>
      <c r="N3283" s="195"/>
      <c r="O3283" s="199"/>
      <c r="P3283" s="188"/>
      <c r="Q3283" s="174">
        <v>1</v>
      </c>
    </row>
    <row r="3284" spans="1:17" s="183" customFormat="1" ht="14.25" x14ac:dyDescent="0.2">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v>1</v>
      </c>
    </row>
    <row r="3285" spans="1:17" s="183" customFormat="1" ht="14.25" x14ac:dyDescent="0.2">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v>1</v>
      </c>
    </row>
    <row r="3286" spans="1:17" ht="14.25" x14ac:dyDescent="0.2">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2.5</v>
      </c>
      <c r="H3286" s="194" t="s">
        <v>60</v>
      </c>
      <c r="I3286" s="187">
        <v>8.5678490000000007</v>
      </c>
      <c r="J3286" s="187" t="s">
        <v>959</v>
      </c>
      <c r="K3286" s="187" t="s">
        <v>335</v>
      </c>
      <c r="M3286" s="195"/>
      <c r="N3286" s="195"/>
      <c r="O3286" s="199"/>
      <c r="P3286" s="188"/>
      <c r="Q3286" s="174">
        <v>1</v>
      </c>
    </row>
    <row r="3287" spans="1:17" ht="14.25" x14ac:dyDescent="0.2">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3</v>
      </c>
      <c r="H3287" s="194" t="s">
        <v>60</v>
      </c>
      <c r="I3287" s="187">
        <v>7.8858579999999998</v>
      </c>
      <c r="J3287" s="187" t="s">
        <v>959</v>
      </c>
      <c r="K3287" s="187" t="s">
        <v>335</v>
      </c>
      <c r="M3287" s="195"/>
      <c r="N3287" s="195"/>
      <c r="O3287" s="199"/>
      <c r="P3287" s="188"/>
      <c r="Q3287" s="174">
        <v>1</v>
      </c>
    </row>
    <row r="3288" spans="1:17" ht="14.25" x14ac:dyDescent="0.2">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4</v>
      </c>
      <c r="H3288" s="194" t="s">
        <v>60</v>
      </c>
      <c r="I3288" s="187">
        <v>6.955317</v>
      </c>
      <c r="J3288" s="187" t="s">
        <v>959</v>
      </c>
      <c r="K3288" s="187" t="s">
        <v>335</v>
      </c>
      <c r="M3288" s="195"/>
      <c r="N3288" s="195"/>
      <c r="O3288" s="199"/>
      <c r="P3288" s="188"/>
      <c r="Q3288" s="174">
        <v>1</v>
      </c>
    </row>
    <row r="3289" spans="1:17" ht="14.25" x14ac:dyDescent="0.2">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6</v>
      </c>
      <c r="H3289" s="194" t="s">
        <v>60</v>
      </c>
      <c r="I3289" s="187">
        <v>5.075094</v>
      </c>
      <c r="J3289" s="187" t="s">
        <v>959</v>
      </c>
      <c r="K3289" s="187" t="s">
        <v>335</v>
      </c>
      <c r="M3289" s="195"/>
      <c r="N3289" s="195"/>
      <c r="O3289" s="199"/>
      <c r="P3289" s="188"/>
      <c r="Q3289" s="174">
        <v>1</v>
      </c>
    </row>
    <row r="3290" spans="1:17" ht="14.25" x14ac:dyDescent="0.2">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8</v>
      </c>
      <c r="H3290" s="194" t="s">
        <v>60</v>
      </c>
      <c r="I3290" s="187">
        <v>3.4020199999999998</v>
      </c>
      <c r="J3290" s="187" t="s">
        <v>959</v>
      </c>
      <c r="K3290" s="187" t="s">
        <v>335</v>
      </c>
      <c r="M3290" s="195"/>
      <c r="N3290" s="195"/>
      <c r="O3290" s="199"/>
      <c r="P3290" s="188"/>
      <c r="Q3290" s="174">
        <v>1</v>
      </c>
    </row>
    <row r="3291" spans="1:17" ht="14.25" x14ac:dyDescent="0.2">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10</v>
      </c>
      <c r="H3291" s="194" t="s">
        <v>60</v>
      </c>
      <c r="I3291" s="187">
        <v>2.2377159999999998</v>
      </c>
      <c r="J3291" s="187" t="s">
        <v>959</v>
      </c>
      <c r="K3291" s="187" t="s">
        <v>335</v>
      </c>
      <c r="M3291" s="195"/>
      <c r="N3291" s="195"/>
      <c r="O3291" s="199"/>
      <c r="P3291" s="188"/>
      <c r="Q3291" s="174">
        <v>1</v>
      </c>
    </row>
    <row r="3292" spans="1:17" ht="14.25" x14ac:dyDescent="0.2">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12</v>
      </c>
      <c r="H3292" s="194" t="s">
        <v>60</v>
      </c>
      <c r="I3292" s="187">
        <v>1.242899</v>
      </c>
      <c r="J3292" s="187" t="s">
        <v>959</v>
      </c>
      <c r="K3292" s="187" t="s">
        <v>335</v>
      </c>
      <c r="M3292" s="195"/>
      <c r="N3292" s="195"/>
      <c r="O3292" s="199"/>
      <c r="P3292" s="188"/>
      <c r="Q3292" s="174">
        <v>1</v>
      </c>
    </row>
    <row r="3293" spans="1:17" ht="14.25" x14ac:dyDescent="0.2">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16</v>
      </c>
      <c r="H3293" s="194" t="s">
        <v>60</v>
      </c>
      <c r="I3293" s="187">
        <v>0.25088319999999997</v>
      </c>
      <c r="J3293" s="187" t="s">
        <v>959</v>
      </c>
      <c r="K3293" s="187" t="s">
        <v>335</v>
      </c>
      <c r="M3293" s="195"/>
      <c r="N3293" s="195"/>
      <c r="O3293" s="199"/>
      <c r="P3293" s="188"/>
      <c r="Q3293" s="174">
        <v>1</v>
      </c>
    </row>
    <row r="3294" spans="1:17" ht="14.25" x14ac:dyDescent="0.2">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24</v>
      </c>
      <c r="H3294" s="194" t="s">
        <v>60</v>
      </c>
      <c r="I3294" s="187">
        <v>-1.9454349999999999E-2</v>
      </c>
      <c r="J3294" s="187" t="s">
        <v>959</v>
      </c>
      <c r="K3294" s="187" t="s">
        <v>335</v>
      </c>
      <c r="M3294" s="195"/>
      <c r="N3294" s="195"/>
      <c r="O3294" s="199"/>
      <c r="P3294" s="188"/>
      <c r="Q3294" s="174">
        <v>1</v>
      </c>
    </row>
    <row r="3295" spans="1:17" ht="14.25" x14ac:dyDescent="0.2">
      <c r="A3295" s="189">
        <v>387</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fed</v>
      </c>
      <c r="E3295" s="250" t="str">
        <f>IF(AND(A3295&lt;&gt;"",ISNUMBER(A3295)),VLOOKUP(A3295,Studies!A:BR,5,FALSE),"")</f>
        <v>Rifampicin</v>
      </c>
      <c r="F3295" s="251" t="str">
        <f>IF(AND(A3295&lt;&gt;"",ISNUMBER(A3295)),VLOOKUP(A3295,Studies!A:BR,6,FALSE),"")</f>
        <v>Serum</v>
      </c>
      <c r="G3295" s="194">
        <v>0</v>
      </c>
      <c r="H3295" s="194" t="s">
        <v>60</v>
      </c>
      <c r="I3295" s="187">
        <v>0</v>
      </c>
      <c r="J3295" s="187" t="s">
        <v>959</v>
      </c>
      <c r="K3295" s="187" t="s">
        <v>335</v>
      </c>
      <c r="M3295" s="195"/>
      <c r="N3295" s="195"/>
      <c r="O3295" s="199"/>
      <c r="P3295" s="188"/>
      <c r="Q3295" s="174">
        <v>1</v>
      </c>
    </row>
    <row r="3296" spans="1:17" ht="14.25" x14ac:dyDescent="0.2">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0.25</v>
      </c>
      <c r="H3296" s="194" t="s">
        <v>60</v>
      </c>
      <c r="J3296" s="187"/>
      <c r="K3296" s="187"/>
      <c r="M3296" s="195"/>
      <c r="N3296" s="195"/>
      <c r="O3296" s="199"/>
      <c r="P3296" s="188" t="s">
        <v>1052</v>
      </c>
      <c r="Q3296" s="174">
        <v>1</v>
      </c>
    </row>
    <row r="3297" spans="1:17" ht="14.25" x14ac:dyDescent="0.2">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0.5</v>
      </c>
      <c r="H3297" s="194" t="s">
        <v>60</v>
      </c>
      <c r="I3297" s="187">
        <v>-3.8908689999999999E-3</v>
      </c>
      <c r="J3297" s="187" t="s">
        <v>959</v>
      </c>
      <c r="K3297" s="187" t="s">
        <v>335</v>
      </c>
      <c r="M3297" s="195"/>
      <c r="N3297" s="195"/>
      <c r="O3297" s="199"/>
      <c r="P3297" s="188"/>
      <c r="Q3297" s="174">
        <v>1</v>
      </c>
    </row>
    <row r="3298" spans="1:17" ht="14.25" x14ac:dyDescent="0.2">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0.75</v>
      </c>
      <c r="H3298" s="194" t="s">
        <v>60</v>
      </c>
      <c r="I3298" s="187">
        <v>-5.9141209999999996E-3</v>
      </c>
      <c r="J3298" s="187" t="s">
        <v>959</v>
      </c>
      <c r="K3298" s="187" t="s">
        <v>335</v>
      </c>
      <c r="M3298" s="195"/>
      <c r="N3298" s="195"/>
      <c r="O3298" s="199"/>
      <c r="P3298" s="188"/>
      <c r="Q3298" s="174">
        <v>1</v>
      </c>
    </row>
    <row r="3299" spans="1:17" ht="14.25" x14ac:dyDescent="0.2">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1</v>
      </c>
      <c r="H3299" s="194" t="s">
        <v>60</v>
      </c>
      <c r="I3299" s="187">
        <v>-7.9373729999999993E-3</v>
      </c>
      <c r="J3299" s="187" t="s">
        <v>959</v>
      </c>
      <c r="K3299" s="187" t="s">
        <v>335</v>
      </c>
      <c r="M3299" s="195"/>
      <c r="N3299" s="195"/>
      <c r="O3299" s="199"/>
      <c r="P3299" s="188"/>
      <c r="Q3299" s="174">
        <v>1</v>
      </c>
    </row>
    <row r="3300" spans="1:17" ht="14.25" x14ac:dyDescent="0.2">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1.5</v>
      </c>
      <c r="H3300" s="194" t="s">
        <v>60</v>
      </c>
      <c r="I3300" s="187">
        <v>0.15765799999999999</v>
      </c>
      <c r="J3300" s="187" t="s">
        <v>959</v>
      </c>
      <c r="K3300" s="187" t="s">
        <v>335</v>
      </c>
      <c r="M3300" s="195"/>
      <c r="N3300" s="195"/>
      <c r="O3300" s="199"/>
      <c r="P3300" s="188"/>
      <c r="Q3300" s="174">
        <v>1</v>
      </c>
    </row>
    <row r="3301" spans="1:17" ht="14.25" x14ac:dyDescent="0.2">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2</v>
      </c>
      <c r="H3301" s="194" t="s">
        <v>60</v>
      </c>
      <c r="I3301" s="187">
        <v>1.0575380000000001</v>
      </c>
      <c r="J3301" s="187" t="s">
        <v>959</v>
      </c>
      <c r="K3301" s="187" t="s">
        <v>335</v>
      </c>
      <c r="M3301" s="195"/>
      <c r="N3301" s="195"/>
      <c r="O3301" s="199"/>
      <c r="P3301" s="188"/>
      <c r="Q3301" s="174">
        <v>1</v>
      </c>
    </row>
    <row r="3302" spans="1:17" ht="14.25" x14ac:dyDescent="0.2">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2.5</v>
      </c>
      <c r="H3302" s="194" t="s">
        <v>60</v>
      </c>
      <c r="I3302" s="187">
        <v>2.1647240000000001</v>
      </c>
      <c r="J3302" s="187" t="s">
        <v>959</v>
      </c>
      <c r="K3302" s="187" t="s">
        <v>335</v>
      </c>
      <c r="M3302" s="195"/>
      <c r="N3302" s="195"/>
      <c r="O3302" s="199"/>
      <c r="P3302" s="188"/>
      <c r="Q3302" s="174">
        <v>1</v>
      </c>
    </row>
    <row r="3303" spans="1:17" ht="14.25" x14ac:dyDescent="0.2">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3</v>
      </c>
      <c r="H3303" s="194" t="s">
        <v>60</v>
      </c>
      <c r="I3303" s="187">
        <v>4.1946680000000001</v>
      </c>
      <c r="J3303" s="187" t="s">
        <v>959</v>
      </c>
      <c r="K3303" s="187" t="s">
        <v>335</v>
      </c>
      <c r="M3303" s="195"/>
      <c r="N3303" s="195"/>
      <c r="O3303" s="199"/>
      <c r="P3303" s="188"/>
      <c r="Q3303" s="174">
        <v>1</v>
      </c>
    </row>
    <row r="3304" spans="1:17" ht="14.25" x14ac:dyDescent="0.2">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4</v>
      </c>
      <c r="H3304" s="194" t="s">
        <v>60</v>
      </c>
      <c r="I3304" s="187">
        <v>5.3167939999999998</v>
      </c>
      <c r="J3304" s="187" t="s">
        <v>959</v>
      </c>
      <c r="K3304" s="187" t="s">
        <v>335</v>
      </c>
      <c r="M3304" s="195"/>
      <c r="N3304" s="195"/>
      <c r="O3304" s="199"/>
      <c r="P3304" s="188"/>
      <c r="Q3304" s="174">
        <v>1</v>
      </c>
    </row>
    <row r="3305" spans="1:17" ht="14.25" x14ac:dyDescent="0.2">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6</v>
      </c>
      <c r="H3305" s="194" t="s">
        <v>60</v>
      </c>
      <c r="I3305" s="187">
        <v>5.9226809999999999</v>
      </c>
      <c r="J3305" s="187" t="s">
        <v>959</v>
      </c>
      <c r="K3305" s="187" t="s">
        <v>335</v>
      </c>
      <c r="M3305" s="195"/>
      <c r="N3305" s="195"/>
      <c r="O3305" s="199"/>
      <c r="P3305" s="188"/>
      <c r="Q3305" s="174">
        <v>1</v>
      </c>
    </row>
    <row r="3306" spans="1:17" ht="14.25" x14ac:dyDescent="0.2">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8</v>
      </c>
      <c r="H3306" s="194" t="s">
        <v>60</v>
      </c>
      <c r="I3306" s="187">
        <v>4.2496070000000001</v>
      </c>
      <c r="J3306" s="187" t="s">
        <v>959</v>
      </c>
      <c r="K3306" s="187" t="s">
        <v>335</v>
      </c>
      <c r="M3306" s="195"/>
      <c r="N3306" s="195"/>
      <c r="O3306" s="199"/>
      <c r="P3306" s="188"/>
      <c r="Q3306" s="174">
        <v>1</v>
      </c>
    </row>
    <row r="3307" spans="1:17" ht="14.25" x14ac:dyDescent="0.2">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10</v>
      </c>
      <c r="H3307" s="194" t="s">
        <v>60</v>
      </c>
      <c r="I3307" s="187">
        <v>3.4806159999999999</v>
      </c>
      <c r="J3307" s="187" t="s">
        <v>959</v>
      </c>
      <c r="K3307" s="187" t="s">
        <v>335</v>
      </c>
      <c r="M3307" s="195"/>
      <c r="N3307" s="195"/>
      <c r="O3307" s="199"/>
      <c r="P3307" s="188"/>
      <c r="Q3307" s="174">
        <v>1</v>
      </c>
    </row>
    <row r="3308" spans="1:17" ht="14.25" x14ac:dyDescent="0.2">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12</v>
      </c>
      <c r="H3308" s="194" t="s">
        <v>60</v>
      </c>
      <c r="I3308" s="187">
        <v>2.2033209999999999</v>
      </c>
      <c r="J3308" s="187" t="s">
        <v>959</v>
      </c>
      <c r="K3308" s="187" t="s">
        <v>335</v>
      </c>
      <c r="M3308" s="195"/>
      <c r="N3308" s="195"/>
      <c r="O3308" s="199"/>
      <c r="P3308" s="188"/>
      <c r="Q3308" s="174">
        <v>1</v>
      </c>
    </row>
    <row r="3309" spans="1:17" ht="14.25" x14ac:dyDescent="0.2">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16</v>
      </c>
      <c r="H3309" s="194" t="s">
        <v>60</v>
      </c>
      <c r="I3309" s="187">
        <v>0.87233280000000002</v>
      </c>
      <c r="J3309" s="187" t="s">
        <v>959</v>
      </c>
      <c r="K3309" s="187" t="s">
        <v>335</v>
      </c>
      <c r="M3309" s="195"/>
      <c r="N3309" s="195"/>
      <c r="O3309" s="199"/>
      <c r="P3309" s="188"/>
      <c r="Q3309" s="174">
        <v>1</v>
      </c>
    </row>
    <row r="3310" spans="1:17" ht="14.25" x14ac:dyDescent="0.2">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24</v>
      </c>
      <c r="H3310" s="194" t="s">
        <v>60</v>
      </c>
      <c r="I3310" s="187">
        <v>0.1125239</v>
      </c>
      <c r="J3310" s="187" t="s">
        <v>959</v>
      </c>
      <c r="K3310" s="187" t="s">
        <v>335</v>
      </c>
      <c r="M3310" s="195"/>
      <c r="N3310" s="195"/>
      <c r="O3310" s="199"/>
      <c r="P3310" s="188"/>
      <c r="Q3310" s="174">
        <v>1</v>
      </c>
    </row>
    <row r="3311" spans="1:17" ht="14.25" x14ac:dyDescent="0.2">
      <c r="A3311" s="189">
        <v>388</v>
      </c>
      <c r="B3311" s="249" t="str">
        <f>IF(AND(A3311&lt;&gt;"",ISNUMBER(A3311)),VLOOKUP(A3311,Studies!A:BR,2,FALSE),"")</f>
        <v>Phimmasone 2001</v>
      </c>
      <c r="C3311" s="250" t="str">
        <f>IF(AND(A3311&lt;&gt;"",ISNUMBER(A3311)),VLOOKUP(A3311,Studies!A:BR,3,FALSE),"")</f>
        <v>https://www.ncbi.nlm.nih.gov/pubmed/11753266</v>
      </c>
      <c r="D3311" s="250" t="str">
        <f>IF(AND(A3311&lt;&gt;"",ISNUMBER(A3311)),VLOOKUP(A3311,Studies!A:BR,4,FALSE),"")</f>
        <v>Control (Perpetrator Placebo)</v>
      </c>
      <c r="E3311" s="250" t="str">
        <f>IF(AND(A3311&lt;&gt;"",ISNUMBER(A3311)),VLOOKUP(A3311,Studies!A:BR,5,FALSE),"")</f>
        <v>Midazolam</v>
      </c>
      <c r="F3311" s="251"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v>1</v>
      </c>
    </row>
    <row r="3312" spans="1:17" ht="14.25" x14ac:dyDescent="0.2">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v>1</v>
      </c>
    </row>
    <row r="3313" spans="1:17" ht="14.25" x14ac:dyDescent="0.2">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v>1</v>
      </c>
    </row>
    <row r="3314" spans="1:17" ht="14.25" x14ac:dyDescent="0.2">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v>1</v>
      </c>
    </row>
    <row r="3315" spans="1:17" ht="14.25" x14ac:dyDescent="0.2">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v>1</v>
      </c>
    </row>
    <row r="3316" spans="1:17" ht="14.25" x14ac:dyDescent="0.2">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v>1</v>
      </c>
    </row>
    <row r="3317" spans="1:17" ht="14.25" x14ac:dyDescent="0.2">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v>1</v>
      </c>
    </row>
    <row r="3318" spans="1:17" ht="14.25" x14ac:dyDescent="0.2">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v>1</v>
      </c>
    </row>
    <row r="3319" spans="1:17" ht="14.25" x14ac:dyDescent="0.2">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v>1</v>
      </c>
    </row>
    <row r="3320" spans="1:17" ht="14.25" x14ac:dyDescent="0.2">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v>1</v>
      </c>
    </row>
    <row r="3321" spans="1:17" ht="14.25" x14ac:dyDescent="0.2">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v>1</v>
      </c>
    </row>
    <row r="3322" spans="1:17" ht="14.25" x14ac:dyDescent="0.2">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v>1</v>
      </c>
    </row>
    <row r="3323" spans="1:17" ht="14.25" x14ac:dyDescent="0.2">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v>1</v>
      </c>
    </row>
    <row r="3324" spans="1:17" ht="14.25" x14ac:dyDescent="0.2">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v>1</v>
      </c>
    </row>
    <row r="3325" spans="1:17" ht="14.25" x14ac:dyDescent="0.2">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v>1</v>
      </c>
    </row>
    <row r="3326" spans="1:17" ht="14.25" x14ac:dyDescent="0.2">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v>1</v>
      </c>
    </row>
    <row r="3327" spans="1:17" ht="14.25" x14ac:dyDescent="0.2">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v>1</v>
      </c>
    </row>
    <row r="3328" spans="1:17" ht="14.25" x14ac:dyDescent="0.2">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v>1</v>
      </c>
    </row>
    <row r="3329" spans="1:17" ht="14.25" x14ac:dyDescent="0.2">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v>1</v>
      </c>
    </row>
    <row r="3330" spans="1:17" ht="14.25" x14ac:dyDescent="0.2">
      <c r="A3330" s="189">
        <v>389</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with Perpetrator (Rifampicin)</v>
      </c>
      <c r="E3330" s="250" t="str">
        <f>IF(AND(A3330&lt;&gt;"",ISNUMBER(A3330)),VLOOKUP(A3330,Studies!A:BR,5,FALSE),"")</f>
        <v>Midazolam</v>
      </c>
      <c r="F3330" s="251"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v>1</v>
      </c>
    </row>
    <row r="3331" spans="1:17" ht="14.25" x14ac:dyDescent="0.2">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v>1</v>
      </c>
    </row>
    <row r="3332" spans="1:17" ht="14.25" x14ac:dyDescent="0.2">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v>1</v>
      </c>
    </row>
    <row r="3333" spans="1:17" ht="14.25" x14ac:dyDescent="0.2">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v>1</v>
      </c>
    </row>
    <row r="3334" spans="1:17" ht="14.25" x14ac:dyDescent="0.2">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v>1</v>
      </c>
    </row>
    <row r="3335" spans="1:17" ht="14.25" x14ac:dyDescent="0.2">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v>1</v>
      </c>
    </row>
    <row r="3336" spans="1:17" ht="14.25" x14ac:dyDescent="0.2">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v>1</v>
      </c>
    </row>
    <row r="3337" spans="1:17" ht="14.25" x14ac:dyDescent="0.2">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v>1</v>
      </c>
    </row>
    <row r="3338" spans="1:17" ht="14.25" x14ac:dyDescent="0.2">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v>1</v>
      </c>
    </row>
    <row r="3339" spans="1:17" ht="14.25" x14ac:dyDescent="0.2">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v>1</v>
      </c>
    </row>
    <row r="3340" spans="1:17" ht="14.25" x14ac:dyDescent="0.2">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v>1</v>
      </c>
    </row>
    <row r="3341" spans="1:17" ht="14.25" x14ac:dyDescent="0.2">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v>1</v>
      </c>
    </row>
    <row r="3342" spans="1:17" ht="14.25" x14ac:dyDescent="0.2">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v>1</v>
      </c>
    </row>
    <row r="3343" spans="1:17" ht="14.25" x14ac:dyDescent="0.2">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v>1</v>
      </c>
    </row>
    <row r="3344" spans="1:17" ht="14.25" x14ac:dyDescent="0.2">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v>1</v>
      </c>
    </row>
    <row r="3345" spans="1:17" ht="14.25" x14ac:dyDescent="0.2">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v>1</v>
      </c>
    </row>
    <row r="3346" spans="1:17" ht="14.25" x14ac:dyDescent="0.2">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v>1</v>
      </c>
    </row>
    <row r="3347" spans="1:17" ht="14.25" x14ac:dyDescent="0.2">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v>1</v>
      </c>
    </row>
    <row r="3348" spans="1:17" ht="14.25" x14ac:dyDescent="0.2">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v>1</v>
      </c>
    </row>
    <row r="3349" spans="1:17" ht="14.25" x14ac:dyDescent="0.2">
      <c r="A3349" s="189">
        <v>390</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Control (Perpetrator Placebo)</v>
      </c>
      <c r="E3349" s="250" t="str">
        <f>IF(AND(A3349&lt;&gt;"",ISNUMBER(A3349)),VLOOKUP(A3349,Studies!A:BR,5,FALSE),"")</f>
        <v>Alfentanil</v>
      </c>
      <c r="F3349" s="251"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v>1</v>
      </c>
    </row>
    <row r="3350" spans="1:17" ht="14.25" x14ac:dyDescent="0.2">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v>1</v>
      </c>
    </row>
    <row r="3351" spans="1:17" ht="14.25" x14ac:dyDescent="0.2">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v>1</v>
      </c>
    </row>
    <row r="3352" spans="1:17" ht="14.25" x14ac:dyDescent="0.2">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v>1</v>
      </c>
    </row>
    <row r="3353" spans="1:17" ht="14.25" x14ac:dyDescent="0.2">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v>1</v>
      </c>
    </row>
    <row r="3354" spans="1:17" ht="14.25" x14ac:dyDescent="0.2">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v>1</v>
      </c>
    </row>
    <row r="3355" spans="1:17" ht="14.25" x14ac:dyDescent="0.2">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v>1</v>
      </c>
    </row>
    <row r="3356" spans="1:17" ht="14.25" x14ac:dyDescent="0.2">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v>1</v>
      </c>
    </row>
    <row r="3357" spans="1:17" ht="14.25" x14ac:dyDescent="0.2">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v>1</v>
      </c>
    </row>
    <row r="3358" spans="1:17" ht="14.25" x14ac:dyDescent="0.2">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v>1</v>
      </c>
    </row>
    <row r="3359" spans="1:17" ht="14.25" x14ac:dyDescent="0.2">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v>1</v>
      </c>
    </row>
    <row r="3360" spans="1:17" ht="14.25" x14ac:dyDescent="0.2">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v>1</v>
      </c>
    </row>
    <row r="3361" spans="1:17" ht="14.25" x14ac:dyDescent="0.2">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v>1</v>
      </c>
    </row>
    <row r="3362" spans="1:17" ht="14.25" x14ac:dyDescent="0.2">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v>1</v>
      </c>
    </row>
    <row r="3363" spans="1:17" ht="14.25" x14ac:dyDescent="0.2">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v>1</v>
      </c>
    </row>
    <row r="3364" spans="1:17" ht="14.25" x14ac:dyDescent="0.2">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v>1</v>
      </c>
    </row>
    <row r="3365" spans="1:17" ht="14.25" x14ac:dyDescent="0.2">
      <c r="A3365" s="189">
        <v>391</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with Perpetrator (Rifampicin)</v>
      </c>
      <c r="E3365" s="250" t="str">
        <f>IF(AND(A3365&lt;&gt;"",ISNUMBER(A3365)),VLOOKUP(A3365,Studies!A:BR,5,FALSE),"")</f>
        <v>Alfentanil</v>
      </c>
      <c r="F3365" s="251"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v>1</v>
      </c>
    </row>
    <row r="3366" spans="1:17" ht="14.25" x14ac:dyDescent="0.2">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v>1</v>
      </c>
    </row>
    <row r="3367" spans="1:17" ht="14.25" x14ac:dyDescent="0.2">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v>1</v>
      </c>
    </row>
    <row r="3368" spans="1:17" ht="14.25" x14ac:dyDescent="0.2">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v>1</v>
      </c>
    </row>
    <row r="3369" spans="1:17" ht="14.25" x14ac:dyDescent="0.2">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v>1</v>
      </c>
    </row>
    <row r="3370" spans="1:17" ht="14.25" x14ac:dyDescent="0.2">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v>1</v>
      </c>
    </row>
    <row r="3371" spans="1:17" ht="14.25" x14ac:dyDescent="0.2">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v>1</v>
      </c>
    </row>
    <row r="3372" spans="1:17" ht="14.25" x14ac:dyDescent="0.2">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v>1</v>
      </c>
    </row>
    <row r="3373" spans="1:17" ht="14.25" x14ac:dyDescent="0.2">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v>1</v>
      </c>
    </row>
    <row r="3374" spans="1:17" ht="14.25" x14ac:dyDescent="0.2">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v>1</v>
      </c>
    </row>
    <row r="3375" spans="1:17" ht="14.25" x14ac:dyDescent="0.2">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v>1</v>
      </c>
    </row>
    <row r="3376" spans="1:17" ht="14.25" x14ac:dyDescent="0.2">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v>1</v>
      </c>
    </row>
    <row r="3377" spans="1:17" ht="14.25" x14ac:dyDescent="0.2">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v>1</v>
      </c>
    </row>
    <row r="3378" spans="1:17" ht="14.25" x14ac:dyDescent="0.2">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v>1</v>
      </c>
    </row>
    <row r="3379" spans="1:17" ht="14.25" x14ac:dyDescent="0.2">
      <c r="A3379" s="183">
        <v>392</v>
      </c>
      <c r="B3379" s="249" t="str">
        <f>IF(AND(A3379&lt;&gt;"",ISNUMBER(A3379)),VLOOKUP(A3379,Studies!A:BR,2,FALSE),"")</f>
        <v>Reitman 2011</v>
      </c>
      <c r="C3379" s="250" t="str">
        <f>IF(AND(A3379&lt;&gt;"",ISNUMBER(A3379)),VLOOKUP(A3379,Studies!A:BR,3,FALSE),"")</f>
        <v>https://www.ncbi.nlm.nih.gov/pubmed/21191377</v>
      </c>
      <c r="D3379" s="250" t="str">
        <f>IF(AND(A3379&lt;&gt;"",ISNUMBER(A3379)),VLOOKUP(A3379,Studies!A:BR,4,FALSE),"")</f>
        <v>Week 0 after Perpetrator (Rifampicin)</v>
      </c>
      <c r="E3379" s="250" t="str">
        <f>IF(AND(A3379&lt;&gt;"",ISNUMBER(A3379)),VLOOKUP(A3379,Studies!A:BR,5,FALSE),"")</f>
        <v>Midazolam</v>
      </c>
      <c r="F3379" s="251" t="str">
        <f>IF(AND(A3379&lt;&gt;"",ISNUMBER(A3379)),VLOOKUP(A3379,Studies!A:BR,6,FALSE),"")</f>
        <v>Plasma</v>
      </c>
      <c r="G3379" s="194">
        <v>649</v>
      </c>
      <c r="H3379" s="194" t="s">
        <v>60</v>
      </c>
      <c r="I3379" s="187">
        <v>1.4495192766189575</v>
      </c>
      <c r="J3379" s="187" t="s">
        <v>941</v>
      </c>
      <c r="K3379" s="187" t="s">
        <v>116</v>
      </c>
      <c r="M3379" s="195"/>
      <c r="N3379" s="195"/>
      <c r="O3379" s="199"/>
      <c r="P3379" s="188"/>
      <c r="Q3379" s="174">
        <v>0</v>
      </c>
    </row>
    <row r="3380" spans="1:17" ht="14.25" x14ac:dyDescent="0.2">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650</v>
      </c>
      <c r="H3380" s="194" t="s">
        <v>60</v>
      </c>
      <c r="I3380" s="187">
        <v>0.69230771064758301</v>
      </c>
      <c r="J3380" s="187" t="s">
        <v>941</v>
      </c>
      <c r="K3380" s="187" t="s">
        <v>116</v>
      </c>
      <c r="M3380" s="195"/>
      <c r="N3380" s="195"/>
      <c r="O3380" s="199"/>
      <c r="P3380" s="188"/>
      <c r="Q3380" s="174">
        <v>0</v>
      </c>
    </row>
    <row r="3381" spans="1:17" ht="14.25" x14ac:dyDescent="0.2">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652</v>
      </c>
      <c r="H3381" s="194" t="s">
        <v>60</v>
      </c>
      <c r="I3381" s="187">
        <v>0.21634615957736969</v>
      </c>
      <c r="J3381" s="187" t="s">
        <v>941</v>
      </c>
      <c r="K3381" s="187" t="s">
        <v>116</v>
      </c>
      <c r="M3381" s="195"/>
      <c r="N3381" s="195"/>
      <c r="O3381" s="199"/>
      <c r="P3381" s="188"/>
      <c r="Q3381" s="174">
        <v>0</v>
      </c>
    </row>
    <row r="3382" spans="1:17" ht="14.25" x14ac:dyDescent="0.2">
      <c r="A3382" s="183">
        <v>393</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1 after Perpetrator (Rifampicin)</v>
      </c>
      <c r="E3382" s="250" t="str">
        <f>IF(AND(A3382&lt;&gt;"",ISNUMBER(A3382)),VLOOKUP(A3382,Studies!A:BR,5,FALSE),"")</f>
        <v>Midazolam</v>
      </c>
      <c r="F3382" s="251" t="str">
        <f>IF(AND(A3382&lt;&gt;"",ISNUMBER(A3382)),VLOOKUP(A3382,Studies!A:BR,6,FALSE),"")</f>
        <v>Plasma</v>
      </c>
      <c r="G3382" s="194">
        <v>817</v>
      </c>
      <c r="H3382" s="194" t="s">
        <v>60</v>
      </c>
      <c r="I3382" s="187">
        <v>3.526442289352417</v>
      </c>
      <c r="J3382" s="187" t="s">
        <v>941</v>
      </c>
      <c r="K3382" s="187" t="s">
        <v>116</v>
      </c>
      <c r="M3382" s="195"/>
      <c r="N3382" s="195"/>
      <c r="O3382" s="199"/>
      <c r="P3382" s="188"/>
      <c r="Q3382" s="174">
        <v>0</v>
      </c>
    </row>
    <row r="3383" spans="1:17" ht="14.25" x14ac:dyDescent="0.2">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818</v>
      </c>
      <c r="H3383" s="194" t="s">
        <v>60</v>
      </c>
      <c r="I3383" s="187">
        <v>1.925480842590332</v>
      </c>
      <c r="J3383" s="187" t="s">
        <v>941</v>
      </c>
      <c r="K3383" s="187" t="s">
        <v>116</v>
      </c>
      <c r="M3383" s="195"/>
      <c r="N3383" s="195"/>
      <c r="O3383" s="199"/>
      <c r="P3383" s="188"/>
      <c r="Q3383" s="174">
        <v>0</v>
      </c>
    </row>
    <row r="3384" spans="1:17" ht="14.25" x14ac:dyDescent="0.2">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820</v>
      </c>
      <c r="H3384" s="194" t="s">
        <v>60</v>
      </c>
      <c r="I3384" s="187">
        <v>0.69230771064758301</v>
      </c>
      <c r="J3384" s="187" t="s">
        <v>941</v>
      </c>
      <c r="K3384" s="187" t="s">
        <v>116</v>
      </c>
      <c r="M3384" s="195"/>
      <c r="N3384" s="195"/>
      <c r="O3384" s="199"/>
      <c r="P3384" s="188"/>
      <c r="Q3384" s="174">
        <v>0</v>
      </c>
    </row>
    <row r="3385" spans="1:17" ht="14.25" x14ac:dyDescent="0.2">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822</v>
      </c>
      <c r="H3385" s="194" t="s">
        <v>60</v>
      </c>
      <c r="I3385" s="187">
        <v>0.28125</v>
      </c>
      <c r="J3385" s="187" t="s">
        <v>941</v>
      </c>
      <c r="K3385" s="187" t="s">
        <v>116</v>
      </c>
      <c r="M3385" s="195"/>
      <c r="N3385" s="195"/>
      <c r="O3385" s="199"/>
      <c r="P3385" s="188"/>
      <c r="Q3385" s="174">
        <v>0</v>
      </c>
    </row>
    <row r="3386" spans="1:17" ht="14.25" x14ac:dyDescent="0.2">
      <c r="A3386" s="183">
        <v>394</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2 after Perpetrator (Rifampicin)</v>
      </c>
      <c r="E3386" s="250" t="str">
        <f>IF(AND(A3386&lt;&gt;"",ISNUMBER(A3386)),VLOOKUP(A3386,Studies!A:BR,5,FALSE),"")</f>
        <v>Midazolam</v>
      </c>
      <c r="F3386" s="251" t="str">
        <f>IF(AND(A3386&lt;&gt;"",ISNUMBER(A3386)),VLOOKUP(A3386,Studies!A:BR,6,FALSE),"")</f>
        <v>Plasma</v>
      </c>
      <c r="G3386" s="194">
        <v>985</v>
      </c>
      <c r="H3386" s="194" t="s">
        <v>60</v>
      </c>
      <c r="I3386" s="187">
        <v>6.1875</v>
      </c>
      <c r="J3386" s="187" t="s">
        <v>941</v>
      </c>
      <c r="K3386" s="187" t="s">
        <v>116</v>
      </c>
      <c r="M3386" s="195"/>
      <c r="N3386" s="195"/>
      <c r="O3386" s="199"/>
      <c r="P3386" s="188"/>
      <c r="Q3386" s="174">
        <v>0</v>
      </c>
    </row>
    <row r="3387" spans="1:17" ht="14.25" x14ac:dyDescent="0.2">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986</v>
      </c>
      <c r="H3387" s="194" t="s">
        <v>60</v>
      </c>
      <c r="I3387" s="187">
        <v>3.612980842590332</v>
      </c>
      <c r="J3387" s="187" t="s">
        <v>941</v>
      </c>
      <c r="K3387" s="187" t="s">
        <v>116</v>
      </c>
      <c r="M3387" s="195"/>
      <c r="N3387" s="195"/>
      <c r="O3387" s="199"/>
      <c r="P3387" s="188"/>
      <c r="Q3387" s="174">
        <v>0</v>
      </c>
    </row>
    <row r="3388" spans="1:17" ht="14.25" x14ac:dyDescent="0.2">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988</v>
      </c>
      <c r="H3388" s="194" t="s">
        <v>60</v>
      </c>
      <c r="I3388" s="187">
        <v>1.4278846979141235</v>
      </c>
      <c r="J3388" s="187" t="s">
        <v>941</v>
      </c>
      <c r="K3388" s="187" t="s">
        <v>116</v>
      </c>
      <c r="M3388" s="195"/>
      <c r="N3388" s="195"/>
      <c r="O3388" s="199"/>
      <c r="P3388" s="188"/>
      <c r="Q3388" s="174">
        <v>0</v>
      </c>
    </row>
    <row r="3389" spans="1:17" ht="14.25" x14ac:dyDescent="0.2">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990</v>
      </c>
      <c r="H3389" s="194" t="s">
        <v>60</v>
      </c>
      <c r="I3389" s="187">
        <v>0.69230771064758301</v>
      </c>
      <c r="J3389" s="187" t="s">
        <v>941</v>
      </c>
      <c r="K3389" s="187" t="s">
        <v>116</v>
      </c>
      <c r="M3389" s="195"/>
      <c r="N3389" s="195"/>
      <c r="O3389" s="199"/>
      <c r="P3389" s="188"/>
      <c r="Q3389" s="174">
        <v>0</v>
      </c>
    </row>
    <row r="3390" spans="1:17" ht="14.25" x14ac:dyDescent="0.2">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992</v>
      </c>
      <c r="H3390" s="194" t="s">
        <v>60</v>
      </c>
      <c r="I3390" s="187">
        <v>0.43269231915473938</v>
      </c>
      <c r="J3390" s="187" t="s">
        <v>941</v>
      </c>
      <c r="K3390" s="187" t="s">
        <v>116</v>
      </c>
      <c r="M3390" s="195"/>
      <c r="N3390" s="195"/>
      <c r="O3390" s="199"/>
      <c r="P3390" s="188"/>
      <c r="Q3390" s="174">
        <v>0</v>
      </c>
    </row>
    <row r="3391" spans="1:17" ht="14.25" x14ac:dyDescent="0.2">
      <c r="A3391" s="183">
        <v>395</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4 after Perpetrator (Rifampicin)</v>
      </c>
      <c r="E3391" s="250" t="str">
        <f>IF(AND(A3391&lt;&gt;"",ISNUMBER(A3391)),VLOOKUP(A3391,Studies!A:BR,5,FALSE),"")</f>
        <v>Midazolam</v>
      </c>
      <c r="F3391" s="251" t="str">
        <f>IF(AND(A3391&lt;&gt;"",ISNUMBER(A3391)),VLOOKUP(A3391,Studies!A:BR,6,FALSE),"")</f>
        <v>Plasma</v>
      </c>
      <c r="G3391" s="194">
        <v>1321</v>
      </c>
      <c r="H3391" s="194" t="s">
        <v>60</v>
      </c>
      <c r="I3391" s="187">
        <v>8.4158658981323242</v>
      </c>
      <c r="J3391" s="187" t="s">
        <v>941</v>
      </c>
      <c r="K3391" s="187" t="s">
        <v>116</v>
      </c>
      <c r="M3391" s="195"/>
      <c r="N3391" s="195"/>
      <c r="O3391" s="199"/>
      <c r="P3391" s="188"/>
      <c r="Q3391" s="174">
        <v>0</v>
      </c>
    </row>
    <row r="3392" spans="1:17" ht="14.25" x14ac:dyDescent="0.2">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1322</v>
      </c>
      <c r="H3392" s="194" t="s">
        <v>60</v>
      </c>
      <c r="I3392" s="187">
        <v>4.5</v>
      </c>
      <c r="J3392" s="187" t="s">
        <v>941</v>
      </c>
      <c r="K3392" s="187" t="s">
        <v>116</v>
      </c>
      <c r="M3392" s="195"/>
      <c r="N3392" s="195"/>
      <c r="O3392" s="199"/>
      <c r="P3392" s="188"/>
      <c r="Q3392" s="174">
        <v>0</v>
      </c>
    </row>
    <row r="3393" spans="1:17" ht="14.25" x14ac:dyDescent="0.2">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1324</v>
      </c>
      <c r="H3393" s="194" t="s">
        <v>60</v>
      </c>
      <c r="I3393" s="187">
        <v>1.817307710647583</v>
      </c>
      <c r="J3393" s="187" t="s">
        <v>941</v>
      </c>
      <c r="K3393" s="187" t="s">
        <v>116</v>
      </c>
      <c r="M3393" s="195"/>
      <c r="N3393" s="195"/>
      <c r="O3393" s="199"/>
      <c r="P3393" s="188"/>
      <c r="Q3393" s="174">
        <v>0</v>
      </c>
    </row>
    <row r="3394" spans="1:17" ht="14.25" x14ac:dyDescent="0.2">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1326</v>
      </c>
      <c r="H3394" s="194" t="s">
        <v>60</v>
      </c>
      <c r="I3394" s="187">
        <v>0.86538463830947876</v>
      </c>
      <c r="J3394" s="187" t="s">
        <v>941</v>
      </c>
      <c r="K3394" s="187" t="s">
        <v>116</v>
      </c>
      <c r="M3394" s="195"/>
      <c r="N3394" s="195"/>
      <c r="O3394" s="199"/>
      <c r="P3394" s="188"/>
      <c r="Q3394" s="174">
        <v>0</v>
      </c>
    </row>
    <row r="3395" spans="1:17" ht="14.25" x14ac:dyDescent="0.2">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1328</v>
      </c>
      <c r="H3395" s="194" t="s">
        <v>60</v>
      </c>
      <c r="I3395" s="187">
        <v>0.51923078298568726</v>
      </c>
      <c r="J3395" s="187" t="s">
        <v>941</v>
      </c>
      <c r="K3395" s="187" t="s">
        <v>116</v>
      </c>
      <c r="M3395" s="195"/>
      <c r="N3395" s="195"/>
      <c r="O3395" s="199"/>
      <c r="P3395" s="188"/>
      <c r="Q3395" s="174">
        <v>0</v>
      </c>
    </row>
    <row r="3396" spans="1:17" ht="14.25" x14ac:dyDescent="0.2">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1332</v>
      </c>
      <c r="H3396" s="194" t="s">
        <v>60</v>
      </c>
      <c r="I3396" s="187">
        <v>0.23798078298568726</v>
      </c>
      <c r="J3396" s="187" t="s">
        <v>941</v>
      </c>
      <c r="K3396" s="187" t="s">
        <v>116</v>
      </c>
      <c r="M3396" s="195"/>
      <c r="N3396" s="195"/>
      <c r="O3396" s="199"/>
      <c r="P3396" s="188"/>
      <c r="Q3396" s="174">
        <v>0</v>
      </c>
    </row>
    <row r="3397" spans="1:17" ht="14.25" x14ac:dyDescent="0.2">
      <c r="A3397" s="183">
        <v>396</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0 after Perpetrator (Rifampicin)</v>
      </c>
      <c r="E3397" s="250" t="str">
        <f>IF(AND(A3397&lt;&gt;"",ISNUMBER(A3397)),VLOOKUP(A3397,Studies!A:BR,5,FALSE),"")</f>
        <v>Digoxin</v>
      </c>
      <c r="F3397" s="251" t="str">
        <f>IF(AND(A3397&lt;&gt;"",ISNUMBER(A3397)),VLOOKUP(A3397,Studies!A:BR,6,FALSE),"")</f>
        <v>Plasma</v>
      </c>
      <c r="G3397" s="194">
        <v>649.25</v>
      </c>
      <c r="H3397" s="194" t="s">
        <v>60</v>
      </c>
      <c r="I3397" s="187">
        <v>0.41629300000000002</v>
      </c>
      <c r="J3397" s="187" t="s">
        <v>941</v>
      </c>
      <c r="K3397" s="187" t="s">
        <v>116</v>
      </c>
      <c r="M3397" s="195"/>
      <c r="N3397" s="195"/>
      <c r="O3397" s="199"/>
      <c r="P3397" s="188"/>
      <c r="Q3397" s="174">
        <v>0</v>
      </c>
    </row>
    <row r="3398" spans="1:17" ht="14.25" x14ac:dyDescent="0.2">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649.5</v>
      </c>
      <c r="H3398" s="194" t="s">
        <v>60</v>
      </c>
      <c r="I3398" s="187">
        <v>1.5301940000000001</v>
      </c>
      <c r="J3398" s="187" t="s">
        <v>941</v>
      </c>
      <c r="K3398" s="187" t="s">
        <v>116</v>
      </c>
      <c r="M3398" s="195"/>
      <c r="N3398" s="195"/>
      <c r="O3398" s="199"/>
      <c r="P3398" s="188"/>
      <c r="Q3398" s="174">
        <v>0</v>
      </c>
    </row>
    <row r="3399" spans="1:17" ht="14.25" x14ac:dyDescent="0.2">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649.75</v>
      </c>
      <c r="H3399" s="194" t="s">
        <v>60</v>
      </c>
      <c r="I3399" s="187">
        <v>2.1387149999999999</v>
      </c>
      <c r="J3399" s="187" t="s">
        <v>941</v>
      </c>
      <c r="K3399" s="187" t="s">
        <v>116</v>
      </c>
      <c r="M3399" s="195"/>
      <c r="N3399" s="195"/>
      <c r="O3399" s="199"/>
      <c r="P3399" s="188"/>
      <c r="Q3399" s="174">
        <v>0</v>
      </c>
    </row>
    <row r="3400" spans="1:17" ht="14.25" x14ac:dyDescent="0.2">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650</v>
      </c>
      <c r="H3400" s="194" t="s">
        <v>60</v>
      </c>
      <c r="I3400" s="187">
        <v>1.973692</v>
      </c>
      <c r="J3400" s="187" t="s">
        <v>941</v>
      </c>
      <c r="K3400" s="187" t="s">
        <v>116</v>
      </c>
      <c r="M3400" s="195"/>
      <c r="N3400" s="195"/>
      <c r="O3400" s="199"/>
      <c r="P3400" s="188"/>
      <c r="Q3400" s="174">
        <v>0</v>
      </c>
    </row>
    <row r="3401" spans="1:17" ht="14.25" x14ac:dyDescent="0.2">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651</v>
      </c>
      <c r="H3401" s="194" t="s">
        <v>60</v>
      </c>
      <c r="I3401" s="187">
        <v>1.2585949999999999</v>
      </c>
      <c r="J3401" s="187" t="s">
        <v>941</v>
      </c>
      <c r="K3401" s="187" t="s">
        <v>116</v>
      </c>
      <c r="M3401" s="195"/>
      <c r="N3401" s="195"/>
      <c r="O3401" s="199"/>
      <c r="P3401" s="188"/>
      <c r="Q3401" s="174">
        <v>0</v>
      </c>
    </row>
    <row r="3402" spans="1:17" ht="14.25" x14ac:dyDescent="0.2">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652</v>
      </c>
      <c r="H3402" s="194" t="s">
        <v>60</v>
      </c>
      <c r="I3402" s="187">
        <v>0.9629297</v>
      </c>
      <c r="J3402" s="187" t="s">
        <v>941</v>
      </c>
      <c r="K3402" s="187" t="s">
        <v>116</v>
      </c>
      <c r="M3402" s="195"/>
      <c r="N3402" s="195"/>
      <c r="O3402" s="199"/>
      <c r="P3402" s="188"/>
      <c r="Q3402" s="174">
        <v>0</v>
      </c>
    </row>
    <row r="3403" spans="1:17" ht="14.25" x14ac:dyDescent="0.2">
      <c r="A3403" s="183">
        <v>397</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1 after Perpetrator (Rifampicin)</v>
      </c>
      <c r="E3403" s="250" t="str">
        <f>IF(AND(A3403&lt;&gt;"",ISNUMBER(A3403)),VLOOKUP(A3403,Studies!A:BR,5,FALSE),"")</f>
        <v>Digoxin</v>
      </c>
      <c r="F3403" s="251" t="str">
        <f>IF(AND(A3403&lt;&gt;"",ISNUMBER(A3403)),VLOOKUP(A3403,Studies!A:BR,6,FALSE),"")</f>
        <v>Plasma</v>
      </c>
      <c r="G3403" s="194">
        <v>817.25</v>
      </c>
      <c r="H3403" s="194" t="s">
        <v>60</v>
      </c>
      <c r="I3403" s="187">
        <v>6.5620330000000004E-2</v>
      </c>
      <c r="J3403" s="187" t="s">
        <v>941</v>
      </c>
      <c r="K3403" s="187" t="s">
        <v>116</v>
      </c>
      <c r="M3403" s="195"/>
      <c r="N3403" s="195"/>
      <c r="O3403" s="199"/>
      <c r="P3403" s="188"/>
      <c r="Q3403" s="174">
        <v>0</v>
      </c>
    </row>
    <row r="3404" spans="1:17" ht="14.25" x14ac:dyDescent="0.2">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817.5</v>
      </c>
      <c r="H3404" s="194" t="s">
        <v>60</v>
      </c>
      <c r="I3404" s="187">
        <v>0.55724960000000001</v>
      </c>
      <c r="J3404" s="187" t="s">
        <v>941</v>
      </c>
      <c r="K3404" s="187" t="s">
        <v>116</v>
      </c>
      <c r="M3404" s="195"/>
      <c r="N3404" s="195"/>
      <c r="O3404" s="199"/>
      <c r="P3404" s="188"/>
      <c r="Q3404" s="174">
        <v>0</v>
      </c>
    </row>
    <row r="3405" spans="1:17" ht="14.25" x14ac:dyDescent="0.2">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817.75</v>
      </c>
      <c r="H3405" s="194" t="s">
        <v>60</v>
      </c>
      <c r="I3405" s="187">
        <v>0.85979070000000002</v>
      </c>
      <c r="J3405" s="187" t="s">
        <v>941</v>
      </c>
      <c r="K3405" s="187" t="s">
        <v>116</v>
      </c>
      <c r="M3405" s="195"/>
      <c r="N3405" s="195"/>
      <c r="O3405" s="199"/>
      <c r="P3405" s="188"/>
      <c r="Q3405" s="174">
        <v>0</v>
      </c>
    </row>
    <row r="3406" spans="1:17" ht="14.25" x14ac:dyDescent="0.2">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818</v>
      </c>
      <c r="H3406" s="194" t="s">
        <v>60</v>
      </c>
      <c r="I3406" s="187">
        <v>0.94230190000000003</v>
      </c>
      <c r="J3406" s="187" t="s">
        <v>941</v>
      </c>
      <c r="K3406" s="187" t="s">
        <v>116</v>
      </c>
      <c r="M3406" s="195"/>
      <c r="N3406" s="195"/>
      <c r="O3406" s="199"/>
      <c r="P3406" s="188"/>
      <c r="Q3406" s="174">
        <v>0</v>
      </c>
    </row>
    <row r="3407" spans="1:17" ht="14.25" x14ac:dyDescent="0.2">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819</v>
      </c>
      <c r="H3407" s="194" t="s">
        <v>60</v>
      </c>
      <c r="I3407" s="187">
        <v>0.83572489999999999</v>
      </c>
      <c r="J3407" s="187" t="s">
        <v>941</v>
      </c>
      <c r="K3407" s="187" t="s">
        <v>116</v>
      </c>
      <c r="M3407" s="195"/>
      <c r="N3407" s="195"/>
      <c r="O3407" s="199"/>
      <c r="P3407" s="188"/>
      <c r="Q3407" s="174">
        <v>0</v>
      </c>
    </row>
    <row r="3408" spans="1:17" ht="14.25" x14ac:dyDescent="0.2">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820</v>
      </c>
      <c r="H3408" s="194" t="s">
        <v>60</v>
      </c>
      <c r="I3408" s="187">
        <v>0.77384160000000002</v>
      </c>
      <c r="J3408" s="187" t="s">
        <v>941</v>
      </c>
      <c r="K3408" s="187" t="s">
        <v>116</v>
      </c>
      <c r="M3408" s="195"/>
      <c r="N3408" s="195"/>
      <c r="O3408" s="199"/>
      <c r="P3408" s="188"/>
      <c r="Q3408" s="174">
        <v>0</v>
      </c>
    </row>
    <row r="3409" spans="1:17" ht="14.25" x14ac:dyDescent="0.2">
      <c r="A3409" s="183">
        <v>398</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2 after Perpetrator (Rifampicin)</v>
      </c>
      <c r="E3409" s="250" t="str">
        <f>IF(AND(A3409&lt;&gt;"",ISNUMBER(A3409)),VLOOKUP(A3409,Studies!A:BR,5,FALSE),"")</f>
        <v>Digoxin</v>
      </c>
      <c r="F3409" s="251" t="str">
        <f>IF(AND(A3409&lt;&gt;"",ISNUMBER(A3409)),VLOOKUP(A3409,Studies!A:BR,6,FALSE),"")</f>
        <v>Plasma</v>
      </c>
      <c r="G3409" s="194">
        <v>985.25</v>
      </c>
      <c r="H3409" s="194" t="s">
        <v>60</v>
      </c>
      <c r="I3409" s="187">
        <v>0.1068759</v>
      </c>
      <c r="J3409" s="187" t="s">
        <v>941</v>
      </c>
      <c r="K3409" s="187" t="s">
        <v>116</v>
      </c>
      <c r="M3409" s="195"/>
      <c r="N3409" s="195"/>
      <c r="O3409" s="199"/>
      <c r="P3409" s="188"/>
      <c r="Q3409" s="174">
        <v>0</v>
      </c>
    </row>
    <row r="3410" spans="1:17" ht="14.25" x14ac:dyDescent="0.2">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985.5</v>
      </c>
      <c r="H3410" s="194" t="s">
        <v>60</v>
      </c>
      <c r="I3410" s="187">
        <v>0.60881909999999995</v>
      </c>
      <c r="J3410" s="187" t="s">
        <v>941</v>
      </c>
      <c r="K3410" s="187" t="s">
        <v>116</v>
      </c>
      <c r="M3410" s="195"/>
      <c r="N3410" s="195"/>
      <c r="O3410" s="199"/>
      <c r="P3410" s="188"/>
      <c r="Q3410" s="174">
        <v>0</v>
      </c>
    </row>
    <row r="3411" spans="1:17" ht="14.25" x14ac:dyDescent="0.2">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985.75</v>
      </c>
      <c r="H3411" s="194" t="s">
        <v>60</v>
      </c>
      <c r="I3411" s="187">
        <v>1.028251</v>
      </c>
      <c r="J3411" s="187" t="s">
        <v>941</v>
      </c>
      <c r="K3411" s="187" t="s">
        <v>116</v>
      </c>
      <c r="M3411" s="195"/>
      <c r="N3411" s="195"/>
      <c r="O3411" s="199"/>
      <c r="P3411" s="188"/>
      <c r="Q3411" s="174">
        <v>0</v>
      </c>
    </row>
    <row r="3412" spans="1:17" ht="14.25" x14ac:dyDescent="0.2">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986</v>
      </c>
      <c r="H3412" s="194" t="s">
        <v>60</v>
      </c>
      <c r="I3412" s="187">
        <v>1.2173389999999999</v>
      </c>
      <c r="J3412" s="187" t="s">
        <v>941</v>
      </c>
      <c r="K3412" s="187" t="s">
        <v>116</v>
      </c>
      <c r="M3412" s="195"/>
      <c r="N3412" s="195"/>
      <c r="O3412" s="199"/>
      <c r="P3412" s="188"/>
      <c r="Q3412" s="174">
        <v>0</v>
      </c>
    </row>
    <row r="3413" spans="1:17" ht="14.25" x14ac:dyDescent="0.2">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987</v>
      </c>
      <c r="H3413" s="194" t="s">
        <v>60</v>
      </c>
      <c r="I3413" s="187">
        <v>1.028251</v>
      </c>
      <c r="J3413" s="187" t="s">
        <v>941</v>
      </c>
      <c r="K3413" s="187" t="s">
        <v>116</v>
      </c>
      <c r="M3413" s="195"/>
      <c r="N3413" s="195"/>
      <c r="O3413" s="199"/>
      <c r="P3413" s="188"/>
      <c r="Q3413" s="174">
        <v>0</v>
      </c>
    </row>
    <row r="3414" spans="1:17" ht="14.25" x14ac:dyDescent="0.2">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988</v>
      </c>
      <c r="H3414" s="194" t="s">
        <v>60</v>
      </c>
      <c r="I3414" s="187">
        <v>0.84947680000000003</v>
      </c>
      <c r="J3414" s="187" t="s">
        <v>941</v>
      </c>
      <c r="K3414" s="187" t="s">
        <v>116</v>
      </c>
      <c r="M3414" s="195"/>
      <c r="N3414" s="195"/>
      <c r="O3414" s="199"/>
      <c r="P3414" s="188"/>
      <c r="Q3414" s="174">
        <v>0</v>
      </c>
    </row>
    <row r="3415" spans="1:17" ht="14.25" x14ac:dyDescent="0.2">
      <c r="A3415" s="183">
        <v>399</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4 after Perpetrator (Rifampicin)</v>
      </c>
      <c r="E3415" s="250" t="str">
        <f>IF(AND(A3415&lt;&gt;"",ISNUMBER(A3415)),VLOOKUP(A3415,Studies!A:BR,5,FALSE),"")</f>
        <v>Digoxin</v>
      </c>
      <c r="F3415" s="251" t="str">
        <f>IF(AND(A3415&lt;&gt;"",ISNUMBER(A3415)),VLOOKUP(A3415,Studies!A:BR,6,FALSE),"")</f>
        <v>Plasma</v>
      </c>
      <c r="G3415" s="194">
        <v>1321.25</v>
      </c>
      <c r="H3415" s="194" t="s">
        <v>60</v>
      </c>
      <c r="I3415" s="187">
        <v>0.1275037</v>
      </c>
      <c r="J3415" s="187" t="s">
        <v>941</v>
      </c>
      <c r="K3415" s="187" t="s">
        <v>116</v>
      </c>
      <c r="M3415" s="195"/>
      <c r="N3415" s="195"/>
      <c r="O3415" s="199"/>
      <c r="P3415" s="188"/>
      <c r="Q3415" s="174">
        <v>0</v>
      </c>
    </row>
    <row r="3416" spans="1:17" ht="14.25" x14ac:dyDescent="0.2">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1321.5</v>
      </c>
      <c r="H3416" s="194" t="s">
        <v>60</v>
      </c>
      <c r="I3416" s="187">
        <v>0.80822119999999997</v>
      </c>
      <c r="J3416" s="187" t="s">
        <v>941</v>
      </c>
      <c r="K3416" s="187" t="s">
        <v>116</v>
      </c>
      <c r="M3416" s="195"/>
      <c r="N3416" s="195"/>
      <c r="O3416" s="199"/>
      <c r="P3416" s="188"/>
      <c r="Q3416" s="174">
        <v>0</v>
      </c>
    </row>
    <row r="3417" spans="1:17" ht="14.25" x14ac:dyDescent="0.2">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1321.75</v>
      </c>
      <c r="H3417" s="194" t="s">
        <v>60</v>
      </c>
      <c r="I3417" s="187">
        <v>1.1451420000000001</v>
      </c>
      <c r="J3417" s="187" t="s">
        <v>941</v>
      </c>
      <c r="K3417" s="187" t="s">
        <v>116</v>
      </c>
      <c r="M3417" s="195"/>
      <c r="N3417" s="195"/>
      <c r="O3417" s="199"/>
      <c r="P3417" s="188"/>
      <c r="Q3417" s="174">
        <v>0</v>
      </c>
    </row>
    <row r="3418" spans="1:17" ht="14.25" x14ac:dyDescent="0.2">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1322</v>
      </c>
      <c r="H3418" s="194" t="s">
        <v>60</v>
      </c>
      <c r="I3418" s="187">
        <v>1.1932739999999999</v>
      </c>
      <c r="J3418" s="187" t="s">
        <v>941</v>
      </c>
      <c r="K3418" s="187" t="s">
        <v>116</v>
      </c>
      <c r="M3418" s="195"/>
      <c r="N3418" s="195"/>
      <c r="O3418" s="199"/>
      <c r="P3418" s="188"/>
      <c r="Q3418" s="174">
        <v>0</v>
      </c>
    </row>
    <row r="3419" spans="1:17" ht="14.25" x14ac:dyDescent="0.2">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1323</v>
      </c>
      <c r="H3419" s="194" t="s">
        <v>60</v>
      </c>
      <c r="I3419" s="187">
        <v>1.0076229999999999</v>
      </c>
      <c r="J3419" s="187" t="s">
        <v>941</v>
      </c>
      <c r="K3419" s="187" t="s">
        <v>116</v>
      </c>
      <c r="M3419" s="195"/>
      <c r="N3419" s="195"/>
      <c r="O3419" s="199"/>
      <c r="P3419" s="188"/>
      <c r="Q3419" s="174">
        <v>0</v>
      </c>
    </row>
    <row r="3420" spans="1:17" ht="14.25" x14ac:dyDescent="0.2">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1324</v>
      </c>
      <c r="H3420" s="194" t="s">
        <v>60</v>
      </c>
      <c r="I3420" s="187">
        <v>0.81509719999999997</v>
      </c>
      <c r="J3420" s="187" t="s">
        <v>941</v>
      </c>
      <c r="K3420" s="187" t="s">
        <v>116</v>
      </c>
      <c r="M3420" s="195"/>
      <c r="N3420" s="195"/>
      <c r="O3420" s="199"/>
      <c r="P3420" s="188" t="s">
        <v>1029</v>
      </c>
      <c r="Q3420" s="174">
        <v>0</v>
      </c>
    </row>
    <row r="3421" spans="1:17" ht="14.25" x14ac:dyDescent="0.2">
      <c r="A3421" s="189">
        <v>400</v>
      </c>
      <c r="B3421" s="249" t="str">
        <f>IF(AND(A3421&lt;&gt;"",ISNUMBER(A3421)),VLOOKUP(A3421,Studies!A:BR,2,FALSE),"")</f>
        <v>Saari 2006</v>
      </c>
      <c r="C3421" s="250" t="str">
        <f>IF(AND(A3421&lt;&gt;"",ISNUMBER(A3421)),VLOOKUP(A3421,Studies!A:BR,3,FALSE),"")</f>
        <v>https://www.ncbi.nlm.nih.gov/pubmed/16580904</v>
      </c>
      <c r="D3421" s="250" t="str">
        <f>IF(AND(A3421&lt;&gt;"",ISNUMBER(A3421)),VLOOKUP(A3421,Studies!A:BR,4,FALSE),"")</f>
        <v>po Control (Perpetrator Placebo)</v>
      </c>
      <c r="E3421" s="250" t="str">
        <f>IF(AND(A3421&lt;&gt;"",ISNUMBER(A3421)),VLOOKUP(A3421,Studies!A:BR,5,FALSE),"")</f>
        <v>Midazolam</v>
      </c>
      <c r="F3421" s="251" t="str">
        <f>IF(AND(A3421&lt;&gt;"",ISNUMBER(A3421)),VLOOKUP(A3421,Studies!A:BR,6,FALSE),"")</f>
        <v>Plasma</v>
      </c>
      <c r="G3421" s="194">
        <v>0</v>
      </c>
      <c r="H3421" s="194" t="s">
        <v>60</v>
      </c>
      <c r="I3421" s="187" t="s">
        <v>1056</v>
      </c>
      <c r="J3421" s="187" t="s">
        <v>941</v>
      </c>
      <c r="K3421" s="187" t="s">
        <v>335</v>
      </c>
      <c r="M3421" s="195"/>
      <c r="N3421" s="195"/>
      <c r="O3421" s="199">
        <v>2</v>
      </c>
      <c r="P3421" s="188"/>
      <c r="Q3421" s="174">
        <v>1</v>
      </c>
    </row>
    <row r="3422" spans="1:17" ht="14.25" x14ac:dyDescent="0.2">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v>1</v>
      </c>
    </row>
    <row r="3423" spans="1:17" ht="14.25" x14ac:dyDescent="0.2">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v>1</v>
      </c>
    </row>
    <row r="3424" spans="1:17" ht="14.25" x14ac:dyDescent="0.2">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v>1</v>
      </c>
    </row>
    <row r="3425" spans="1:17" ht="14.25" x14ac:dyDescent="0.2">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v>1</v>
      </c>
    </row>
    <row r="3426" spans="1:17" ht="14.25" x14ac:dyDescent="0.2">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v>1</v>
      </c>
    </row>
    <row r="3427" spans="1:17" ht="14.25" x14ac:dyDescent="0.2">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v>1</v>
      </c>
    </row>
    <row r="3428" spans="1:17" ht="14.25" x14ac:dyDescent="0.2">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6</v>
      </c>
      <c r="H3428" s="194" t="s">
        <v>60</v>
      </c>
      <c r="I3428" s="187">
        <v>4.5333329999999998</v>
      </c>
      <c r="J3428" s="187" t="s">
        <v>941</v>
      </c>
      <c r="K3428" s="187" t="s">
        <v>335</v>
      </c>
      <c r="M3428" s="195"/>
      <c r="N3428" s="195"/>
      <c r="O3428" s="199">
        <v>2</v>
      </c>
      <c r="P3428" s="188"/>
      <c r="Q3428" s="174">
        <v>1</v>
      </c>
    </row>
    <row r="3429" spans="1:17" ht="14.25" x14ac:dyDescent="0.2">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8</v>
      </c>
      <c r="H3429" s="194" t="s">
        <v>60</v>
      </c>
      <c r="I3429" s="187">
        <v>2.1333329999999999</v>
      </c>
      <c r="J3429" s="187" t="s">
        <v>941</v>
      </c>
      <c r="K3429" s="187" t="s">
        <v>335</v>
      </c>
      <c r="M3429" s="195"/>
      <c r="N3429" s="195"/>
      <c r="O3429" s="199">
        <v>2</v>
      </c>
      <c r="P3429" s="188"/>
      <c r="Q3429" s="174">
        <v>1</v>
      </c>
    </row>
    <row r="3430" spans="1:17" ht="14.25" x14ac:dyDescent="0.2">
      <c r="A3430" s="189">
        <v>401</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with Perpetrator (Voriconazole)</v>
      </c>
      <c r="E3430" s="250" t="str">
        <f>IF(AND(A3430&lt;&gt;"",ISNUMBER(A3430)),VLOOKUP(A3430,Studies!A:BR,5,FALSE),"")</f>
        <v>Midazolam</v>
      </c>
      <c r="F3430" s="251" t="str">
        <f>IF(AND(A3430&lt;&gt;"",ISNUMBER(A3430)),VLOOKUP(A3430,Studies!A:BR,6,FALSE),"")</f>
        <v>Plasma</v>
      </c>
      <c r="G3430" s="194">
        <v>37</v>
      </c>
      <c r="H3430" s="194" t="s">
        <v>60</v>
      </c>
      <c r="I3430" s="187" t="s">
        <v>1056</v>
      </c>
      <c r="J3430" s="187" t="s">
        <v>941</v>
      </c>
      <c r="K3430" s="187" t="s">
        <v>335</v>
      </c>
      <c r="M3430" s="195"/>
      <c r="N3430" s="195"/>
      <c r="O3430" s="199">
        <v>2</v>
      </c>
      <c r="P3430" s="188"/>
      <c r="Q3430" s="174">
        <v>1</v>
      </c>
    </row>
    <row r="3431" spans="1:17" ht="14.25" x14ac:dyDescent="0.2">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v>1</v>
      </c>
    </row>
    <row r="3432" spans="1:17" ht="14.25" x14ac:dyDescent="0.2">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v>1</v>
      </c>
    </row>
    <row r="3433" spans="1:17" ht="14.25" x14ac:dyDescent="0.2">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v>1</v>
      </c>
    </row>
    <row r="3434" spans="1:17" ht="14.25" x14ac:dyDescent="0.2">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v>1</v>
      </c>
    </row>
    <row r="3435" spans="1:17" ht="14.25" x14ac:dyDescent="0.2">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v>1</v>
      </c>
    </row>
    <row r="3436" spans="1:17" ht="14.25" x14ac:dyDescent="0.2">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v>1</v>
      </c>
    </row>
    <row r="3437" spans="1:17" ht="14.25" x14ac:dyDescent="0.2">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v>1</v>
      </c>
    </row>
    <row r="3438" spans="1:17" ht="14.25" x14ac:dyDescent="0.2">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v>1</v>
      </c>
    </row>
    <row r="3439" spans="1:17" ht="14.25" x14ac:dyDescent="0.2">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v>1</v>
      </c>
    </row>
    <row r="3440" spans="1:17" ht="14.25" x14ac:dyDescent="0.2">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v>1</v>
      </c>
    </row>
    <row r="3441" spans="1:17" ht="14.25" x14ac:dyDescent="0.2">
      <c r="A3441" s="189">
        <v>402</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Voriconazole</v>
      </c>
      <c r="F3441" s="251"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v>1</v>
      </c>
    </row>
    <row r="3442" spans="1:17" ht="14.25" x14ac:dyDescent="0.2">
      <c r="A3442" s="189">
        <v>402</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Voriconazole</v>
      </c>
      <c r="F3442" s="251"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v>1</v>
      </c>
    </row>
    <row r="3443" spans="1:17" ht="14.25" x14ac:dyDescent="0.2">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v>1</v>
      </c>
    </row>
    <row r="3444" spans="1:17" ht="14.25" x14ac:dyDescent="0.2">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v>1</v>
      </c>
    </row>
    <row r="3445" spans="1:17" ht="14.25" x14ac:dyDescent="0.2">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v>1</v>
      </c>
    </row>
    <row r="3446" spans="1:17" ht="14.25" x14ac:dyDescent="0.2">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v>1</v>
      </c>
    </row>
    <row r="3447" spans="1:17" ht="14.25" x14ac:dyDescent="0.2">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v>1</v>
      </c>
    </row>
    <row r="3448" spans="1:17" ht="14.25" x14ac:dyDescent="0.2">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v>1</v>
      </c>
    </row>
    <row r="3449" spans="1:17" ht="14.25" x14ac:dyDescent="0.2">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v>1</v>
      </c>
    </row>
    <row r="3450" spans="1:17" ht="14.25" x14ac:dyDescent="0.2">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v>1</v>
      </c>
    </row>
    <row r="3451" spans="1:17" ht="14.25" x14ac:dyDescent="0.2">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v>1</v>
      </c>
    </row>
    <row r="3452" spans="1:17" ht="14.25" x14ac:dyDescent="0.2">
      <c r="A3452" s="189">
        <v>403</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iv Control (Perpetrator Placebo)</v>
      </c>
      <c r="E3452" s="250" t="str">
        <f>IF(AND(A3452&lt;&gt;"",ISNUMBER(A3452)),VLOOKUP(A3452,Studies!A:BR,5,FALSE),"")</f>
        <v>Midazolam</v>
      </c>
      <c r="F3452" s="251" t="str">
        <f>IF(AND(A3452&lt;&gt;"",ISNUMBER(A3452)),VLOOKUP(A3452,Studies!A:BR,6,FALSE),"")</f>
        <v>Plasma</v>
      </c>
      <c r="G3452" s="194">
        <v>0</v>
      </c>
      <c r="H3452" s="194" t="s">
        <v>60</v>
      </c>
      <c r="I3452" s="187" t="s">
        <v>1056</v>
      </c>
      <c r="J3452" s="187" t="s">
        <v>941</v>
      </c>
      <c r="K3452" s="187" t="s">
        <v>335</v>
      </c>
      <c r="M3452" s="195"/>
      <c r="N3452" s="195"/>
      <c r="O3452" s="199">
        <v>2</v>
      </c>
      <c r="P3452" s="188"/>
      <c r="Q3452" s="174">
        <v>1</v>
      </c>
    </row>
    <row r="3453" spans="1:17" ht="14.25" x14ac:dyDescent="0.2">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v>1</v>
      </c>
    </row>
    <row r="3454" spans="1:17" ht="14.25" x14ac:dyDescent="0.2">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v>1</v>
      </c>
    </row>
    <row r="3455" spans="1:17" ht="14.25" x14ac:dyDescent="0.2">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v>1</v>
      </c>
    </row>
    <row r="3456" spans="1:17" ht="14.25" x14ac:dyDescent="0.2">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v>1</v>
      </c>
    </row>
    <row r="3457" spans="1:17" ht="14.25" x14ac:dyDescent="0.2">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v>1</v>
      </c>
    </row>
    <row r="3458" spans="1:17" ht="14.25" x14ac:dyDescent="0.2">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3</v>
      </c>
      <c r="H3458" s="194" t="s">
        <v>60</v>
      </c>
      <c r="I3458" s="187">
        <v>15.53571</v>
      </c>
      <c r="J3458" s="187" t="s">
        <v>941</v>
      </c>
      <c r="K3458" s="187" t="s">
        <v>335</v>
      </c>
      <c r="M3458" s="195"/>
      <c r="N3458" s="195"/>
      <c r="O3458" s="199">
        <v>2</v>
      </c>
      <c r="P3458" s="188"/>
      <c r="Q3458" s="174">
        <v>1</v>
      </c>
    </row>
    <row r="3459" spans="1:17" ht="14.25" x14ac:dyDescent="0.2">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4</v>
      </c>
      <c r="H3459" s="194" t="s">
        <v>60</v>
      </c>
      <c r="I3459" s="187">
        <v>11.25</v>
      </c>
      <c r="J3459" s="187" t="s">
        <v>941</v>
      </c>
      <c r="K3459" s="187" t="s">
        <v>335</v>
      </c>
      <c r="M3459" s="195"/>
      <c r="N3459" s="195"/>
      <c r="O3459" s="199">
        <v>2</v>
      </c>
      <c r="P3459" s="188"/>
      <c r="Q3459" s="174">
        <v>1</v>
      </c>
    </row>
    <row r="3460" spans="1:17" ht="14.25" x14ac:dyDescent="0.2">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6</v>
      </c>
      <c r="H3460" s="194" t="s">
        <v>60</v>
      </c>
      <c r="I3460" s="187">
        <v>6.6964290000000002</v>
      </c>
      <c r="J3460" s="187" t="s">
        <v>941</v>
      </c>
      <c r="K3460" s="187" t="s">
        <v>335</v>
      </c>
      <c r="M3460" s="195"/>
      <c r="N3460" s="195"/>
      <c r="O3460" s="199">
        <v>2</v>
      </c>
      <c r="P3460" s="188"/>
      <c r="Q3460" s="174">
        <v>1</v>
      </c>
    </row>
    <row r="3461" spans="1:17" ht="14.25" x14ac:dyDescent="0.2">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8</v>
      </c>
      <c r="H3461" s="194" t="s">
        <v>60</v>
      </c>
      <c r="I3461" s="187">
        <v>3.4821430000000002</v>
      </c>
      <c r="J3461" s="187" t="s">
        <v>941</v>
      </c>
      <c r="K3461" s="187" t="s">
        <v>335</v>
      </c>
      <c r="M3461" s="195"/>
      <c r="N3461" s="195"/>
      <c r="O3461" s="199">
        <v>2</v>
      </c>
      <c r="P3461" s="188"/>
      <c r="Q3461" s="174">
        <v>1</v>
      </c>
    </row>
    <row r="3462" spans="1:17" ht="14.25" x14ac:dyDescent="0.2">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12</v>
      </c>
      <c r="H3462" s="194" t="s">
        <v>60</v>
      </c>
      <c r="I3462" s="187">
        <v>1.339286</v>
      </c>
      <c r="J3462" s="187" t="s">
        <v>941</v>
      </c>
      <c r="K3462" s="187" t="s">
        <v>335</v>
      </c>
      <c r="M3462" s="195"/>
      <c r="N3462" s="195"/>
      <c r="O3462" s="199">
        <v>2</v>
      </c>
      <c r="P3462" s="188"/>
      <c r="Q3462" s="174">
        <v>1</v>
      </c>
    </row>
    <row r="3463" spans="1:17" ht="14.25" x14ac:dyDescent="0.2">
      <c r="A3463" s="189">
        <v>404</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with Perpetrator (Voriconazole)</v>
      </c>
      <c r="E3463" s="250" t="str">
        <f>IF(AND(A3463&lt;&gt;"",ISNUMBER(A3463)),VLOOKUP(A3463,Studies!A:BR,5,FALSE),"")</f>
        <v>Midazolam</v>
      </c>
      <c r="F3463" s="251" t="str">
        <f>IF(AND(A3463&lt;&gt;"",ISNUMBER(A3463)),VLOOKUP(A3463,Studies!A:BR,6,FALSE),"")</f>
        <v>Plasma</v>
      </c>
      <c r="G3463" s="194">
        <v>37</v>
      </c>
      <c r="H3463" s="194" t="s">
        <v>60</v>
      </c>
      <c r="I3463" s="187" t="s">
        <v>1056</v>
      </c>
      <c r="J3463" s="187" t="s">
        <v>941</v>
      </c>
      <c r="K3463" s="187" t="s">
        <v>335</v>
      </c>
      <c r="M3463" s="195"/>
      <c r="N3463" s="195"/>
      <c r="O3463" s="199">
        <v>2</v>
      </c>
      <c r="P3463" s="188"/>
      <c r="Q3463" s="174">
        <v>1</v>
      </c>
    </row>
    <row r="3464" spans="1:17" ht="14.25" x14ac:dyDescent="0.2">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v>1</v>
      </c>
    </row>
    <row r="3465" spans="1:17" ht="14.25" x14ac:dyDescent="0.2">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v>1</v>
      </c>
    </row>
    <row r="3466" spans="1:17" ht="14.25" x14ac:dyDescent="0.2">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v>1</v>
      </c>
    </row>
    <row r="3467" spans="1:17" ht="14.25" x14ac:dyDescent="0.2">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v>1</v>
      </c>
    </row>
    <row r="3468" spans="1:17" ht="14.25" x14ac:dyDescent="0.2">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v>1</v>
      </c>
    </row>
    <row r="3469" spans="1:17" ht="14.25" x14ac:dyDescent="0.2">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v>1</v>
      </c>
    </row>
    <row r="3470" spans="1:17" ht="14.25" x14ac:dyDescent="0.2">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v>1</v>
      </c>
    </row>
    <row r="3471" spans="1:17" ht="14.25" x14ac:dyDescent="0.2">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v>1</v>
      </c>
    </row>
    <row r="3472" spans="1:17" ht="14.25" x14ac:dyDescent="0.2">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45</v>
      </c>
      <c r="H3472" s="194" t="s">
        <v>60</v>
      </c>
      <c r="I3472" s="187">
        <v>20.089279999999999</v>
      </c>
      <c r="J3472" s="187" t="s">
        <v>941</v>
      </c>
      <c r="K3472" s="187" t="s">
        <v>335</v>
      </c>
      <c r="M3472" s="195"/>
      <c r="N3472" s="195"/>
      <c r="O3472" s="199">
        <v>2</v>
      </c>
      <c r="P3472" s="188"/>
      <c r="Q3472" s="174">
        <v>1</v>
      </c>
    </row>
    <row r="3473" spans="1:17" ht="14.25" x14ac:dyDescent="0.2">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49</v>
      </c>
      <c r="H3473" s="194" t="s">
        <v>60</v>
      </c>
      <c r="I3473" s="187">
        <v>13.66071</v>
      </c>
      <c r="J3473" s="187" t="s">
        <v>941</v>
      </c>
      <c r="K3473" s="187" t="s">
        <v>335</v>
      </c>
      <c r="M3473" s="195"/>
      <c r="N3473" s="195"/>
      <c r="O3473" s="199">
        <v>2</v>
      </c>
      <c r="P3473" s="188"/>
      <c r="Q3473" s="174">
        <v>1</v>
      </c>
    </row>
    <row r="3474" spans="1:17" ht="14.25" x14ac:dyDescent="0.2">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61</v>
      </c>
      <c r="H3474" s="194" t="s">
        <v>60</v>
      </c>
      <c r="I3474" s="187">
        <v>4.8214290000000002</v>
      </c>
      <c r="J3474" s="187" t="s">
        <v>941</v>
      </c>
      <c r="K3474" s="187" t="s">
        <v>335</v>
      </c>
      <c r="M3474" s="195"/>
      <c r="N3474" s="195"/>
      <c r="O3474" s="199">
        <v>2</v>
      </c>
      <c r="P3474" s="188"/>
      <c r="Q3474" s="174">
        <v>1</v>
      </c>
    </row>
    <row r="3475" spans="1:17" ht="14.25" x14ac:dyDescent="0.2">
      <c r="A3475" s="189">
        <v>405</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Voriconazole</v>
      </c>
      <c r="F3475" s="251"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v>1</v>
      </c>
    </row>
    <row r="3476" spans="1:17" ht="14.25" x14ac:dyDescent="0.2">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v>1</v>
      </c>
    </row>
    <row r="3477" spans="1:17" ht="14.25" x14ac:dyDescent="0.2">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v>1</v>
      </c>
    </row>
    <row r="3478" spans="1:17" ht="14.25" x14ac:dyDescent="0.2">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v>1</v>
      </c>
    </row>
    <row r="3479" spans="1:17" ht="14.25" x14ac:dyDescent="0.2">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v>1</v>
      </c>
    </row>
    <row r="3480" spans="1:17" ht="14.25" x14ac:dyDescent="0.2">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v>1</v>
      </c>
    </row>
    <row r="3481" spans="1:17" ht="14.25" x14ac:dyDescent="0.2">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v>1</v>
      </c>
    </row>
    <row r="3482" spans="1:17" ht="14.25" x14ac:dyDescent="0.2">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v>1</v>
      </c>
    </row>
    <row r="3483" spans="1:17" ht="14.25" x14ac:dyDescent="0.2">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v>1</v>
      </c>
    </row>
    <row r="3484" spans="1:17" ht="14.25" x14ac:dyDescent="0.2">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v>1</v>
      </c>
    </row>
    <row r="3485" spans="1:17" ht="14.25" x14ac:dyDescent="0.2">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v>1</v>
      </c>
    </row>
    <row r="3486" spans="1:17" ht="14.25" x14ac:dyDescent="0.2">
      <c r="A3486" s="183">
        <v>406</v>
      </c>
      <c r="B3486" s="249" t="str">
        <f>IF(AND(A3486&lt;&gt;"",ISNUMBER(A3486)),VLOOKUP(A3486,Studies!A:BR,2,FALSE),"")</f>
        <v>sanofi-aventis U.S. LLC. 2013</v>
      </c>
      <c r="C3486" s="250" t="str">
        <f>IF(AND(A3486&lt;&gt;"",ISNUMBER(A3486)),VLOOKUP(A3486,Studies!A:BR,3,FALSE),"")</f>
        <v>https://www.accessdata.fda.gov/drugsatfda_docs/label/2013/050420s075,050627s014lbl.pdf</v>
      </c>
      <c r="D3486" s="250" t="str">
        <f>IF(AND(A3486&lt;&gt;"",ISNUMBER(A3486)),VLOOKUP(A3486,Studies!A:BR,4,FALSE),"")</f>
        <v>300 mg</v>
      </c>
      <c r="E3486" s="250" t="str">
        <f>IF(AND(A3486&lt;&gt;"",ISNUMBER(A3486)),VLOOKUP(A3486,Studies!A:BR,5,FALSE),"")</f>
        <v>Rifampicin</v>
      </c>
      <c r="F3486" s="251"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v>0</v>
      </c>
    </row>
    <row r="3487" spans="1:17" ht="14.25" x14ac:dyDescent="0.2">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v>0</v>
      </c>
    </row>
    <row r="3488" spans="1:17" ht="14.25" x14ac:dyDescent="0.2">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v>0</v>
      </c>
    </row>
    <row r="3489" spans="1:17" ht="14.25" x14ac:dyDescent="0.2">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v>0</v>
      </c>
    </row>
    <row r="3490" spans="1:17" ht="14.25" x14ac:dyDescent="0.2">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v>0</v>
      </c>
    </row>
    <row r="3491" spans="1:17" ht="14.25" x14ac:dyDescent="0.2">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12</v>
      </c>
      <c r="H3491" s="194" t="s">
        <v>60</v>
      </c>
      <c r="I3491" s="187" t="s">
        <v>1018</v>
      </c>
      <c r="J3491" s="187" t="s">
        <v>959</v>
      </c>
      <c r="K3491" s="187" t="s">
        <v>116</v>
      </c>
      <c r="M3491" s="195"/>
      <c r="N3491" s="195"/>
      <c r="O3491" s="199">
        <v>0.4</v>
      </c>
      <c r="P3491" s="188"/>
      <c r="Q3491" s="174">
        <v>0</v>
      </c>
    </row>
    <row r="3492" spans="1:17" ht="14.25" x14ac:dyDescent="0.2">
      <c r="A3492" s="183">
        <v>407</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600 mg</v>
      </c>
      <c r="E3492" s="250" t="str">
        <f>IF(AND(A3492&lt;&gt;"",ISNUMBER(A3492)),VLOOKUP(A3492,Studies!A:BR,5,FALSE),"")</f>
        <v>Rifampicin</v>
      </c>
      <c r="F3492" s="251"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v>0</v>
      </c>
    </row>
    <row r="3493" spans="1:17" ht="14.25" x14ac:dyDescent="0.2">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v>0</v>
      </c>
    </row>
    <row r="3494" spans="1:17" ht="14.25" x14ac:dyDescent="0.2">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v>0</v>
      </c>
    </row>
    <row r="3495" spans="1:17" ht="14.25" x14ac:dyDescent="0.2">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v>0</v>
      </c>
    </row>
    <row r="3496" spans="1:17" ht="14.25" x14ac:dyDescent="0.2">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v>0</v>
      </c>
    </row>
    <row r="3497" spans="1:17" ht="14.25" x14ac:dyDescent="0.2">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v>0</v>
      </c>
    </row>
    <row r="3498" spans="1:17" ht="14.25" x14ac:dyDescent="0.2">
      <c r="A3498" s="189">
        <v>414</v>
      </c>
      <c r="B3498" s="249" t="str">
        <f>IF(AND(A3498&lt;&gt;"",ISNUMBER(A3498)),VLOOKUP(A3498,Studies!A:BR,2,FALSE),"")</f>
        <v>Schwagmeier 1998</v>
      </c>
      <c r="C3498" s="250" t="str">
        <f>IF(AND(A3498&lt;&gt;"",ISNUMBER(A3498)),VLOOKUP(A3498,Studies!A:BR,3,FALSE),"")</f>
        <v>https://www.ncbi.nlm.nih.gov/pubmed/9764959</v>
      </c>
      <c r="D3498" s="250" t="str">
        <f>IF(AND(A3498&lt;&gt;"",ISNUMBER(A3498)),VLOOKUP(A3498,Studies!A:BR,4,FALSE),"")</f>
        <v>iv administration</v>
      </c>
      <c r="E3498" s="250" t="str">
        <f>IF(AND(A3498&lt;&gt;"",ISNUMBER(A3498)),VLOOKUP(A3498,Studies!A:BR,5,FALSE),"")</f>
        <v>Midazolam</v>
      </c>
      <c r="F3498" s="251"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v>1</v>
      </c>
    </row>
    <row r="3499" spans="1:17" ht="14.25" x14ac:dyDescent="0.2">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v>1</v>
      </c>
    </row>
    <row r="3500" spans="1:17" ht="14.25" x14ac:dyDescent="0.2">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v>1</v>
      </c>
    </row>
    <row r="3501" spans="1:17" ht="14.25" x14ac:dyDescent="0.2">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v>1</v>
      </c>
    </row>
    <row r="3502" spans="1:17" ht="14.25" x14ac:dyDescent="0.2">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v>1</v>
      </c>
    </row>
    <row r="3503" spans="1:17" ht="14.25" x14ac:dyDescent="0.2">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v>1</v>
      </c>
    </row>
    <row r="3504" spans="1:17" ht="14.25" x14ac:dyDescent="0.2">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v>1</v>
      </c>
    </row>
    <row r="3505" spans="1:17" ht="14.25" x14ac:dyDescent="0.2">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v>1</v>
      </c>
    </row>
    <row r="3506" spans="1:17" ht="14.25" x14ac:dyDescent="0.2">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v>1</v>
      </c>
    </row>
    <row r="3507" spans="1:17" ht="14.25" x14ac:dyDescent="0.2">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v>1</v>
      </c>
    </row>
    <row r="3508" spans="1:17" ht="14.25" x14ac:dyDescent="0.2">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v>1</v>
      </c>
    </row>
    <row r="3509" spans="1:17" ht="14.25" x14ac:dyDescent="0.2">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v>1</v>
      </c>
    </row>
    <row r="3510" spans="1:17" ht="14.25" x14ac:dyDescent="0.2">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v>1</v>
      </c>
    </row>
    <row r="3511" spans="1:17" ht="14.25" x14ac:dyDescent="0.2">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480</v>
      </c>
      <c r="H3511" s="194" t="s">
        <v>953</v>
      </c>
      <c r="I3511" s="187">
        <v>4.2260580000000001</v>
      </c>
      <c r="J3511" s="187" t="s">
        <v>941</v>
      </c>
      <c r="K3511" s="187" t="s">
        <v>335</v>
      </c>
      <c r="M3511" s="195"/>
      <c r="N3511" s="195"/>
      <c r="O3511" s="199"/>
      <c r="P3511" s="188"/>
      <c r="Q3511" s="174">
        <v>1</v>
      </c>
    </row>
    <row r="3512" spans="1:17" ht="14.25" x14ac:dyDescent="0.2">
      <c r="A3512" s="183">
        <v>415</v>
      </c>
      <c r="B3512" s="249" t="str">
        <f>IF(AND(A3512&lt;&gt;"",ISNUMBER(A3512)),VLOOKUP(A3512,Studies!A:BR,2,FALSE),"")</f>
        <v>Smith 1981</v>
      </c>
      <c r="C3512" s="250" t="str">
        <f>IF(AND(A3512&lt;&gt;"",ISNUMBER(A3512)),VLOOKUP(A3512,Studies!A:BR,3,FALSE),"")</f>
        <v>https://www.ncbi.nlm.nih.gov/pubmed/6116606</v>
      </c>
      <c r="D3512" s="250" t="str">
        <f>IF(AND(A3512&lt;&gt;"",ISNUMBER(A3512)),VLOOKUP(A3512,Studies!A:BR,4,FALSE),"")</f>
        <v>iv 5 mg</v>
      </c>
      <c r="E3512" s="250" t="str">
        <f>IF(AND(A3512&lt;&gt;"",ISNUMBER(A3512)),VLOOKUP(A3512,Studies!A:BR,5,FALSE),"")</f>
        <v>Midazolam</v>
      </c>
      <c r="F3512" s="251" t="str">
        <f>IF(AND(A3512&lt;&gt;"",ISNUMBER(A3512)),VLOOKUP(A3512,Studies!A:BR,6,FALSE),"")</f>
        <v>Plasma</v>
      </c>
      <c r="G3512" s="194">
        <v>0.08</v>
      </c>
      <c r="H3512" s="194" t="s">
        <v>60</v>
      </c>
      <c r="I3512" s="187">
        <v>102.06513079166412</v>
      </c>
      <c r="J3512" s="187" t="s">
        <v>968</v>
      </c>
      <c r="K3512" s="187" t="s">
        <v>116</v>
      </c>
      <c r="M3512" s="195"/>
      <c r="N3512" s="195"/>
      <c r="O3512" s="199"/>
      <c r="P3512" s="188" t="s">
        <v>1029</v>
      </c>
      <c r="Q3512" s="174">
        <v>0</v>
      </c>
    </row>
    <row r="3513" spans="1:17" ht="14.25" x14ac:dyDescent="0.2">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0.16</v>
      </c>
      <c r="H3513" s="194" t="s">
        <v>60</v>
      </c>
      <c r="I3513" s="187">
        <v>90.581383150815952</v>
      </c>
      <c r="J3513" s="187" t="s">
        <v>968</v>
      </c>
      <c r="K3513" s="187" t="s">
        <v>116</v>
      </c>
      <c r="M3513" s="195"/>
      <c r="N3513" s="195"/>
      <c r="O3513" s="199"/>
      <c r="P3513" s="188" t="s">
        <v>1029</v>
      </c>
      <c r="Q3513" s="174">
        <v>0</v>
      </c>
    </row>
    <row r="3514" spans="1:17" ht="14.25" x14ac:dyDescent="0.2">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0.25</v>
      </c>
      <c r="H3514" s="194" t="s">
        <v>60</v>
      </c>
      <c r="I3514" s="187">
        <v>81.975014342069613</v>
      </c>
      <c r="J3514" s="187" t="s">
        <v>968</v>
      </c>
      <c r="K3514" s="187" t="s">
        <v>116</v>
      </c>
      <c r="M3514" s="195"/>
      <c r="N3514" s="195"/>
      <c r="O3514" s="199"/>
      <c r="P3514" s="188" t="s">
        <v>1029</v>
      </c>
      <c r="Q3514" s="174">
        <v>0</v>
      </c>
    </row>
    <row r="3515" spans="1:17" ht="14.25" x14ac:dyDescent="0.2">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0.33</v>
      </c>
      <c r="H3515" s="194" t="s">
        <v>60</v>
      </c>
      <c r="I3515" s="187">
        <v>73.371150455474847</v>
      </c>
      <c r="J3515" s="187" t="s">
        <v>968</v>
      </c>
      <c r="K3515" s="187" t="s">
        <v>116</v>
      </c>
      <c r="M3515" s="195"/>
      <c r="N3515" s="195"/>
      <c r="O3515" s="199"/>
      <c r="P3515" s="188" t="s">
        <v>1029</v>
      </c>
      <c r="Q3515" s="174">
        <v>0</v>
      </c>
    </row>
    <row r="3516" spans="1:17" ht="14.25" x14ac:dyDescent="0.2">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0.5</v>
      </c>
      <c r="H3516" s="194" t="s">
        <v>60</v>
      </c>
      <c r="I3516" s="187">
        <v>64.77958787262439</v>
      </c>
      <c r="J3516" s="187" t="s">
        <v>968</v>
      </c>
      <c r="K3516" s="187" t="s">
        <v>116</v>
      </c>
      <c r="M3516" s="195"/>
      <c r="N3516" s="195"/>
      <c r="O3516" s="199"/>
      <c r="P3516" s="188" t="s">
        <v>1029</v>
      </c>
      <c r="Q3516" s="174">
        <v>0</v>
      </c>
    </row>
    <row r="3517" spans="1:17" ht="14.25" x14ac:dyDescent="0.2">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0.75</v>
      </c>
      <c r="H3517" s="194" t="s">
        <v>60</v>
      </c>
      <c r="I3517" s="187">
        <v>59.067612919509408</v>
      </c>
      <c r="J3517" s="187" t="s">
        <v>968</v>
      </c>
      <c r="K3517" s="187" t="s">
        <v>116</v>
      </c>
      <c r="M3517" s="195"/>
      <c r="N3517" s="195"/>
      <c r="O3517" s="199"/>
      <c r="P3517" s="188" t="s">
        <v>1029</v>
      </c>
      <c r="Q3517" s="174">
        <v>0</v>
      </c>
    </row>
    <row r="3518" spans="1:17" ht="14.25" x14ac:dyDescent="0.2">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1</v>
      </c>
      <c r="H3518" s="194" t="s">
        <v>60</v>
      </c>
      <c r="I3518" s="187">
        <v>51.219473366141315</v>
      </c>
      <c r="J3518" s="187" t="s">
        <v>968</v>
      </c>
      <c r="K3518" s="187" t="s">
        <v>116</v>
      </c>
      <c r="M3518" s="195"/>
      <c r="N3518" s="195"/>
      <c r="O3518" s="199"/>
      <c r="P3518" s="188" t="s">
        <v>1029</v>
      </c>
      <c r="Q3518" s="174">
        <v>0</v>
      </c>
    </row>
    <row r="3519" spans="1:17" ht="14.25" x14ac:dyDescent="0.2">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1.5</v>
      </c>
      <c r="H3519" s="194" t="s">
        <v>60</v>
      </c>
      <c r="I3519" s="187">
        <v>39.104201354831453</v>
      </c>
      <c r="J3519" s="187" t="s">
        <v>968</v>
      </c>
      <c r="K3519" s="187" t="s">
        <v>116</v>
      </c>
      <c r="M3519" s="195"/>
      <c r="N3519" s="195"/>
      <c r="O3519" s="199"/>
      <c r="P3519" s="188" t="s">
        <v>1029</v>
      </c>
      <c r="Q3519" s="174">
        <v>0</v>
      </c>
    </row>
    <row r="3520" spans="1:17" ht="14.25" x14ac:dyDescent="0.2">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2</v>
      </c>
      <c r="H3520" s="194" t="s">
        <v>60</v>
      </c>
      <c r="I3520" s="187">
        <v>32.728004544526335</v>
      </c>
      <c r="J3520" s="187" t="s">
        <v>968</v>
      </c>
      <c r="K3520" s="187" t="s">
        <v>116</v>
      </c>
      <c r="M3520" s="195"/>
      <c r="N3520" s="195"/>
      <c r="O3520" s="199"/>
      <c r="P3520" s="188" t="s">
        <v>1029</v>
      </c>
      <c r="Q3520" s="174">
        <v>0</v>
      </c>
    </row>
    <row r="3521" spans="1:17" ht="14.25" x14ac:dyDescent="0.2">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3</v>
      </c>
      <c r="H3521" s="194" t="s">
        <v>60</v>
      </c>
      <c r="I3521" s="187">
        <v>19.267091751545667</v>
      </c>
      <c r="J3521" s="187" t="s">
        <v>968</v>
      </c>
      <c r="K3521" s="187" t="s">
        <v>116</v>
      </c>
      <c r="M3521" s="195"/>
      <c r="N3521" s="195"/>
      <c r="O3521" s="199"/>
      <c r="P3521" s="188" t="s">
        <v>1029</v>
      </c>
      <c r="Q3521" s="174">
        <v>0</v>
      </c>
    </row>
    <row r="3522" spans="1:17" ht="14.25" x14ac:dyDescent="0.2">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4</v>
      </c>
      <c r="H3522" s="194" t="s">
        <v>60</v>
      </c>
      <c r="I3522" s="187">
        <v>12.650588681325315</v>
      </c>
      <c r="J3522" s="187" t="s">
        <v>968</v>
      </c>
      <c r="K3522" s="187" t="s">
        <v>116</v>
      </c>
      <c r="M3522" s="195"/>
      <c r="N3522" s="195"/>
      <c r="O3522" s="199"/>
      <c r="P3522" s="188" t="s">
        <v>1029</v>
      </c>
      <c r="Q3522" s="174">
        <v>0</v>
      </c>
    </row>
    <row r="3523" spans="1:17" ht="14.25" x14ac:dyDescent="0.2">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6</v>
      </c>
      <c r="H3523" s="194" t="s">
        <v>60</v>
      </c>
      <c r="I3523" s="187">
        <v>6.1877796972170467</v>
      </c>
      <c r="J3523" s="187" t="s">
        <v>968</v>
      </c>
      <c r="K3523" s="187" t="s">
        <v>116</v>
      </c>
      <c r="M3523" s="195"/>
      <c r="N3523" s="195"/>
      <c r="O3523" s="199"/>
      <c r="P3523" s="188" t="s">
        <v>1029</v>
      </c>
      <c r="Q3523" s="174">
        <v>0</v>
      </c>
    </row>
    <row r="3524" spans="1:17" ht="14.25" x14ac:dyDescent="0.2">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8</v>
      </c>
      <c r="H3524" s="194" t="s">
        <v>60</v>
      </c>
      <c r="I3524" s="187">
        <v>4.3961250261217355</v>
      </c>
      <c r="J3524" s="187" t="s">
        <v>968</v>
      </c>
      <c r="K3524" s="187" t="s">
        <v>116</v>
      </c>
      <c r="M3524" s="195"/>
      <c r="N3524" s="195"/>
      <c r="O3524" s="199"/>
      <c r="P3524" s="188" t="s">
        <v>1029</v>
      </c>
      <c r="Q3524" s="174">
        <v>0</v>
      </c>
    </row>
    <row r="3525" spans="1:17" ht="14.25" x14ac:dyDescent="0.2">
      <c r="A3525" s="183">
        <v>416</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oral solution 10 mg</v>
      </c>
      <c r="E3525" s="250" t="str">
        <f>IF(AND(A3525&lt;&gt;"",ISNUMBER(A3525)),VLOOKUP(A3525,Studies!A:BR,5,FALSE),"")</f>
        <v>Midazolam</v>
      </c>
      <c r="F3525" s="251" t="str">
        <f>IF(AND(A3525&lt;&gt;"",ISNUMBER(A3525)),VLOOKUP(A3525,Studies!A:BR,6,FALSE),"")</f>
        <v>Plasma</v>
      </c>
      <c r="G3525" s="194">
        <v>0.08</v>
      </c>
      <c r="H3525" s="194" t="s">
        <v>60</v>
      </c>
      <c r="I3525" s="187">
        <v>1.4041631480399519</v>
      </c>
      <c r="J3525" s="187" t="s">
        <v>968</v>
      </c>
      <c r="K3525" s="187" t="s">
        <v>116</v>
      </c>
      <c r="M3525" s="195"/>
      <c r="N3525" s="195"/>
      <c r="O3525" s="199"/>
      <c r="P3525" s="188" t="s">
        <v>1029</v>
      </c>
      <c r="Q3525" s="174">
        <v>0</v>
      </c>
    </row>
    <row r="3526" spans="1:17" ht="14.25" x14ac:dyDescent="0.2">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0.16</v>
      </c>
      <c r="H3526" s="194" t="s">
        <v>60</v>
      </c>
      <c r="I3526" s="187">
        <v>18.859778545275329</v>
      </c>
      <c r="J3526" s="187" t="s">
        <v>968</v>
      </c>
      <c r="K3526" s="187" t="s">
        <v>116</v>
      </c>
      <c r="M3526" s="195"/>
      <c r="N3526" s="195"/>
      <c r="O3526" s="199"/>
      <c r="P3526" s="188" t="s">
        <v>1029</v>
      </c>
      <c r="Q3526" s="174">
        <v>0</v>
      </c>
    </row>
    <row r="3527" spans="1:17" ht="14.25" x14ac:dyDescent="0.2">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0.25</v>
      </c>
      <c r="H3527" s="194" t="s">
        <v>60</v>
      </c>
      <c r="I3527" s="187">
        <v>41.898988146185872</v>
      </c>
      <c r="J3527" s="187" t="s">
        <v>968</v>
      </c>
      <c r="K3527" s="187" t="s">
        <v>116</v>
      </c>
      <c r="M3527" s="195"/>
      <c r="N3527" s="195"/>
      <c r="O3527" s="199"/>
      <c r="P3527" s="188" t="s">
        <v>1029</v>
      </c>
      <c r="Q3527" s="174">
        <v>0</v>
      </c>
    </row>
    <row r="3528" spans="1:17" ht="14.25" x14ac:dyDescent="0.2">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0.33</v>
      </c>
      <c r="H3528" s="194" t="s">
        <v>60</v>
      </c>
      <c r="I3528" s="187">
        <v>61.100575698018069</v>
      </c>
      <c r="J3528" s="187" t="s">
        <v>968</v>
      </c>
      <c r="K3528" s="187" t="s">
        <v>116</v>
      </c>
      <c r="M3528" s="195"/>
      <c r="N3528" s="195"/>
      <c r="O3528" s="199"/>
      <c r="P3528" s="188" t="s">
        <v>1029</v>
      </c>
      <c r="Q3528" s="174">
        <v>0</v>
      </c>
    </row>
    <row r="3529" spans="1:17" ht="14.25" x14ac:dyDescent="0.2">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0.5</v>
      </c>
      <c r="H3529" s="194" t="s">
        <v>60</v>
      </c>
      <c r="I3529" s="187">
        <v>51.356676107943052</v>
      </c>
      <c r="J3529" s="187" t="s">
        <v>968</v>
      </c>
      <c r="K3529" s="187" t="s">
        <v>116</v>
      </c>
      <c r="M3529" s="195"/>
      <c r="N3529" s="195"/>
      <c r="O3529" s="199"/>
      <c r="P3529" s="188" t="s">
        <v>1029</v>
      </c>
      <c r="Q3529" s="174">
        <v>0</v>
      </c>
    </row>
    <row r="3530" spans="1:17" ht="14.25" x14ac:dyDescent="0.2">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0.75</v>
      </c>
      <c r="H3530" s="194" t="s">
        <v>60</v>
      </c>
      <c r="I3530" s="187">
        <v>46.153214915096754</v>
      </c>
      <c r="J3530" s="187" t="s">
        <v>968</v>
      </c>
      <c r="K3530" s="187" t="s">
        <v>116</v>
      </c>
      <c r="M3530" s="195"/>
      <c r="N3530" s="195"/>
      <c r="O3530" s="199"/>
      <c r="P3530" s="188" t="s">
        <v>1029</v>
      </c>
      <c r="Q3530" s="174">
        <v>0</v>
      </c>
    </row>
    <row r="3531" spans="1:17" ht="14.25" x14ac:dyDescent="0.2">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1</v>
      </c>
      <c r="H3531" s="194" t="s">
        <v>60</v>
      </c>
      <c r="I3531" s="187">
        <v>42.0032870849967</v>
      </c>
      <c r="J3531" s="187" t="s">
        <v>968</v>
      </c>
      <c r="K3531" s="187" t="s">
        <v>116</v>
      </c>
      <c r="M3531" s="195"/>
      <c r="N3531" s="195"/>
      <c r="O3531" s="199"/>
      <c r="P3531" s="188" t="s">
        <v>1029</v>
      </c>
      <c r="Q3531" s="174">
        <v>0</v>
      </c>
    </row>
    <row r="3532" spans="1:17" ht="14.25" x14ac:dyDescent="0.2">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1.5</v>
      </c>
      <c r="H3532" s="194" t="s">
        <v>60</v>
      </c>
      <c r="I3532" s="187">
        <v>31.967780089527366</v>
      </c>
      <c r="J3532" s="187" t="s">
        <v>968</v>
      </c>
      <c r="K3532" s="187" t="s">
        <v>116</v>
      </c>
      <c r="M3532" s="195"/>
      <c r="N3532" s="195"/>
      <c r="O3532" s="199"/>
      <c r="P3532" s="188" t="s">
        <v>1029</v>
      </c>
      <c r="Q3532" s="174">
        <v>0</v>
      </c>
    </row>
    <row r="3533" spans="1:17" ht="14.25" x14ac:dyDescent="0.2">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2</v>
      </c>
      <c r="H3533" s="194" t="s">
        <v>60</v>
      </c>
      <c r="I3533" s="187">
        <v>25.757689715772866</v>
      </c>
      <c r="J3533" s="187" t="s">
        <v>968</v>
      </c>
      <c r="K3533" s="187" t="s">
        <v>116</v>
      </c>
      <c r="M3533" s="195"/>
      <c r="N3533" s="195"/>
      <c r="O3533" s="199"/>
      <c r="P3533" s="188" t="s">
        <v>1029</v>
      </c>
      <c r="Q3533" s="174">
        <v>0</v>
      </c>
    </row>
    <row r="3534" spans="1:17" ht="14.25" x14ac:dyDescent="0.2">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3</v>
      </c>
      <c r="H3534" s="194" t="s">
        <v>60</v>
      </c>
      <c r="I3534" s="187">
        <v>17.164627092331646</v>
      </c>
      <c r="J3534" s="187" t="s">
        <v>968</v>
      </c>
      <c r="K3534" s="187" t="s">
        <v>116</v>
      </c>
      <c r="M3534" s="195"/>
      <c r="N3534" s="195"/>
      <c r="O3534" s="199"/>
      <c r="P3534" s="188" t="s">
        <v>1029</v>
      </c>
      <c r="Q3534" s="174">
        <v>0</v>
      </c>
    </row>
    <row r="3535" spans="1:17" ht="14.25" x14ac:dyDescent="0.2">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4</v>
      </c>
      <c r="H3535" s="194" t="s">
        <v>60</v>
      </c>
      <c r="I3535" s="187">
        <v>12.082870649099348</v>
      </c>
      <c r="J3535" s="187" t="s">
        <v>968</v>
      </c>
      <c r="K3535" s="187" t="s">
        <v>116</v>
      </c>
      <c r="M3535" s="195"/>
      <c r="N3535" s="195"/>
      <c r="O3535" s="199"/>
      <c r="P3535" s="188" t="s">
        <v>1029</v>
      </c>
      <c r="Q3535" s="174">
        <v>0</v>
      </c>
    </row>
    <row r="3536" spans="1:17" ht="14.25" x14ac:dyDescent="0.2">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6</v>
      </c>
      <c r="H3536" s="194" t="s">
        <v>60</v>
      </c>
      <c r="I3536" s="187">
        <v>5.7151752824336288</v>
      </c>
      <c r="J3536" s="187" t="s">
        <v>968</v>
      </c>
      <c r="K3536" s="187" t="s">
        <v>116</v>
      </c>
      <c r="M3536" s="195"/>
      <c r="N3536" s="195"/>
      <c r="O3536" s="199"/>
      <c r="P3536" s="188" t="s">
        <v>1029</v>
      </c>
      <c r="Q3536" s="174">
        <v>0</v>
      </c>
    </row>
    <row r="3537" spans="1:17" ht="14.25" x14ac:dyDescent="0.2">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8</v>
      </c>
      <c r="H3537" s="194" t="s">
        <v>60</v>
      </c>
      <c r="I3537" s="187">
        <v>3.1919680486991999</v>
      </c>
      <c r="J3537" s="187" t="s">
        <v>968</v>
      </c>
      <c r="K3537" s="187" t="s">
        <v>116</v>
      </c>
      <c r="M3537" s="195"/>
      <c r="N3537" s="195"/>
      <c r="O3537" s="199"/>
      <c r="P3537" s="188" t="s">
        <v>1029</v>
      </c>
      <c r="Q3537" s="174">
        <v>0</v>
      </c>
    </row>
    <row r="3538" spans="1:17" ht="14.25" x14ac:dyDescent="0.2">
      <c r="A3538" s="183">
        <v>417</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tablet 10 mg</v>
      </c>
      <c r="E3538" s="250" t="str">
        <f>IF(AND(A3538&lt;&gt;"",ISNUMBER(A3538)),VLOOKUP(A3538,Studies!A:BR,5,FALSE),"")</f>
        <v>Midazolam</v>
      </c>
      <c r="F3538" s="251" t="str">
        <f>IF(AND(A3538&lt;&gt;"",ISNUMBER(A3538)),VLOOKUP(A3538,Studies!A:BR,6,FALSE),"")</f>
        <v>Plasma</v>
      </c>
      <c r="G3538" s="194">
        <v>0.25</v>
      </c>
      <c r="H3538" s="194" t="s">
        <v>60</v>
      </c>
      <c r="I3538" s="187">
        <v>6.6223333250731224</v>
      </c>
      <c r="J3538" s="187" t="s">
        <v>968</v>
      </c>
      <c r="K3538" s="187" t="s">
        <v>116</v>
      </c>
      <c r="M3538" s="195"/>
      <c r="N3538" s="195"/>
      <c r="O3538" s="199"/>
      <c r="P3538" s="188" t="s">
        <v>1029</v>
      </c>
      <c r="Q3538" s="174">
        <v>0</v>
      </c>
    </row>
    <row r="3539" spans="1:17" ht="14.25" x14ac:dyDescent="0.2">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0.33</v>
      </c>
      <c r="H3539" s="194" t="s">
        <v>60</v>
      </c>
      <c r="I3539" s="187">
        <v>33.620133054256435</v>
      </c>
      <c r="J3539" s="187" t="s">
        <v>968</v>
      </c>
      <c r="K3539" s="187" t="s">
        <v>116</v>
      </c>
      <c r="M3539" s="195"/>
      <c r="N3539" s="195"/>
      <c r="O3539" s="199"/>
      <c r="P3539" s="188" t="s">
        <v>1029</v>
      </c>
      <c r="Q3539" s="174">
        <v>0</v>
      </c>
    </row>
    <row r="3540" spans="1:17" ht="14.25" x14ac:dyDescent="0.2">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0.5</v>
      </c>
      <c r="H3540" s="194" t="s">
        <v>60</v>
      </c>
      <c r="I3540" s="187">
        <v>37.129939193874591</v>
      </c>
      <c r="J3540" s="187" t="s">
        <v>968</v>
      </c>
      <c r="K3540" s="187" t="s">
        <v>116</v>
      </c>
      <c r="M3540" s="195"/>
      <c r="N3540" s="195"/>
      <c r="O3540" s="199"/>
      <c r="P3540" s="188" t="s">
        <v>1029</v>
      </c>
      <c r="Q3540" s="174">
        <v>0</v>
      </c>
    </row>
    <row r="3541" spans="1:17" ht="14.25" x14ac:dyDescent="0.2">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0.75</v>
      </c>
      <c r="H3541" s="194" t="s">
        <v>60</v>
      </c>
      <c r="I3541" s="187">
        <v>41.325768751502032</v>
      </c>
      <c r="J3541" s="187" t="s">
        <v>968</v>
      </c>
      <c r="K3541" s="187" t="s">
        <v>116</v>
      </c>
      <c r="M3541" s="195"/>
      <c r="N3541" s="195"/>
      <c r="O3541" s="199"/>
      <c r="P3541" s="188" t="s">
        <v>1029</v>
      </c>
      <c r="Q3541" s="174">
        <v>0</v>
      </c>
    </row>
    <row r="3542" spans="1:17" ht="14.25" x14ac:dyDescent="0.2">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1</v>
      </c>
      <c r="H3542" s="194" t="s">
        <v>60</v>
      </c>
      <c r="I3542" s="187">
        <v>43.460836234688756</v>
      </c>
      <c r="J3542" s="187" t="s">
        <v>968</v>
      </c>
      <c r="K3542" s="187" t="s">
        <v>116</v>
      </c>
      <c r="M3542" s="195"/>
      <c r="N3542" s="195"/>
      <c r="O3542" s="199"/>
      <c r="P3542" s="188" t="s">
        <v>1029</v>
      </c>
      <c r="Q3542" s="174">
        <v>0</v>
      </c>
    </row>
    <row r="3543" spans="1:17" ht="14.25" x14ac:dyDescent="0.2">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1.5</v>
      </c>
      <c r="H3543" s="194" t="s">
        <v>60</v>
      </c>
      <c r="I3543" s="187">
        <v>49.466018151044842</v>
      </c>
      <c r="J3543" s="187" t="s">
        <v>968</v>
      </c>
      <c r="K3543" s="187" t="s">
        <v>116</v>
      </c>
      <c r="M3543" s="195"/>
      <c r="N3543" s="195"/>
      <c r="O3543" s="199"/>
      <c r="P3543" s="188" t="s">
        <v>1029</v>
      </c>
      <c r="Q3543" s="174">
        <v>0</v>
      </c>
    </row>
    <row r="3544" spans="1:17" ht="14.25" x14ac:dyDescent="0.2">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2</v>
      </c>
      <c r="H3544" s="194" t="s">
        <v>60</v>
      </c>
      <c r="I3544" s="187">
        <v>31.945980955958365</v>
      </c>
      <c r="J3544" s="187" t="s">
        <v>968</v>
      </c>
      <c r="K3544" s="187" t="s">
        <v>116</v>
      </c>
      <c r="M3544" s="195"/>
      <c r="N3544" s="195"/>
      <c r="O3544" s="199"/>
      <c r="P3544" s="188" t="s">
        <v>1029</v>
      </c>
      <c r="Q3544" s="174">
        <v>0</v>
      </c>
    </row>
    <row r="3545" spans="1:17" ht="14.25" x14ac:dyDescent="0.2">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3</v>
      </c>
      <c r="H3545" s="194" t="s">
        <v>60</v>
      </c>
      <c r="I3545" s="187">
        <v>23.252012689411639</v>
      </c>
      <c r="J3545" s="187" t="s">
        <v>968</v>
      </c>
      <c r="K3545" s="187" t="s">
        <v>116</v>
      </c>
      <c r="M3545" s="195"/>
      <c r="N3545" s="195"/>
      <c r="O3545" s="199"/>
      <c r="P3545" s="188" t="s">
        <v>1029</v>
      </c>
      <c r="Q3545" s="174">
        <v>0</v>
      </c>
    </row>
    <row r="3546" spans="1:17" ht="14.25" x14ac:dyDescent="0.2">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4</v>
      </c>
      <c r="H3546" s="194" t="s">
        <v>60</v>
      </c>
      <c r="I3546" s="187">
        <v>13.743421651199458</v>
      </c>
      <c r="J3546" s="187" t="s">
        <v>968</v>
      </c>
      <c r="K3546" s="187" t="s">
        <v>116</v>
      </c>
      <c r="M3546" s="195"/>
      <c r="N3546" s="195"/>
      <c r="O3546" s="199"/>
      <c r="P3546" s="188" t="s">
        <v>1029</v>
      </c>
      <c r="Q3546" s="174">
        <v>0</v>
      </c>
    </row>
    <row r="3547" spans="1:17" ht="14.25" x14ac:dyDescent="0.2">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6</v>
      </c>
      <c r="H3547" s="194" t="s">
        <v>60</v>
      </c>
      <c r="I3547" s="187">
        <v>6.5587812412902711</v>
      </c>
      <c r="J3547" s="187" t="s">
        <v>968</v>
      </c>
      <c r="K3547" s="187" t="s">
        <v>116</v>
      </c>
      <c r="M3547" s="195"/>
      <c r="N3547" s="195"/>
      <c r="O3547" s="199"/>
      <c r="P3547" s="188" t="s">
        <v>1029</v>
      </c>
      <c r="Q3547" s="174">
        <v>0</v>
      </c>
    </row>
    <row r="3548" spans="1:17" ht="14.25" x14ac:dyDescent="0.2">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8</v>
      </c>
      <c r="H3548" s="194" t="s">
        <v>60</v>
      </c>
      <c r="I3548" s="187">
        <v>3.2040982313081621</v>
      </c>
      <c r="J3548" s="187" t="s">
        <v>968</v>
      </c>
      <c r="K3548" s="187" t="s">
        <v>116</v>
      </c>
      <c r="M3548" s="195"/>
      <c r="N3548" s="195"/>
      <c r="O3548" s="199"/>
      <c r="P3548" s="188" t="s">
        <v>1029</v>
      </c>
      <c r="Q3548" s="174">
        <v>0</v>
      </c>
    </row>
    <row r="3549" spans="1:17" ht="14.25" x14ac:dyDescent="0.2">
      <c r="A3549" s="183">
        <v>418</v>
      </c>
      <c r="B3549" s="249" t="str">
        <f>IF(AND(A3549&lt;&gt;"",ISNUMBER(A3549)),VLOOKUP(A3549,Studies!A:BR,2,FALSE),"")</f>
        <v>Stone 2004</v>
      </c>
      <c r="C3549" s="250" t="str">
        <f>IF(AND(A3549&lt;&gt;"",ISNUMBER(A3549)),VLOOKUP(A3549,Studies!A:BR,3,FALSE),"")</f>
        <v>https://www.ncbi.nlm.nih.gov/pubmed/4037525</v>
      </c>
      <c r="D3549" s="250" t="str">
        <f>IF(AND(A3549&lt;&gt;"",ISNUMBER(A3549)),VLOOKUP(A3549,Studies!A:BR,4,FALSE),"")</f>
        <v>Day 14 of Rifampin alone</v>
      </c>
      <c r="E3549" s="250" t="str">
        <f>IF(AND(A3549&lt;&gt;"",ISNUMBER(A3549)),VLOOKUP(A3549,Studies!A:BR,5,FALSE),"")</f>
        <v>Rifampicin</v>
      </c>
      <c r="F3549" s="251" t="str">
        <f>IF(AND(A3549&lt;&gt;"",ISNUMBER(A3549)),VLOOKUP(A3549,Studies!A:BR,6,FALSE),"")</f>
        <v>Plasma</v>
      </c>
      <c r="G3549" s="194">
        <v>313</v>
      </c>
      <c r="H3549" s="194" t="s">
        <v>60</v>
      </c>
      <c r="I3549" s="187">
        <v>5.5412807464599609</v>
      </c>
      <c r="J3549" s="187" t="s">
        <v>968</v>
      </c>
      <c r="K3549" s="187" t="s">
        <v>116</v>
      </c>
      <c r="M3549" s="195"/>
      <c r="N3549" s="195"/>
      <c r="O3549" s="199"/>
      <c r="P3549" s="188"/>
      <c r="Q3549" s="174">
        <v>0</v>
      </c>
    </row>
    <row r="3550" spans="1:17" ht="14.25" x14ac:dyDescent="0.2">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314</v>
      </c>
      <c r="H3550" s="194" t="s">
        <v>60</v>
      </c>
      <c r="I3550" s="187">
        <v>7.7965106964111328</v>
      </c>
      <c r="J3550" s="187" t="s">
        <v>968</v>
      </c>
      <c r="K3550" s="187" t="s">
        <v>116</v>
      </c>
      <c r="M3550" s="195"/>
      <c r="N3550" s="195"/>
      <c r="O3550" s="199"/>
      <c r="P3550" s="188"/>
      <c r="Q3550" s="174">
        <v>0</v>
      </c>
    </row>
    <row r="3551" spans="1:17" ht="14.25" x14ac:dyDescent="0.2">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316</v>
      </c>
      <c r="H3551" s="194" t="s">
        <v>60</v>
      </c>
      <c r="I3551" s="187">
        <v>6.0616793632507324</v>
      </c>
      <c r="J3551" s="187" t="s">
        <v>968</v>
      </c>
      <c r="K3551" s="187" t="s">
        <v>116</v>
      </c>
      <c r="M3551" s="195"/>
      <c r="N3551" s="195"/>
      <c r="O3551" s="199"/>
      <c r="P3551" s="188"/>
      <c r="Q3551" s="174">
        <v>0</v>
      </c>
    </row>
    <row r="3552" spans="1:17" ht="14.25" x14ac:dyDescent="0.2">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318</v>
      </c>
      <c r="H3552" s="194" t="s">
        <v>60</v>
      </c>
      <c r="I3552" s="187">
        <v>2.9505643844604492</v>
      </c>
      <c r="J3552" s="187" t="s">
        <v>968</v>
      </c>
      <c r="K3552" s="187" t="s">
        <v>116</v>
      </c>
      <c r="M3552" s="195"/>
      <c r="N3552" s="195"/>
      <c r="O3552" s="199"/>
      <c r="P3552" s="188"/>
      <c r="Q3552" s="174">
        <v>0</v>
      </c>
    </row>
    <row r="3553" spans="1:17" ht="14.25" x14ac:dyDescent="0.2">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321</v>
      </c>
      <c r="H3553" s="194" t="s">
        <v>60</v>
      </c>
      <c r="I3553" s="187">
        <v>0.76993560791015625</v>
      </c>
      <c r="J3553" s="187" t="s">
        <v>968</v>
      </c>
      <c r="K3553" s="187" t="s">
        <v>116</v>
      </c>
      <c r="M3553" s="195"/>
      <c r="N3553" s="195"/>
      <c r="O3553" s="199"/>
      <c r="P3553" s="188"/>
      <c r="Q3553" s="174">
        <v>0</v>
      </c>
    </row>
    <row r="3554" spans="1:17" ht="14.25" x14ac:dyDescent="0.2">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324</v>
      </c>
      <c r="H3554" s="194" t="s">
        <v>60</v>
      </c>
      <c r="I3554" s="187">
        <v>0.15484011173248291</v>
      </c>
      <c r="J3554" s="187" t="s">
        <v>968</v>
      </c>
      <c r="K3554" s="187" t="s">
        <v>116</v>
      </c>
      <c r="M3554" s="195"/>
      <c r="N3554" s="195"/>
      <c r="O3554" s="199"/>
      <c r="P3554" s="188"/>
      <c r="Q3554" s="174">
        <v>0</v>
      </c>
    </row>
    <row r="3555" spans="1:17" x14ac:dyDescent="0.2">
      <c r="A3555" s="189">
        <v>419</v>
      </c>
      <c r="B3555" s="249" t="str">
        <f>IF(AND(A3555&lt;&gt;"",ISNUMBER(A3555)),VLOOKUP(A3555,Studies!A:BR,2,FALSE),"")</f>
        <v>Swart 2002</v>
      </c>
      <c r="C3555" s="250" t="str">
        <f>IF(AND(A3555&lt;&gt;"",ISNUMBER(A3555)),VLOOKUP(A3555,Studies!A:BR,3,FALSE),"")</f>
        <v xml:space="preserve">https://www.ncbi.nlm.nih.gov/pubmed/11851636 </v>
      </c>
      <c r="D3555" s="250" t="str">
        <f>IF(AND(A3555&lt;&gt;"",ISNUMBER(A3555)),VLOOKUP(A3555,Studies!A:BR,4,FALSE),"")</f>
        <v>day 5 Control (Perpetrator Placebo)</v>
      </c>
      <c r="E3555" s="250" t="str">
        <f>IF(AND(A3555&lt;&gt;"",ISNUMBER(A3555)),VLOOKUP(A3555,Studies!A:BR,5,FALSE),"")</f>
        <v>Midazolam</v>
      </c>
      <c r="F3555" s="251"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1336</v>
      </c>
      <c r="Q3555" s="183"/>
    </row>
    <row r="3556" spans="1:17" x14ac:dyDescent="0.2">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1337</v>
      </c>
      <c r="Q3563" s="183"/>
    </row>
    <row r="3564" spans="1:17" x14ac:dyDescent="0.2">
      <c r="A3564" s="189">
        <v>420</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10 Control with Perpetrator (Erythromycin)</v>
      </c>
      <c r="E3564" s="250" t="str">
        <f>IF(AND(A3564&lt;&gt;"",ISNUMBER(A3564)),VLOOKUP(A3564,Studies!A:BR,5,FALSE),"")</f>
        <v>Midazolam</v>
      </c>
      <c r="F3564" s="251"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1338</v>
      </c>
      <c r="Q3572" s="183"/>
    </row>
    <row r="3573" spans="1:17" ht="14.25" x14ac:dyDescent="0.2">
      <c r="A3573" s="189">
        <v>421</v>
      </c>
      <c r="B3573" s="249" t="str">
        <f>IF(AND(A3573&lt;&gt;"",ISNUMBER(A3573)),VLOOKUP(A3573,Studies!A:BR,2,FALSE),"")</f>
        <v>Szalat 2007</v>
      </c>
      <c r="C3573" s="250" t="str">
        <f>IF(AND(A3573&lt;&gt;"",ISNUMBER(A3573)),VLOOKUP(A3573,Studies!A:BR,3,FALSE),"")</f>
        <v>https://www.ncbi.nlm.nih.gov/pubmed/17553741</v>
      </c>
      <c r="D3573" s="250" t="str">
        <f>IF(AND(A3573&lt;&gt;"",ISNUMBER(A3573)),VLOOKUP(A3573,Studies!A:BR,4,FALSE),"")</f>
        <v>Control (Perpetrator Placebo)</v>
      </c>
      <c r="E3573" s="250" t="str">
        <f>IF(AND(A3573&lt;&gt;"",ISNUMBER(A3573)),VLOOKUP(A3573,Studies!A:BR,5,FALSE),"")</f>
        <v>Midazolam</v>
      </c>
      <c r="F3573" s="251"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v>1</v>
      </c>
    </row>
    <row r="3574" spans="1:17" ht="14.25" x14ac:dyDescent="0.2">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v>1</v>
      </c>
    </row>
    <row r="3575" spans="1:17" ht="14.25" x14ac:dyDescent="0.2">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v>1</v>
      </c>
    </row>
    <row r="3576" spans="1:17" ht="14.25" x14ac:dyDescent="0.2">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v>1</v>
      </c>
    </row>
    <row r="3577" spans="1:17" ht="14.25" x14ac:dyDescent="0.2">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v>1</v>
      </c>
    </row>
    <row r="3578" spans="1:17" ht="14.25" x14ac:dyDescent="0.2">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v>1</v>
      </c>
    </row>
    <row r="3579" spans="1:17" ht="14.25" x14ac:dyDescent="0.2">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v>1</v>
      </c>
    </row>
    <row r="3580" spans="1:17" ht="14.25" x14ac:dyDescent="0.2">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v>1</v>
      </c>
    </row>
    <row r="3581" spans="1:17" ht="14.25" x14ac:dyDescent="0.2">
      <c r="A3581" s="189">
        <v>422</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with Perpetrator (Rifampicin)</v>
      </c>
      <c r="E3581" s="250" t="str">
        <f>IF(AND(A3581&lt;&gt;"",ISNUMBER(A3581)),VLOOKUP(A3581,Studies!A:BR,5,FALSE),"")</f>
        <v>Midazolam</v>
      </c>
      <c r="F3581" s="251" t="str">
        <f>IF(AND(A3581&lt;&gt;"",ISNUMBER(A3581)),VLOOKUP(A3581,Studies!A:BR,6,FALSE),"")</f>
        <v>Plasma</v>
      </c>
      <c r="G3581" s="194">
        <v>7925</v>
      </c>
      <c r="H3581" s="194" t="s">
        <v>953</v>
      </c>
      <c r="I3581" s="187">
        <v>73.330560000000006</v>
      </c>
      <c r="J3581" s="187" t="s">
        <v>995</v>
      </c>
      <c r="K3581" s="187" t="s">
        <v>116</v>
      </c>
      <c r="L3581" s="195">
        <v>14.370570000000001</v>
      </c>
      <c r="M3581" s="195" t="s">
        <v>995</v>
      </c>
      <c r="N3581" s="195" t="s">
        <v>949</v>
      </c>
      <c r="O3581" s="199">
        <v>2</v>
      </c>
      <c r="P3581" s="188"/>
      <c r="Q3581" s="174">
        <v>1</v>
      </c>
    </row>
    <row r="3582" spans="1:17" ht="14.25" x14ac:dyDescent="0.2">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7935</v>
      </c>
      <c r="H3582" s="194" t="s">
        <v>953</v>
      </c>
      <c r="I3582" s="187">
        <v>34.582790000000003</v>
      </c>
      <c r="J3582" s="187" t="s">
        <v>995</v>
      </c>
      <c r="K3582" s="187" t="s">
        <v>116</v>
      </c>
      <c r="L3582" s="195">
        <v>4.8497659999999998</v>
      </c>
      <c r="M3582" s="195" t="s">
        <v>995</v>
      </c>
      <c r="N3582" s="195" t="s">
        <v>949</v>
      </c>
      <c r="O3582" s="199">
        <v>2</v>
      </c>
      <c r="P3582" s="188"/>
      <c r="Q3582" s="174">
        <v>1</v>
      </c>
    </row>
    <row r="3583" spans="1:17" ht="14.25" x14ac:dyDescent="0.2">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7950</v>
      </c>
      <c r="H3583" s="194" t="s">
        <v>953</v>
      </c>
      <c r="I3583" s="187">
        <v>25.059000000000001</v>
      </c>
      <c r="J3583" s="187" t="s">
        <v>995</v>
      </c>
      <c r="K3583" s="187" t="s">
        <v>116</v>
      </c>
      <c r="L3583" s="195">
        <v>4.204161</v>
      </c>
      <c r="M3583" s="195" t="s">
        <v>995</v>
      </c>
      <c r="N3583" s="195" t="s">
        <v>949</v>
      </c>
      <c r="O3583" s="199">
        <v>2</v>
      </c>
      <c r="P3583" s="188"/>
      <c r="Q3583" s="174">
        <v>1</v>
      </c>
    </row>
    <row r="3584" spans="1:17" ht="14.25" x14ac:dyDescent="0.2">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7980</v>
      </c>
      <c r="H3584" s="194" t="s">
        <v>953</v>
      </c>
      <c r="I3584" s="187">
        <v>17.106480000000001</v>
      </c>
      <c r="J3584" s="187" t="s">
        <v>995</v>
      </c>
      <c r="K3584" s="187" t="s">
        <v>116</v>
      </c>
      <c r="L3584" s="195">
        <v>2.8699629999999998</v>
      </c>
      <c r="M3584" s="195" t="s">
        <v>995</v>
      </c>
      <c r="N3584" s="195" t="s">
        <v>949</v>
      </c>
      <c r="O3584" s="199">
        <v>2</v>
      </c>
      <c r="P3584" s="188"/>
      <c r="Q3584" s="174">
        <v>1</v>
      </c>
    </row>
    <row r="3585" spans="1:17" ht="14.25" x14ac:dyDescent="0.2">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8010</v>
      </c>
      <c r="H3585" s="194" t="s">
        <v>953</v>
      </c>
      <c r="I3585" s="187">
        <v>9.4209180000000003</v>
      </c>
      <c r="J3585" s="187" t="s">
        <v>995</v>
      </c>
      <c r="K3585" s="187" t="s">
        <v>116</v>
      </c>
      <c r="L3585" s="195">
        <v>2.6823190000000001</v>
      </c>
      <c r="M3585" s="195" t="s">
        <v>995</v>
      </c>
      <c r="N3585" s="195" t="s">
        <v>949</v>
      </c>
      <c r="O3585" s="199">
        <v>2</v>
      </c>
      <c r="P3585" s="188"/>
      <c r="Q3585" s="174">
        <v>1</v>
      </c>
    </row>
    <row r="3586" spans="1:17" ht="14.25" x14ac:dyDescent="0.2">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8040</v>
      </c>
      <c r="H3586" s="194" t="s">
        <v>953</v>
      </c>
      <c r="I3586" s="187">
        <v>8.7701130000000003</v>
      </c>
      <c r="J3586" s="187" t="s">
        <v>995</v>
      </c>
      <c r="K3586" s="187" t="s">
        <v>116</v>
      </c>
      <c r="L3586" s="195">
        <v>1.718677</v>
      </c>
      <c r="M3586" s="195" t="s">
        <v>995</v>
      </c>
      <c r="N3586" s="195" t="s">
        <v>949</v>
      </c>
      <c r="O3586" s="199">
        <v>2</v>
      </c>
      <c r="P3586" s="188"/>
      <c r="Q3586" s="174">
        <v>1</v>
      </c>
    </row>
    <row r="3587" spans="1:17" ht="14.25" x14ac:dyDescent="0.2">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8070</v>
      </c>
      <c r="H3587" s="194" t="s">
        <v>953</v>
      </c>
      <c r="I3587" s="187">
        <v>4.9465279999999998</v>
      </c>
      <c r="J3587" s="187" t="s">
        <v>995</v>
      </c>
      <c r="K3587" s="187" t="s">
        <v>116</v>
      </c>
      <c r="L3587" s="195">
        <v>0.56069469999999999</v>
      </c>
      <c r="M3587" s="195" t="s">
        <v>995</v>
      </c>
      <c r="N3587" s="195" t="s">
        <v>949</v>
      </c>
      <c r="O3587" s="199">
        <v>2</v>
      </c>
      <c r="P3587" s="188"/>
      <c r="Q3587" s="174">
        <v>1</v>
      </c>
    </row>
    <row r="3588" spans="1:17" ht="14.25" x14ac:dyDescent="0.2">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8100</v>
      </c>
      <c r="H3588" s="194" t="s">
        <v>953</v>
      </c>
      <c r="I3588" s="187">
        <v>3.850279</v>
      </c>
      <c r="J3588" s="187" t="s">
        <v>995</v>
      </c>
      <c r="K3588" s="187" t="s">
        <v>116</v>
      </c>
      <c r="L3588" s="195">
        <v>0.75453879999999995</v>
      </c>
      <c r="M3588" s="195" t="s">
        <v>995</v>
      </c>
      <c r="N3588" s="195" t="s">
        <v>949</v>
      </c>
      <c r="O3588" s="199">
        <v>2</v>
      </c>
      <c r="P3588" s="188"/>
      <c r="Q3588" s="174">
        <v>1</v>
      </c>
    </row>
    <row r="3589" spans="1:17" ht="14.25" x14ac:dyDescent="0.2">
      <c r="A3589" s="189">
        <v>423</v>
      </c>
      <c r="B3589" s="249" t="str">
        <f>IF(AND(A3589&lt;&gt;"",ISNUMBER(A3589)),VLOOKUP(A3589,Studies!A:BR,2,FALSE),"")</f>
        <v>Templeton 2010</v>
      </c>
      <c r="C3589" s="250" t="str">
        <f>IF(AND(A3589&lt;&gt;"",ISNUMBER(A3589)),VLOOKUP(A3589,Studies!A:BR,3,FALSE),"")</f>
        <v>https://www.ncbi.nlm.nih.gov/pubmed/20739919</v>
      </c>
      <c r="D3589" s="250" t="str">
        <f>IF(AND(A3589&lt;&gt;"",ISNUMBER(A3589)),VLOOKUP(A3589,Studies!A:BR,4,FALSE),"")</f>
        <v>Control (Perpetrator Placebo)</v>
      </c>
      <c r="E3589" s="250" t="str">
        <f>IF(AND(A3589&lt;&gt;"",ISNUMBER(A3589)),VLOOKUP(A3589,Studies!A:BR,5,FALSE),"")</f>
        <v>Midazolam</v>
      </c>
      <c r="F3589" s="251" t="str">
        <f>IF(AND(A3589&lt;&gt;"",ISNUMBER(A3589)),VLOOKUP(A3589,Studies!A:BR,6,FALSE),"")</f>
        <v>Plasma</v>
      </c>
      <c r="G3589" s="194">
        <v>0</v>
      </c>
      <c r="H3589" s="194" t="s">
        <v>60</v>
      </c>
      <c r="I3589" s="187" t="s">
        <v>1032</v>
      </c>
      <c r="J3589" s="187" t="s">
        <v>1033</v>
      </c>
      <c r="K3589" s="187" t="s">
        <v>116</v>
      </c>
      <c r="M3589" s="195"/>
      <c r="N3589" s="195"/>
      <c r="O3589" s="199">
        <v>1</v>
      </c>
      <c r="P3589" s="189" t="s">
        <v>1034</v>
      </c>
      <c r="Q3589" s="174">
        <v>1</v>
      </c>
    </row>
    <row r="3590" spans="1:17" ht="14.25" x14ac:dyDescent="0.2">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0.5</v>
      </c>
      <c r="H3590" s="194" t="s">
        <v>60</v>
      </c>
      <c r="I3590" s="187">
        <v>19.918369999999999</v>
      </c>
      <c r="J3590" s="187" t="s">
        <v>1033</v>
      </c>
      <c r="K3590" s="187" t="s">
        <v>116</v>
      </c>
      <c r="M3590" s="195"/>
      <c r="N3590" s="195"/>
      <c r="O3590" s="199">
        <v>1</v>
      </c>
      <c r="P3590" s="188"/>
      <c r="Q3590" s="174">
        <v>1</v>
      </c>
    </row>
    <row r="3591" spans="1:17" ht="14.25" x14ac:dyDescent="0.2">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1</v>
      </c>
      <c r="H3591" s="194" t="s">
        <v>60</v>
      </c>
      <c r="I3591" s="187">
        <v>16.979590000000002</v>
      </c>
      <c r="J3591" s="187" t="s">
        <v>1033</v>
      </c>
      <c r="K3591" s="187" t="s">
        <v>116</v>
      </c>
      <c r="M3591" s="195"/>
      <c r="N3591" s="195"/>
      <c r="O3591" s="199">
        <v>1</v>
      </c>
      <c r="P3591" s="188"/>
      <c r="Q3591" s="174">
        <v>1</v>
      </c>
    </row>
    <row r="3592" spans="1:17" ht="14.25" x14ac:dyDescent="0.2">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2</v>
      </c>
      <c r="H3592" s="194" t="s">
        <v>60</v>
      </c>
      <c r="I3592" s="187">
        <v>10.775510000000001</v>
      </c>
      <c r="J3592" s="187" t="s">
        <v>1033</v>
      </c>
      <c r="K3592" s="187" t="s">
        <v>116</v>
      </c>
      <c r="M3592" s="195"/>
      <c r="N3592" s="195"/>
      <c r="O3592" s="199">
        <v>1</v>
      </c>
      <c r="P3592" s="188"/>
      <c r="Q3592" s="174">
        <v>1</v>
      </c>
    </row>
    <row r="3593" spans="1:17" ht="14.25" x14ac:dyDescent="0.2">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3</v>
      </c>
      <c r="H3593" s="194" t="s">
        <v>60</v>
      </c>
      <c r="I3593" s="187">
        <v>6.3673469999999996</v>
      </c>
      <c r="J3593" s="187" t="s">
        <v>1033</v>
      </c>
      <c r="K3593" s="187" t="s">
        <v>116</v>
      </c>
      <c r="M3593" s="195"/>
      <c r="N3593" s="195"/>
      <c r="O3593" s="199">
        <v>1</v>
      </c>
      <c r="P3593" s="188"/>
      <c r="Q3593" s="174">
        <v>1</v>
      </c>
    </row>
    <row r="3594" spans="1:17" ht="14.25" x14ac:dyDescent="0.2">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4</v>
      </c>
      <c r="H3594" s="194" t="s">
        <v>60</v>
      </c>
      <c r="I3594" s="187">
        <v>4.0816330000000001</v>
      </c>
      <c r="J3594" s="187" t="s">
        <v>1033</v>
      </c>
      <c r="K3594" s="187" t="s">
        <v>116</v>
      </c>
      <c r="M3594" s="195"/>
      <c r="N3594" s="195"/>
      <c r="O3594" s="199">
        <v>1</v>
      </c>
      <c r="P3594" s="188"/>
      <c r="Q3594" s="174">
        <v>1</v>
      </c>
    </row>
    <row r="3595" spans="1:17" ht="14.25" x14ac:dyDescent="0.2">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6</v>
      </c>
      <c r="H3595" s="194" t="s">
        <v>60</v>
      </c>
      <c r="I3595" s="187">
        <v>2.6122450000000002</v>
      </c>
      <c r="J3595" s="187" t="s">
        <v>1033</v>
      </c>
      <c r="K3595" s="187" t="s">
        <v>116</v>
      </c>
      <c r="M3595" s="195"/>
      <c r="N3595" s="195"/>
      <c r="O3595" s="199">
        <v>1</v>
      </c>
      <c r="P3595" s="188"/>
      <c r="Q3595" s="174">
        <v>1</v>
      </c>
    </row>
    <row r="3596" spans="1:17" ht="14.25" x14ac:dyDescent="0.2">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8</v>
      </c>
      <c r="H3596" s="194" t="s">
        <v>60</v>
      </c>
      <c r="I3596" s="187">
        <v>1.306122</v>
      </c>
      <c r="J3596" s="187" t="s">
        <v>1033</v>
      </c>
      <c r="K3596" s="187" t="s">
        <v>116</v>
      </c>
      <c r="M3596" s="195"/>
      <c r="N3596" s="195"/>
      <c r="O3596" s="199">
        <v>1</v>
      </c>
      <c r="P3596" s="188" t="s">
        <v>1035</v>
      </c>
      <c r="Q3596" s="174">
        <v>1</v>
      </c>
    </row>
    <row r="3597" spans="1:17" ht="14.25" x14ac:dyDescent="0.2">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89">
        <v>12</v>
      </c>
      <c r="H3597" s="194" t="s">
        <v>60</v>
      </c>
      <c r="I3597" s="187">
        <v>1.142857</v>
      </c>
      <c r="J3597" s="187" t="s">
        <v>1033</v>
      </c>
      <c r="K3597" s="187" t="s">
        <v>116</v>
      </c>
      <c r="M3597" s="195"/>
      <c r="N3597" s="195"/>
      <c r="O3597" s="199">
        <v>1</v>
      </c>
      <c r="P3597" s="189" t="s">
        <v>1036</v>
      </c>
      <c r="Q3597" s="174">
        <v>1</v>
      </c>
    </row>
    <row r="3598" spans="1:17" ht="14.25" x14ac:dyDescent="0.2">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94">
        <v>20</v>
      </c>
      <c r="H3598" s="194" t="s">
        <v>60</v>
      </c>
      <c r="I3598" s="187">
        <v>0.1632653</v>
      </c>
      <c r="J3598" s="187" t="s">
        <v>1033</v>
      </c>
      <c r="K3598" s="187" t="s">
        <v>116</v>
      </c>
      <c r="M3598" s="195"/>
      <c r="N3598" s="195"/>
      <c r="O3598" s="199">
        <v>1</v>
      </c>
      <c r="P3598" s="188"/>
      <c r="Q3598" s="174">
        <v>1</v>
      </c>
    </row>
    <row r="3599" spans="1:17" ht="14.25" x14ac:dyDescent="0.2">
      <c r="A3599" s="189">
        <v>424</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with Perpetrator (Itraconazole @ 50 mg)</v>
      </c>
      <c r="E3599" s="250" t="str">
        <f>IF(AND(A3599&lt;&gt;"",ISNUMBER(A3599)),VLOOKUP(A3599,Studies!A:BR,5,FALSE),"")</f>
        <v>Midazolam</v>
      </c>
      <c r="F3599" s="251" t="str">
        <f>IF(AND(A3599&lt;&gt;"",ISNUMBER(A3599)),VLOOKUP(A3599,Studies!A:BR,6,FALSE),"")</f>
        <v>Plasma</v>
      </c>
      <c r="G3599" s="194">
        <v>4</v>
      </c>
      <c r="H3599" s="194" t="s">
        <v>60</v>
      </c>
      <c r="I3599" s="187" t="s">
        <v>1032</v>
      </c>
      <c r="J3599" s="187" t="s">
        <v>1033</v>
      </c>
      <c r="K3599" s="187" t="s">
        <v>116</v>
      </c>
      <c r="M3599" s="195"/>
      <c r="N3599" s="195"/>
      <c r="O3599" s="199">
        <v>1</v>
      </c>
      <c r="P3599" s="188" t="s">
        <v>1037</v>
      </c>
      <c r="Q3599" s="174">
        <v>1</v>
      </c>
    </row>
    <row r="3600" spans="1:17" ht="14.25" x14ac:dyDescent="0.2">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4.5</v>
      </c>
      <c r="H3600" s="194" t="s">
        <v>60</v>
      </c>
      <c r="I3600" s="187">
        <v>29.551020000000001</v>
      </c>
      <c r="J3600" s="187" t="s">
        <v>1033</v>
      </c>
      <c r="K3600" s="187" t="s">
        <v>116</v>
      </c>
      <c r="M3600" s="195"/>
      <c r="N3600" s="195"/>
      <c r="O3600" s="199">
        <v>1</v>
      </c>
      <c r="P3600" s="188" t="s">
        <v>1038</v>
      </c>
      <c r="Q3600" s="174">
        <v>1</v>
      </c>
    </row>
    <row r="3601" spans="1:17" ht="14.25" x14ac:dyDescent="0.2">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5</v>
      </c>
      <c r="H3601" s="194" t="s">
        <v>60</v>
      </c>
      <c r="I3601" s="187">
        <v>29.877549999999999</v>
      </c>
      <c r="J3601" s="187" t="s">
        <v>1033</v>
      </c>
      <c r="K3601" s="187" t="s">
        <v>116</v>
      </c>
      <c r="M3601" s="195"/>
      <c r="N3601" s="195"/>
      <c r="O3601" s="199">
        <v>1</v>
      </c>
      <c r="P3601" s="188" t="s">
        <v>1039</v>
      </c>
      <c r="Q3601" s="174">
        <v>1</v>
      </c>
    </row>
    <row r="3602" spans="1:17" ht="14.25" x14ac:dyDescent="0.2">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6</v>
      </c>
      <c r="H3602" s="194" t="s">
        <v>60</v>
      </c>
      <c r="I3602" s="187">
        <v>21.061219999999999</v>
      </c>
      <c r="J3602" s="187" t="s">
        <v>1033</v>
      </c>
      <c r="K3602" s="187" t="s">
        <v>116</v>
      </c>
      <c r="M3602" s="195"/>
      <c r="N3602" s="195"/>
      <c r="O3602" s="199">
        <v>1</v>
      </c>
      <c r="P3602" s="188" t="s">
        <v>1040</v>
      </c>
      <c r="Q3602" s="174">
        <v>1</v>
      </c>
    </row>
    <row r="3603" spans="1:17" ht="14.25" x14ac:dyDescent="0.2">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7</v>
      </c>
      <c r="H3603" s="194" t="s">
        <v>60</v>
      </c>
      <c r="I3603" s="187">
        <v>12.244899999999999</v>
      </c>
      <c r="J3603" s="187" t="s">
        <v>1033</v>
      </c>
      <c r="K3603" s="187" t="s">
        <v>116</v>
      </c>
      <c r="M3603" s="195"/>
      <c r="N3603" s="195"/>
      <c r="O3603" s="199">
        <v>1</v>
      </c>
      <c r="P3603" s="188" t="s">
        <v>1041</v>
      </c>
      <c r="Q3603" s="174">
        <v>1</v>
      </c>
    </row>
    <row r="3604" spans="1:17" ht="14.25" x14ac:dyDescent="0.2">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8</v>
      </c>
      <c r="H3604" s="194" t="s">
        <v>60</v>
      </c>
      <c r="I3604" s="187">
        <v>8.6530609999999992</v>
      </c>
      <c r="J3604" s="187" t="s">
        <v>1033</v>
      </c>
      <c r="K3604" s="187" t="s">
        <v>116</v>
      </c>
      <c r="M3604" s="195"/>
      <c r="N3604" s="195"/>
      <c r="O3604" s="199">
        <v>1</v>
      </c>
      <c r="P3604" s="188" t="s">
        <v>1042</v>
      </c>
      <c r="Q3604" s="174">
        <v>1</v>
      </c>
    </row>
    <row r="3605" spans="1:17" ht="14.25" x14ac:dyDescent="0.2">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10</v>
      </c>
      <c r="H3605" s="194" t="s">
        <v>60</v>
      </c>
      <c r="I3605" s="187">
        <v>5.5510210000000004</v>
      </c>
      <c r="J3605" s="187" t="s">
        <v>1033</v>
      </c>
      <c r="K3605" s="187" t="s">
        <v>116</v>
      </c>
      <c r="M3605" s="195"/>
      <c r="N3605" s="195"/>
      <c r="O3605" s="199">
        <v>1</v>
      </c>
      <c r="P3605" s="188" t="s">
        <v>1043</v>
      </c>
      <c r="Q3605" s="174">
        <v>1</v>
      </c>
    </row>
    <row r="3606" spans="1:17" ht="14.25" x14ac:dyDescent="0.2">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12</v>
      </c>
      <c r="H3606" s="194" t="s">
        <v>60</v>
      </c>
      <c r="I3606" s="187">
        <v>3.2653059999999998</v>
      </c>
      <c r="J3606" s="187" t="s">
        <v>1033</v>
      </c>
      <c r="K3606" s="187" t="s">
        <v>116</v>
      </c>
      <c r="M3606" s="195"/>
      <c r="N3606" s="195"/>
      <c r="O3606" s="199">
        <v>1</v>
      </c>
      <c r="P3606" s="188" t="s">
        <v>1044</v>
      </c>
      <c r="Q3606" s="174">
        <v>1</v>
      </c>
    </row>
    <row r="3607" spans="1:17" ht="14.25" x14ac:dyDescent="0.2">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16</v>
      </c>
      <c r="H3607" s="194" t="s">
        <v>60</v>
      </c>
      <c r="I3607" s="187">
        <v>1.6326529999999999</v>
      </c>
      <c r="J3607" s="187" t="s">
        <v>1033</v>
      </c>
      <c r="K3607" s="187" t="s">
        <v>116</v>
      </c>
      <c r="M3607" s="195"/>
      <c r="N3607" s="195"/>
      <c r="O3607" s="199">
        <v>1</v>
      </c>
      <c r="P3607" s="188" t="s">
        <v>1045</v>
      </c>
      <c r="Q3607" s="174">
        <v>1</v>
      </c>
    </row>
    <row r="3608" spans="1:17" ht="14.25" x14ac:dyDescent="0.2">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24</v>
      </c>
      <c r="H3608" s="194" t="s">
        <v>60</v>
      </c>
      <c r="I3608" s="187">
        <v>0.81632660000000001</v>
      </c>
      <c r="J3608" s="187" t="s">
        <v>1033</v>
      </c>
      <c r="K3608" s="187" t="s">
        <v>116</v>
      </c>
      <c r="M3608" s="195"/>
      <c r="N3608" s="195"/>
      <c r="O3608" s="199">
        <v>1</v>
      </c>
      <c r="P3608" s="188" t="s">
        <v>1046</v>
      </c>
      <c r="Q3608" s="174">
        <v>1</v>
      </c>
    </row>
    <row r="3609" spans="1:17" ht="14.25" x14ac:dyDescent="0.2">
      <c r="A3609" s="189">
        <v>425</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200 mg)</v>
      </c>
      <c r="E3609" s="250" t="str">
        <f>IF(AND(A3609&lt;&gt;"",ISNUMBER(A3609)),VLOOKUP(A3609,Studies!A:BR,5,FALSE),"")</f>
        <v>Midazolam</v>
      </c>
      <c r="F3609" s="251" t="str">
        <f>IF(AND(A3609&lt;&gt;"",ISNUMBER(A3609)),VLOOKUP(A3609,Studies!A:BR,6,FALSE),"")</f>
        <v>Plasma</v>
      </c>
      <c r="G3609" s="194">
        <v>4</v>
      </c>
      <c r="H3609" s="194" t="s">
        <v>60</v>
      </c>
      <c r="I3609" s="187" t="s">
        <v>1032</v>
      </c>
      <c r="J3609" s="187" t="s">
        <v>1033</v>
      </c>
      <c r="K3609" s="187" t="s">
        <v>116</v>
      </c>
      <c r="M3609" s="195"/>
      <c r="N3609" s="195"/>
      <c r="O3609" s="199">
        <v>1</v>
      </c>
      <c r="P3609" s="188" t="s">
        <v>1037</v>
      </c>
      <c r="Q3609" s="174">
        <v>1</v>
      </c>
    </row>
    <row r="3610" spans="1:17" ht="14.25" x14ac:dyDescent="0.2">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4.5</v>
      </c>
      <c r="H3610" s="194" t="s">
        <v>60</v>
      </c>
      <c r="I3610" s="187">
        <v>49.795920000000002</v>
      </c>
      <c r="J3610" s="187" t="s">
        <v>1033</v>
      </c>
      <c r="K3610" s="187" t="s">
        <v>116</v>
      </c>
      <c r="M3610" s="195"/>
      <c r="N3610" s="195"/>
      <c r="O3610" s="199">
        <v>1</v>
      </c>
      <c r="P3610" s="188" t="s">
        <v>1038</v>
      </c>
      <c r="Q3610" s="174">
        <v>1</v>
      </c>
    </row>
    <row r="3611" spans="1:17" ht="14.25" x14ac:dyDescent="0.2">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5</v>
      </c>
      <c r="H3611" s="194" t="s">
        <v>60</v>
      </c>
      <c r="I3611" s="187">
        <v>48.163269999999997</v>
      </c>
      <c r="J3611" s="187" t="s">
        <v>1033</v>
      </c>
      <c r="K3611" s="187" t="s">
        <v>116</v>
      </c>
      <c r="M3611" s="195"/>
      <c r="N3611" s="195"/>
      <c r="O3611" s="199">
        <v>1</v>
      </c>
      <c r="P3611" s="188" t="s">
        <v>1039</v>
      </c>
      <c r="Q3611" s="174">
        <v>1</v>
      </c>
    </row>
    <row r="3612" spans="1:17" ht="14.25" x14ac:dyDescent="0.2">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6</v>
      </c>
      <c r="H3612" s="194" t="s">
        <v>60</v>
      </c>
      <c r="I3612" s="187">
        <v>34.448979999999999</v>
      </c>
      <c r="J3612" s="187" t="s">
        <v>1033</v>
      </c>
      <c r="K3612" s="187" t="s">
        <v>116</v>
      </c>
      <c r="M3612" s="195"/>
      <c r="N3612" s="195"/>
      <c r="O3612" s="199">
        <v>1</v>
      </c>
      <c r="P3612" s="188" t="s">
        <v>1040</v>
      </c>
      <c r="Q3612" s="174">
        <v>1</v>
      </c>
    </row>
    <row r="3613" spans="1:17" ht="14.25" x14ac:dyDescent="0.2">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7</v>
      </c>
      <c r="H3613" s="194" t="s">
        <v>60</v>
      </c>
      <c r="I3613" s="187">
        <v>22.69388</v>
      </c>
      <c r="J3613" s="187" t="s">
        <v>1033</v>
      </c>
      <c r="K3613" s="187" t="s">
        <v>116</v>
      </c>
      <c r="M3613" s="195"/>
      <c r="N3613" s="195"/>
      <c r="O3613" s="199">
        <v>1</v>
      </c>
      <c r="P3613" s="188" t="s">
        <v>1041</v>
      </c>
      <c r="Q3613" s="174">
        <v>1</v>
      </c>
    </row>
    <row r="3614" spans="1:17" ht="14.25" x14ac:dyDescent="0.2">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8</v>
      </c>
      <c r="H3614" s="194" t="s">
        <v>60</v>
      </c>
      <c r="I3614" s="187">
        <v>16.489799999999999</v>
      </c>
      <c r="J3614" s="187" t="s">
        <v>1033</v>
      </c>
      <c r="K3614" s="187" t="s">
        <v>116</v>
      </c>
      <c r="M3614" s="195"/>
      <c r="N3614" s="195"/>
      <c r="O3614" s="199">
        <v>1</v>
      </c>
      <c r="P3614" s="188" t="s">
        <v>1042</v>
      </c>
      <c r="Q3614" s="174">
        <v>1</v>
      </c>
    </row>
    <row r="3615" spans="1:17" ht="14.25" x14ac:dyDescent="0.2">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10</v>
      </c>
      <c r="H3615" s="194" t="s">
        <v>60</v>
      </c>
      <c r="I3615" s="187">
        <v>13.38776</v>
      </c>
      <c r="J3615" s="187" t="s">
        <v>1033</v>
      </c>
      <c r="K3615" s="187" t="s">
        <v>116</v>
      </c>
      <c r="M3615" s="195"/>
      <c r="N3615" s="195"/>
      <c r="O3615" s="199">
        <v>1</v>
      </c>
      <c r="P3615" s="188" t="s">
        <v>1043</v>
      </c>
      <c r="Q3615" s="174">
        <v>1</v>
      </c>
    </row>
    <row r="3616" spans="1:17" ht="14.25" x14ac:dyDescent="0.2">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12</v>
      </c>
      <c r="H3616" s="194" t="s">
        <v>60</v>
      </c>
      <c r="I3616" s="187">
        <v>9.9591840000000005</v>
      </c>
      <c r="J3616" s="187" t="s">
        <v>1033</v>
      </c>
      <c r="K3616" s="187" t="s">
        <v>116</v>
      </c>
      <c r="M3616" s="195"/>
      <c r="N3616" s="195"/>
      <c r="O3616" s="199">
        <v>1</v>
      </c>
      <c r="P3616" s="188" t="s">
        <v>1044</v>
      </c>
      <c r="Q3616" s="174">
        <v>1</v>
      </c>
    </row>
    <row r="3617" spans="1:17" ht="14.25" x14ac:dyDescent="0.2">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16</v>
      </c>
      <c r="H3617" s="194" t="s">
        <v>60</v>
      </c>
      <c r="I3617" s="187">
        <v>6.0408160000000004</v>
      </c>
      <c r="J3617" s="187" t="s">
        <v>1033</v>
      </c>
      <c r="K3617" s="187" t="s">
        <v>116</v>
      </c>
      <c r="M3617" s="195"/>
      <c r="N3617" s="195"/>
      <c r="O3617" s="199">
        <v>1</v>
      </c>
      <c r="P3617" s="188" t="s">
        <v>1045</v>
      </c>
      <c r="Q3617" s="174">
        <v>1</v>
      </c>
    </row>
    <row r="3618" spans="1:17" ht="14.25" x14ac:dyDescent="0.2">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24</v>
      </c>
      <c r="H3618" s="194" t="s">
        <v>60</v>
      </c>
      <c r="I3618" s="187">
        <v>3.1020409999999998</v>
      </c>
      <c r="J3618" s="187" t="s">
        <v>1033</v>
      </c>
      <c r="K3618" s="187" t="s">
        <v>116</v>
      </c>
      <c r="M3618" s="195"/>
      <c r="N3618" s="195"/>
      <c r="O3618" s="199">
        <v>1</v>
      </c>
      <c r="P3618" s="188" t="s">
        <v>1046</v>
      </c>
      <c r="Q3618" s="174">
        <v>1</v>
      </c>
    </row>
    <row r="3619" spans="1:17" ht="14.25" x14ac:dyDescent="0.2">
      <c r="A3619" s="189">
        <v>426</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400 mg)</v>
      </c>
      <c r="E3619" s="250" t="str">
        <f>IF(AND(A3619&lt;&gt;"",ISNUMBER(A3619)),VLOOKUP(A3619,Studies!A:BR,5,FALSE),"")</f>
        <v>Midazolam</v>
      </c>
      <c r="F3619" s="251" t="str">
        <f>IF(AND(A3619&lt;&gt;"",ISNUMBER(A3619)),VLOOKUP(A3619,Studies!A:BR,6,FALSE),"")</f>
        <v>Plasma</v>
      </c>
      <c r="G3619" s="194">
        <v>4</v>
      </c>
      <c r="H3619" s="194" t="s">
        <v>60</v>
      </c>
      <c r="I3619" s="187" t="s">
        <v>1032</v>
      </c>
      <c r="J3619" s="187" t="s">
        <v>1033</v>
      </c>
      <c r="K3619" s="187" t="s">
        <v>116</v>
      </c>
      <c r="M3619" s="195"/>
      <c r="N3619" s="195"/>
      <c r="O3619" s="199">
        <v>1</v>
      </c>
      <c r="P3619" s="188" t="s">
        <v>1037</v>
      </c>
      <c r="Q3619" s="174">
        <v>1</v>
      </c>
    </row>
    <row r="3620" spans="1:17" ht="14.25" x14ac:dyDescent="0.2">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4.5</v>
      </c>
      <c r="H3620" s="194" t="s">
        <v>60</v>
      </c>
      <c r="I3620" s="187">
        <v>41.469389999999997</v>
      </c>
      <c r="J3620" s="187" t="s">
        <v>1033</v>
      </c>
      <c r="K3620" s="187" t="s">
        <v>116</v>
      </c>
      <c r="M3620" s="195"/>
      <c r="N3620" s="195"/>
      <c r="O3620" s="199">
        <v>1</v>
      </c>
      <c r="P3620" s="188" t="s">
        <v>1038</v>
      </c>
      <c r="Q3620" s="174">
        <v>1</v>
      </c>
    </row>
    <row r="3621" spans="1:17" ht="14.25" x14ac:dyDescent="0.2">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5</v>
      </c>
      <c r="H3621" s="194" t="s">
        <v>60</v>
      </c>
      <c r="I3621" s="187">
        <v>53.061230000000002</v>
      </c>
      <c r="J3621" s="187" t="s">
        <v>1033</v>
      </c>
      <c r="K3621" s="187" t="s">
        <v>116</v>
      </c>
      <c r="M3621" s="195"/>
      <c r="N3621" s="195"/>
      <c r="O3621" s="199">
        <v>1</v>
      </c>
      <c r="P3621" s="188" t="s">
        <v>1039</v>
      </c>
      <c r="Q3621" s="174">
        <v>1</v>
      </c>
    </row>
    <row r="3622" spans="1:17" ht="14.25" x14ac:dyDescent="0.2">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6</v>
      </c>
      <c r="H3622" s="194" t="s">
        <v>60</v>
      </c>
      <c r="I3622" s="187">
        <v>39.836730000000003</v>
      </c>
      <c r="J3622" s="187" t="s">
        <v>1033</v>
      </c>
      <c r="K3622" s="187" t="s">
        <v>116</v>
      </c>
      <c r="M3622" s="195"/>
      <c r="N3622" s="195"/>
      <c r="O3622" s="199">
        <v>1</v>
      </c>
      <c r="P3622" s="188" t="s">
        <v>1040</v>
      </c>
      <c r="Q3622" s="174">
        <v>1</v>
      </c>
    </row>
    <row r="3623" spans="1:17" ht="14.25" x14ac:dyDescent="0.2">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7</v>
      </c>
      <c r="H3623" s="194" t="s">
        <v>60</v>
      </c>
      <c r="I3623" s="187">
        <v>25.632650000000002</v>
      </c>
      <c r="J3623" s="187" t="s">
        <v>1033</v>
      </c>
      <c r="K3623" s="187" t="s">
        <v>116</v>
      </c>
      <c r="M3623" s="195"/>
      <c r="N3623" s="195"/>
      <c r="O3623" s="199">
        <v>1</v>
      </c>
      <c r="P3623" s="188" t="s">
        <v>1041</v>
      </c>
      <c r="Q3623" s="174">
        <v>1</v>
      </c>
    </row>
    <row r="3624" spans="1:17" ht="14.25" x14ac:dyDescent="0.2">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8</v>
      </c>
      <c r="H3624" s="194" t="s">
        <v>60</v>
      </c>
      <c r="I3624" s="187">
        <v>20.408159999999999</v>
      </c>
      <c r="J3624" s="187" t="s">
        <v>1033</v>
      </c>
      <c r="K3624" s="187" t="s">
        <v>116</v>
      </c>
      <c r="M3624" s="195"/>
      <c r="N3624" s="195"/>
      <c r="O3624" s="199">
        <v>1</v>
      </c>
      <c r="P3624" s="188" t="s">
        <v>1042</v>
      </c>
      <c r="Q3624" s="174">
        <v>1</v>
      </c>
    </row>
    <row r="3625" spans="1:17" ht="14.25" x14ac:dyDescent="0.2">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10</v>
      </c>
      <c r="H3625" s="194" t="s">
        <v>60</v>
      </c>
      <c r="I3625" s="187">
        <v>15.183669999999999</v>
      </c>
      <c r="J3625" s="187" t="s">
        <v>1033</v>
      </c>
      <c r="K3625" s="187" t="s">
        <v>116</v>
      </c>
      <c r="M3625" s="195"/>
      <c r="N3625" s="195"/>
      <c r="O3625" s="199">
        <v>1</v>
      </c>
      <c r="P3625" s="188" t="s">
        <v>1043</v>
      </c>
      <c r="Q3625" s="174">
        <v>1</v>
      </c>
    </row>
    <row r="3626" spans="1:17" ht="14.25" x14ac:dyDescent="0.2">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12</v>
      </c>
      <c r="H3626" s="194" t="s">
        <v>60</v>
      </c>
      <c r="I3626" s="187">
        <v>11.755100000000001</v>
      </c>
      <c r="J3626" s="187" t="s">
        <v>1033</v>
      </c>
      <c r="K3626" s="187" t="s">
        <v>116</v>
      </c>
      <c r="M3626" s="195"/>
      <c r="N3626" s="195"/>
      <c r="O3626" s="199">
        <v>1</v>
      </c>
      <c r="P3626" s="188" t="s">
        <v>1047</v>
      </c>
      <c r="Q3626" s="174">
        <v>1</v>
      </c>
    </row>
    <row r="3627" spans="1:17" ht="14.25" x14ac:dyDescent="0.2">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16</v>
      </c>
      <c r="H3627" s="194" t="s">
        <v>60</v>
      </c>
      <c r="I3627" s="187">
        <v>8.4897960000000001</v>
      </c>
      <c r="J3627" s="187" t="s">
        <v>1033</v>
      </c>
      <c r="K3627" s="187" t="s">
        <v>116</v>
      </c>
      <c r="M3627" s="195"/>
      <c r="N3627" s="195"/>
      <c r="O3627" s="199">
        <v>1</v>
      </c>
      <c r="P3627" s="188" t="s">
        <v>1045</v>
      </c>
      <c r="Q3627" s="174">
        <v>1</v>
      </c>
    </row>
    <row r="3628" spans="1:17" ht="14.25" x14ac:dyDescent="0.2">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24</v>
      </c>
      <c r="H3628" s="194" t="s">
        <v>60</v>
      </c>
      <c r="I3628" s="187">
        <v>5.0612240000000002</v>
      </c>
      <c r="J3628" s="187" t="s">
        <v>1033</v>
      </c>
      <c r="K3628" s="187" t="s">
        <v>116</v>
      </c>
      <c r="M3628" s="195"/>
      <c r="N3628" s="195"/>
      <c r="O3628" s="199">
        <v>1</v>
      </c>
      <c r="P3628" s="188" t="s">
        <v>1046</v>
      </c>
      <c r="Q3628" s="174">
        <v>1</v>
      </c>
    </row>
    <row r="3629" spans="1:17" ht="14.25" x14ac:dyDescent="0.2">
      <c r="A3629" s="189">
        <v>427</v>
      </c>
      <c r="B3629" s="249" t="str">
        <f>IF(AND(A3629&lt;&gt;"",ISNUMBER(A3629)),VLOOKUP(A3629,Studies!A:BR,2,FALSE),"")</f>
        <v>Tham 2006</v>
      </c>
      <c r="C3629" s="250" t="str">
        <f>IF(AND(A3629&lt;&gt;"",ISNUMBER(A3629)),VLOOKUP(A3629,Studies!A:BR,3,FALSE),"")</f>
        <v>https://www.ncbi.nlm.nih.gov/pubmed/16628140</v>
      </c>
      <c r="D3629" s="250" t="str">
        <f>IF(AND(A3629&lt;&gt;"",ISNUMBER(A3629)),VLOOKUP(A3629,Studies!A:BR,4,FALSE),"")</f>
        <v>Control (Perpetrator Placebo)</v>
      </c>
      <c r="E3629" s="250" t="str">
        <f>IF(AND(A3629&lt;&gt;"",ISNUMBER(A3629)),VLOOKUP(A3629,Studies!A:BR,5,FALSE),"")</f>
        <v>Midazolam</v>
      </c>
      <c r="F3629" s="251"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v>1</v>
      </c>
    </row>
    <row r="3630" spans="1:17" ht="14.25" x14ac:dyDescent="0.2">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v>1</v>
      </c>
    </row>
    <row r="3631" spans="1:17" ht="14.25" x14ac:dyDescent="0.2">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v>1</v>
      </c>
    </row>
    <row r="3632" spans="1:17" ht="14.25" x14ac:dyDescent="0.2">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v>1</v>
      </c>
    </row>
    <row r="3633" spans="1:17" ht="14.25" x14ac:dyDescent="0.2">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v>1</v>
      </c>
    </row>
    <row r="3634" spans="1:17" ht="14.25" x14ac:dyDescent="0.2">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v>1</v>
      </c>
    </row>
    <row r="3635" spans="1:17" ht="14.25" x14ac:dyDescent="0.2">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v>1</v>
      </c>
    </row>
    <row r="3636" spans="1:17" ht="14.25" x14ac:dyDescent="0.2">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v>1</v>
      </c>
    </row>
    <row r="3637" spans="1:17" ht="14.25" x14ac:dyDescent="0.2">
      <c r="A3637" s="189">
        <v>428</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with Perpetrator (Ketoconazole 50 mg)</v>
      </c>
      <c r="E3637" s="250" t="str">
        <f>IF(AND(A3637&lt;&gt;"",ISNUMBER(A3637)),VLOOKUP(A3637,Studies!A:BR,5,FALSE),"")</f>
        <v>Midazolam</v>
      </c>
      <c r="F3637" s="251"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v>1</v>
      </c>
    </row>
    <row r="3638" spans="1:17" ht="14.25" x14ac:dyDescent="0.2">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v>1</v>
      </c>
    </row>
    <row r="3639" spans="1:17" ht="14.25" x14ac:dyDescent="0.2">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v>1</v>
      </c>
    </row>
    <row r="3640" spans="1:17" ht="14.25" x14ac:dyDescent="0.2">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v>1</v>
      </c>
    </row>
    <row r="3641" spans="1:17" ht="14.25" x14ac:dyDescent="0.2">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v>1</v>
      </c>
    </row>
    <row r="3642" spans="1:17" ht="14.25" x14ac:dyDescent="0.2">
      <c r="A3642" s="183">
        <v>429</v>
      </c>
      <c r="B3642" s="249" t="str">
        <f>IF(AND(A3642&lt;&gt;"",ISNUMBER(A3642)),VLOOKUP(A3642,Studies!A:BR,2,FALSE),"")</f>
        <v>Thummel 1996</v>
      </c>
      <c r="C3642" s="250" t="str">
        <f>IF(AND(A3642&lt;&gt;"",ISNUMBER(A3642)),VLOOKUP(A3642,Studies!A:BR,3,FALSE),"")</f>
        <v>https://www.ncbi.nlm.nih.gov/pubmed/8646820</v>
      </c>
      <c r="D3642" s="250" t="str">
        <f>IF(AND(A3642&lt;&gt;"",ISNUMBER(A3642)),VLOOKUP(A3642,Studies!A:BR,4,FALSE),"")</f>
        <v>iv - female</v>
      </c>
      <c r="E3642" s="250" t="str">
        <f>IF(AND(A3642&lt;&gt;"",ISNUMBER(A3642)),VLOOKUP(A3642,Studies!A:BR,5,FALSE),"")</f>
        <v>Midazolam</v>
      </c>
      <c r="F3642" s="251"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v>0</v>
      </c>
    </row>
    <row r="3643" spans="1:17" ht="14.25" x14ac:dyDescent="0.2">
      <c r="A3643" s="183">
        <v>430</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male</v>
      </c>
      <c r="E3643" s="250" t="str">
        <f>IF(AND(A3643&lt;&gt;"",ISNUMBER(A3643)),VLOOKUP(A3643,Studies!A:BR,5,FALSE),"")</f>
        <v>Midazolam</v>
      </c>
      <c r="F3643" s="251"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v>0</v>
      </c>
    </row>
    <row r="3644" spans="1:17" ht="14.25" x14ac:dyDescent="0.2">
      <c r="A3644" s="183">
        <v>431</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po - female</v>
      </c>
      <c r="E3644" s="250" t="str">
        <f>IF(AND(A3644&lt;&gt;"",ISNUMBER(A3644)),VLOOKUP(A3644,Studies!A:BR,5,FALSE),"")</f>
        <v>Midazolam</v>
      </c>
      <c r="F3644" s="251"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v>0</v>
      </c>
    </row>
    <row r="3645" spans="1:17" ht="14.25" x14ac:dyDescent="0.2">
      <c r="A3645" s="183">
        <v>432</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male</v>
      </c>
      <c r="E3645" s="250" t="str">
        <f>IF(AND(A3645&lt;&gt;"",ISNUMBER(A3645)),VLOOKUP(A3645,Studies!A:BR,5,FALSE),"")</f>
        <v>Midazolam</v>
      </c>
      <c r="F3645" s="251"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v>0</v>
      </c>
    </row>
    <row r="3646" spans="1:17" ht="14.25" x14ac:dyDescent="0.2">
      <c r="A3646" s="183">
        <v>468</v>
      </c>
      <c r="B3646" s="249" t="str">
        <f>IF(AND(A3646&lt;&gt;"",ISNUMBER(A3646)),VLOOKUP(A3646,Studies!A:BR,2,FALSE),"")</f>
        <v>Yeates 1996</v>
      </c>
      <c r="C3646" s="250" t="str">
        <f>IF(AND(A3646&lt;&gt;"",ISNUMBER(A3646)),VLOOKUP(A3646,Studies!A:BR,3,FALSE),"")</f>
        <v>http://www.ncbi.nlm.nih.gov/pubmed/8880291</v>
      </c>
      <c r="D3646" s="250" t="str">
        <f>IF(AND(A3646&lt;&gt;"",ISNUMBER(A3646)),VLOOKUP(A3646,Studies!A:BR,4,FALSE),"")</f>
        <v>Control (Perpetrator Placebo)</v>
      </c>
      <c r="E3646" s="250" t="str">
        <f>IF(AND(A3646&lt;&gt;"",ISNUMBER(A3646)),VLOOKUP(A3646,Studies!A:BR,5,FALSE),"")</f>
        <v>Midazolam</v>
      </c>
      <c r="F3646" s="251" t="str">
        <f>IF(AND(A3646&lt;&gt;"",ISNUMBER(A3646)),VLOOKUP(A3646,Studies!A:BR,6,FALSE),"")</f>
        <v>Plasma</v>
      </c>
      <c r="G3646" s="194">
        <v>0.5</v>
      </c>
      <c r="H3646" s="194" t="s">
        <v>60</v>
      </c>
      <c r="I3646" s="187">
        <v>68.959800720214844</v>
      </c>
      <c r="J3646" s="187" t="s">
        <v>941</v>
      </c>
      <c r="K3646" s="187" t="s">
        <v>116</v>
      </c>
      <c r="L3646" s="195">
        <v>10.762599332829039</v>
      </c>
      <c r="M3646" s="195" t="s">
        <v>941</v>
      </c>
      <c r="N3646" s="195" t="s">
        <v>949</v>
      </c>
      <c r="O3646" s="199"/>
      <c r="P3646" s="188"/>
      <c r="Q3646" s="174">
        <v>0</v>
      </c>
    </row>
    <row r="3647" spans="1:17" ht="14.25" x14ac:dyDescent="0.2">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1</v>
      </c>
      <c r="H3647" s="194" t="s">
        <v>60</v>
      </c>
      <c r="I3647" s="187">
        <v>57.932300567626953</v>
      </c>
      <c r="J3647" s="187" t="s">
        <v>941</v>
      </c>
      <c r="K3647" s="187" t="s">
        <v>116</v>
      </c>
      <c r="L3647" s="195">
        <v>7.851600482499185</v>
      </c>
      <c r="M3647" s="195" t="s">
        <v>941</v>
      </c>
      <c r="N3647" s="195" t="s">
        <v>949</v>
      </c>
      <c r="O3647" s="199"/>
      <c r="P3647" s="188"/>
      <c r="Q3647" s="174">
        <v>0</v>
      </c>
    </row>
    <row r="3648" spans="1:17" ht="14.25" x14ac:dyDescent="0.2">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2</v>
      </c>
      <c r="H3648" s="194" t="s">
        <v>60</v>
      </c>
      <c r="I3648" s="187">
        <v>37.625099182128906</v>
      </c>
      <c r="J3648" s="187" t="s">
        <v>941</v>
      </c>
      <c r="K3648" s="187" t="s">
        <v>116</v>
      </c>
      <c r="L3648" s="195">
        <v>4.6548001004940005</v>
      </c>
      <c r="M3648" s="195" t="s">
        <v>941</v>
      </c>
      <c r="N3648" s="195" t="s">
        <v>949</v>
      </c>
      <c r="O3648" s="199"/>
      <c r="P3648" s="188"/>
      <c r="Q3648" s="174">
        <v>0</v>
      </c>
    </row>
    <row r="3649" spans="1:17" ht="14.25" x14ac:dyDescent="0.2">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3</v>
      </c>
      <c r="H3649" s="194" t="s">
        <v>60</v>
      </c>
      <c r="I3649" s="187">
        <v>26.041898727416992</v>
      </c>
      <c r="J3649" s="187" t="s">
        <v>941</v>
      </c>
      <c r="K3649" s="187" t="s">
        <v>116</v>
      </c>
      <c r="L3649" s="195">
        <v>5.523299919208533</v>
      </c>
      <c r="M3649" s="195" t="s">
        <v>941</v>
      </c>
      <c r="N3649" s="195" t="s">
        <v>949</v>
      </c>
      <c r="O3649" s="199"/>
      <c r="P3649" s="188"/>
      <c r="Q3649" s="174">
        <v>0</v>
      </c>
    </row>
    <row r="3650" spans="1:17" ht="14.25" x14ac:dyDescent="0.2">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4</v>
      </c>
      <c r="H3650" s="194" t="s">
        <v>60</v>
      </c>
      <c r="I3650" s="187">
        <v>16.202600479125977</v>
      </c>
      <c r="J3650" s="187" t="s">
        <v>941</v>
      </c>
      <c r="K3650" s="187" t="s">
        <v>116</v>
      </c>
      <c r="M3650" s="195"/>
      <c r="N3650" s="195"/>
      <c r="O3650" s="199"/>
      <c r="P3650" s="188"/>
      <c r="Q3650" s="174">
        <v>0</v>
      </c>
    </row>
    <row r="3651" spans="1:17" ht="14.25" x14ac:dyDescent="0.2">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5</v>
      </c>
      <c r="H3651" s="194" t="s">
        <v>60</v>
      </c>
      <c r="I3651" s="187">
        <v>11.599600791931152</v>
      </c>
      <c r="J3651" s="187" t="s">
        <v>941</v>
      </c>
      <c r="K3651" s="187" t="s">
        <v>116</v>
      </c>
      <c r="M3651" s="195"/>
      <c r="N3651" s="195"/>
      <c r="O3651" s="199"/>
      <c r="P3651" s="188"/>
      <c r="Q3651" s="174">
        <v>0</v>
      </c>
    </row>
    <row r="3652" spans="1:17" ht="14.25" x14ac:dyDescent="0.2">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6</v>
      </c>
      <c r="H3652" s="194" t="s">
        <v>60</v>
      </c>
      <c r="I3652" s="187">
        <v>9.0313005447387695</v>
      </c>
      <c r="J3652" s="187" t="s">
        <v>941</v>
      </c>
      <c r="K3652" s="187" t="s">
        <v>116</v>
      </c>
      <c r="M3652" s="195"/>
      <c r="N3652" s="195"/>
      <c r="O3652" s="199"/>
      <c r="P3652" s="188"/>
      <c r="Q3652" s="174">
        <v>0</v>
      </c>
    </row>
    <row r="3653" spans="1:17" ht="14.25" x14ac:dyDescent="0.2">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8</v>
      </c>
      <c r="H3653" s="194" t="s">
        <v>60</v>
      </c>
      <c r="I3653" s="187">
        <v>5.059840202331543</v>
      </c>
      <c r="J3653" s="187" t="s">
        <v>941</v>
      </c>
      <c r="K3653" s="187" t="s">
        <v>116</v>
      </c>
      <c r="M3653" s="195"/>
      <c r="N3653" s="195"/>
      <c r="O3653" s="199"/>
      <c r="P3653" s="188"/>
      <c r="Q3653" s="174">
        <v>0</v>
      </c>
    </row>
    <row r="3654" spans="1:17" ht="14.25" x14ac:dyDescent="0.2">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12</v>
      </c>
      <c r="H3654" s="194" t="s">
        <v>60</v>
      </c>
      <c r="I3654" s="187">
        <v>2.6321799755096436</v>
      </c>
      <c r="J3654" s="187" t="s">
        <v>941</v>
      </c>
      <c r="K3654" s="187" t="s">
        <v>116</v>
      </c>
      <c r="M3654" s="195"/>
      <c r="N3654" s="195"/>
      <c r="O3654" s="199"/>
      <c r="P3654" s="188"/>
      <c r="Q3654" s="174">
        <v>0</v>
      </c>
    </row>
    <row r="3655" spans="1:17" ht="14.25" x14ac:dyDescent="0.2">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24</v>
      </c>
      <c r="H3655" s="194" t="s">
        <v>60</v>
      </c>
      <c r="I3655" s="187">
        <v>0.30476799607276917</v>
      </c>
      <c r="J3655" s="187" t="s">
        <v>941</v>
      </c>
      <c r="K3655" s="187" t="s">
        <v>116</v>
      </c>
      <c r="M3655" s="195"/>
      <c r="N3655" s="195"/>
      <c r="O3655" s="199"/>
      <c r="P3655" s="188"/>
      <c r="Q3655" s="174">
        <v>0</v>
      </c>
    </row>
    <row r="3656" spans="1:17" ht="14.25" x14ac:dyDescent="0.2">
      <c r="A3656" s="183">
        <v>469</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with Perpetrator (Clarithromycin)</v>
      </c>
      <c r="E3656" s="250" t="str">
        <f>IF(AND(A3656&lt;&gt;"",ISNUMBER(A3656)),VLOOKUP(A3656,Studies!A:BR,5,FALSE),"")</f>
        <v>Midazolam</v>
      </c>
      <c r="F3656" s="251" t="str">
        <f>IF(AND(A3656&lt;&gt;"",ISNUMBER(A3656)),VLOOKUP(A3656,Studies!A:BR,6,FALSE),"")</f>
        <v>Plasma</v>
      </c>
      <c r="G3656" s="194">
        <v>98</v>
      </c>
      <c r="H3656" s="194" t="s">
        <v>60</v>
      </c>
      <c r="I3656" s="187">
        <v>172.18798828125</v>
      </c>
      <c r="J3656" s="187" t="s">
        <v>941</v>
      </c>
      <c r="K3656" s="187" t="s">
        <v>116</v>
      </c>
      <c r="L3656" s="195">
        <v>33.150999904327087</v>
      </c>
      <c r="M3656" s="195" t="s">
        <v>941</v>
      </c>
      <c r="N3656" s="195" t="s">
        <v>949</v>
      </c>
      <c r="O3656" s="199"/>
      <c r="P3656" s="188"/>
      <c r="Q3656" s="174">
        <v>0</v>
      </c>
    </row>
    <row r="3657" spans="1:17" ht="14.25" x14ac:dyDescent="0.2">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98.5</v>
      </c>
      <c r="H3657" s="194" t="s">
        <v>60</v>
      </c>
      <c r="I3657" s="187">
        <v>127.14100646972656</v>
      </c>
      <c r="J3657" s="187" t="s">
        <v>941</v>
      </c>
      <c r="K3657" s="187" t="s">
        <v>116</v>
      </c>
      <c r="L3657" s="195">
        <v>19.193000375778613</v>
      </c>
      <c r="M3657" s="195" t="s">
        <v>941</v>
      </c>
      <c r="N3657" s="195" t="s">
        <v>949</v>
      </c>
      <c r="O3657" s="199"/>
      <c r="P3657" s="188"/>
      <c r="Q3657" s="174">
        <v>0</v>
      </c>
    </row>
    <row r="3658" spans="1:17" ht="14.25" x14ac:dyDescent="0.2">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99.5</v>
      </c>
      <c r="H3658" s="194" t="s">
        <v>60</v>
      </c>
      <c r="I3658" s="187">
        <v>109.74100494384766</v>
      </c>
      <c r="J3658" s="187" t="s">
        <v>941</v>
      </c>
      <c r="K3658" s="187" t="s">
        <v>116</v>
      </c>
      <c r="L3658" s="195">
        <v>9.0130002212465836</v>
      </c>
      <c r="M3658" s="195" t="s">
        <v>941</v>
      </c>
      <c r="N3658" s="195" t="s">
        <v>949</v>
      </c>
      <c r="O3658" s="199"/>
      <c r="P3658" s="188"/>
      <c r="Q3658" s="174">
        <v>0</v>
      </c>
    </row>
    <row r="3659" spans="1:17" ht="14.25" x14ac:dyDescent="0.2">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100.5</v>
      </c>
      <c r="H3659" s="194" t="s">
        <v>60</v>
      </c>
      <c r="I3659" s="187">
        <v>88.561203002929688</v>
      </c>
      <c r="J3659" s="187" t="s">
        <v>941</v>
      </c>
      <c r="K3659" s="187" t="s">
        <v>116</v>
      </c>
      <c r="L3659" s="195">
        <v>9.8882003415375088</v>
      </c>
      <c r="M3659" s="195" t="s">
        <v>941</v>
      </c>
      <c r="N3659" s="195" t="s">
        <v>949</v>
      </c>
      <c r="O3659" s="199"/>
      <c r="P3659" s="188"/>
      <c r="Q3659" s="174">
        <v>0</v>
      </c>
    </row>
    <row r="3660" spans="1:17" ht="14.25" x14ac:dyDescent="0.2">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101.5</v>
      </c>
      <c r="H3660" s="194" t="s">
        <v>60</v>
      </c>
      <c r="I3660" s="187">
        <v>63.022598266601563</v>
      </c>
      <c r="J3660" s="187" t="s">
        <v>941</v>
      </c>
      <c r="K3660" s="187" t="s">
        <v>116</v>
      </c>
      <c r="L3660" s="195">
        <v>5.8140001757688298</v>
      </c>
      <c r="M3660" s="195" t="s">
        <v>941</v>
      </c>
      <c r="N3660" s="195" t="s">
        <v>949</v>
      </c>
      <c r="O3660" s="199"/>
      <c r="P3660" s="188"/>
      <c r="Q3660" s="174">
        <v>0</v>
      </c>
    </row>
    <row r="3661" spans="1:17" ht="14.25" x14ac:dyDescent="0.2">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102.5</v>
      </c>
      <c r="H3661" s="194" t="s">
        <v>60</v>
      </c>
      <c r="I3661" s="187">
        <v>47.659000396728516</v>
      </c>
      <c r="J3661" s="187" t="s">
        <v>941</v>
      </c>
      <c r="K3661" s="187" t="s">
        <v>116</v>
      </c>
      <c r="L3661" s="195">
        <v>5.8140001757688298</v>
      </c>
      <c r="M3661" s="195" t="s">
        <v>941</v>
      </c>
      <c r="N3661" s="195" t="s">
        <v>949</v>
      </c>
      <c r="O3661" s="199"/>
      <c r="P3661" s="188"/>
      <c r="Q3661" s="174">
        <v>0</v>
      </c>
    </row>
    <row r="3662" spans="1:17" ht="14.25" x14ac:dyDescent="0.2">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103.5</v>
      </c>
      <c r="H3662" s="194" t="s">
        <v>60</v>
      </c>
      <c r="I3662" s="187">
        <v>40.143997192382813</v>
      </c>
      <c r="J3662" s="187" t="s">
        <v>941</v>
      </c>
      <c r="K3662" s="187" t="s">
        <v>116</v>
      </c>
      <c r="L3662" s="195">
        <v>2.0356998965987971</v>
      </c>
      <c r="M3662" s="195" t="s">
        <v>941</v>
      </c>
      <c r="N3662" s="195" t="s">
        <v>949</v>
      </c>
      <c r="O3662" s="199"/>
      <c r="P3662" s="188"/>
      <c r="Q3662" s="174">
        <v>0</v>
      </c>
    </row>
    <row r="3663" spans="1:17" ht="14.25" x14ac:dyDescent="0.2">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105.5</v>
      </c>
      <c r="H3663" s="194" t="s">
        <v>60</v>
      </c>
      <c r="I3663" s="187">
        <v>27.44849967956543</v>
      </c>
      <c r="J3663" s="187" t="s">
        <v>941</v>
      </c>
      <c r="K3663" s="187" t="s">
        <v>116</v>
      </c>
      <c r="M3663" s="195"/>
      <c r="N3663" s="195"/>
      <c r="O3663" s="199"/>
      <c r="P3663" s="188"/>
      <c r="Q3663" s="174">
        <v>0</v>
      </c>
    </row>
    <row r="3664" spans="1:17" ht="14.25" x14ac:dyDescent="0.2">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109.5</v>
      </c>
      <c r="H3664" s="194" t="s">
        <v>60</v>
      </c>
      <c r="I3664" s="187">
        <v>17.753799438476563</v>
      </c>
      <c r="J3664" s="187" t="s">
        <v>941</v>
      </c>
      <c r="K3664" s="187" t="s">
        <v>116</v>
      </c>
      <c r="M3664" s="195"/>
      <c r="N3664" s="195"/>
      <c r="O3664" s="199"/>
      <c r="P3664" s="188"/>
      <c r="Q3664" s="174">
        <v>0</v>
      </c>
    </row>
    <row r="3665" spans="1:17" ht="14.25" x14ac:dyDescent="0.2">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121.5</v>
      </c>
      <c r="H3665" s="194" t="s">
        <v>60</v>
      </c>
      <c r="I3665" s="187">
        <v>6.702399730682373</v>
      </c>
      <c r="J3665" s="187" t="s">
        <v>941</v>
      </c>
      <c r="K3665" s="187" t="s">
        <v>116</v>
      </c>
      <c r="M3665" s="195"/>
      <c r="N3665" s="195"/>
      <c r="O3665" s="199"/>
      <c r="P3665" s="188" t="s">
        <v>1029</v>
      </c>
      <c r="Q3665" s="174">
        <v>0</v>
      </c>
    </row>
    <row r="3666" spans="1:17" ht="14.25" x14ac:dyDescent="0.2">
      <c r="A3666" s="183">
        <v>470</v>
      </c>
      <c r="B3666" s="249" t="str">
        <f>IF(AND(A3666&lt;&gt;"",ISNUMBER(A3666)),VLOOKUP(A3666,Studies!A:BR,2,FALSE),"")</f>
        <v>Zimmermann 1996</v>
      </c>
      <c r="C3666" s="250" t="str">
        <f>IF(AND(A3666&lt;&gt;"",ISNUMBER(A3666)),VLOOKUP(A3666,Studies!A:BR,3,FALSE),"")</f>
        <v>https://www.ncbi.nlm.nih.gov/pubmed/8720318</v>
      </c>
      <c r="D3666" s="250" t="str">
        <f>IF(AND(A3666&lt;&gt;"",ISNUMBER(A3666)),VLOOKUP(A3666,Studies!A:BR,4,FALSE),"")</f>
        <v>Control (Perpetrator Placebo)</v>
      </c>
      <c r="E3666" s="250" t="str">
        <f>IF(AND(A3666&lt;&gt;"",ISNUMBER(A3666)),VLOOKUP(A3666,Studies!A:BR,5,FALSE),"")</f>
        <v>Midazolam</v>
      </c>
      <c r="F3666" s="251" t="str">
        <f>IF(AND(A3666&lt;&gt;"",ISNUMBER(A3666)),VLOOKUP(A3666,Studies!A:BR,6,FALSE),"")</f>
        <v>Plasma</v>
      </c>
      <c r="G3666" s="194">
        <v>0.5</v>
      </c>
      <c r="H3666" s="194" t="s">
        <v>60</v>
      </c>
      <c r="I3666" s="187">
        <v>60.2453235970791</v>
      </c>
      <c r="J3666" s="187" t="s">
        <v>941</v>
      </c>
      <c r="K3666" s="187" t="s">
        <v>116</v>
      </c>
      <c r="M3666" s="195"/>
      <c r="N3666" s="195"/>
      <c r="O3666" s="199"/>
      <c r="P3666" s="188" t="s">
        <v>1029</v>
      </c>
      <c r="Q3666" s="174">
        <v>0</v>
      </c>
    </row>
    <row r="3667" spans="1:17" ht="14.25" x14ac:dyDescent="0.2">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1</v>
      </c>
      <c r="H3667" s="194" t="s">
        <v>60</v>
      </c>
      <c r="I3667" s="187">
        <v>47.118260478143398</v>
      </c>
      <c r="J3667" s="187" t="s">
        <v>941</v>
      </c>
      <c r="K3667" s="187" t="s">
        <v>116</v>
      </c>
      <c r="M3667" s="195"/>
      <c r="N3667" s="195"/>
      <c r="O3667" s="199"/>
      <c r="P3667" s="188" t="s">
        <v>1029</v>
      </c>
      <c r="Q3667" s="174">
        <v>0</v>
      </c>
    </row>
    <row r="3668" spans="1:17" ht="14.25" x14ac:dyDescent="0.2">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2</v>
      </c>
      <c r="H3668" s="194" t="s">
        <v>60</v>
      </c>
      <c r="I3668" s="187">
        <v>29.344303290987199</v>
      </c>
      <c r="J3668" s="187" t="s">
        <v>941</v>
      </c>
      <c r="K3668" s="187" t="s">
        <v>116</v>
      </c>
      <c r="M3668" s="195"/>
      <c r="N3668" s="195"/>
      <c r="O3668" s="199"/>
      <c r="P3668" s="188" t="s">
        <v>1029</v>
      </c>
      <c r="Q3668" s="174">
        <v>0</v>
      </c>
    </row>
    <row r="3669" spans="1:17" ht="14.25" x14ac:dyDescent="0.2">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3</v>
      </c>
      <c r="H3669" s="194" t="s">
        <v>60</v>
      </c>
      <c r="I3669" s="187">
        <v>18.291237371211299</v>
      </c>
      <c r="J3669" s="187" t="s">
        <v>941</v>
      </c>
      <c r="K3669" s="187" t="s">
        <v>116</v>
      </c>
      <c r="M3669" s="195"/>
      <c r="N3669" s="195"/>
      <c r="O3669" s="199"/>
      <c r="P3669" s="188" t="s">
        <v>1029</v>
      </c>
      <c r="Q3669" s="174">
        <v>0</v>
      </c>
    </row>
    <row r="3670" spans="1:17" ht="14.25" x14ac:dyDescent="0.2">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4</v>
      </c>
      <c r="H3670" s="194" t="s">
        <v>60</v>
      </c>
      <c r="I3670" s="187">
        <v>15.126412923877099</v>
      </c>
      <c r="J3670" s="187" t="s">
        <v>941</v>
      </c>
      <c r="K3670" s="187" t="s">
        <v>116</v>
      </c>
      <c r="M3670" s="195"/>
      <c r="N3670" s="195"/>
      <c r="O3670" s="199"/>
      <c r="P3670" s="188" t="s">
        <v>1029</v>
      </c>
      <c r="Q3670" s="174">
        <v>0</v>
      </c>
    </row>
    <row r="3671" spans="1:17" ht="14.25" x14ac:dyDescent="0.2">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5</v>
      </c>
      <c r="H3671" s="194" t="s">
        <v>60</v>
      </c>
      <c r="I3671" s="187">
        <v>12.253801140342</v>
      </c>
      <c r="J3671" s="187" t="s">
        <v>941</v>
      </c>
      <c r="K3671" s="187" t="s">
        <v>116</v>
      </c>
      <c r="M3671" s="195"/>
      <c r="N3671" s="195"/>
      <c r="O3671" s="199"/>
      <c r="P3671" s="188" t="s">
        <v>1029</v>
      </c>
      <c r="Q3671" s="174">
        <v>0</v>
      </c>
    </row>
    <row r="3672" spans="1:17" ht="14.25" x14ac:dyDescent="0.2">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6</v>
      </c>
      <c r="H3672" s="194" t="s">
        <v>60</v>
      </c>
      <c r="I3672" s="187">
        <v>9.3751875562668907</v>
      </c>
      <c r="J3672" s="187" t="s">
        <v>941</v>
      </c>
      <c r="K3672" s="187" t="s">
        <v>116</v>
      </c>
      <c r="M3672" s="195"/>
      <c r="N3672" s="195"/>
      <c r="O3672" s="199"/>
      <c r="P3672" s="188" t="s">
        <v>1029</v>
      </c>
      <c r="Q3672" s="174">
        <v>0</v>
      </c>
    </row>
    <row r="3673" spans="1:17" ht="14.25" x14ac:dyDescent="0.2">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8</v>
      </c>
      <c r="H3673" s="194" t="s">
        <v>60</v>
      </c>
      <c r="I3673" s="187">
        <v>4.2143893167950299</v>
      </c>
      <c r="J3673" s="187" t="s">
        <v>941</v>
      </c>
      <c r="K3673" s="187" t="s">
        <v>116</v>
      </c>
      <c r="M3673" s="195"/>
      <c r="N3673" s="195"/>
      <c r="O3673" s="199"/>
      <c r="P3673" s="188" t="s">
        <v>1029</v>
      </c>
      <c r="Q3673" s="174">
        <v>0</v>
      </c>
    </row>
    <row r="3674" spans="1:17" ht="14.25" x14ac:dyDescent="0.2">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12</v>
      </c>
      <c r="H3674" s="194" t="s">
        <v>60</v>
      </c>
      <c r="I3674" s="187">
        <v>1.7720316094828601</v>
      </c>
      <c r="J3674" s="187" t="s">
        <v>941</v>
      </c>
      <c r="K3674" s="187" t="s">
        <v>116</v>
      </c>
      <c r="M3674" s="195"/>
      <c r="N3674" s="195"/>
      <c r="O3674" s="199"/>
      <c r="P3674" s="188" t="s">
        <v>1029</v>
      </c>
      <c r="Q3674" s="174">
        <v>0</v>
      </c>
    </row>
    <row r="3675" spans="1:17" ht="14.25" x14ac:dyDescent="0.2">
      <c r="A3675" s="183">
        <v>471</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with Perpetrator (Erythromycin)</v>
      </c>
      <c r="E3675" s="250" t="str">
        <f>IF(AND(A3675&lt;&gt;"",ISNUMBER(A3675)),VLOOKUP(A3675,Studies!A:BR,5,FALSE),"")</f>
        <v>Midazolam</v>
      </c>
      <c r="F3675" s="251" t="str">
        <f>IF(AND(A3675&lt;&gt;"",ISNUMBER(A3675)),VLOOKUP(A3675,Studies!A:BR,6,FALSE),"")</f>
        <v>Plasma</v>
      </c>
      <c r="G3675" s="194">
        <v>98</v>
      </c>
      <c r="H3675" s="194" t="s">
        <v>60</v>
      </c>
      <c r="I3675" s="187">
        <v>173.61783535060499</v>
      </c>
      <c r="J3675" s="187" t="s">
        <v>941</v>
      </c>
      <c r="K3675" s="187" t="s">
        <v>116</v>
      </c>
      <c r="M3675" s="195"/>
      <c r="N3675" s="195"/>
      <c r="O3675" s="199"/>
      <c r="P3675" s="188" t="s">
        <v>1029</v>
      </c>
      <c r="Q3675" s="174">
        <v>0</v>
      </c>
    </row>
    <row r="3676" spans="1:17" ht="14.25" x14ac:dyDescent="0.2">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98.5</v>
      </c>
      <c r="H3676" s="194" t="s">
        <v>60</v>
      </c>
      <c r="I3676" s="187">
        <v>111.993973191957</v>
      </c>
      <c r="J3676" s="187" t="s">
        <v>941</v>
      </c>
      <c r="K3676" s="187" t="s">
        <v>116</v>
      </c>
      <c r="M3676" s="195"/>
      <c r="N3676" s="195"/>
      <c r="O3676" s="199"/>
      <c r="P3676" s="188" t="s">
        <v>1029</v>
      </c>
      <c r="Q3676" s="174">
        <v>0</v>
      </c>
    </row>
    <row r="3677" spans="1:17" ht="14.25" x14ac:dyDescent="0.2">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99.5</v>
      </c>
      <c r="H3677" s="194" t="s">
        <v>60</v>
      </c>
      <c r="I3677" s="187">
        <v>86.616484945483606</v>
      </c>
      <c r="J3677" s="187" t="s">
        <v>941</v>
      </c>
      <c r="K3677" s="187" t="s">
        <v>116</v>
      </c>
      <c r="M3677" s="195"/>
      <c r="N3677" s="195"/>
      <c r="O3677" s="199"/>
      <c r="P3677" s="188" t="s">
        <v>1029</v>
      </c>
      <c r="Q3677" s="174">
        <v>0</v>
      </c>
    </row>
    <row r="3678" spans="1:17" ht="14.25" x14ac:dyDescent="0.2">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100.5</v>
      </c>
      <c r="H3678" s="194" t="s">
        <v>60</v>
      </c>
      <c r="I3678" s="187">
        <v>54.814819445833699</v>
      </c>
      <c r="J3678" s="187" t="s">
        <v>941</v>
      </c>
      <c r="K3678" s="187" t="s">
        <v>116</v>
      </c>
      <c r="M3678" s="195"/>
      <c r="N3678" s="195"/>
      <c r="O3678" s="199"/>
      <c r="P3678" s="188" t="s">
        <v>1029</v>
      </c>
      <c r="Q3678" s="174">
        <v>0</v>
      </c>
    </row>
    <row r="3679" spans="1:17" ht="14.25" x14ac:dyDescent="0.2">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101.5</v>
      </c>
      <c r="H3679" s="194" t="s">
        <v>60</v>
      </c>
      <c r="I3679" s="187">
        <v>42.882114634390298</v>
      </c>
      <c r="J3679" s="187" t="s">
        <v>941</v>
      </c>
      <c r="K3679" s="187" t="s">
        <v>116</v>
      </c>
      <c r="M3679" s="195"/>
      <c r="N3679" s="195"/>
      <c r="O3679" s="199"/>
      <c r="P3679" s="188" t="s">
        <v>1029</v>
      </c>
      <c r="Q3679" s="174">
        <v>0</v>
      </c>
    </row>
    <row r="3680" spans="1:17" ht="14.25" x14ac:dyDescent="0.2">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102.5</v>
      </c>
      <c r="H3680" s="194" t="s">
        <v>60</v>
      </c>
      <c r="I3680" s="187">
        <v>35.0418875662698</v>
      </c>
      <c r="J3680" s="187" t="s">
        <v>941</v>
      </c>
      <c r="K3680" s="187" t="s">
        <v>116</v>
      </c>
      <c r="M3680" s="195"/>
      <c r="N3680" s="195"/>
      <c r="O3680" s="199"/>
      <c r="P3680" s="188" t="s">
        <v>1029</v>
      </c>
      <c r="Q3680" s="174">
        <v>0</v>
      </c>
    </row>
    <row r="3681" spans="1:17" ht="14.25" x14ac:dyDescent="0.2">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103.5</v>
      </c>
      <c r="H3681" s="194" t="s">
        <v>60</v>
      </c>
      <c r="I3681" s="187">
        <v>28.659722916875001</v>
      </c>
      <c r="J3681" s="187" t="s">
        <v>941</v>
      </c>
      <c r="K3681" s="187" t="s">
        <v>116</v>
      </c>
      <c r="M3681" s="195"/>
      <c r="N3681" s="195"/>
      <c r="O3681" s="199"/>
      <c r="P3681" s="188" t="s">
        <v>1029</v>
      </c>
      <c r="Q3681" s="174">
        <v>0</v>
      </c>
    </row>
    <row r="3682" spans="1:17" ht="14.25" x14ac:dyDescent="0.2">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105.5</v>
      </c>
      <c r="H3682" s="194" t="s">
        <v>60</v>
      </c>
      <c r="I3682" s="187">
        <v>24.081849554866402</v>
      </c>
      <c r="J3682" s="187" t="s">
        <v>941</v>
      </c>
      <c r="K3682" s="187" t="s">
        <v>116</v>
      </c>
      <c r="M3682" s="195"/>
      <c r="N3682" s="195"/>
      <c r="O3682" s="199"/>
      <c r="P3682" s="188" t="s">
        <v>1029</v>
      </c>
      <c r="Q3682" s="174">
        <v>0</v>
      </c>
    </row>
    <row r="3683" spans="1:17" ht="14.25" x14ac:dyDescent="0.2">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109.5</v>
      </c>
      <c r="H3683" s="194" t="s">
        <v>60</v>
      </c>
      <c r="I3683" s="187">
        <v>15.7982394718415</v>
      </c>
      <c r="J3683" s="187" t="s">
        <v>941</v>
      </c>
      <c r="K3683" s="187" t="s">
        <v>116</v>
      </c>
      <c r="M3683" s="195"/>
      <c r="N3683" s="195"/>
      <c r="O3683" s="199"/>
      <c r="P3683" s="188" t="s">
        <v>1029</v>
      </c>
      <c r="Q3683" s="174">
        <v>0</v>
      </c>
    </row>
    <row r="3684" spans="1:17" ht="14.25" x14ac:dyDescent="0.2">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121.5</v>
      </c>
      <c r="H3684" s="194" t="s">
        <v>60</v>
      </c>
      <c r="I3684" s="187">
        <v>4.3681854556367004</v>
      </c>
      <c r="J3684" s="187" t="s">
        <v>941</v>
      </c>
      <c r="K3684" s="187" t="s">
        <v>116</v>
      </c>
      <c r="M3684" s="195"/>
      <c r="N3684" s="195"/>
      <c r="O3684" s="199"/>
      <c r="P3684" s="188" t="s">
        <v>1029</v>
      </c>
      <c r="Q3684" s="174">
        <v>0</v>
      </c>
    </row>
    <row r="3685" spans="1:17" ht="14.25" x14ac:dyDescent="0.2">
      <c r="A3685" s="183">
        <v>472</v>
      </c>
      <c r="B3685" s="249" t="str">
        <f>IF(AND(A3685&lt;&gt;"",ISNUMBER(A3685)),VLOOKUP(A3685,Studies!A:BR,2,FALSE),"")</f>
        <v>Templeton 2008</v>
      </c>
      <c r="C3685" s="250" t="str">
        <f>IF(AND(A3685&lt;&gt;"",ISNUMBER(A3685)),VLOOKUP(A3685,Studies!A:BR,3,FALSE),"")</f>
        <v>https://www.ncbi.nlm.nih.gov/pubmed/17495874</v>
      </c>
      <c r="D3685" s="250" t="str">
        <f>IF(AND(A3685&lt;&gt;"",ISNUMBER(A3685)),VLOOKUP(A3685,Studies!A:BR,4,FALSE),"")</f>
        <v>ITZ day 1</v>
      </c>
      <c r="E3685" s="250" t="str">
        <f>IF(AND(A3685&lt;&gt;"",ISNUMBER(A3685)),VLOOKUP(A3685,Studies!A:BR,5,FALSE),"")</f>
        <v>Itraconazole</v>
      </c>
      <c r="F3685" s="251" t="str">
        <f>IF(AND(A3685&lt;&gt;"",ISNUMBER(A3685)),VLOOKUP(A3685,Studies!A:BR,6,FALSE),"")</f>
        <v>Plasma</v>
      </c>
      <c r="G3685" s="194">
        <v>0.5</v>
      </c>
      <c r="H3685" s="194" t="s">
        <v>60</v>
      </c>
      <c r="I3685" s="187">
        <v>106.79999738931656</v>
      </c>
      <c r="J3685" s="187" t="s">
        <v>964</v>
      </c>
      <c r="K3685" s="187" t="s">
        <v>116</v>
      </c>
      <c r="M3685" s="195"/>
      <c r="N3685" s="195"/>
      <c r="O3685" s="199"/>
      <c r="P3685" s="188" t="s">
        <v>1026</v>
      </c>
      <c r="Q3685" s="174">
        <v>0</v>
      </c>
    </row>
    <row r="3686" spans="1:17" ht="14.25" x14ac:dyDescent="0.2">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1</v>
      </c>
      <c r="H3686" s="194" t="s">
        <v>60</v>
      </c>
      <c r="I3686" s="187">
        <v>326.80279016494751</v>
      </c>
      <c r="J3686" s="187" t="s">
        <v>964</v>
      </c>
      <c r="K3686" s="187" t="s">
        <v>116</v>
      </c>
      <c r="M3686" s="195"/>
      <c r="N3686" s="195"/>
      <c r="O3686" s="199"/>
      <c r="P3686" s="188" t="s">
        <v>1026</v>
      </c>
      <c r="Q3686" s="174">
        <v>0</v>
      </c>
    </row>
    <row r="3687" spans="1:17" ht="14.25" x14ac:dyDescent="0.2">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2</v>
      </c>
      <c r="H3687" s="194" t="s">
        <v>60</v>
      </c>
      <c r="I3687" s="187">
        <v>259.58868861198425</v>
      </c>
      <c r="J3687" s="187" t="s">
        <v>964</v>
      </c>
      <c r="K3687" s="187" t="s">
        <v>116</v>
      </c>
      <c r="M3687" s="195"/>
      <c r="N3687" s="195"/>
      <c r="O3687" s="199"/>
      <c r="P3687" s="188" t="s">
        <v>1026</v>
      </c>
      <c r="Q3687" s="174">
        <v>0</v>
      </c>
    </row>
    <row r="3688" spans="1:17" ht="14.25" x14ac:dyDescent="0.2">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3</v>
      </c>
      <c r="H3688" s="194" t="s">
        <v>60</v>
      </c>
      <c r="I3688" s="187">
        <v>145.97739279270172</v>
      </c>
      <c r="J3688" s="187" t="s">
        <v>964</v>
      </c>
      <c r="K3688" s="187" t="s">
        <v>116</v>
      </c>
      <c r="M3688" s="195"/>
      <c r="N3688" s="195"/>
      <c r="O3688" s="199"/>
      <c r="P3688" s="188" t="s">
        <v>1026</v>
      </c>
      <c r="Q3688" s="174">
        <v>0</v>
      </c>
    </row>
    <row r="3689" spans="1:17" ht="14.25" x14ac:dyDescent="0.2">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4</v>
      </c>
      <c r="H3689" s="194" t="s">
        <v>60</v>
      </c>
      <c r="I3689" s="187">
        <v>98.368749022483826</v>
      </c>
      <c r="J3689" s="187" t="s">
        <v>964</v>
      </c>
      <c r="K3689" s="187" t="s">
        <v>116</v>
      </c>
      <c r="M3689" s="195"/>
      <c r="N3689" s="195"/>
      <c r="O3689" s="199"/>
      <c r="P3689" s="188" t="s">
        <v>1026</v>
      </c>
      <c r="Q3689" s="174">
        <v>0</v>
      </c>
    </row>
    <row r="3690" spans="1:17" ht="14.25" x14ac:dyDescent="0.2">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6</v>
      </c>
      <c r="H3690" s="194" t="s">
        <v>60</v>
      </c>
      <c r="I3690" s="187">
        <v>83.450429141521454</v>
      </c>
      <c r="J3690" s="187" t="s">
        <v>964</v>
      </c>
      <c r="K3690" s="187" t="s">
        <v>116</v>
      </c>
      <c r="M3690" s="195"/>
      <c r="N3690" s="195"/>
      <c r="O3690" s="199"/>
      <c r="P3690" s="188" t="s">
        <v>1026</v>
      </c>
      <c r="Q3690" s="174">
        <v>0</v>
      </c>
    </row>
    <row r="3691" spans="1:17" ht="14.25" x14ac:dyDescent="0.2">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8</v>
      </c>
      <c r="H3691" s="194" t="s">
        <v>60</v>
      </c>
      <c r="I3691" s="187">
        <v>76.862461864948273</v>
      </c>
      <c r="J3691" s="187" t="s">
        <v>964</v>
      </c>
      <c r="K3691" s="187" t="s">
        <v>116</v>
      </c>
      <c r="M3691" s="195"/>
      <c r="N3691" s="195"/>
      <c r="O3691" s="199"/>
      <c r="P3691" s="188" t="s">
        <v>1026</v>
      </c>
      <c r="Q3691" s="174">
        <v>0</v>
      </c>
    </row>
    <row r="3692" spans="1:17" ht="14.25" x14ac:dyDescent="0.2">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12</v>
      </c>
      <c r="H3692" s="194" t="s">
        <v>60</v>
      </c>
      <c r="I3692" s="187">
        <v>48.496931791305542</v>
      </c>
      <c r="J3692" s="187" t="s">
        <v>964</v>
      </c>
      <c r="K3692" s="187" t="s">
        <v>116</v>
      </c>
      <c r="M3692" s="195"/>
      <c r="N3692" s="195"/>
      <c r="O3692" s="199"/>
      <c r="P3692" s="188" t="s">
        <v>1026</v>
      </c>
      <c r="Q3692" s="174">
        <v>0</v>
      </c>
    </row>
    <row r="3693" spans="1:17" ht="14.25" x14ac:dyDescent="0.2">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24</v>
      </c>
      <c r="H3693" s="194" t="s">
        <v>60</v>
      </c>
      <c r="I3693" s="187">
        <v>34.902550280094147</v>
      </c>
      <c r="J3693" s="187" t="s">
        <v>964</v>
      </c>
      <c r="K3693" s="187" t="s">
        <v>116</v>
      </c>
      <c r="M3693" s="195"/>
      <c r="N3693" s="195"/>
      <c r="O3693" s="199"/>
      <c r="P3693" s="188" t="s">
        <v>1026</v>
      </c>
      <c r="Q3693" s="174">
        <v>0</v>
      </c>
    </row>
    <row r="3694" spans="1:17" ht="14.25" x14ac:dyDescent="0.2">
      <c r="A3694" s="183">
        <v>473</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7</v>
      </c>
      <c r="E3694" s="250" t="str">
        <f>IF(AND(A3694&lt;&gt;"",ISNUMBER(A3694)),VLOOKUP(A3694,Studies!A:BR,5,FALSE),"")</f>
        <v>Itraconazole</v>
      </c>
      <c r="F3694" s="251" t="str">
        <f>IF(AND(A3694&lt;&gt;"",ISNUMBER(A3694)),VLOOKUP(A3694,Studies!A:BR,6,FALSE),"")</f>
        <v>Plasma</v>
      </c>
      <c r="G3694" s="194">
        <v>144</v>
      </c>
      <c r="H3694" s="194" t="s">
        <v>60</v>
      </c>
      <c r="I3694" s="187">
        <v>196.27149403095245</v>
      </c>
      <c r="J3694" s="187" t="s">
        <v>964</v>
      </c>
      <c r="K3694" s="187" t="s">
        <v>116</v>
      </c>
      <c r="M3694" s="195"/>
      <c r="N3694" s="195"/>
      <c r="O3694" s="199"/>
      <c r="P3694" s="188" t="s">
        <v>1026</v>
      </c>
      <c r="Q3694" s="174">
        <v>0</v>
      </c>
    </row>
    <row r="3695" spans="1:17" ht="14.25" x14ac:dyDescent="0.2">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144.5</v>
      </c>
      <c r="H3695" s="194" t="s">
        <v>60</v>
      </c>
      <c r="I3695" s="187">
        <v>517.94737577438354</v>
      </c>
      <c r="J3695" s="187" t="s">
        <v>964</v>
      </c>
      <c r="K3695" s="187" t="s">
        <v>116</v>
      </c>
      <c r="M3695" s="195"/>
      <c r="N3695" s="195"/>
      <c r="O3695" s="199"/>
      <c r="P3695" s="188" t="s">
        <v>1026</v>
      </c>
      <c r="Q3695" s="174">
        <v>0</v>
      </c>
    </row>
    <row r="3696" spans="1:17" ht="14.25" x14ac:dyDescent="0.2">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145</v>
      </c>
      <c r="H3696" s="194" t="s">
        <v>60</v>
      </c>
      <c r="I3696" s="187">
        <v>1140.625</v>
      </c>
      <c r="J3696" s="187" t="s">
        <v>964</v>
      </c>
      <c r="K3696" s="187" t="s">
        <v>116</v>
      </c>
      <c r="M3696" s="195"/>
      <c r="N3696" s="195"/>
      <c r="O3696" s="199"/>
      <c r="P3696" s="188" t="s">
        <v>1026</v>
      </c>
      <c r="Q3696" s="174">
        <v>0</v>
      </c>
    </row>
    <row r="3697" spans="1:17" ht="14.25" x14ac:dyDescent="0.2">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146</v>
      </c>
      <c r="H3697" s="194" t="s">
        <v>60</v>
      </c>
      <c r="I3697" s="187">
        <v>807.50060081481934</v>
      </c>
      <c r="J3697" s="187" t="s">
        <v>964</v>
      </c>
      <c r="K3697" s="187" t="s">
        <v>116</v>
      </c>
      <c r="M3697" s="195"/>
      <c r="N3697" s="195"/>
      <c r="O3697" s="199"/>
      <c r="P3697" s="188" t="s">
        <v>1026</v>
      </c>
      <c r="Q3697" s="174">
        <v>0</v>
      </c>
    </row>
    <row r="3698" spans="1:17" ht="14.25" x14ac:dyDescent="0.2">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147</v>
      </c>
      <c r="H3698" s="194" t="s">
        <v>60</v>
      </c>
      <c r="I3698" s="187">
        <v>620.66489458084106</v>
      </c>
      <c r="J3698" s="187" t="s">
        <v>964</v>
      </c>
      <c r="K3698" s="187" t="s">
        <v>116</v>
      </c>
      <c r="M3698" s="195"/>
      <c r="N3698" s="195"/>
      <c r="O3698" s="199"/>
      <c r="P3698" s="188" t="s">
        <v>1026</v>
      </c>
      <c r="Q3698" s="174">
        <v>0</v>
      </c>
    </row>
    <row r="3699" spans="1:17" ht="14.25" x14ac:dyDescent="0.2">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148</v>
      </c>
      <c r="H3699" s="194" t="s">
        <v>60</v>
      </c>
      <c r="I3699" s="187">
        <v>385.22490859031677</v>
      </c>
      <c r="J3699" s="187" t="s">
        <v>964</v>
      </c>
      <c r="K3699" s="187" t="s">
        <v>116</v>
      </c>
      <c r="M3699" s="195"/>
      <c r="N3699" s="195"/>
      <c r="O3699" s="199"/>
      <c r="P3699" s="188" t="s">
        <v>1026</v>
      </c>
      <c r="Q3699" s="174">
        <v>0</v>
      </c>
    </row>
    <row r="3700" spans="1:17" ht="14.25" x14ac:dyDescent="0.2">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150</v>
      </c>
      <c r="H3700" s="194" t="s">
        <v>60</v>
      </c>
      <c r="I3700" s="187">
        <v>354.81339693069458</v>
      </c>
      <c r="J3700" s="187" t="s">
        <v>964</v>
      </c>
      <c r="K3700" s="187" t="s">
        <v>116</v>
      </c>
      <c r="M3700" s="195"/>
      <c r="N3700" s="195"/>
      <c r="O3700" s="199"/>
      <c r="P3700" s="188" t="s">
        <v>1026</v>
      </c>
      <c r="Q3700" s="174">
        <v>0</v>
      </c>
    </row>
    <row r="3701" spans="1:17" ht="14.25" x14ac:dyDescent="0.2">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152</v>
      </c>
      <c r="H3701" s="194" t="s">
        <v>60</v>
      </c>
      <c r="I3701" s="187">
        <v>263.89339566230774</v>
      </c>
      <c r="J3701" s="187" t="s">
        <v>964</v>
      </c>
      <c r="K3701" s="187" t="s">
        <v>116</v>
      </c>
      <c r="M3701" s="195"/>
      <c r="N3701" s="195"/>
      <c r="O3701" s="199"/>
      <c r="P3701" s="188" t="s">
        <v>1026</v>
      </c>
      <c r="Q3701" s="174">
        <v>0</v>
      </c>
    </row>
    <row r="3702" spans="1:17" ht="14.25" x14ac:dyDescent="0.2">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156</v>
      </c>
      <c r="H3702" s="194" t="s">
        <v>60</v>
      </c>
      <c r="I3702" s="187">
        <v>223.87209534645081</v>
      </c>
      <c r="J3702" s="187" t="s">
        <v>964</v>
      </c>
      <c r="K3702" s="187" t="s">
        <v>116</v>
      </c>
      <c r="M3702" s="195"/>
      <c r="N3702" s="195"/>
      <c r="O3702" s="199"/>
      <c r="P3702" s="188" t="s">
        <v>1026</v>
      </c>
      <c r="Q3702" s="174">
        <v>0</v>
      </c>
    </row>
    <row r="3703" spans="1:17" ht="14.25" x14ac:dyDescent="0.2">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168</v>
      </c>
      <c r="H3703" s="194" t="s">
        <v>60</v>
      </c>
      <c r="I3703" s="187">
        <v>213.09410035610199</v>
      </c>
      <c r="J3703" s="187" t="s">
        <v>964</v>
      </c>
      <c r="K3703" s="187" t="s">
        <v>116</v>
      </c>
      <c r="M3703" s="195"/>
      <c r="N3703" s="195"/>
      <c r="O3703" s="199"/>
      <c r="P3703" s="188" t="s">
        <v>1026</v>
      </c>
      <c r="Q3703" s="174">
        <v>0</v>
      </c>
    </row>
    <row r="3704" spans="1:17" ht="14.25" x14ac:dyDescent="0.2">
      <c r="A3704" s="183">
        <v>474</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OH-ITZ day 1</v>
      </c>
      <c r="E3704" s="250" t="str">
        <f>IF(AND(A3704&lt;&gt;"",ISNUMBER(A3704)),VLOOKUP(A3704,Studies!A:BR,5,FALSE),"")</f>
        <v>Hydroxy-Itraconazole</v>
      </c>
      <c r="F3704" s="251" t="str">
        <f>IF(AND(A3704&lt;&gt;"",ISNUMBER(A3704)),VLOOKUP(A3704,Studies!A:BR,6,FALSE),"")</f>
        <v>Plasma</v>
      </c>
      <c r="G3704" s="194">
        <v>0.5</v>
      </c>
      <c r="H3704" s="194" t="s">
        <v>60</v>
      </c>
      <c r="I3704" s="187">
        <v>86.358629167079926</v>
      </c>
      <c r="J3704" s="187" t="s">
        <v>964</v>
      </c>
      <c r="K3704" s="187" t="s">
        <v>116</v>
      </c>
      <c r="M3704" s="195"/>
      <c r="N3704" s="195"/>
      <c r="O3704" s="199"/>
      <c r="P3704" s="188" t="s">
        <v>1026</v>
      </c>
      <c r="Q3704" s="174">
        <v>0</v>
      </c>
    </row>
    <row r="3705" spans="1:17" ht="14.25" x14ac:dyDescent="0.2">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1</v>
      </c>
      <c r="H3705" s="194" t="s">
        <v>60</v>
      </c>
      <c r="I3705" s="187">
        <v>255.64849376678467</v>
      </c>
      <c r="J3705" s="187" t="s">
        <v>964</v>
      </c>
      <c r="K3705" s="187" t="s">
        <v>116</v>
      </c>
      <c r="M3705" s="195"/>
      <c r="N3705" s="195"/>
      <c r="O3705" s="199"/>
      <c r="P3705" s="188" t="s">
        <v>1026</v>
      </c>
      <c r="Q3705" s="174">
        <v>0</v>
      </c>
    </row>
    <row r="3706" spans="1:17" ht="14.25" x14ac:dyDescent="0.2">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2</v>
      </c>
      <c r="H3706" s="194" t="s">
        <v>60</v>
      </c>
      <c r="I3706" s="187">
        <v>313.91730904579163</v>
      </c>
      <c r="J3706" s="187" t="s">
        <v>964</v>
      </c>
      <c r="K3706" s="187" t="s">
        <v>116</v>
      </c>
      <c r="M3706" s="195"/>
      <c r="N3706" s="195"/>
      <c r="O3706" s="199"/>
      <c r="P3706" s="188" t="s">
        <v>1026</v>
      </c>
      <c r="Q3706" s="174">
        <v>0</v>
      </c>
    </row>
    <row r="3707" spans="1:17" ht="14.25" x14ac:dyDescent="0.2">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3</v>
      </c>
      <c r="H3707" s="194" t="s">
        <v>60</v>
      </c>
      <c r="I3707" s="187">
        <v>255.64849376678467</v>
      </c>
      <c r="J3707" s="187" t="s">
        <v>964</v>
      </c>
      <c r="K3707" s="187" t="s">
        <v>116</v>
      </c>
      <c r="M3707" s="195"/>
      <c r="N3707" s="195"/>
      <c r="O3707" s="199"/>
      <c r="P3707" s="188" t="s">
        <v>1026</v>
      </c>
      <c r="Q3707" s="174">
        <v>0</v>
      </c>
    </row>
    <row r="3708" spans="1:17" ht="14.25" x14ac:dyDescent="0.2">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4</v>
      </c>
      <c r="H3708" s="194" t="s">
        <v>60</v>
      </c>
      <c r="I3708" s="187">
        <v>208.19549262523651</v>
      </c>
      <c r="J3708" s="187" t="s">
        <v>964</v>
      </c>
      <c r="K3708" s="187" t="s">
        <v>116</v>
      </c>
      <c r="M3708" s="195"/>
      <c r="N3708" s="195"/>
      <c r="O3708" s="199"/>
      <c r="P3708" s="188" t="s">
        <v>1026</v>
      </c>
      <c r="Q3708" s="174">
        <v>0</v>
      </c>
    </row>
    <row r="3709" spans="1:17" ht="14.25" x14ac:dyDescent="0.2">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6</v>
      </c>
      <c r="H3709" s="194" t="s">
        <v>60</v>
      </c>
      <c r="I3709" s="187">
        <v>196.33309543132782</v>
      </c>
      <c r="J3709" s="187" t="s">
        <v>964</v>
      </c>
      <c r="K3709" s="187" t="s">
        <v>116</v>
      </c>
      <c r="M3709" s="195"/>
      <c r="N3709" s="195"/>
      <c r="O3709" s="199"/>
      <c r="P3709" s="188" t="s">
        <v>1026</v>
      </c>
      <c r="Q3709" s="174">
        <v>0</v>
      </c>
    </row>
    <row r="3710" spans="1:17" ht="14.25" x14ac:dyDescent="0.2">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8</v>
      </c>
      <c r="H3710" s="194" t="s">
        <v>60</v>
      </c>
      <c r="I3710" s="187">
        <v>170.63120007514954</v>
      </c>
      <c r="J3710" s="187" t="s">
        <v>964</v>
      </c>
      <c r="K3710" s="187" t="s">
        <v>116</v>
      </c>
      <c r="M3710" s="195"/>
      <c r="N3710" s="195"/>
      <c r="O3710" s="199"/>
      <c r="P3710" s="188" t="s">
        <v>1026</v>
      </c>
      <c r="Q3710" s="174">
        <v>0</v>
      </c>
    </row>
    <row r="3711" spans="1:17" ht="14.25" x14ac:dyDescent="0.2">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12</v>
      </c>
      <c r="H3711" s="194" t="s">
        <v>60</v>
      </c>
      <c r="I3711" s="187">
        <v>119.24310028553009</v>
      </c>
      <c r="J3711" s="187" t="s">
        <v>964</v>
      </c>
      <c r="K3711" s="187" t="s">
        <v>116</v>
      </c>
      <c r="M3711" s="195"/>
      <c r="N3711" s="195"/>
      <c r="O3711" s="199"/>
      <c r="P3711" s="188" t="s">
        <v>1026</v>
      </c>
      <c r="Q3711" s="174">
        <v>0</v>
      </c>
    </row>
    <row r="3712" spans="1:17" ht="14.25" x14ac:dyDescent="0.2">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24</v>
      </c>
      <c r="H3712" s="194" t="s">
        <v>60</v>
      </c>
      <c r="I3712" s="187">
        <v>55.618971586227417</v>
      </c>
      <c r="J3712" s="187" t="s">
        <v>964</v>
      </c>
      <c r="K3712" s="187" t="s">
        <v>116</v>
      </c>
      <c r="M3712" s="195"/>
      <c r="N3712" s="195"/>
      <c r="O3712" s="199"/>
      <c r="P3712" s="188" t="s">
        <v>1026</v>
      </c>
      <c r="Q3712" s="174">
        <v>0</v>
      </c>
    </row>
    <row r="3713" spans="1:17" ht="14.25" x14ac:dyDescent="0.2">
      <c r="A3713" s="183">
        <v>475</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7</v>
      </c>
      <c r="E3713" s="250" t="str">
        <f>IF(AND(A3713&lt;&gt;"",ISNUMBER(A3713)),VLOOKUP(A3713,Studies!A:BR,5,FALSE),"")</f>
        <v>Hydroxy-Itraconazole</v>
      </c>
      <c r="F3713" s="251" t="str">
        <f>IF(AND(A3713&lt;&gt;"",ISNUMBER(A3713)),VLOOKUP(A3713,Studies!A:BR,6,FALSE),"")</f>
        <v>Plasma</v>
      </c>
      <c r="G3713" s="194">
        <v>144</v>
      </c>
      <c r="H3713" s="194" t="s">
        <v>60</v>
      </c>
      <c r="I3713" s="187">
        <v>337.80220150947571</v>
      </c>
      <c r="J3713" s="187" t="s">
        <v>964</v>
      </c>
      <c r="K3713" s="187" t="s">
        <v>116</v>
      </c>
      <c r="M3713" s="195"/>
      <c r="N3713" s="195"/>
      <c r="O3713" s="199"/>
      <c r="P3713" s="188" t="s">
        <v>1026</v>
      </c>
      <c r="Q3713" s="174">
        <v>0</v>
      </c>
    </row>
    <row r="3714" spans="1:17" ht="14.25" x14ac:dyDescent="0.2">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144.5</v>
      </c>
      <c r="H3714" s="194" t="s">
        <v>60</v>
      </c>
      <c r="I3714" s="187">
        <v>385.46699285507202</v>
      </c>
      <c r="J3714" s="187" t="s">
        <v>964</v>
      </c>
      <c r="K3714" s="187" t="s">
        <v>116</v>
      </c>
      <c r="M3714" s="195"/>
      <c r="N3714" s="195"/>
      <c r="O3714" s="199"/>
      <c r="P3714" s="188" t="s">
        <v>1026</v>
      </c>
      <c r="Q3714" s="174">
        <v>0</v>
      </c>
    </row>
    <row r="3715" spans="1:17" ht="14.25" x14ac:dyDescent="0.2">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145</v>
      </c>
      <c r="H3715" s="194" t="s">
        <v>60</v>
      </c>
      <c r="I3715" s="187">
        <v>556.18971586227417</v>
      </c>
      <c r="J3715" s="187" t="s">
        <v>964</v>
      </c>
      <c r="K3715" s="187" t="s">
        <v>116</v>
      </c>
      <c r="M3715" s="195"/>
      <c r="N3715" s="195"/>
      <c r="O3715" s="199"/>
      <c r="P3715" s="188" t="s">
        <v>1026</v>
      </c>
      <c r="Q3715" s="174">
        <v>0</v>
      </c>
    </row>
    <row r="3716" spans="1:17" ht="14.25" x14ac:dyDescent="0.2">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146</v>
      </c>
      <c r="H3716" s="194" t="s">
        <v>60</v>
      </c>
      <c r="I3716" s="187">
        <v>598.50811958312988</v>
      </c>
      <c r="J3716" s="187" t="s">
        <v>964</v>
      </c>
      <c r="K3716" s="187" t="s">
        <v>116</v>
      </c>
      <c r="M3716" s="195"/>
      <c r="N3716" s="195"/>
      <c r="O3716" s="199"/>
      <c r="P3716" s="188" t="s">
        <v>1026</v>
      </c>
      <c r="Q3716" s="174">
        <v>0</v>
      </c>
    </row>
    <row r="3717" spans="1:17" ht="14.25" x14ac:dyDescent="0.2">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147</v>
      </c>
      <c r="H3717" s="194" t="s">
        <v>60</v>
      </c>
      <c r="I3717" s="187">
        <v>581.2075138092041</v>
      </c>
      <c r="J3717" s="187" t="s">
        <v>964</v>
      </c>
      <c r="K3717" s="187" t="s">
        <v>116</v>
      </c>
      <c r="M3717" s="195"/>
      <c r="N3717" s="195"/>
      <c r="O3717" s="199"/>
      <c r="P3717" s="188" t="s">
        <v>1026</v>
      </c>
      <c r="Q3717" s="174">
        <v>0</v>
      </c>
    </row>
    <row r="3718" spans="1:17" ht="14.25" x14ac:dyDescent="0.2">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148</v>
      </c>
      <c r="H3718" s="194" t="s">
        <v>60</v>
      </c>
      <c r="I3718" s="187">
        <v>466.43361449241638</v>
      </c>
      <c r="J3718" s="187" t="s">
        <v>964</v>
      </c>
      <c r="K3718" s="187" t="s">
        <v>116</v>
      </c>
      <c r="M3718" s="195"/>
      <c r="N3718" s="195"/>
      <c r="O3718" s="199"/>
      <c r="P3718" s="188" t="s">
        <v>1026</v>
      </c>
      <c r="Q3718" s="174">
        <v>0</v>
      </c>
    </row>
    <row r="3719" spans="1:17" ht="14.25" x14ac:dyDescent="0.2">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150</v>
      </c>
      <c r="H3719" s="194" t="s">
        <v>60</v>
      </c>
      <c r="I3719" s="187">
        <v>548.09200763702393</v>
      </c>
      <c r="J3719" s="187" t="s">
        <v>964</v>
      </c>
      <c r="K3719" s="187" t="s">
        <v>116</v>
      </c>
      <c r="M3719" s="195"/>
      <c r="N3719" s="195"/>
      <c r="O3719" s="199"/>
      <c r="P3719" s="188" t="s">
        <v>1026</v>
      </c>
      <c r="Q3719" s="174">
        <v>0</v>
      </c>
    </row>
    <row r="3720" spans="1:17" ht="14.25" x14ac:dyDescent="0.2">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152</v>
      </c>
      <c r="H3720" s="194" t="s">
        <v>60</v>
      </c>
      <c r="I3720" s="187">
        <v>427.14288830757141</v>
      </c>
      <c r="J3720" s="187" t="s">
        <v>964</v>
      </c>
      <c r="K3720" s="187" t="s">
        <v>116</v>
      </c>
      <c r="M3720" s="195"/>
      <c r="N3720" s="195"/>
      <c r="O3720" s="199"/>
      <c r="P3720" s="188" t="s">
        <v>1026</v>
      </c>
      <c r="Q3720" s="174">
        <v>0</v>
      </c>
    </row>
    <row r="3721" spans="1:17" ht="14.25" x14ac:dyDescent="0.2">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156</v>
      </c>
      <c r="H3721" s="194" t="s">
        <v>60</v>
      </c>
      <c r="I3721" s="187">
        <v>459.64270830154419</v>
      </c>
      <c r="J3721" s="187" t="s">
        <v>964</v>
      </c>
      <c r="K3721" s="187" t="s">
        <v>116</v>
      </c>
      <c r="M3721" s="195"/>
      <c r="N3721" s="195"/>
      <c r="O3721" s="199"/>
      <c r="P3721" s="188" t="s">
        <v>1026</v>
      </c>
      <c r="Q3721" s="174">
        <v>0</v>
      </c>
    </row>
    <row r="3722" spans="1:17" ht="14.25" x14ac:dyDescent="0.2">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168</v>
      </c>
      <c r="H3722" s="194" t="s">
        <v>60</v>
      </c>
      <c r="I3722" s="187">
        <v>352.99670696258545</v>
      </c>
      <c r="J3722" s="187" t="s">
        <v>964</v>
      </c>
      <c r="K3722" s="187" t="s">
        <v>116</v>
      </c>
      <c r="M3722" s="195"/>
      <c r="N3722" s="195"/>
      <c r="O3722" s="199"/>
      <c r="P3722" s="188" t="s">
        <v>1026</v>
      </c>
      <c r="Q3722" s="174">
        <v>0</v>
      </c>
    </row>
    <row r="3723" spans="1:17" ht="14.25" x14ac:dyDescent="0.2">
      <c r="A3723" s="183">
        <v>476</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keto-ITZ day 1</v>
      </c>
      <c r="E3723" s="250" t="str">
        <f>IF(AND(A3723&lt;&gt;"",ISNUMBER(A3723)),VLOOKUP(A3723,Studies!A:BR,5,FALSE),"")</f>
        <v>Keto-Itraconazole</v>
      </c>
      <c r="F3723" s="251" t="str">
        <f>IF(AND(A3723&lt;&gt;"",ISNUMBER(A3723)),VLOOKUP(A3723,Studies!A:BR,6,FALSE),"")</f>
        <v>Plasma</v>
      </c>
      <c r="G3723" s="194">
        <v>0.5</v>
      </c>
      <c r="H3723" s="194" t="s">
        <v>60</v>
      </c>
      <c r="I3723" s="187">
        <v>13.475554063916206</v>
      </c>
      <c r="J3723" s="187" t="s">
        <v>964</v>
      </c>
      <c r="K3723" s="187" t="s">
        <v>116</v>
      </c>
      <c r="M3723" s="195"/>
      <c r="N3723" s="195"/>
      <c r="O3723" s="199"/>
      <c r="P3723" s="188" t="s">
        <v>1026</v>
      </c>
      <c r="Q3723" s="174">
        <v>0</v>
      </c>
    </row>
    <row r="3724" spans="1:17" ht="14.25" x14ac:dyDescent="0.2">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1</v>
      </c>
      <c r="H3724" s="194" t="s">
        <v>60</v>
      </c>
      <c r="I3724" s="187">
        <v>32.466910779476166</v>
      </c>
      <c r="J3724" s="187" t="s">
        <v>964</v>
      </c>
      <c r="K3724" s="187" t="s">
        <v>116</v>
      </c>
      <c r="M3724" s="195"/>
      <c r="N3724" s="195"/>
      <c r="O3724" s="199"/>
      <c r="P3724" s="188" t="s">
        <v>1026</v>
      </c>
      <c r="Q3724" s="174">
        <v>0</v>
      </c>
    </row>
    <row r="3725" spans="1:17" ht="14.25" x14ac:dyDescent="0.2">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2</v>
      </c>
      <c r="H3725" s="194" t="s">
        <v>60</v>
      </c>
      <c r="I3725" s="187">
        <v>31.279444694519043</v>
      </c>
      <c r="J3725" s="187" t="s">
        <v>964</v>
      </c>
      <c r="K3725" s="187" t="s">
        <v>116</v>
      </c>
      <c r="M3725" s="195"/>
      <c r="N3725" s="195"/>
      <c r="O3725" s="199"/>
      <c r="P3725" s="188" t="s">
        <v>1026</v>
      </c>
      <c r="Q3725" s="174">
        <v>0</v>
      </c>
    </row>
    <row r="3726" spans="1:17" ht="14.25" x14ac:dyDescent="0.2">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3</v>
      </c>
      <c r="H3726" s="194" t="s">
        <v>60</v>
      </c>
      <c r="I3726" s="187">
        <v>23.741733282804489</v>
      </c>
      <c r="J3726" s="187" t="s">
        <v>964</v>
      </c>
      <c r="K3726" s="187" t="s">
        <v>116</v>
      </c>
      <c r="M3726" s="195"/>
      <c r="N3726" s="195"/>
      <c r="O3726" s="199"/>
      <c r="P3726" s="188" t="s">
        <v>1026</v>
      </c>
      <c r="Q3726" s="174">
        <v>0</v>
      </c>
    </row>
    <row r="3727" spans="1:17" ht="14.25" x14ac:dyDescent="0.2">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4</v>
      </c>
      <c r="H3727" s="194" t="s">
        <v>60</v>
      </c>
      <c r="I3727" s="187">
        <v>20.151706412434578</v>
      </c>
      <c r="J3727" s="187" t="s">
        <v>964</v>
      </c>
      <c r="K3727" s="187" t="s">
        <v>116</v>
      </c>
      <c r="M3727" s="195"/>
      <c r="N3727" s="195"/>
      <c r="O3727" s="199"/>
      <c r="P3727" s="188" t="s">
        <v>1026</v>
      </c>
      <c r="Q3727" s="174">
        <v>0</v>
      </c>
    </row>
    <row r="3728" spans="1:17" ht="14.25" x14ac:dyDescent="0.2">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6</v>
      </c>
      <c r="H3728" s="194" t="s">
        <v>60</v>
      </c>
      <c r="I3728" s="187">
        <v>16.977541148662567</v>
      </c>
      <c r="J3728" s="187" t="s">
        <v>964</v>
      </c>
      <c r="K3728" s="187" t="s">
        <v>116</v>
      </c>
      <c r="M3728" s="195"/>
      <c r="N3728" s="195"/>
      <c r="O3728" s="199"/>
      <c r="P3728" s="188" t="s">
        <v>1026</v>
      </c>
      <c r="Q3728" s="174">
        <v>0</v>
      </c>
    </row>
    <row r="3729" spans="1:17" ht="14.25" x14ac:dyDescent="0.2">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8</v>
      </c>
      <c r="H3729" s="194" t="s">
        <v>60</v>
      </c>
      <c r="I3729" s="187">
        <v>12.601407244801521</v>
      </c>
      <c r="J3729" s="187" t="s">
        <v>964</v>
      </c>
      <c r="K3729" s="187" t="s">
        <v>116</v>
      </c>
      <c r="M3729" s="195"/>
      <c r="N3729" s="195"/>
      <c r="O3729" s="199"/>
      <c r="P3729" s="188" t="s">
        <v>1026</v>
      </c>
      <c r="Q3729" s="174">
        <v>0</v>
      </c>
    </row>
    <row r="3730" spans="1:17" ht="14.25" x14ac:dyDescent="0.2">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12</v>
      </c>
      <c r="H3730" s="194" t="s">
        <v>60</v>
      </c>
      <c r="I3730" s="187">
        <v>8.6815925315022469</v>
      </c>
      <c r="J3730" s="187" t="s">
        <v>964</v>
      </c>
      <c r="K3730" s="187" t="s">
        <v>116</v>
      </c>
      <c r="M3730" s="195"/>
      <c r="N3730" s="195"/>
      <c r="O3730" s="199"/>
      <c r="P3730" s="188" t="s">
        <v>1026</v>
      </c>
      <c r="Q3730" s="174">
        <v>0</v>
      </c>
    </row>
    <row r="3731" spans="1:17" ht="14.25" x14ac:dyDescent="0.2">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24</v>
      </c>
      <c r="H3731" s="194" t="s">
        <v>60</v>
      </c>
      <c r="I3731" s="187">
        <v>2.9908539727330208</v>
      </c>
      <c r="J3731" s="187" t="s">
        <v>964</v>
      </c>
      <c r="K3731" s="187" t="s">
        <v>116</v>
      </c>
      <c r="M3731" s="195"/>
      <c r="N3731" s="195"/>
      <c r="O3731" s="199"/>
      <c r="P3731" s="188" t="s">
        <v>1026</v>
      </c>
      <c r="Q3731" s="174">
        <v>0</v>
      </c>
    </row>
    <row r="3732" spans="1:17" ht="14.25" x14ac:dyDescent="0.2">
      <c r="A3732" s="183">
        <v>477</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7</v>
      </c>
      <c r="E3732" s="250" t="str">
        <f>IF(AND(A3732&lt;&gt;"",ISNUMBER(A3732)),VLOOKUP(A3732,Studies!A:BR,5,FALSE),"")</f>
        <v>Keto-Itraconazole</v>
      </c>
      <c r="F3732" s="251" t="str">
        <f>IF(AND(A3732&lt;&gt;"",ISNUMBER(A3732)),VLOOKUP(A3732,Studies!A:BR,6,FALSE),"")</f>
        <v>Plasma</v>
      </c>
      <c r="G3732" s="194">
        <v>144</v>
      </c>
      <c r="H3732" s="194" t="s">
        <v>60</v>
      </c>
      <c r="I3732" s="187">
        <v>12.322815135121346</v>
      </c>
      <c r="J3732" s="187" t="s">
        <v>964</v>
      </c>
      <c r="K3732" s="187" t="s">
        <v>116</v>
      </c>
      <c r="M3732" s="195"/>
      <c r="N3732" s="195"/>
      <c r="O3732" s="199"/>
      <c r="P3732" s="188" t="s">
        <v>1026</v>
      </c>
      <c r="Q3732" s="174">
        <v>0</v>
      </c>
    </row>
    <row r="3733" spans="1:17" ht="14.25" x14ac:dyDescent="0.2">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144.5</v>
      </c>
      <c r="H3733" s="194" t="s">
        <v>60</v>
      </c>
      <c r="I3733" s="187">
        <v>18.704574555158615</v>
      </c>
      <c r="J3733" s="187" t="s">
        <v>964</v>
      </c>
      <c r="K3733" s="187" t="s">
        <v>116</v>
      </c>
      <c r="M3733" s="195"/>
      <c r="N3733" s="195"/>
      <c r="O3733" s="199"/>
      <c r="P3733" s="188" t="s">
        <v>1026</v>
      </c>
      <c r="Q3733" s="174">
        <v>0</v>
      </c>
    </row>
    <row r="3734" spans="1:17" ht="14.25" x14ac:dyDescent="0.2">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145</v>
      </c>
      <c r="H3734" s="194" t="s">
        <v>60</v>
      </c>
      <c r="I3734" s="187">
        <v>18.985440954566002</v>
      </c>
      <c r="J3734" s="187" t="s">
        <v>964</v>
      </c>
      <c r="K3734" s="187" t="s">
        <v>116</v>
      </c>
      <c r="M3734" s="195"/>
      <c r="N3734" s="195"/>
      <c r="O3734" s="199"/>
      <c r="P3734" s="188" t="s">
        <v>1026</v>
      </c>
      <c r="Q3734" s="174">
        <v>0</v>
      </c>
    </row>
    <row r="3735" spans="1:17" ht="14.25" x14ac:dyDescent="0.2">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146</v>
      </c>
      <c r="H3735" s="194" t="s">
        <v>60</v>
      </c>
      <c r="I3735" s="187">
        <v>17.491230741143227</v>
      </c>
      <c r="J3735" s="187" t="s">
        <v>964</v>
      </c>
      <c r="K3735" s="187" t="s">
        <v>116</v>
      </c>
      <c r="M3735" s="195"/>
      <c r="N3735" s="195"/>
      <c r="O3735" s="199"/>
      <c r="P3735" s="188" t="s">
        <v>1026</v>
      </c>
      <c r="Q3735" s="174">
        <v>0</v>
      </c>
    </row>
    <row r="3736" spans="1:17" ht="14.25" x14ac:dyDescent="0.2">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147</v>
      </c>
      <c r="H3736" s="194" t="s">
        <v>60</v>
      </c>
      <c r="I3736" s="187">
        <v>16.851494088768959</v>
      </c>
      <c r="J3736" s="187" t="s">
        <v>964</v>
      </c>
      <c r="K3736" s="187" t="s">
        <v>116</v>
      </c>
      <c r="M3736" s="195"/>
      <c r="N3736" s="195"/>
      <c r="O3736" s="199"/>
      <c r="P3736" s="188" t="s">
        <v>1026</v>
      </c>
      <c r="Q3736" s="174">
        <v>0</v>
      </c>
    </row>
    <row r="3737" spans="1:17" ht="14.25" x14ac:dyDescent="0.2">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148</v>
      </c>
      <c r="H3737" s="194" t="s">
        <v>60</v>
      </c>
      <c r="I3737" s="187">
        <v>15.409965068101883</v>
      </c>
      <c r="J3737" s="187" t="s">
        <v>964</v>
      </c>
      <c r="K3737" s="187" t="s">
        <v>116</v>
      </c>
      <c r="M3737" s="195"/>
      <c r="N3737" s="195"/>
      <c r="O3737" s="199"/>
      <c r="P3737" s="188" t="s">
        <v>1026</v>
      </c>
      <c r="Q3737" s="174">
        <v>0</v>
      </c>
    </row>
    <row r="3738" spans="1:17" ht="14.25" x14ac:dyDescent="0.2">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150</v>
      </c>
      <c r="H3738" s="194" t="s">
        <v>60</v>
      </c>
      <c r="I3738" s="187">
        <v>17.886670306324959</v>
      </c>
      <c r="J3738" s="187" t="s">
        <v>964</v>
      </c>
      <c r="K3738" s="187" t="s">
        <v>116</v>
      </c>
      <c r="M3738" s="195"/>
      <c r="N3738" s="195"/>
      <c r="O3738" s="199"/>
      <c r="P3738" s="188" t="s">
        <v>1026</v>
      </c>
      <c r="Q3738" s="174">
        <v>0</v>
      </c>
    </row>
    <row r="3739" spans="1:17" ht="14.25" x14ac:dyDescent="0.2">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152</v>
      </c>
      <c r="H3739" s="194" t="s">
        <v>60</v>
      </c>
      <c r="I3739" s="187">
        <v>16.478937119245529</v>
      </c>
      <c r="J3739" s="187" t="s">
        <v>964</v>
      </c>
      <c r="K3739" s="187" t="s">
        <v>116</v>
      </c>
      <c r="M3739" s="195"/>
      <c r="N3739" s="195"/>
      <c r="O3739" s="199"/>
      <c r="P3739" s="188" t="s">
        <v>1026</v>
      </c>
      <c r="Q3739" s="174">
        <v>0</v>
      </c>
    </row>
    <row r="3740" spans="1:17" ht="14.25" x14ac:dyDescent="0.2">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156</v>
      </c>
      <c r="H3740" s="194" t="s">
        <v>60</v>
      </c>
      <c r="I3740" s="187">
        <v>13.276201672852039</v>
      </c>
      <c r="J3740" s="187" t="s">
        <v>964</v>
      </c>
      <c r="K3740" s="187" t="s">
        <v>116</v>
      </c>
      <c r="M3740" s="195"/>
      <c r="N3740" s="195"/>
      <c r="O3740" s="199"/>
      <c r="P3740" s="188" t="s">
        <v>1026</v>
      </c>
      <c r="Q3740" s="174">
        <v>0</v>
      </c>
    </row>
    <row r="3741" spans="1:17" ht="14.25" x14ac:dyDescent="0.2">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168</v>
      </c>
      <c r="H3741" s="194" t="s">
        <v>60</v>
      </c>
      <c r="I3741" s="187">
        <v>10.775931179523468</v>
      </c>
      <c r="J3741" s="187" t="s">
        <v>964</v>
      </c>
      <c r="K3741" s="187" t="s">
        <v>116</v>
      </c>
      <c r="M3741" s="195"/>
      <c r="N3741" s="195"/>
      <c r="O3741" s="199"/>
      <c r="P3741" s="188" t="s">
        <v>1026</v>
      </c>
      <c r="Q3741" s="174">
        <v>0</v>
      </c>
    </row>
    <row r="3742" spans="1:17" ht="14.25" x14ac:dyDescent="0.2">
      <c r="A3742" s="183">
        <v>478</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ND-OH-ITZ day 1</v>
      </c>
      <c r="E3742" s="250" t="str">
        <f>IF(AND(A3742&lt;&gt;"",ISNUMBER(A3742)),VLOOKUP(A3742,Studies!A:BR,5,FALSE),"")</f>
        <v>N-desalkyl-Itraconazole</v>
      </c>
      <c r="F3742" s="251" t="str">
        <f>IF(AND(A3742&lt;&gt;"",ISNUMBER(A3742)),VLOOKUP(A3742,Studies!A:BR,6,FALSE),"")</f>
        <v>Plasma</v>
      </c>
      <c r="G3742" s="194">
        <v>0.5</v>
      </c>
      <c r="H3742" s="194" t="s">
        <v>60</v>
      </c>
      <c r="I3742" s="187">
        <v>0.2877686929423362</v>
      </c>
      <c r="J3742" s="187" t="s">
        <v>964</v>
      </c>
      <c r="K3742" s="187" t="s">
        <v>116</v>
      </c>
      <c r="M3742" s="195"/>
      <c r="N3742" s="195"/>
      <c r="O3742" s="199"/>
      <c r="P3742" s="188" t="s">
        <v>1026</v>
      </c>
      <c r="Q3742" s="174">
        <v>0</v>
      </c>
    </row>
    <row r="3743" spans="1:17" ht="14.25" x14ac:dyDescent="0.2">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1</v>
      </c>
      <c r="H3743" s="194" t="s">
        <v>60</v>
      </c>
      <c r="I3743" s="187">
        <v>5.9267044998705387</v>
      </c>
      <c r="J3743" s="187" t="s">
        <v>964</v>
      </c>
      <c r="K3743" s="187" t="s">
        <v>116</v>
      </c>
      <c r="M3743" s="195"/>
      <c r="N3743" s="195"/>
      <c r="O3743" s="199"/>
      <c r="P3743" s="188" t="s">
        <v>1026</v>
      </c>
      <c r="Q3743" s="174">
        <v>0</v>
      </c>
    </row>
    <row r="3744" spans="1:17" ht="14.25" x14ac:dyDescent="0.2">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2</v>
      </c>
      <c r="H3744" s="194" t="s">
        <v>60</v>
      </c>
      <c r="I3744" s="187">
        <v>11.648418381810188</v>
      </c>
      <c r="J3744" s="187" t="s">
        <v>964</v>
      </c>
      <c r="K3744" s="187" t="s">
        <v>116</v>
      </c>
      <c r="M3744" s="195"/>
      <c r="N3744" s="195"/>
      <c r="O3744" s="199"/>
      <c r="P3744" s="188" t="s">
        <v>1026</v>
      </c>
      <c r="Q3744" s="174">
        <v>0</v>
      </c>
    </row>
    <row r="3745" spans="1:17" ht="14.25" x14ac:dyDescent="0.2">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3</v>
      </c>
      <c r="H3745" s="194" t="s">
        <v>60</v>
      </c>
      <c r="I3745" s="187">
        <v>12.658562511205673</v>
      </c>
      <c r="J3745" s="187" t="s">
        <v>964</v>
      </c>
      <c r="K3745" s="187" t="s">
        <v>116</v>
      </c>
      <c r="M3745" s="195"/>
      <c r="N3745" s="195"/>
      <c r="O3745" s="199"/>
      <c r="P3745" s="188" t="s">
        <v>1026</v>
      </c>
      <c r="Q3745" s="174">
        <v>0</v>
      </c>
    </row>
    <row r="3746" spans="1:17" ht="14.25" x14ac:dyDescent="0.2">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4</v>
      </c>
      <c r="H3746" s="194" t="s">
        <v>60</v>
      </c>
      <c r="I3746" s="187">
        <v>12.398097664117813</v>
      </c>
      <c r="J3746" s="187" t="s">
        <v>964</v>
      </c>
      <c r="K3746" s="187" t="s">
        <v>116</v>
      </c>
      <c r="M3746" s="195"/>
      <c r="N3746" s="195"/>
      <c r="O3746" s="199"/>
      <c r="P3746" s="188" t="s">
        <v>1026</v>
      </c>
      <c r="Q3746" s="174">
        <v>0</v>
      </c>
    </row>
    <row r="3747" spans="1:17" ht="14.25" x14ac:dyDescent="0.2">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6</v>
      </c>
      <c r="H3747" s="194" t="s">
        <v>60</v>
      </c>
      <c r="I3747" s="187">
        <v>13.614040799438953</v>
      </c>
      <c r="J3747" s="187" t="s">
        <v>964</v>
      </c>
      <c r="K3747" s="187" t="s">
        <v>116</v>
      </c>
      <c r="M3747" s="195"/>
      <c r="N3747" s="195"/>
      <c r="O3747" s="199"/>
      <c r="P3747" s="188" t="s">
        <v>1026</v>
      </c>
      <c r="Q3747" s="174">
        <v>0</v>
      </c>
    </row>
    <row r="3748" spans="1:17" ht="14.25" x14ac:dyDescent="0.2">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8</v>
      </c>
      <c r="H3748" s="194" t="s">
        <v>60</v>
      </c>
      <c r="I3748" s="187">
        <v>12.658562511205673</v>
      </c>
      <c r="J3748" s="187" t="s">
        <v>964</v>
      </c>
      <c r="K3748" s="187" t="s">
        <v>116</v>
      </c>
      <c r="M3748" s="195"/>
      <c r="N3748" s="195"/>
      <c r="O3748" s="199"/>
      <c r="P3748" s="188" t="s">
        <v>1026</v>
      </c>
      <c r="Q3748" s="174">
        <v>0</v>
      </c>
    </row>
    <row r="3749" spans="1:17" ht="14.25" x14ac:dyDescent="0.2">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12</v>
      </c>
      <c r="H3749" s="194" t="s">
        <v>60</v>
      </c>
      <c r="I3749" s="187">
        <v>10.944072157144547</v>
      </c>
      <c r="J3749" s="187" t="s">
        <v>964</v>
      </c>
      <c r="K3749" s="187" t="s">
        <v>116</v>
      </c>
      <c r="M3749" s="195"/>
      <c r="N3749" s="195"/>
      <c r="O3749" s="199"/>
      <c r="P3749" s="188" t="s">
        <v>1026</v>
      </c>
      <c r="Q3749" s="174">
        <v>0</v>
      </c>
    </row>
    <row r="3750" spans="1:17" ht="14.25" x14ac:dyDescent="0.2">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24</v>
      </c>
      <c r="H3750" s="194" t="s">
        <v>60</v>
      </c>
      <c r="I3750" s="187">
        <v>4.6663335524499416</v>
      </c>
      <c r="J3750" s="187" t="s">
        <v>964</v>
      </c>
      <c r="K3750" s="187" t="s">
        <v>116</v>
      </c>
      <c r="M3750" s="195"/>
      <c r="N3750" s="195"/>
      <c r="O3750" s="199"/>
      <c r="P3750" s="188" t="s">
        <v>1026</v>
      </c>
      <c r="Q3750" s="174">
        <v>0</v>
      </c>
    </row>
    <row r="3751" spans="1:17" ht="14.25" x14ac:dyDescent="0.2">
      <c r="A3751" s="183">
        <v>479</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7</v>
      </c>
      <c r="E3751" s="250" t="str">
        <f>IF(AND(A3751&lt;&gt;"",ISNUMBER(A3751)),VLOOKUP(A3751,Studies!A:BR,5,FALSE),"")</f>
        <v>N-desalkyl-Itraconazole</v>
      </c>
      <c r="F3751" s="251" t="str">
        <f>IF(AND(A3751&lt;&gt;"",ISNUMBER(A3751)),VLOOKUP(A3751,Studies!A:BR,6,FALSE),"")</f>
        <v>Plasma</v>
      </c>
      <c r="G3751" s="194">
        <v>144</v>
      </c>
      <c r="H3751" s="194" t="s">
        <v>60</v>
      </c>
      <c r="I3751" s="187">
        <v>15.583961270749569</v>
      </c>
      <c r="J3751" s="187" t="s">
        <v>964</v>
      </c>
      <c r="K3751" s="187" t="s">
        <v>116</v>
      </c>
      <c r="M3751" s="195"/>
      <c r="N3751" s="195"/>
      <c r="O3751" s="199"/>
      <c r="P3751" s="188" t="s">
        <v>1026</v>
      </c>
      <c r="Q3751" s="174">
        <v>0</v>
      </c>
    </row>
    <row r="3752" spans="1:17" ht="14.25" x14ac:dyDescent="0.2">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144.5</v>
      </c>
      <c r="H3752" s="194" t="s">
        <v>60</v>
      </c>
      <c r="I3752" s="187">
        <v>15.746805816888809</v>
      </c>
      <c r="J3752" s="187" t="s">
        <v>964</v>
      </c>
      <c r="K3752" s="187" t="s">
        <v>116</v>
      </c>
      <c r="M3752" s="195"/>
      <c r="N3752" s="195"/>
      <c r="O3752" s="199"/>
      <c r="P3752" s="188" t="s">
        <v>1026</v>
      </c>
      <c r="Q3752" s="174">
        <v>0</v>
      </c>
    </row>
    <row r="3753" spans="1:17" ht="14.25" x14ac:dyDescent="0.2">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145</v>
      </c>
      <c r="H3753" s="194" t="s">
        <v>60</v>
      </c>
      <c r="I3753" s="187">
        <v>17.471861094236374</v>
      </c>
      <c r="J3753" s="187" t="s">
        <v>964</v>
      </c>
      <c r="K3753" s="187" t="s">
        <v>116</v>
      </c>
      <c r="M3753" s="195"/>
      <c r="N3753" s="195"/>
      <c r="O3753" s="199"/>
      <c r="P3753" s="188" t="s">
        <v>1026</v>
      </c>
      <c r="Q3753" s="174">
        <v>0</v>
      </c>
    </row>
    <row r="3754" spans="1:17" ht="14.25" x14ac:dyDescent="0.2">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146</v>
      </c>
      <c r="H3754" s="194" t="s">
        <v>60</v>
      </c>
      <c r="I3754" s="187">
        <v>17.471861094236374</v>
      </c>
      <c r="J3754" s="187" t="s">
        <v>964</v>
      </c>
      <c r="K3754" s="187" t="s">
        <v>116</v>
      </c>
      <c r="M3754" s="195"/>
      <c r="N3754" s="195"/>
      <c r="O3754" s="199"/>
      <c r="P3754" s="188" t="s">
        <v>1026</v>
      </c>
      <c r="Q3754" s="174">
        <v>0</v>
      </c>
    </row>
    <row r="3755" spans="1:17" ht="14.25" x14ac:dyDescent="0.2">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147</v>
      </c>
      <c r="H3755" s="194" t="s">
        <v>60</v>
      </c>
      <c r="I3755" s="187">
        <v>17.471861094236374</v>
      </c>
      <c r="J3755" s="187" t="s">
        <v>964</v>
      </c>
      <c r="K3755" s="187" t="s">
        <v>116</v>
      </c>
      <c r="M3755" s="195"/>
      <c r="N3755" s="195"/>
      <c r="O3755" s="199"/>
      <c r="P3755" s="188" t="s">
        <v>1026</v>
      </c>
      <c r="Q3755" s="174">
        <v>0</v>
      </c>
    </row>
    <row r="3756" spans="1:17" ht="14.25" x14ac:dyDescent="0.2">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148</v>
      </c>
      <c r="H3756" s="194" t="s">
        <v>60</v>
      </c>
      <c r="I3756" s="187">
        <v>15.91135747730732</v>
      </c>
      <c r="J3756" s="187" t="s">
        <v>964</v>
      </c>
      <c r="K3756" s="187" t="s">
        <v>116</v>
      </c>
      <c r="M3756" s="195"/>
      <c r="N3756" s="195"/>
      <c r="O3756" s="199"/>
      <c r="P3756" s="188" t="s">
        <v>1026</v>
      </c>
      <c r="Q3756" s="174">
        <v>0</v>
      </c>
    </row>
    <row r="3757" spans="1:17" ht="14.25" x14ac:dyDescent="0.2">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150</v>
      </c>
      <c r="H3757" s="194" t="s">
        <v>60</v>
      </c>
      <c r="I3757" s="187">
        <v>17.654437571763992</v>
      </c>
      <c r="J3757" s="187" t="s">
        <v>964</v>
      </c>
      <c r="K3757" s="187" t="s">
        <v>116</v>
      </c>
      <c r="M3757" s="195"/>
      <c r="N3757" s="195"/>
      <c r="O3757" s="199"/>
      <c r="P3757" s="188" t="s">
        <v>1026</v>
      </c>
      <c r="Q3757" s="174">
        <v>0</v>
      </c>
    </row>
    <row r="3758" spans="1:17" ht="14.25" x14ac:dyDescent="0.2">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152</v>
      </c>
      <c r="H3758" s="194" t="s">
        <v>60</v>
      </c>
      <c r="I3758" s="187">
        <v>18.02532933652401</v>
      </c>
      <c r="J3758" s="187" t="s">
        <v>964</v>
      </c>
      <c r="K3758" s="187" t="s">
        <v>116</v>
      </c>
      <c r="M3758" s="195"/>
      <c r="N3758" s="195"/>
      <c r="O3758" s="199"/>
      <c r="P3758" s="188" t="s">
        <v>1026</v>
      </c>
      <c r="Q3758" s="174">
        <v>0</v>
      </c>
    </row>
    <row r="3759" spans="1:17" ht="14.25" x14ac:dyDescent="0.2">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156</v>
      </c>
      <c r="H3759" s="194" t="s">
        <v>60</v>
      </c>
      <c r="I3759" s="187">
        <v>18.02532933652401</v>
      </c>
      <c r="J3759" s="187" t="s">
        <v>964</v>
      </c>
      <c r="K3759" s="187" t="s">
        <v>116</v>
      </c>
      <c r="M3759" s="195"/>
      <c r="N3759" s="195"/>
      <c r="O3759" s="199"/>
      <c r="P3759" s="188" t="s">
        <v>1026</v>
      </c>
      <c r="Q3759" s="174">
        <v>0</v>
      </c>
    </row>
    <row r="3760" spans="1:17" ht="14.25" x14ac:dyDescent="0.2">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168</v>
      </c>
      <c r="H3760" s="194" t="s">
        <v>60</v>
      </c>
      <c r="I3760" s="187">
        <v>18.02532933652401</v>
      </c>
      <c r="J3760" s="187" t="s">
        <v>964</v>
      </c>
      <c r="K3760" s="187" t="s">
        <v>116</v>
      </c>
      <c r="M3760" s="195"/>
      <c r="N3760" s="195"/>
      <c r="O3760" s="199"/>
      <c r="P3760" s="188" t="s">
        <v>1026</v>
      </c>
      <c r="Q3760" s="174">
        <v>0</v>
      </c>
    </row>
    <row r="3761" spans="1:17" ht="14.25" x14ac:dyDescent="0.2">
      <c r="A3761" s="183">
        <v>480</v>
      </c>
      <c r="B3761" s="249" t="str">
        <f>IF(AND(A3761&lt;&gt;"",ISNUMBER(A3761)),VLOOKUP(A3761,Studies!A:BR,2,FALSE),"")</f>
        <v>Van de Velde 1996</v>
      </c>
      <c r="C3761" s="250" t="str">
        <f>IF(AND(A3761&lt;&gt;"",ISNUMBER(A3761)),VLOOKUP(A3761,Studies!A:BR,3,FALSE),"")</f>
        <v>https://www.ncbi.nlm.nih.gov/pubmed/8726601</v>
      </c>
      <c r="D3761" s="250" t="str">
        <f>IF(AND(A3761&lt;&gt;"",ISNUMBER(A3761)),VLOOKUP(A3761,Studies!A:BR,4,FALSE),"")</f>
        <v>Fasting ITZ</v>
      </c>
      <c r="E3761" s="250" t="str">
        <f>IF(AND(A3761&lt;&gt;"",ISNUMBER(A3761)),VLOOKUP(A3761,Studies!A:BR,5,FALSE),"")</f>
        <v>Itraconazole</v>
      </c>
      <c r="F3761" s="251" t="str">
        <f>IF(AND(A3761&lt;&gt;"",ISNUMBER(A3761)),VLOOKUP(A3761,Studies!A:BR,6,FALSE),"")</f>
        <v>Plasma</v>
      </c>
      <c r="G3761" s="194">
        <v>0.5</v>
      </c>
      <c r="H3761" s="194" t="s">
        <v>60</v>
      </c>
      <c r="I3761" s="187">
        <v>84.203064441680908</v>
      </c>
      <c r="J3761" s="187" t="s">
        <v>941</v>
      </c>
      <c r="K3761" s="187" t="s">
        <v>116</v>
      </c>
      <c r="M3761" s="195"/>
      <c r="N3761" s="195"/>
      <c r="O3761" s="199"/>
      <c r="P3761" s="188"/>
      <c r="Q3761" s="174">
        <v>0</v>
      </c>
    </row>
    <row r="3762" spans="1:17" ht="14.25" x14ac:dyDescent="0.2">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1</v>
      </c>
      <c r="H3762" s="194" t="s">
        <v>60</v>
      </c>
      <c r="I3762" s="187">
        <v>288.36745023727417</v>
      </c>
      <c r="J3762" s="187" t="s">
        <v>941</v>
      </c>
      <c r="K3762" s="187" t="s">
        <v>116</v>
      </c>
      <c r="M3762" s="195"/>
      <c r="N3762" s="195"/>
      <c r="O3762" s="199"/>
      <c r="P3762" s="188"/>
      <c r="Q3762" s="174">
        <v>0</v>
      </c>
    </row>
    <row r="3763" spans="1:17" ht="14.25" x14ac:dyDescent="0.2">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1.5</v>
      </c>
      <c r="H3763" s="194" t="s">
        <v>60</v>
      </c>
      <c r="I3763" s="187">
        <v>342.28420257568359</v>
      </c>
      <c r="J3763" s="187" t="s">
        <v>941</v>
      </c>
      <c r="K3763" s="187" t="s">
        <v>116</v>
      </c>
      <c r="M3763" s="195"/>
      <c r="N3763" s="195"/>
      <c r="O3763" s="199"/>
      <c r="P3763" s="188"/>
      <c r="Q3763" s="174">
        <v>0</v>
      </c>
    </row>
    <row r="3764" spans="1:17" ht="14.25" x14ac:dyDescent="0.2">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2</v>
      </c>
      <c r="H3764" s="194" t="s">
        <v>60</v>
      </c>
      <c r="I3764" s="187">
        <v>331.7815363407135</v>
      </c>
      <c r="J3764" s="187" t="s">
        <v>941</v>
      </c>
      <c r="K3764" s="187" t="s">
        <v>116</v>
      </c>
      <c r="M3764" s="195"/>
      <c r="N3764" s="195"/>
      <c r="O3764" s="199"/>
      <c r="P3764" s="188"/>
      <c r="Q3764" s="174">
        <v>0</v>
      </c>
    </row>
    <row r="3765" spans="1:17" ht="14.25" x14ac:dyDescent="0.2">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3</v>
      </c>
      <c r="H3765" s="194" t="s">
        <v>60</v>
      </c>
      <c r="I3765" s="187">
        <v>242.94382333755493</v>
      </c>
      <c r="J3765" s="187" t="s">
        <v>941</v>
      </c>
      <c r="K3765" s="187" t="s">
        <v>116</v>
      </c>
      <c r="M3765" s="195"/>
      <c r="N3765" s="195"/>
      <c r="O3765" s="199"/>
      <c r="P3765" s="188"/>
      <c r="Q3765" s="174">
        <v>0</v>
      </c>
    </row>
    <row r="3766" spans="1:17" ht="14.25" x14ac:dyDescent="0.2">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4</v>
      </c>
      <c r="H3766" s="194" t="s">
        <v>60</v>
      </c>
      <c r="I3766" s="187">
        <v>186.40665709972382</v>
      </c>
      <c r="J3766" s="187" t="s">
        <v>941</v>
      </c>
      <c r="K3766" s="187" t="s">
        <v>116</v>
      </c>
      <c r="M3766" s="195"/>
      <c r="N3766" s="195"/>
      <c r="O3766" s="199"/>
      <c r="P3766" s="188"/>
      <c r="Q3766" s="174">
        <v>0</v>
      </c>
    </row>
    <row r="3767" spans="1:17" ht="14.25" x14ac:dyDescent="0.2">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6</v>
      </c>
      <c r="H3767" s="194" t="s">
        <v>60</v>
      </c>
      <c r="I3767" s="187">
        <v>106.37455433607101</v>
      </c>
      <c r="J3767" s="187" t="s">
        <v>941</v>
      </c>
      <c r="K3767" s="187" t="s">
        <v>116</v>
      </c>
      <c r="M3767" s="195"/>
      <c r="N3767" s="195"/>
      <c r="O3767" s="199"/>
      <c r="P3767" s="188"/>
      <c r="Q3767" s="174">
        <v>0</v>
      </c>
    </row>
    <row r="3768" spans="1:17" ht="14.25" x14ac:dyDescent="0.2">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8</v>
      </c>
      <c r="H3768" s="194" t="s">
        <v>60</v>
      </c>
      <c r="I3768" s="187">
        <v>84.203064441680908</v>
      </c>
      <c r="J3768" s="187" t="s">
        <v>941</v>
      </c>
      <c r="K3768" s="187" t="s">
        <v>116</v>
      </c>
      <c r="M3768" s="195"/>
      <c r="N3768" s="195"/>
      <c r="O3768" s="199"/>
      <c r="P3768" s="188"/>
      <c r="Q3768" s="174">
        <v>0</v>
      </c>
    </row>
    <row r="3769" spans="1:17" ht="14.25" x14ac:dyDescent="0.2">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24</v>
      </c>
      <c r="H3769" s="194" t="s">
        <v>60</v>
      </c>
      <c r="I3769" s="187">
        <v>33.578090369701385</v>
      </c>
      <c r="J3769" s="187" t="s">
        <v>941</v>
      </c>
      <c r="K3769" s="187" t="s">
        <v>116</v>
      </c>
      <c r="M3769" s="195"/>
      <c r="N3769" s="195"/>
      <c r="O3769" s="199"/>
      <c r="P3769" s="188"/>
      <c r="Q3769" s="174">
        <v>0</v>
      </c>
    </row>
    <row r="3770" spans="1:17" ht="14.25" x14ac:dyDescent="0.2">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32</v>
      </c>
      <c r="H3770" s="194" t="s">
        <v>60</v>
      </c>
      <c r="I3770" s="187">
        <v>26.168501004576683</v>
      </c>
      <c r="J3770" s="187" t="s">
        <v>941</v>
      </c>
      <c r="K3770" s="187" t="s">
        <v>116</v>
      </c>
      <c r="M3770" s="195"/>
      <c r="N3770" s="195"/>
      <c r="O3770" s="199"/>
      <c r="P3770" s="188"/>
      <c r="Q3770" s="174">
        <v>0</v>
      </c>
    </row>
    <row r="3771" spans="1:17" ht="14.25" x14ac:dyDescent="0.2">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48</v>
      </c>
      <c r="H3771" s="194" t="s">
        <v>60</v>
      </c>
      <c r="I3771" s="187">
        <v>16.654307022690773</v>
      </c>
      <c r="J3771" s="187" t="s">
        <v>941</v>
      </c>
      <c r="K3771" s="187" t="s">
        <v>116</v>
      </c>
      <c r="M3771" s="195"/>
      <c r="N3771" s="195"/>
      <c r="O3771" s="199"/>
      <c r="P3771" s="188"/>
      <c r="Q3771" s="174">
        <v>0</v>
      </c>
    </row>
    <row r="3772" spans="1:17" ht="14.25" x14ac:dyDescent="0.2">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56</v>
      </c>
      <c r="H3772" s="194" t="s">
        <v>60</v>
      </c>
      <c r="I3772" s="187">
        <v>13.183076865971088</v>
      </c>
      <c r="J3772" s="187" t="s">
        <v>941</v>
      </c>
      <c r="K3772" s="187" t="s">
        <v>116</v>
      </c>
      <c r="M3772" s="195"/>
      <c r="N3772" s="195"/>
      <c r="O3772" s="199"/>
      <c r="P3772" s="188"/>
      <c r="Q3772" s="174">
        <v>0</v>
      </c>
    </row>
    <row r="3773" spans="1:17" ht="14.25" x14ac:dyDescent="0.2">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72</v>
      </c>
      <c r="H3773" s="194" t="s">
        <v>60</v>
      </c>
      <c r="I3773" s="187">
        <v>9.356980212032795</v>
      </c>
      <c r="J3773" s="187" t="s">
        <v>941</v>
      </c>
      <c r="K3773" s="187" t="s">
        <v>116</v>
      </c>
      <c r="M3773" s="195"/>
      <c r="N3773" s="195"/>
      <c r="O3773" s="199"/>
      <c r="P3773" s="188"/>
      <c r="Q3773" s="174">
        <v>0</v>
      </c>
    </row>
    <row r="3774" spans="1:17" ht="14.25" x14ac:dyDescent="0.2">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80</v>
      </c>
      <c r="H3774" s="194" t="s">
        <v>60</v>
      </c>
      <c r="I3774" s="187">
        <v>7.761180866509676</v>
      </c>
      <c r="J3774" s="187" t="s">
        <v>941</v>
      </c>
      <c r="K3774" s="187" t="s">
        <v>116</v>
      </c>
      <c r="M3774" s="195"/>
      <c r="N3774" s="195"/>
      <c r="O3774" s="199"/>
      <c r="P3774" s="188"/>
      <c r="Q3774" s="174">
        <v>0</v>
      </c>
    </row>
    <row r="3775" spans="1:17" ht="14.25" x14ac:dyDescent="0.2">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96</v>
      </c>
      <c r="H3775" s="194" t="s">
        <v>60</v>
      </c>
      <c r="I3775" s="187">
        <v>5.4234978742897511</v>
      </c>
      <c r="J3775" s="187" t="s">
        <v>941</v>
      </c>
      <c r="K3775" s="187" t="s">
        <v>116</v>
      </c>
      <c r="M3775" s="195"/>
      <c r="N3775" s="195"/>
      <c r="O3775" s="199"/>
      <c r="P3775" s="188"/>
      <c r="Q3775" s="174">
        <v>0</v>
      </c>
    </row>
    <row r="3776" spans="1:17" ht="14.25" x14ac:dyDescent="0.2">
      <c r="A3776" s="183">
        <v>481</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OH-ITZ</v>
      </c>
      <c r="E3776" s="250" t="str">
        <f>IF(AND(A3776&lt;&gt;"",ISNUMBER(A3776)),VLOOKUP(A3776,Studies!A:BR,5,FALSE),"")</f>
        <v>Hydroxy-Itraconazole</v>
      </c>
      <c r="F3776" s="251" t="str">
        <f>IF(AND(A3776&lt;&gt;"",ISNUMBER(A3776)),VLOOKUP(A3776,Studies!A:BR,6,FALSE),"")</f>
        <v>Plasma</v>
      </c>
      <c r="G3776" s="194">
        <v>0.5</v>
      </c>
      <c r="H3776" s="194" t="s">
        <v>60</v>
      </c>
      <c r="I3776" s="187">
        <v>71.011759340763092</v>
      </c>
      <c r="J3776" s="187" t="s">
        <v>941</v>
      </c>
      <c r="K3776" s="187" t="s">
        <v>116</v>
      </c>
      <c r="M3776" s="195"/>
      <c r="N3776" s="195"/>
      <c r="O3776" s="199"/>
      <c r="P3776" s="188"/>
      <c r="Q3776" s="174">
        <v>0</v>
      </c>
    </row>
    <row r="3777" spans="1:17" ht="14.25" x14ac:dyDescent="0.2">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1</v>
      </c>
      <c r="H3777" s="194" t="s">
        <v>60</v>
      </c>
      <c r="I3777" s="187">
        <v>279.26045656204224</v>
      </c>
      <c r="J3777" s="187" t="s">
        <v>941</v>
      </c>
      <c r="K3777" s="187" t="s">
        <v>116</v>
      </c>
      <c r="M3777" s="195"/>
      <c r="N3777" s="195"/>
      <c r="O3777" s="199"/>
      <c r="P3777" s="188"/>
      <c r="Q3777" s="174">
        <v>0</v>
      </c>
    </row>
    <row r="3778" spans="1:17" ht="14.25" x14ac:dyDescent="0.2">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1.5</v>
      </c>
      <c r="H3778" s="194" t="s">
        <v>60</v>
      </c>
      <c r="I3778" s="187">
        <v>371.76695466041565</v>
      </c>
      <c r="J3778" s="187" t="s">
        <v>941</v>
      </c>
      <c r="K3778" s="187" t="s">
        <v>116</v>
      </c>
      <c r="M3778" s="195"/>
      <c r="N3778" s="195"/>
      <c r="O3778" s="199"/>
      <c r="P3778" s="188"/>
      <c r="Q3778" s="174">
        <v>0</v>
      </c>
    </row>
    <row r="3779" spans="1:17" ht="14.25" x14ac:dyDescent="0.2">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2</v>
      </c>
      <c r="H3779" s="194" t="s">
        <v>60</v>
      </c>
      <c r="I3779" s="187">
        <v>411.76548600196838</v>
      </c>
      <c r="J3779" s="187" t="s">
        <v>941</v>
      </c>
      <c r="K3779" s="187" t="s">
        <v>116</v>
      </c>
      <c r="M3779" s="195"/>
      <c r="N3779" s="195"/>
      <c r="O3779" s="199"/>
      <c r="P3779" s="188"/>
      <c r="Q3779" s="174">
        <v>0</v>
      </c>
    </row>
    <row r="3780" spans="1:17" ht="14.25" x14ac:dyDescent="0.2">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3</v>
      </c>
      <c r="H3780" s="194" t="s">
        <v>60</v>
      </c>
      <c r="I3780" s="187">
        <v>379.44307923316956</v>
      </c>
      <c r="J3780" s="187" t="s">
        <v>941</v>
      </c>
      <c r="K3780" s="187" t="s">
        <v>116</v>
      </c>
      <c r="M3780" s="195"/>
      <c r="N3780" s="195"/>
      <c r="O3780" s="199"/>
      <c r="P3780" s="188"/>
      <c r="Q3780" s="174">
        <v>0</v>
      </c>
    </row>
    <row r="3781" spans="1:17" ht="14.25" x14ac:dyDescent="0.2">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4</v>
      </c>
      <c r="H3781" s="194" t="s">
        <v>60</v>
      </c>
      <c r="I3781" s="187">
        <v>375.58537721633911</v>
      </c>
      <c r="J3781" s="187" t="s">
        <v>941</v>
      </c>
      <c r="K3781" s="187" t="s">
        <v>116</v>
      </c>
      <c r="M3781" s="195"/>
      <c r="N3781" s="195"/>
      <c r="O3781" s="199"/>
      <c r="P3781" s="188"/>
      <c r="Q3781" s="174">
        <v>0</v>
      </c>
    </row>
    <row r="3782" spans="1:17" ht="14.25" x14ac:dyDescent="0.2">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6</v>
      </c>
      <c r="H3782" s="194" t="s">
        <v>60</v>
      </c>
      <c r="I3782" s="187">
        <v>299.96797442436218</v>
      </c>
      <c r="J3782" s="187" t="s">
        <v>941</v>
      </c>
      <c r="K3782" s="187" t="s">
        <v>116</v>
      </c>
      <c r="M3782" s="195"/>
      <c r="N3782" s="195"/>
      <c r="O3782" s="199"/>
      <c r="P3782" s="188"/>
      <c r="Q3782" s="174">
        <v>0</v>
      </c>
    </row>
    <row r="3783" spans="1:17" ht="14.25" x14ac:dyDescent="0.2">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8</v>
      </c>
      <c r="H3783" s="194" t="s">
        <v>60</v>
      </c>
      <c r="I3783" s="187">
        <v>268.07597279548645</v>
      </c>
      <c r="J3783" s="187" t="s">
        <v>941</v>
      </c>
      <c r="K3783" s="187" t="s">
        <v>116</v>
      </c>
      <c r="M3783" s="195"/>
      <c r="N3783" s="195"/>
      <c r="O3783" s="199"/>
      <c r="P3783" s="188"/>
      <c r="Q3783" s="174">
        <v>0</v>
      </c>
    </row>
    <row r="3784" spans="1:17" ht="14.25" x14ac:dyDescent="0.2">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24</v>
      </c>
      <c r="H3784" s="194" t="s">
        <v>60</v>
      </c>
      <c r="I3784" s="187">
        <v>109.07426476478577</v>
      </c>
      <c r="J3784" s="187" t="s">
        <v>941</v>
      </c>
      <c r="K3784" s="187" t="s">
        <v>116</v>
      </c>
      <c r="M3784" s="195"/>
      <c r="N3784" s="195"/>
      <c r="O3784" s="199"/>
      <c r="P3784" s="188"/>
      <c r="Q3784" s="174">
        <v>0</v>
      </c>
    </row>
    <row r="3785" spans="1:17" ht="14.25" x14ac:dyDescent="0.2">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32</v>
      </c>
      <c r="H3785" s="194" t="s">
        <v>60</v>
      </c>
      <c r="I3785" s="187">
        <v>72.477973997592926</v>
      </c>
      <c r="J3785" s="187" t="s">
        <v>941</v>
      </c>
      <c r="K3785" s="187" t="s">
        <v>116</v>
      </c>
      <c r="M3785" s="195"/>
      <c r="N3785" s="195"/>
      <c r="O3785" s="199"/>
      <c r="P3785" s="188"/>
      <c r="Q3785" s="174">
        <v>0</v>
      </c>
    </row>
    <row r="3786" spans="1:17" ht="14.25" x14ac:dyDescent="0.2">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48</v>
      </c>
      <c r="H3786" s="194" t="s">
        <v>60</v>
      </c>
      <c r="I3786" s="187">
        <v>33.336903899908066</v>
      </c>
      <c r="J3786" s="187" t="s">
        <v>941</v>
      </c>
      <c r="K3786" s="187" t="s">
        <v>116</v>
      </c>
      <c r="M3786" s="195"/>
      <c r="N3786" s="195"/>
      <c r="O3786" s="199"/>
      <c r="P3786" s="188"/>
      <c r="Q3786" s="174">
        <v>0</v>
      </c>
    </row>
    <row r="3787" spans="1:17" ht="14.25" x14ac:dyDescent="0.2">
      <c r="A3787" s="183">
        <v>482</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Fed ITZ</v>
      </c>
      <c r="E3787" s="250" t="str">
        <f>IF(AND(A3787&lt;&gt;"",ISNUMBER(A3787)),VLOOKUP(A3787,Studies!A:BR,5,FALSE),"")</f>
        <v>Itraconazole</v>
      </c>
      <c r="F3787" s="251" t="str">
        <f>IF(AND(A3787&lt;&gt;"",ISNUMBER(A3787)),VLOOKUP(A3787,Studies!A:BR,6,FALSE),"")</f>
        <v>Plasma</v>
      </c>
      <c r="G3787" s="194">
        <v>0.5</v>
      </c>
      <c r="H3787" s="194" t="s">
        <v>60</v>
      </c>
      <c r="I3787" s="187">
        <v>20.078647613525391</v>
      </c>
      <c r="J3787" s="187" t="s">
        <v>941</v>
      </c>
      <c r="K3787" s="187" t="s">
        <v>116</v>
      </c>
      <c r="M3787" s="195"/>
      <c r="N3787" s="195"/>
      <c r="O3787" s="199"/>
      <c r="P3787" s="188"/>
      <c r="Q3787" s="174">
        <v>0</v>
      </c>
    </row>
    <row r="3788" spans="1:17" ht="14.25" x14ac:dyDescent="0.2">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1</v>
      </c>
      <c r="H3788" s="194" t="s">
        <v>60</v>
      </c>
      <c r="I3788" s="187">
        <v>53.588996887207031</v>
      </c>
      <c r="J3788" s="187" t="s">
        <v>941</v>
      </c>
      <c r="K3788" s="187" t="s">
        <v>116</v>
      </c>
      <c r="M3788" s="195"/>
      <c r="N3788" s="195"/>
      <c r="O3788" s="199"/>
      <c r="P3788" s="188"/>
      <c r="Q3788" s="174">
        <v>0</v>
      </c>
    </row>
    <row r="3789" spans="1:17" ht="14.25" x14ac:dyDescent="0.2">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1.5</v>
      </c>
      <c r="H3789" s="194" t="s">
        <v>60</v>
      </c>
      <c r="I3789" s="187">
        <v>80.357437133789063</v>
      </c>
      <c r="J3789" s="187" t="s">
        <v>941</v>
      </c>
      <c r="K3789" s="187" t="s">
        <v>116</v>
      </c>
      <c r="M3789" s="195"/>
      <c r="N3789" s="195"/>
      <c r="O3789" s="199"/>
      <c r="P3789" s="188"/>
      <c r="Q3789" s="174">
        <v>0</v>
      </c>
    </row>
    <row r="3790" spans="1:17" ht="14.25" x14ac:dyDescent="0.2">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2</v>
      </c>
      <c r="H3790" s="194" t="s">
        <v>60</v>
      </c>
      <c r="I3790" s="187">
        <v>98.401359558105469</v>
      </c>
      <c r="J3790" s="187" t="s">
        <v>941</v>
      </c>
      <c r="K3790" s="187" t="s">
        <v>116</v>
      </c>
      <c r="M3790" s="195"/>
      <c r="N3790" s="195"/>
      <c r="O3790" s="199"/>
      <c r="P3790" s="188"/>
      <c r="Q3790" s="174">
        <v>0</v>
      </c>
    </row>
    <row r="3791" spans="1:17" ht="14.25" x14ac:dyDescent="0.2">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3</v>
      </c>
      <c r="H3791" s="194" t="s">
        <v>60</v>
      </c>
      <c r="I3791" s="187">
        <v>114.99381256103516</v>
      </c>
      <c r="J3791" s="187" t="s">
        <v>941</v>
      </c>
      <c r="K3791" s="187" t="s">
        <v>116</v>
      </c>
      <c r="M3791" s="195"/>
      <c r="N3791" s="195"/>
      <c r="O3791" s="199"/>
      <c r="P3791" s="188"/>
      <c r="Q3791" s="174">
        <v>0</v>
      </c>
    </row>
    <row r="3792" spans="1:17" ht="14.25" x14ac:dyDescent="0.2">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4</v>
      </c>
      <c r="H3792" s="194" t="s">
        <v>60</v>
      </c>
      <c r="I3792" s="187">
        <v>134.38401794433594</v>
      </c>
      <c r="J3792" s="187" t="s">
        <v>941</v>
      </c>
      <c r="K3792" s="187" t="s">
        <v>116</v>
      </c>
      <c r="M3792" s="195"/>
      <c r="N3792" s="195"/>
      <c r="O3792" s="199"/>
      <c r="P3792" s="188"/>
      <c r="Q3792" s="174">
        <v>0</v>
      </c>
    </row>
    <row r="3793" spans="1:17" ht="14.25" x14ac:dyDescent="0.2">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6</v>
      </c>
      <c r="H3793" s="194" t="s">
        <v>60</v>
      </c>
      <c r="I3793" s="187">
        <v>109.74188232421875</v>
      </c>
      <c r="J3793" s="187" t="s">
        <v>941</v>
      </c>
      <c r="K3793" s="187" t="s">
        <v>116</v>
      </c>
      <c r="M3793" s="195"/>
      <c r="N3793" s="195"/>
      <c r="O3793" s="199"/>
      <c r="P3793" s="188"/>
      <c r="Q3793" s="174">
        <v>0</v>
      </c>
    </row>
    <row r="3794" spans="1:17" ht="14.25" x14ac:dyDescent="0.2">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8</v>
      </c>
      <c r="H3794" s="194" t="s">
        <v>60</v>
      </c>
      <c r="I3794" s="187">
        <v>86.868545532226563</v>
      </c>
      <c r="J3794" s="187" t="s">
        <v>941</v>
      </c>
      <c r="K3794" s="187" t="s">
        <v>116</v>
      </c>
      <c r="M3794" s="195"/>
      <c r="N3794" s="195"/>
      <c r="O3794" s="199"/>
      <c r="P3794" s="188"/>
      <c r="Q3794" s="174">
        <v>0</v>
      </c>
    </row>
    <row r="3795" spans="1:17" ht="14.25" x14ac:dyDescent="0.2">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24</v>
      </c>
      <c r="H3795" s="194" t="s">
        <v>60</v>
      </c>
      <c r="I3795" s="187">
        <v>26.168500900268555</v>
      </c>
      <c r="J3795" s="187" t="s">
        <v>941</v>
      </c>
      <c r="K3795" s="187" t="s">
        <v>116</v>
      </c>
      <c r="M3795" s="195"/>
      <c r="N3795" s="195"/>
      <c r="O3795" s="199"/>
      <c r="P3795" s="188"/>
      <c r="Q3795" s="174">
        <v>0</v>
      </c>
    </row>
    <row r="3796" spans="1:17" ht="14.25" x14ac:dyDescent="0.2">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32</v>
      </c>
      <c r="H3796" s="194" t="s">
        <v>60</v>
      </c>
      <c r="I3796" s="187">
        <v>21.039546966552734</v>
      </c>
      <c r="J3796" s="187" t="s">
        <v>941</v>
      </c>
      <c r="K3796" s="187" t="s">
        <v>116</v>
      </c>
      <c r="M3796" s="195"/>
      <c r="N3796" s="195"/>
      <c r="O3796" s="199"/>
      <c r="P3796" s="188"/>
      <c r="Q3796" s="174">
        <v>0</v>
      </c>
    </row>
    <row r="3797" spans="1:17" ht="14.25" x14ac:dyDescent="0.2">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48</v>
      </c>
      <c r="H3797" s="194" t="s">
        <v>60</v>
      </c>
      <c r="I3797" s="187">
        <v>13.813977241516113</v>
      </c>
      <c r="J3797" s="187" t="s">
        <v>941</v>
      </c>
      <c r="K3797" s="187" t="s">
        <v>116</v>
      </c>
      <c r="M3797" s="195"/>
      <c r="N3797" s="195"/>
      <c r="O3797" s="199"/>
      <c r="P3797" s="188"/>
      <c r="Q3797" s="174">
        <v>0</v>
      </c>
    </row>
    <row r="3798" spans="1:17" ht="14.25" x14ac:dyDescent="0.2">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56</v>
      </c>
      <c r="H3798" s="194" t="s">
        <v>60</v>
      </c>
      <c r="I3798" s="187">
        <v>10.765682220458984</v>
      </c>
      <c r="J3798" s="187" t="s">
        <v>941</v>
      </c>
      <c r="K3798" s="187" t="s">
        <v>116</v>
      </c>
      <c r="M3798" s="195"/>
      <c r="N3798" s="195"/>
      <c r="O3798" s="199"/>
      <c r="P3798" s="188"/>
      <c r="Q3798" s="174">
        <v>0</v>
      </c>
    </row>
    <row r="3799" spans="1:17" ht="14.25" x14ac:dyDescent="0.2">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72</v>
      </c>
      <c r="H3799" s="194" t="s">
        <v>60</v>
      </c>
      <c r="I3799" s="187">
        <v>7.4067187309265137</v>
      </c>
      <c r="J3799" s="187" t="s">
        <v>941</v>
      </c>
      <c r="K3799" s="187" t="s">
        <v>116</v>
      </c>
      <c r="M3799" s="195"/>
      <c r="N3799" s="195"/>
      <c r="O3799" s="199"/>
      <c r="P3799" s="188"/>
      <c r="Q3799" s="174">
        <v>0</v>
      </c>
    </row>
    <row r="3800" spans="1:17" ht="14.25" x14ac:dyDescent="0.2">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80</v>
      </c>
      <c r="H3800" s="194" t="s">
        <v>60</v>
      </c>
      <c r="I3800" s="187">
        <v>6.0485424995422363</v>
      </c>
      <c r="J3800" s="187" t="s">
        <v>941</v>
      </c>
      <c r="K3800" s="187" t="s">
        <v>116</v>
      </c>
      <c r="M3800" s="195"/>
      <c r="N3800" s="195"/>
      <c r="O3800" s="199"/>
      <c r="P3800" s="188"/>
      <c r="Q3800" s="174">
        <v>0</v>
      </c>
    </row>
    <row r="3801" spans="1:17" ht="14.25" x14ac:dyDescent="0.2">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96</v>
      </c>
      <c r="H3801" s="194" t="s">
        <v>60</v>
      </c>
      <c r="I3801" s="187">
        <v>4.7878537178039551</v>
      </c>
      <c r="J3801" s="187" t="s">
        <v>941</v>
      </c>
      <c r="K3801" s="187" t="s">
        <v>116</v>
      </c>
      <c r="M3801" s="195"/>
      <c r="N3801" s="195"/>
      <c r="O3801" s="199"/>
      <c r="P3801" s="188"/>
      <c r="Q3801" s="174">
        <v>0</v>
      </c>
    </row>
    <row r="3802" spans="1:17" ht="14.25" x14ac:dyDescent="0.2">
      <c r="A3802" s="183">
        <v>483</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OH-ITZ</v>
      </c>
      <c r="E3802" s="250" t="str">
        <f>IF(AND(A3802&lt;&gt;"",ISNUMBER(A3802)),VLOOKUP(A3802,Studies!A:BR,5,FALSE),"")</f>
        <v>Hydroxy-Itraconazole</v>
      </c>
      <c r="F3802" s="251" t="str">
        <f>IF(AND(A3802&lt;&gt;"",ISNUMBER(A3802)),VLOOKUP(A3802,Studies!A:BR,6,FALSE),"")</f>
        <v>Plasma</v>
      </c>
      <c r="G3802" s="194">
        <v>0.5</v>
      </c>
      <c r="H3802" s="194" t="s">
        <v>60</v>
      </c>
      <c r="I3802" s="187">
        <v>29.489700317382813</v>
      </c>
      <c r="J3802" s="187" t="s">
        <v>941</v>
      </c>
      <c r="K3802" s="187" t="s">
        <v>116</v>
      </c>
      <c r="M3802" s="195"/>
      <c r="N3802" s="195"/>
      <c r="O3802" s="199"/>
      <c r="P3802" s="188"/>
      <c r="Q3802" s="174">
        <v>0</v>
      </c>
    </row>
    <row r="3803" spans="1:17" ht="14.25" x14ac:dyDescent="0.2">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1</v>
      </c>
      <c r="H3803" s="194" t="s">
        <v>60</v>
      </c>
      <c r="I3803" s="187">
        <v>87.114067077636719</v>
      </c>
      <c r="J3803" s="187" t="s">
        <v>941</v>
      </c>
      <c r="K3803" s="187" t="s">
        <v>116</v>
      </c>
      <c r="M3803" s="195"/>
      <c r="N3803" s="195"/>
      <c r="O3803" s="199"/>
      <c r="P3803" s="188"/>
      <c r="Q3803" s="174">
        <v>0</v>
      </c>
    </row>
    <row r="3804" spans="1:17" ht="14.25" x14ac:dyDescent="0.2">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1.5</v>
      </c>
      <c r="H3804" s="194" t="s">
        <v>60</v>
      </c>
      <c r="I3804" s="187">
        <v>127.14252471923828</v>
      </c>
      <c r="J3804" s="187" t="s">
        <v>941</v>
      </c>
      <c r="K3804" s="187" t="s">
        <v>116</v>
      </c>
      <c r="M3804" s="195"/>
      <c r="N3804" s="195"/>
      <c r="O3804" s="199"/>
      <c r="P3804" s="188"/>
      <c r="Q3804" s="174">
        <v>0</v>
      </c>
    </row>
    <row r="3805" spans="1:17" ht="14.25" x14ac:dyDescent="0.2">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2</v>
      </c>
      <c r="H3805" s="194" t="s">
        <v>60</v>
      </c>
      <c r="I3805" s="187">
        <v>165.8350830078125</v>
      </c>
      <c r="J3805" s="187" t="s">
        <v>941</v>
      </c>
      <c r="K3805" s="187" t="s">
        <v>116</v>
      </c>
      <c r="M3805" s="195"/>
      <c r="N3805" s="195"/>
      <c r="O3805" s="199"/>
      <c r="P3805" s="188"/>
      <c r="Q3805" s="174">
        <v>0</v>
      </c>
    </row>
    <row r="3806" spans="1:17" ht="14.25" x14ac:dyDescent="0.2">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3</v>
      </c>
      <c r="H3806" s="194" t="s">
        <v>60</v>
      </c>
      <c r="I3806" s="187">
        <v>199.32357788085938</v>
      </c>
      <c r="J3806" s="187" t="s">
        <v>941</v>
      </c>
      <c r="K3806" s="187" t="s">
        <v>116</v>
      </c>
      <c r="M3806" s="195"/>
      <c r="N3806" s="195"/>
      <c r="O3806" s="199"/>
      <c r="P3806" s="188"/>
      <c r="Q3806" s="174">
        <v>0</v>
      </c>
    </row>
    <row r="3807" spans="1:17" ht="14.25" x14ac:dyDescent="0.2">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4</v>
      </c>
      <c r="H3807" s="194" t="s">
        <v>60</v>
      </c>
      <c r="I3807" s="187">
        <v>232.34173583984375</v>
      </c>
      <c r="J3807" s="187" t="s">
        <v>941</v>
      </c>
      <c r="K3807" s="187" t="s">
        <v>116</v>
      </c>
      <c r="M3807" s="195"/>
      <c r="N3807" s="195"/>
      <c r="O3807" s="199"/>
      <c r="P3807" s="188"/>
      <c r="Q3807" s="174">
        <v>0</v>
      </c>
    </row>
    <row r="3808" spans="1:17" ht="14.25" x14ac:dyDescent="0.2">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6</v>
      </c>
      <c r="H3808" s="194" t="s">
        <v>60</v>
      </c>
      <c r="I3808" s="187">
        <v>227.64151000976563</v>
      </c>
      <c r="J3808" s="187" t="s">
        <v>941</v>
      </c>
      <c r="K3808" s="187" t="s">
        <v>116</v>
      </c>
      <c r="M3808" s="195"/>
      <c r="N3808" s="195"/>
      <c r="O3808" s="199"/>
      <c r="P3808" s="188"/>
      <c r="Q3808" s="174">
        <v>0</v>
      </c>
    </row>
    <row r="3809" spans="1:17" ht="14.25" x14ac:dyDescent="0.2">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8</v>
      </c>
      <c r="H3809" s="194" t="s">
        <v>60</v>
      </c>
      <c r="I3809" s="187">
        <v>211.92686462402344</v>
      </c>
      <c r="J3809" s="187" t="s">
        <v>941</v>
      </c>
      <c r="K3809" s="187" t="s">
        <v>116</v>
      </c>
      <c r="M3809" s="195"/>
      <c r="N3809" s="195"/>
      <c r="O3809" s="199"/>
      <c r="P3809" s="188"/>
      <c r="Q3809" s="174">
        <v>0</v>
      </c>
    </row>
    <row r="3810" spans="1:17" ht="14.25" x14ac:dyDescent="0.2">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24</v>
      </c>
      <c r="H3810" s="194" t="s">
        <v>60</v>
      </c>
      <c r="I3810" s="187">
        <v>90.748588562011719</v>
      </c>
      <c r="J3810" s="187" t="s">
        <v>941</v>
      </c>
      <c r="K3810" s="187" t="s">
        <v>116</v>
      </c>
      <c r="M3810" s="195"/>
      <c r="N3810" s="195"/>
      <c r="O3810" s="199"/>
      <c r="P3810" s="188"/>
      <c r="Q3810" s="174">
        <v>0</v>
      </c>
    </row>
    <row r="3811" spans="1:17" ht="14.25" x14ac:dyDescent="0.2">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32</v>
      </c>
      <c r="H3811" s="194" t="s">
        <v>60</v>
      </c>
      <c r="I3811" s="187">
        <v>63.461933135986328</v>
      </c>
      <c r="J3811" s="187" t="s">
        <v>941</v>
      </c>
      <c r="K3811" s="187" t="s">
        <v>116</v>
      </c>
      <c r="M3811" s="195"/>
      <c r="N3811" s="195"/>
      <c r="O3811" s="199"/>
      <c r="P3811" s="188"/>
      <c r="Q3811" s="174">
        <v>0</v>
      </c>
    </row>
    <row r="3812" spans="1:17" ht="14.25" x14ac:dyDescent="0.2">
      <c r="A3812" s="183">
        <v>484</v>
      </c>
      <c r="B3812" s="249" t="str">
        <f>IF(AND(A3812&lt;&gt;"",ISNUMBER(A3812)),VLOOKUP(A3812,Studies!A:BR,2,FALSE),"")</f>
        <v>Van Peer 1989</v>
      </c>
      <c r="C3812" s="250" t="str">
        <f>IF(AND(A3812&lt;&gt;"",ISNUMBER(A3812)),VLOOKUP(A3812,Studies!A:BR,3,FALSE),"")</f>
        <v>https://www.ncbi.nlm.nih.gov/pubmed/2544431</v>
      </c>
      <c r="D3812" s="250" t="str">
        <f>IF(AND(A3812&lt;&gt;"",ISNUMBER(A3812)),VLOOKUP(A3812,Studies!A:BR,4,FALSE),"")</f>
        <v>100 mg Solution, fasting</v>
      </c>
      <c r="E3812" s="250" t="str">
        <f>IF(AND(A3812&lt;&gt;"",ISNUMBER(A3812)),VLOOKUP(A3812,Studies!A:BR,5,FALSE),"")</f>
        <v>Itraconazole</v>
      </c>
      <c r="F3812" s="251" t="str">
        <f>IF(AND(A3812&lt;&gt;"",ISNUMBER(A3812)),VLOOKUP(A3812,Studies!A:BR,6,FALSE),"")</f>
        <v>Plasma</v>
      </c>
      <c r="G3812" s="194">
        <v>0.5</v>
      </c>
      <c r="H3812" s="194" t="s">
        <v>60</v>
      </c>
      <c r="I3812" s="187">
        <v>59.05533954501152</v>
      </c>
      <c r="J3812" s="187" t="s">
        <v>941</v>
      </c>
      <c r="K3812" s="187" t="s">
        <v>116</v>
      </c>
      <c r="M3812" s="195"/>
      <c r="N3812" s="195"/>
      <c r="O3812" s="199"/>
      <c r="P3812" s="188"/>
      <c r="Q3812" s="174">
        <v>0</v>
      </c>
    </row>
    <row r="3813" spans="1:17" ht="14.25" x14ac:dyDescent="0.2">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1</v>
      </c>
      <c r="H3813" s="194" t="s">
        <v>60</v>
      </c>
      <c r="I3813" s="187">
        <v>171.83618247509003</v>
      </c>
      <c r="J3813" s="187" t="s">
        <v>941</v>
      </c>
      <c r="K3813" s="187" t="s">
        <v>116</v>
      </c>
      <c r="M3813" s="195"/>
      <c r="N3813" s="195"/>
      <c r="O3813" s="199"/>
      <c r="P3813" s="188"/>
      <c r="Q3813" s="174">
        <v>0</v>
      </c>
    </row>
    <row r="3814" spans="1:17" ht="14.25" x14ac:dyDescent="0.2">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1.5</v>
      </c>
      <c r="H3814" s="194" t="s">
        <v>60</v>
      </c>
      <c r="I3814" s="187">
        <v>220.57090699672699</v>
      </c>
      <c r="J3814" s="187" t="s">
        <v>941</v>
      </c>
      <c r="K3814" s="187" t="s">
        <v>116</v>
      </c>
      <c r="M3814" s="195"/>
      <c r="N3814" s="195"/>
      <c r="O3814" s="199"/>
      <c r="P3814" s="188"/>
      <c r="Q3814" s="174">
        <v>0</v>
      </c>
    </row>
    <row r="3815" spans="1:17" ht="14.25" x14ac:dyDescent="0.2">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2</v>
      </c>
      <c r="H3815" s="194" t="s">
        <v>60</v>
      </c>
      <c r="I3815" s="187">
        <v>211.58073842525482</v>
      </c>
      <c r="J3815" s="187" t="s">
        <v>941</v>
      </c>
      <c r="K3815" s="187" t="s">
        <v>116</v>
      </c>
      <c r="M3815" s="195"/>
      <c r="N3815" s="195"/>
      <c r="O3815" s="199"/>
      <c r="P3815" s="188"/>
      <c r="Q3815" s="174">
        <v>0</v>
      </c>
    </row>
    <row r="3816" spans="1:17" ht="14.25" x14ac:dyDescent="0.2">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3</v>
      </c>
      <c r="H3816" s="194" t="s">
        <v>60</v>
      </c>
      <c r="I3816" s="187">
        <v>151.66933834552765</v>
      </c>
      <c r="J3816" s="187" t="s">
        <v>941</v>
      </c>
      <c r="K3816" s="187" t="s">
        <v>116</v>
      </c>
      <c r="M3816" s="195"/>
      <c r="N3816" s="195"/>
      <c r="O3816" s="199"/>
      <c r="P3816" s="188"/>
      <c r="Q3816" s="174">
        <v>0</v>
      </c>
    </row>
    <row r="3817" spans="1:17" ht="14.25" x14ac:dyDescent="0.2">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4</v>
      </c>
      <c r="H3817" s="194" t="s">
        <v>60</v>
      </c>
      <c r="I3817" s="187">
        <v>111.78091168403625</v>
      </c>
      <c r="J3817" s="187" t="s">
        <v>941</v>
      </c>
      <c r="K3817" s="187" t="s">
        <v>116</v>
      </c>
      <c r="M3817" s="195"/>
      <c r="N3817" s="195"/>
      <c r="O3817" s="199"/>
      <c r="P3817" s="188"/>
      <c r="Q3817" s="174">
        <v>0</v>
      </c>
    </row>
    <row r="3818" spans="1:17" ht="14.25" x14ac:dyDescent="0.2">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6</v>
      </c>
      <c r="H3818" s="194" t="s">
        <v>60</v>
      </c>
      <c r="I3818" s="187">
        <v>72.714440524578094</v>
      </c>
      <c r="J3818" s="187" t="s">
        <v>941</v>
      </c>
      <c r="K3818" s="187" t="s">
        <v>116</v>
      </c>
      <c r="M3818" s="195"/>
      <c r="N3818" s="195"/>
      <c r="O3818" s="199"/>
      <c r="P3818" s="188"/>
      <c r="Q3818" s="174">
        <v>0</v>
      </c>
    </row>
    <row r="3819" spans="1:17" ht="14.25" x14ac:dyDescent="0.2">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8</v>
      </c>
      <c r="H3819" s="194" t="s">
        <v>60</v>
      </c>
      <c r="I3819" s="187">
        <v>56.648295372724533</v>
      </c>
      <c r="J3819" s="187" t="s">
        <v>941</v>
      </c>
      <c r="K3819" s="187" t="s">
        <v>116</v>
      </c>
      <c r="M3819" s="195"/>
      <c r="N3819" s="195"/>
      <c r="O3819" s="199"/>
      <c r="P3819" s="188"/>
      <c r="Q3819" s="174">
        <v>0</v>
      </c>
    </row>
    <row r="3820" spans="1:17" ht="14.25" x14ac:dyDescent="0.2">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24</v>
      </c>
      <c r="H3820" s="194" t="s">
        <v>60</v>
      </c>
      <c r="I3820" s="187">
        <v>16.713459044694901</v>
      </c>
      <c r="J3820" s="187" t="s">
        <v>941</v>
      </c>
      <c r="K3820" s="187" t="s">
        <v>116</v>
      </c>
      <c r="M3820" s="195"/>
      <c r="N3820" s="195"/>
      <c r="O3820" s="199"/>
      <c r="P3820" s="188"/>
      <c r="Q3820" s="174">
        <v>0</v>
      </c>
    </row>
    <row r="3821" spans="1:17" ht="14.25" x14ac:dyDescent="0.2">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32</v>
      </c>
      <c r="H3821" s="194" t="s">
        <v>60</v>
      </c>
      <c r="I3821" s="187">
        <v>12.317889370024204</v>
      </c>
      <c r="J3821" s="187" t="s">
        <v>941</v>
      </c>
      <c r="K3821" s="187" t="s">
        <v>116</v>
      </c>
      <c r="M3821" s="195"/>
      <c r="N3821" s="195"/>
      <c r="O3821" s="199"/>
      <c r="P3821" s="188"/>
      <c r="Q3821" s="174">
        <v>0</v>
      </c>
    </row>
    <row r="3822" spans="1:17" ht="14.25" x14ac:dyDescent="0.2">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48</v>
      </c>
      <c r="H3822" s="194" t="s">
        <v>60</v>
      </c>
      <c r="I3822" s="187">
        <v>5.7439543306827545</v>
      </c>
      <c r="J3822" s="187" t="s">
        <v>941</v>
      </c>
      <c r="K3822" s="187" t="s">
        <v>116</v>
      </c>
      <c r="M3822" s="195"/>
      <c r="N3822" s="195"/>
      <c r="O3822" s="199"/>
      <c r="P3822" s="188"/>
      <c r="Q3822" s="174">
        <v>0</v>
      </c>
    </row>
    <row r="3823" spans="1:17" ht="14.25" x14ac:dyDescent="0.2">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56</v>
      </c>
      <c r="H3823" s="194" t="s">
        <v>60</v>
      </c>
      <c r="I3823" s="187">
        <v>4.3524019420146942</v>
      </c>
      <c r="J3823" s="187" t="s">
        <v>941</v>
      </c>
      <c r="K3823" s="187" t="s">
        <v>116</v>
      </c>
      <c r="M3823" s="195"/>
      <c r="N3823" s="195"/>
      <c r="O3823" s="199"/>
      <c r="P3823" s="188"/>
      <c r="Q3823" s="174">
        <v>0</v>
      </c>
    </row>
    <row r="3824" spans="1:17" ht="14.25" x14ac:dyDescent="0.2">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72</v>
      </c>
      <c r="H3824" s="194" t="s">
        <v>60</v>
      </c>
      <c r="I3824" s="187">
        <v>2.5692915078252554</v>
      </c>
      <c r="J3824" s="187" t="s">
        <v>941</v>
      </c>
      <c r="K3824" s="187" t="s">
        <v>116</v>
      </c>
      <c r="M3824" s="195"/>
      <c r="N3824" s="195"/>
      <c r="O3824" s="199"/>
      <c r="P3824" s="188"/>
      <c r="Q3824" s="174">
        <v>0</v>
      </c>
    </row>
    <row r="3825" spans="1:17" ht="14.25" x14ac:dyDescent="0.2">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96</v>
      </c>
      <c r="H3825" s="194" t="s">
        <v>60</v>
      </c>
      <c r="I3825" s="187">
        <v>1.072248094715178</v>
      </c>
      <c r="J3825" s="187" t="s">
        <v>941</v>
      </c>
      <c r="K3825" s="187" t="s">
        <v>116</v>
      </c>
      <c r="M3825" s="195"/>
      <c r="N3825" s="195"/>
      <c r="O3825" s="199"/>
      <c r="P3825" s="188"/>
      <c r="Q3825" s="174">
        <v>0</v>
      </c>
    </row>
    <row r="3826" spans="1:17" ht="14.25" x14ac:dyDescent="0.2">
      <c r="A3826" s="183">
        <v>485</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Capsules, fasting</v>
      </c>
      <c r="E3826" s="250" t="str">
        <f>IF(AND(A3826&lt;&gt;"",ISNUMBER(A3826)),VLOOKUP(A3826,Studies!A:BR,5,FALSE),"")</f>
        <v>Itraconazole</v>
      </c>
      <c r="F3826" s="251" t="str">
        <f>IF(AND(A3826&lt;&gt;"",ISNUMBER(A3826)),VLOOKUP(A3826,Studies!A:BR,6,FALSE),"")</f>
        <v>Plasma</v>
      </c>
      <c r="G3826" s="194">
        <v>0.5</v>
      </c>
      <c r="H3826" s="194" t="s">
        <v>60</v>
      </c>
      <c r="I3826" s="187">
        <v>1.000402495265007</v>
      </c>
      <c r="J3826" s="187" t="s">
        <v>941</v>
      </c>
      <c r="K3826" s="187" t="s">
        <v>116</v>
      </c>
      <c r="M3826" s="195"/>
      <c r="N3826" s="195"/>
      <c r="O3826" s="199"/>
      <c r="P3826" s="188"/>
      <c r="Q3826" s="174">
        <v>0</v>
      </c>
    </row>
    <row r="3827" spans="1:17" ht="14.25" x14ac:dyDescent="0.2">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1</v>
      </c>
      <c r="H3827" s="194" t="s">
        <v>60</v>
      </c>
      <c r="I3827" s="187">
        <v>10.143757797777653</v>
      </c>
      <c r="J3827" s="187" t="s">
        <v>941</v>
      </c>
      <c r="K3827" s="187" t="s">
        <v>116</v>
      </c>
      <c r="M3827" s="195"/>
      <c r="N3827" s="195"/>
      <c r="O3827" s="199"/>
      <c r="P3827" s="188"/>
      <c r="Q3827" s="174">
        <v>0</v>
      </c>
    </row>
    <row r="3828" spans="1:17" ht="14.25" x14ac:dyDescent="0.2">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1.5</v>
      </c>
      <c r="H3828" s="194" t="s">
        <v>60</v>
      </c>
      <c r="I3828" s="187">
        <v>20.016109570860863</v>
      </c>
      <c r="J3828" s="187" t="s">
        <v>941</v>
      </c>
      <c r="K3828" s="187" t="s">
        <v>116</v>
      </c>
      <c r="M3828" s="195"/>
      <c r="N3828" s="195"/>
      <c r="O3828" s="199"/>
      <c r="P3828" s="188"/>
      <c r="Q3828" s="174">
        <v>0</v>
      </c>
    </row>
    <row r="3829" spans="1:17" ht="14.25" x14ac:dyDescent="0.2">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2</v>
      </c>
      <c r="H3829" s="194" t="s">
        <v>60</v>
      </c>
      <c r="I3829" s="187">
        <v>23.971373215317726</v>
      </c>
      <c r="J3829" s="187" t="s">
        <v>941</v>
      </c>
      <c r="K3829" s="187" t="s">
        <v>116</v>
      </c>
      <c r="M3829" s="195"/>
      <c r="N3829" s="195"/>
      <c r="O3829" s="199"/>
      <c r="P3829" s="188"/>
      <c r="Q3829" s="174">
        <v>0</v>
      </c>
    </row>
    <row r="3830" spans="1:17" ht="14.25" x14ac:dyDescent="0.2">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3</v>
      </c>
      <c r="H3830" s="194" t="s">
        <v>60</v>
      </c>
      <c r="I3830" s="187">
        <v>36.34258359670639</v>
      </c>
      <c r="J3830" s="187" t="s">
        <v>941</v>
      </c>
      <c r="K3830" s="187" t="s">
        <v>116</v>
      </c>
      <c r="M3830" s="195"/>
      <c r="N3830" s="195"/>
      <c r="O3830" s="199"/>
      <c r="P3830" s="188"/>
      <c r="Q3830" s="174">
        <v>0</v>
      </c>
    </row>
    <row r="3831" spans="1:17" ht="14.25" x14ac:dyDescent="0.2">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4</v>
      </c>
      <c r="H3831" s="194" t="s">
        <v>60</v>
      </c>
      <c r="I3831" s="187">
        <v>34.861288964748383</v>
      </c>
      <c r="J3831" s="187" t="s">
        <v>941</v>
      </c>
      <c r="K3831" s="187" t="s">
        <v>116</v>
      </c>
      <c r="M3831" s="195"/>
      <c r="N3831" s="195"/>
      <c r="O3831" s="199"/>
      <c r="P3831" s="188"/>
      <c r="Q3831" s="174">
        <v>0</v>
      </c>
    </row>
    <row r="3832" spans="1:17" ht="14.25" x14ac:dyDescent="0.2">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6</v>
      </c>
      <c r="H3832" s="194" t="s">
        <v>60</v>
      </c>
      <c r="I3832" s="187">
        <v>25.692915543913841</v>
      </c>
      <c r="J3832" s="187" t="s">
        <v>941</v>
      </c>
      <c r="K3832" s="187" t="s">
        <v>116</v>
      </c>
      <c r="M3832" s="195"/>
      <c r="N3832" s="195"/>
      <c r="O3832" s="199"/>
      <c r="P3832" s="188"/>
      <c r="Q3832" s="174">
        <v>0</v>
      </c>
    </row>
    <row r="3833" spans="1:17" ht="14.25" x14ac:dyDescent="0.2">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8</v>
      </c>
      <c r="H3833" s="194" t="s">
        <v>60</v>
      </c>
      <c r="I3833" s="187">
        <v>19.740385934710503</v>
      </c>
      <c r="J3833" s="187" t="s">
        <v>941</v>
      </c>
      <c r="K3833" s="187" t="s">
        <v>116</v>
      </c>
      <c r="M3833" s="195"/>
      <c r="N3833" s="195"/>
      <c r="O3833" s="199"/>
      <c r="P3833" s="188"/>
      <c r="Q3833" s="174">
        <v>0</v>
      </c>
    </row>
    <row r="3834" spans="1:17" ht="14.25" x14ac:dyDescent="0.2">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24</v>
      </c>
      <c r="H3834" s="194" t="s">
        <v>60</v>
      </c>
      <c r="I3834" s="187">
        <v>8.7083103135228157</v>
      </c>
      <c r="J3834" s="187" t="s">
        <v>941</v>
      </c>
      <c r="K3834" s="187" t="s">
        <v>116</v>
      </c>
      <c r="M3834" s="195"/>
      <c r="N3834" s="195"/>
      <c r="O3834" s="199"/>
      <c r="P3834" s="188"/>
      <c r="Q3834" s="174">
        <v>0</v>
      </c>
    </row>
    <row r="3835" spans="1:17" ht="14.25" x14ac:dyDescent="0.2">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32</v>
      </c>
      <c r="H3835" s="194" t="s">
        <v>60</v>
      </c>
      <c r="I3835" s="187">
        <v>6.9750663824379444</v>
      </c>
      <c r="J3835" s="187" t="s">
        <v>941</v>
      </c>
      <c r="K3835" s="187" t="s">
        <v>116</v>
      </c>
      <c r="M3835" s="195"/>
      <c r="N3835" s="195"/>
      <c r="O3835" s="199"/>
      <c r="P3835" s="188"/>
      <c r="Q3835" s="174">
        <v>0</v>
      </c>
    </row>
    <row r="3836" spans="1:17" ht="14.25" x14ac:dyDescent="0.2">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48</v>
      </c>
      <c r="H3836" s="194" t="s">
        <v>60</v>
      </c>
      <c r="I3836" s="187">
        <v>4.1174907237291336</v>
      </c>
      <c r="J3836" s="187" t="s">
        <v>941</v>
      </c>
      <c r="K3836" s="187" t="s">
        <v>116</v>
      </c>
      <c r="M3836" s="195"/>
      <c r="N3836" s="195"/>
      <c r="O3836" s="199"/>
      <c r="P3836" s="188"/>
      <c r="Q3836" s="174">
        <v>0</v>
      </c>
    </row>
    <row r="3837" spans="1:17" ht="14.25" x14ac:dyDescent="0.2">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56</v>
      </c>
      <c r="H3837" s="194" t="s">
        <v>60</v>
      </c>
      <c r="I3837" s="187">
        <v>3.5348222590982914</v>
      </c>
      <c r="J3837" s="187" t="s">
        <v>941</v>
      </c>
      <c r="K3837" s="187" t="s">
        <v>116</v>
      </c>
      <c r="M3837" s="195"/>
      <c r="N3837" s="195"/>
      <c r="O3837" s="199"/>
      <c r="P3837" s="188"/>
      <c r="Q3837" s="174">
        <v>0</v>
      </c>
    </row>
    <row r="3838" spans="1:17" ht="14.25" x14ac:dyDescent="0.2">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72</v>
      </c>
      <c r="H3838" s="194" t="s">
        <v>60</v>
      </c>
      <c r="I3838" s="187">
        <v>2.0295686554163694</v>
      </c>
      <c r="J3838" s="187" t="s">
        <v>941</v>
      </c>
      <c r="K3838" s="187" t="s">
        <v>116</v>
      </c>
      <c r="M3838" s="195"/>
      <c r="N3838" s="195"/>
      <c r="O3838" s="199"/>
      <c r="P3838" s="188"/>
      <c r="Q3838" s="174">
        <v>0</v>
      </c>
    </row>
    <row r="3839" spans="1:17" ht="14.25" x14ac:dyDescent="0.2">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96</v>
      </c>
      <c r="H3839" s="194" t="s">
        <v>60</v>
      </c>
      <c r="I3839" s="187">
        <v>0.82382978871464729</v>
      </c>
      <c r="J3839" s="187" t="s">
        <v>941</v>
      </c>
      <c r="K3839" s="187" t="s">
        <v>116</v>
      </c>
      <c r="M3839" s="195"/>
      <c r="N3839" s="195"/>
      <c r="O3839" s="199"/>
      <c r="P3839" s="188"/>
      <c r="Q3839" s="174">
        <v>0</v>
      </c>
    </row>
    <row r="3840" spans="1:17" ht="14.25" x14ac:dyDescent="0.2">
      <c r="A3840" s="183">
        <v>486</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with food</v>
      </c>
      <c r="E3840" s="250" t="str">
        <f>IF(AND(A3840&lt;&gt;"",ISNUMBER(A3840)),VLOOKUP(A3840,Studies!A:BR,5,FALSE),"")</f>
        <v>Itraconazole</v>
      </c>
      <c r="F3840" s="251" t="str">
        <f>IF(AND(A3840&lt;&gt;"",ISNUMBER(A3840)),VLOOKUP(A3840,Studies!A:BR,6,FALSE),"")</f>
        <v>Plasma</v>
      </c>
      <c r="G3840" s="194">
        <v>0.5</v>
      </c>
      <c r="H3840" s="194" t="s">
        <v>60</v>
      </c>
      <c r="I3840" s="187">
        <v>12.148207984864712</v>
      </c>
      <c r="J3840" s="187" t="s">
        <v>941</v>
      </c>
      <c r="K3840" s="187" t="s">
        <v>116</v>
      </c>
      <c r="M3840" s="195"/>
      <c r="N3840" s="195"/>
      <c r="O3840" s="199"/>
      <c r="P3840" s="188"/>
      <c r="Q3840" s="174">
        <v>0</v>
      </c>
    </row>
    <row r="3841" spans="1:17" ht="14.25" x14ac:dyDescent="0.2">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1</v>
      </c>
      <c r="H3841" s="194" t="s">
        <v>60</v>
      </c>
      <c r="I3841" s="187">
        <v>28.708212077617645</v>
      </c>
      <c r="J3841" s="187" t="s">
        <v>941</v>
      </c>
      <c r="K3841" s="187" t="s">
        <v>116</v>
      </c>
      <c r="M3841" s="195"/>
      <c r="N3841" s="195"/>
      <c r="O3841" s="199"/>
      <c r="P3841" s="188"/>
      <c r="Q3841" s="174">
        <v>0</v>
      </c>
    </row>
    <row r="3842" spans="1:17" ht="14.25" x14ac:dyDescent="0.2">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1.5</v>
      </c>
      <c r="H3842" s="194" t="s">
        <v>60</v>
      </c>
      <c r="I3842" s="187">
        <v>51.406517624855042</v>
      </c>
      <c r="J3842" s="187" t="s">
        <v>941</v>
      </c>
      <c r="K3842" s="187" t="s">
        <v>116</v>
      </c>
      <c r="M3842" s="195"/>
      <c r="N3842" s="195"/>
      <c r="O3842" s="199"/>
      <c r="P3842" s="188"/>
      <c r="Q3842" s="174">
        <v>0</v>
      </c>
    </row>
    <row r="3843" spans="1:17" ht="14.25" x14ac:dyDescent="0.2">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2</v>
      </c>
      <c r="H3843" s="194" t="s">
        <v>60</v>
      </c>
      <c r="I3843" s="187">
        <v>65.077044069766998</v>
      </c>
      <c r="J3843" s="187" t="s">
        <v>941</v>
      </c>
      <c r="K3843" s="187" t="s">
        <v>116</v>
      </c>
      <c r="M3843" s="195"/>
      <c r="N3843" s="195"/>
      <c r="O3843" s="199"/>
      <c r="P3843" s="188"/>
      <c r="Q3843" s="174">
        <v>0</v>
      </c>
    </row>
    <row r="3844" spans="1:17" ht="14.25" x14ac:dyDescent="0.2">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3</v>
      </c>
      <c r="H3844" s="194" t="s">
        <v>60</v>
      </c>
      <c r="I3844" s="187">
        <v>108.7225154042244</v>
      </c>
      <c r="J3844" s="187" t="s">
        <v>941</v>
      </c>
      <c r="K3844" s="187" t="s">
        <v>116</v>
      </c>
      <c r="M3844" s="195"/>
      <c r="N3844" s="195"/>
      <c r="O3844" s="199"/>
      <c r="P3844" s="188"/>
      <c r="Q3844" s="174">
        <v>0</v>
      </c>
    </row>
    <row r="3845" spans="1:17" ht="14.25" x14ac:dyDescent="0.2">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4</v>
      </c>
      <c r="H3845" s="194" t="s">
        <v>60</v>
      </c>
      <c r="I3845" s="187">
        <v>130.20648062229156</v>
      </c>
      <c r="J3845" s="187" t="s">
        <v>941</v>
      </c>
      <c r="K3845" s="187" t="s">
        <v>116</v>
      </c>
      <c r="M3845" s="195"/>
      <c r="N3845" s="195"/>
      <c r="O3845" s="199"/>
      <c r="P3845" s="188"/>
      <c r="Q3845" s="174">
        <v>0</v>
      </c>
    </row>
    <row r="3846" spans="1:17" ht="14.25" x14ac:dyDescent="0.2">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6</v>
      </c>
      <c r="H3846" s="194" t="s">
        <v>60</v>
      </c>
      <c r="I3846" s="187">
        <v>102.85442322492599</v>
      </c>
      <c r="J3846" s="187" t="s">
        <v>941</v>
      </c>
      <c r="K3846" s="187" t="s">
        <v>116</v>
      </c>
      <c r="M3846" s="195"/>
      <c r="N3846" s="195"/>
      <c r="O3846" s="199"/>
      <c r="P3846" s="188"/>
      <c r="Q3846" s="174">
        <v>0</v>
      </c>
    </row>
    <row r="3847" spans="1:17" s="183" customFormat="1" ht="14.25" x14ac:dyDescent="0.2">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v>0</v>
      </c>
    </row>
    <row r="3848" spans="1:17" s="183" customFormat="1" ht="14.25" x14ac:dyDescent="0.2">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v>0</v>
      </c>
    </row>
    <row r="3849" spans="1:17" s="183" customFormat="1" ht="14.25" x14ac:dyDescent="0.2">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v>0</v>
      </c>
    </row>
    <row r="3850" spans="1:17" s="183" customFormat="1" ht="14.25" x14ac:dyDescent="0.2">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v>0</v>
      </c>
    </row>
    <row r="3851" spans="1:17" s="183" customFormat="1" ht="14.25" x14ac:dyDescent="0.2">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v>0</v>
      </c>
    </row>
    <row r="3852" spans="1:17" s="183" customFormat="1" ht="14.25" x14ac:dyDescent="0.2">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v>0</v>
      </c>
    </row>
    <row r="3853" spans="1:17" s="183" customFormat="1" ht="14.25" x14ac:dyDescent="0.2">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v>0</v>
      </c>
    </row>
    <row r="3854" spans="1:17" s="183" customFormat="1" ht="14.25" x14ac:dyDescent="0.2">
      <c r="A3854" s="183">
        <v>487</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 15 days MD</v>
      </c>
      <c r="E3854" s="250" t="str">
        <f>IF(AND(A3854&lt;&gt;"",ISNUMBER(A3854)),VLOOKUP(A3854,Studies!A:BR,5,FALSE),"")</f>
        <v>Itraconazole</v>
      </c>
      <c r="F3854" s="251"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v>0</v>
      </c>
    </row>
    <row r="3855" spans="1:17" s="183" customFormat="1" ht="14.25" x14ac:dyDescent="0.2">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v>0</v>
      </c>
    </row>
    <row r="3856" spans="1:17" s="183" customFormat="1" ht="14.25" x14ac:dyDescent="0.2">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v>0</v>
      </c>
    </row>
    <row r="3857" spans="1:17" s="183" customFormat="1" ht="14.25" x14ac:dyDescent="0.2">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v>0</v>
      </c>
    </row>
    <row r="3858" spans="1:17" s="183" customFormat="1" ht="14.25" x14ac:dyDescent="0.2">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v>0</v>
      </c>
    </row>
    <row r="3859" spans="1:17" s="183" customFormat="1" ht="14.25" x14ac:dyDescent="0.2">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v>0</v>
      </c>
    </row>
    <row r="3860" spans="1:17" s="183" customFormat="1" ht="14.25" x14ac:dyDescent="0.2">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v>0</v>
      </c>
    </row>
    <row r="3861" spans="1:17" s="183" customFormat="1" ht="14.25" x14ac:dyDescent="0.2">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v>0</v>
      </c>
    </row>
    <row r="3862" spans="1:17" s="183" customFormat="1" ht="14.25" x14ac:dyDescent="0.2">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v>0</v>
      </c>
    </row>
    <row r="3863" spans="1:17" s="183" customFormat="1" ht="14.25" x14ac:dyDescent="0.2">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v>0</v>
      </c>
    </row>
    <row r="3864" spans="1:17" s="183" customFormat="1" ht="14.25" x14ac:dyDescent="0.2">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v>0</v>
      </c>
    </row>
    <row r="3865" spans="1:17" s="183" customFormat="1" ht="14.25" x14ac:dyDescent="0.2">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v>0</v>
      </c>
    </row>
    <row r="3866" spans="1:17" s="183" customFormat="1" ht="14.25" x14ac:dyDescent="0.2">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v>0</v>
      </c>
    </row>
    <row r="3867" spans="1:17" s="183" customFormat="1" ht="14.25" x14ac:dyDescent="0.2">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v>0</v>
      </c>
    </row>
    <row r="3868" spans="1:17" s="183" customFormat="1" ht="14.25" x14ac:dyDescent="0.2">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v>0</v>
      </c>
    </row>
    <row r="3869" spans="1:17" s="183" customFormat="1" ht="14.25" x14ac:dyDescent="0.2">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v>0</v>
      </c>
    </row>
    <row r="3870" spans="1:17" s="183" customFormat="1" ht="14.25" x14ac:dyDescent="0.2">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v>0</v>
      </c>
    </row>
    <row r="3871" spans="1:17" s="183" customFormat="1" ht="14.25" x14ac:dyDescent="0.2">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v>0</v>
      </c>
    </row>
    <row r="3872" spans="1:17" s="183" customFormat="1" ht="14.25" x14ac:dyDescent="0.2">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v>0</v>
      </c>
    </row>
    <row r="3873" spans="1:17" s="183" customFormat="1" ht="14.25" x14ac:dyDescent="0.2">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v>0</v>
      </c>
    </row>
    <row r="3874" spans="1:17" s="183" customFormat="1" ht="14.25" x14ac:dyDescent="0.2">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v>0</v>
      </c>
    </row>
    <row r="3875" spans="1:17" s="183" customFormat="1" ht="14.25" x14ac:dyDescent="0.2">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v>0</v>
      </c>
    </row>
    <row r="3876" spans="1:17" s="183" customFormat="1" ht="14.25" x14ac:dyDescent="0.2">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v>0</v>
      </c>
    </row>
    <row r="3877" spans="1:17" s="183" customFormat="1" ht="14.25" x14ac:dyDescent="0.2">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v>0</v>
      </c>
    </row>
    <row r="3878" spans="1:17" s="183" customFormat="1" ht="14.25" x14ac:dyDescent="0.2">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v>0</v>
      </c>
    </row>
    <row r="3879" spans="1:17" s="183" customFormat="1" ht="14.25" x14ac:dyDescent="0.2">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v>0</v>
      </c>
    </row>
    <row r="3880" spans="1:17" s="183" customFormat="1" ht="14.25" x14ac:dyDescent="0.2">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v>0</v>
      </c>
    </row>
    <row r="3881" spans="1:17" s="183" customFormat="1" ht="14.25" x14ac:dyDescent="0.2">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v>0</v>
      </c>
    </row>
    <row r="3882" spans="1:17" s="183" customFormat="1" ht="14.25" x14ac:dyDescent="0.2">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v>0</v>
      </c>
    </row>
    <row r="3883" spans="1:17" s="183" customFormat="1" ht="14.25" x14ac:dyDescent="0.2">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v>0</v>
      </c>
    </row>
    <row r="3884" spans="1:17" s="183" customFormat="1" ht="14.25" x14ac:dyDescent="0.2">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v>0</v>
      </c>
    </row>
    <row r="3885" spans="1:17" s="183" customFormat="1" ht="14.25" x14ac:dyDescent="0.2">
      <c r="A3885" s="183">
        <v>490</v>
      </c>
      <c r="B3885" s="249" t="str">
        <f>IF(AND(A3885&lt;&gt;"",ISNUMBER(A3885)),VLOOKUP(A3885,Studies!A:BR,2,FALSE),"")</f>
        <v>Heykants 1989</v>
      </c>
      <c r="C3885" s="250" t="str">
        <f>IF(AND(A3885&lt;&gt;"",ISNUMBER(A3885)),VLOOKUP(A3885,Studies!A:BR,3,FALSE),"")</f>
        <v>https://www.ncbi.nlm.nih.gov/pubmed/2561187</v>
      </c>
      <c r="D3885" s="250" t="str">
        <f>IF(AND(A3885&lt;&gt;"",ISNUMBER(A3885)),VLOOKUP(A3885,Studies!A:BR,4,FALSE),"")</f>
        <v>iv 100 mg SD</v>
      </c>
      <c r="E3885" s="250" t="str">
        <f>IF(AND(A3885&lt;&gt;"",ISNUMBER(A3885)),VLOOKUP(A3885,Studies!A:BR,5,FALSE),"")</f>
        <v>Itraconazole</v>
      </c>
      <c r="F3885" s="251"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v>0</v>
      </c>
    </row>
    <row r="3886" spans="1:17" s="183" customFormat="1" ht="14.25" x14ac:dyDescent="0.2">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v>0</v>
      </c>
    </row>
    <row r="3887" spans="1:17" s="183" customFormat="1" ht="14.25" x14ac:dyDescent="0.2">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v>0</v>
      </c>
    </row>
    <row r="3888" spans="1:17" s="183" customFormat="1" ht="14.25" x14ac:dyDescent="0.2">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v>0</v>
      </c>
    </row>
    <row r="3889" spans="1:17" s="183" customFormat="1" ht="14.25" x14ac:dyDescent="0.2">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v>0</v>
      </c>
    </row>
    <row r="3890" spans="1:17" s="183" customFormat="1" ht="14.25" x14ac:dyDescent="0.2">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v>0</v>
      </c>
    </row>
    <row r="3891" spans="1:17" s="183" customFormat="1" ht="14.25" x14ac:dyDescent="0.2">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v>0</v>
      </c>
    </row>
    <row r="3892" spans="1:17" s="183" customFormat="1" ht="14.25" x14ac:dyDescent="0.2">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v>0</v>
      </c>
    </row>
    <row r="3893" spans="1:17" s="183" customFormat="1" ht="14.25" x14ac:dyDescent="0.2">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v>0</v>
      </c>
    </row>
    <row r="3894" spans="1:17" s="183" customFormat="1" ht="14.25" x14ac:dyDescent="0.2">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v>0</v>
      </c>
    </row>
    <row r="3895" spans="1:17" s="183" customFormat="1" ht="14.25" x14ac:dyDescent="0.2">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v>0</v>
      </c>
    </row>
    <row r="3896" spans="1:17" s="183" customFormat="1" ht="14.25" x14ac:dyDescent="0.2">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v>0</v>
      </c>
    </row>
    <row r="3897" spans="1:17" s="183" customFormat="1" ht="14.25" x14ac:dyDescent="0.2">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v>0</v>
      </c>
    </row>
    <row r="3898" spans="1:17" s="183" customFormat="1" ht="14.25" x14ac:dyDescent="0.2">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v>0</v>
      </c>
    </row>
    <row r="3899" spans="1:17" s="183" customFormat="1" ht="14.25" x14ac:dyDescent="0.2">
      <c r="A3899" s="183">
        <v>491</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po 100 mg SD fed</v>
      </c>
      <c r="E3899" s="250" t="str">
        <f>IF(AND(A3899&lt;&gt;"",ISNUMBER(A3899)),VLOOKUP(A3899,Studies!A:BR,5,FALSE),"")</f>
        <v>Itraconazole</v>
      </c>
      <c r="F3899" s="251"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v>0</v>
      </c>
    </row>
    <row r="3900" spans="1:17" s="183" customFormat="1" ht="14.25" x14ac:dyDescent="0.2">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v>0</v>
      </c>
    </row>
    <row r="3901" spans="1:17" s="183" customFormat="1" ht="14.25" x14ac:dyDescent="0.2">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3</v>
      </c>
      <c r="H3901" s="194" t="s">
        <v>60</v>
      </c>
      <c r="I3901" s="187">
        <v>100</v>
      </c>
      <c r="J3901" s="187" t="s">
        <v>941</v>
      </c>
      <c r="K3901" s="187" t="s">
        <v>116</v>
      </c>
      <c r="L3901" s="195"/>
      <c r="M3901" s="195"/>
      <c r="N3901" s="195"/>
      <c r="O3901" s="199"/>
      <c r="P3901" s="188"/>
      <c r="Q3901" s="174">
        <v>0</v>
      </c>
    </row>
    <row r="3902" spans="1:17" s="183" customFormat="1" ht="14.25" x14ac:dyDescent="0.2">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v>0</v>
      </c>
    </row>
    <row r="3903" spans="1:17" s="183" customFormat="1" ht="14.25" x14ac:dyDescent="0.2">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v>0</v>
      </c>
    </row>
    <row r="3904" spans="1:17" s="183" customFormat="1" ht="14.25" x14ac:dyDescent="0.2">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v>0</v>
      </c>
    </row>
    <row r="3905" spans="1:17" s="183" customFormat="1" ht="14.25" x14ac:dyDescent="0.2">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v>0</v>
      </c>
    </row>
    <row r="3906" spans="1:17" s="183" customFormat="1" ht="14.25" x14ac:dyDescent="0.2">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v>0</v>
      </c>
    </row>
    <row r="3907" spans="1:17" s="183" customFormat="1" ht="14.25" x14ac:dyDescent="0.2">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v>0</v>
      </c>
    </row>
    <row r="3908" spans="1:17" s="183" customFormat="1" ht="14.25" x14ac:dyDescent="0.2">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v>0</v>
      </c>
    </row>
    <row r="3909" spans="1:17" s="183" customFormat="1" ht="14.25" x14ac:dyDescent="0.2">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v>0</v>
      </c>
    </row>
    <row r="3910" spans="1:17" s="183" customFormat="1" ht="14.25" x14ac:dyDescent="0.2">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v>0</v>
      </c>
    </row>
    <row r="3911" spans="1:17" s="183" customFormat="1" ht="14.25" x14ac:dyDescent="0.2">
      <c r="A3911" s="183">
        <v>492</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(metabolite screening)</v>
      </c>
      <c r="E3911" s="250" t="str">
        <f>IF(AND(A3911&lt;&gt;"",ISNUMBER(A3911)),VLOOKUP(A3911,Studies!A:BR,5,FALSE),"")</f>
        <v>Itraconazole</v>
      </c>
      <c r="F3911" s="251"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v>0</v>
      </c>
    </row>
    <row r="3912" spans="1:17" s="183" customFormat="1" ht="14.25" x14ac:dyDescent="0.2">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v>0</v>
      </c>
    </row>
    <row r="3913" spans="1:17" s="183" customFormat="1" ht="14.25" x14ac:dyDescent="0.2">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v>0</v>
      </c>
    </row>
    <row r="3914" spans="1:17" s="183" customFormat="1" ht="14.25" x14ac:dyDescent="0.2">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v>0</v>
      </c>
    </row>
    <row r="3915" spans="1:17" s="183" customFormat="1" ht="14.25" x14ac:dyDescent="0.2">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v>0</v>
      </c>
    </row>
    <row r="3916" spans="1:17" s="183" customFormat="1" ht="14.25" x14ac:dyDescent="0.2">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v>0</v>
      </c>
    </row>
    <row r="3917" spans="1:17" s="183" customFormat="1" ht="14.25" x14ac:dyDescent="0.2">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v>0</v>
      </c>
    </row>
    <row r="3918" spans="1:17" s="183" customFormat="1" ht="14.25" x14ac:dyDescent="0.2">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v>0</v>
      </c>
    </row>
    <row r="3919" spans="1:17" s="183" customFormat="1" ht="14.25" x14ac:dyDescent="0.2">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v>0</v>
      </c>
    </row>
    <row r="3920" spans="1:17" s="183" customFormat="1" ht="14.25" x14ac:dyDescent="0.2">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v>0</v>
      </c>
    </row>
    <row r="3921" spans="1:17" s="183" customFormat="1" ht="14.25" x14ac:dyDescent="0.2">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v>0</v>
      </c>
    </row>
    <row r="3922" spans="1:17" s="183" customFormat="1" ht="14.25" x14ac:dyDescent="0.2">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v>0</v>
      </c>
    </row>
    <row r="3923" spans="1:17" s="183" customFormat="1" ht="14.25" x14ac:dyDescent="0.2">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v>0</v>
      </c>
    </row>
    <row r="3924" spans="1:17" s="183" customFormat="1" ht="14.25" x14ac:dyDescent="0.2">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v>0</v>
      </c>
    </row>
    <row r="3925" spans="1:17" s="183" customFormat="1" ht="14.25" x14ac:dyDescent="0.2">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v>0</v>
      </c>
    </row>
    <row r="3926" spans="1:17" s="183" customFormat="1" ht="14.25" x14ac:dyDescent="0.2">
      <c r="A3926" s="183">
        <v>493</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Hydroxy-Itraconazole</v>
      </c>
      <c r="F3926" s="251"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v>0</v>
      </c>
    </row>
    <row r="3927" spans="1:17" s="183" customFormat="1" ht="14.25" x14ac:dyDescent="0.2">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v>0</v>
      </c>
    </row>
    <row r="3928" spans="1:17" s="183" customFormat="1" ht="14.25" x14ac:dyDescent="0.2">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v>0</v>
      </c>
    </row>
    <row r="3929" spans="1:17" s="183" customFormat="1" ht="14.25" x14ac:dyDescent="0.2">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v>0</v>
      </c>
    </row>
    <row r="3930" spans="1:17" s="183" customFormat="1" ht="14.25" x14ac:dyDescent="0.2">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v>0</v>
      </c>
    </row>
    <row r="3931" spans="1:17" s="183" customFormat="1" ht="14.25" x14ac:dyDescent="0.2">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v>0</v>
      </c>
    </row>
    <row r="3932" spans="1:17" s="183" customFormat="1" ht="14.25" x14ac:dyDescent="0.2">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v>0</v>
      </c>
    </row>
    <row r="3933" spans="1:17" s="183" customFormat="1" ht="14.25" x14ac:dyDescent="0.2">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v>0</v>
      </c>
    </row>
    <row r="3934" spans="1:17" s="183" customFormat="1" ht="14.25" x14ac:dyDescent="0.2">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v>0</v>
      </c>
    </row>
    <row r="3935" spans="1:17" s="183" customFormat="1" ht="14.25" x14ac:dyDescent="0.2">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v>0</v>
      </c>
    </row>
    <row r="3936" spans="1:17" s="183" customFormat="1" ht="14.25" x14ac:dyDescent="0.2">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v>0</v>
      </c>
    </row>
    <row r="3937" spans="1:17" s="183" customFormat="1" ht="14.25" x14ac:dyDescent="0.2">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v>0</v>
      </c>
    </row>
    <row r="3938" spans="1:17" s="183" customFormat="1" ht="14.25" x14ac:dyDescent="0.2">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v>0</v>
      </c>
    </row>
    <row r="3939" spans="1:17" s="183" customFormat="1" ht="14.25" x14ac:dyDescent="0.2">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v>0</v>
      </c>
    </row>
    <row r="3940" spans="1:17" s="183" customFormat="1" ht="14.25" x14ac:dyDescent="0.2">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v>0</v>
      </c>
    </row>
    <row r="3941" spans="1:17" s="183" customFormat="1" ht="14.25" x14ac:dyDescent="0.2">
      <c r="A3941" s="183">
        <v>494</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MD OD</v>
      </c>
      <c r="E3941" s="250" t="str">
        <f>IF(AND(A3941&lt;&gt;"",ISNUMBER(A3941)),VLOOKUP(A3941,Studies!A:BR,5,FALSE),"")</f>
        <v>Itraconazole</v>
      </c>
      <c r="F3941" s="251"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v>0</v>
      </c>
    </row>
    <row r="3942" spans="1:17" s="183" customFormat="1" ht="14.25" x14ac:dyDescent="0.2">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v>0</v>
      </c>
    </row>
    <row r="3943" spans="1:17" s="183" customFormat="1" ht="14.25" x14ac:dyDescent="0.2">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v>0</v>
      </c>
    </row>
    <row r="3944" spans="1:17" s="183" customFormat="1" ht="14.25" x14ac:dyDescent="0.2">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v>0</v>
      </c>
    </row>
    <row r="3945" spans="1:17" s="183" customFormat="1" ht="14.25" x14ac:dyDescent="0.2">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v>0</v>
      </c>
    </row>
    <row r="3946" spans="1:17" s="183" customFormat="1" ht="14.25" x14ac:dyDescent="0.2">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v>0</v>
      </c>
    </row>
    <row r="3947" spans="1:17" s="183" customFormat="1" ht="14.25" x14ac:dyDescent="0.2">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v>0</v>
      </c>
    </row>
    <row r="3948" spans="1:17" s="183" customFormat="1" ht="14.25" x14ac:dyDescent="0.2">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v>0</v>
      </c>
    </row>
    <row r="3949" spans="1:17" s="183" customFormat="1" ht="14.25" x14ac:dyDescent="0.2">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v>0</v>
      </c>
    </row>
    <row r="3950" spans="1:17" s="183" customFormat="1" ht="14.25" x14ac:dyDescent="0.2">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v>0</v>
      </c>
    </row>
    <row r="3951" spans="1:17" s="183" customFormat="1" ht="14.25" x14ac:dyDescent="0.2">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v>0</v>
      </c>
    </row>
    <row r="3952" spans="1:17" s="183" customFormat="1" ht="14.25" x14ac:dyDescent="0.2">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v>0</v>
      </c>
    </row>
    <row r="3953" spans="1:17" s="183" customFormat="1" ht="14.25" x14ac:dyDescent="0.2">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v>0</v>
      </c>
    </row>
    <row r="3954" spans="1:17" s="183" customFormat="1" ht="14.25" x14ac:dyDescent="0.2">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v>0</v>
      </c>
    </row>
    <row r="3955" spans="1:17" s="183" customFormat="1" ht="14.25" x14ac:dyDescent="0.2">
      <c r="A3955" s="183">
        <v>495</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Hydroxy-Itraconazole</v>
      </c>
      <c r="F3955" s="251"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v>0</v>
      </c>
    </row>
    <row r="3956" spans="1:17" s="183" customFormat="1" ht="14.25" x14ac:dyDescent="0.2">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v>0</v>
      </c>
    </row>
    <row r="3957" spans="1:17" s="183" customFormat="1" ht="14.25" x14ac:dyDescent="0.2">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v>0</v>
      </c>
    </row>
    <row r="3958" spans="1:17" s="183" customFormat="1" ht="14.25" x14ac:dyDescent="0.2">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v>0</v>
      </c>
    </row>
    <row r="3959" spans="1:17" s="183" customFormat="1" ht="14.25" x14ac:dyDescent="0.2">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v>0</v>
      </c>
    </row>
    <row r="3960" spans="1:17" s="183" customFormat="1" ht="14.25" x14ac:dyDescent="0.2">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v>0</v>
      </c>
    </row>
    <row r="3961" spans="1:17" s="183" customFormat="1" ht="14.25" x14ac:dyDescent="0.2">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v>0</v>
      </c>
    </row>
    <row r="3962" spans="1:17" s="183" customFormat="1" ht="14.25" x14ac:dyDescent="0.2">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v>0</v>
      </c>
    </row>
    <row r="3963" spans="1:17" s="183" customFormat="1" ht="14.25" x14ac:dyDescent="0.2">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v>0</v>
      </c>
    </row>
    <row r="3964" spans="1:17" s="183" customFormat="1" ht="14.25" x14ac:dyDescent="0.2">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v>0</v>
      </c>
    </row>
    <row r="3965" spans="1:17" s="183" customFormat="1" ht="14.25" x14ac:dyDescent="0.2">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v>0</v>
      </c>
    </row>
    <row r="3966" spans="1:17" s="183" customFormat="1" ht="14.25" x14ac:dyDescent="0.2">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v>0</v>
      </c>
    </row>
    <row r="3967" spans="1:17" s="183" customFormat="1" ht="14.25" x14ac:dyDescent="0.2">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v>0</v>
      </c>
    </row>
    <row r="3968" spans="1:17" s="183" customFormat="1" ht="14.25" x14ac:dyDescent="0.2">
      <c r="A3968" s="183">
        <v>496</v>
      </c>
      <c r="B3968" s="249" t="str">
        <f>IF(AND(A3968&lt;&gt;"",ISNUMBER(A3968)),VLOOKUP(A3968,Studies!A:BR,2,FALSE),"")</f>
        <v>Miura 2010</v>
      </c>
      <c r="C3968" s="250" t="str">
        <f>IF(AND(A3968&lt;&gt;"",ISNUMBER(A3968)),VLOOKUP(A3968,Studies!A:BR,3,FALSE),"")</f>
        <v>https://www.ncbi.nlm.nih.gov/pubmed/20595406</v>
      </c>
      <c r="D3968" s="250" t="str">
        <f>IF(AND(A3968&lt;&gt;"",ISNUMBER(A3968)),VLOOKUP(A3968,Studies!A:BR,4,FALSE),"")</f>
        <v>po 100 mg MD Japanese</v>
      </c>
      <c r="E3968" s="250" t="str">
        <f>IF(AND(A3968&lt;&gt;"",ISNUMBER(A3968)),VLOOKUP(A3968,Studies!A:BR,5,FALSE),"")</f>
        <v>Itraconazole</v>
      </c>
      <c r="F3968" s="251"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v>0</v>
      </c>
    </row>
    <row r="3969" spans="1:17" s="183" customFormat="1" ht="14.25" x14ac:dyDescent="0.2">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v>0</v>
      </c>
    </row>
    <row r="3970" spans="1:17" s="183" customFormat="1" ht="14.25" x14ac:dyDescent="0.2">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v>0</v>
      </c>
    </row>
    <row r="3971" spans="1:17" s="183" customFormat="1" ht="14.25" x14ac:dyDescent="0.2">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v>0</v>
      </c>
    </row>
    <row r="3972" spans="1:17" s="183" customFormat="1" ht="14.25" x14ac:dyDescent="0.2">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v>0</v>
      </c>
    </row>
    <row r="3973" spans="1:17" s="183" customFormat="1" ht="14.25" x14ac:dyDescent="0.2">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v>0</v>
      </c>
    </row>
    <row r="3974" spans="1:17" s="183" customFormat="1" ht="14.25" x14ac:dyDescent="0.2">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v>0</v>
      </c>
    </row>
    <row r="3975" spans="1:17" s="183" customFormat="1" ht="14.25" x14ac:dyDescent="0.2">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v>0</v>
      </c>
    </row>
    <row r="3976" spans="1:17" s="183" customFormat="1" ht="14.25" x14ac:dyDescent="0.2">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v>0</v>
      </c>
    </row>
    <row r="3977" spans="1:17" s="183" customFormat="1" ht="14.25" x14ac:dyDescent="0.2">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v>0</v>
      </c>
    </row>
    <row r="3978" spans="1:17" s="183" customFormat="1" ht="14.25" x14ac:dyDescent="0.2">
      <c r="A3978" s="183">
        <v>497</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Hydroxy-Itraconazole</v>
      </c>
      <c r="F3978" s="251"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v>0</v>
      </c>
    </row>
    <row r="3979" spans="1:17" s="183" customFormat="1" ht="14.25" x14ac:dyDescent="0.2">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v>0</v>
      </c>
    </row>
    <row r="3980" spans="1:17" s="183" customFormat="1" ht="14.25" x14ac:dyDescent="0.2">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v>0</v>
      </c>
    </row>
    <row r="3981" spans="1:17" s="183" customFormat="1" ht="14.25" x14ac:dyDescent="0.2">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v>0</v>
      </c>
    </row>
    <row r="3982" spans="1:17" s="183" customFormat="1" ht="14.25" x14ac:dyDescent="0.2">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v>0</v>
      </c>
    </row>
    <row r="3983" spans="1:17" s="183" customFormat="1" ht="14.25" x14ac:dyDescent="0.2">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v>0</v>
      </c>
    </row>
    <row r="3984" spans="1:17" s="183" customFormat="1" ht="14.25" x14ac:dyDescent="0.2">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v>0</v>
      </c>
    </row>
    <row r="3985" spans="1:17" s="183" customFormat="1" ht="14.25" x14ac:dyDescent="0.2">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v>0</v>
      </c>
    </row>
    <row r="3986" spans="1:17" s="183" customFormat="1" ht="14.25" x14ac:dyDescent="0.2">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v>0</v>
      </c>
    </row>
    <row r="3987" spans="1:17" s="183" customFormat="1" ht="14.25" x14ac:dyDescent="0.2">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v>0</v>
      </c>
    </row>
    <row r="3988" spans="1:17" s="183" customFormat="1" ht="14.25" x14ac:dyDescent="0.2">
      <c r="A3988" s="183">
        <v>498</v>
      </c>
      <c r="B3988" s="249" t="str">
        <f>IF(AND(A3988&lt;&gt;"",ISNUMBER(A3988)),VLOOKUP(A3988,Studies!A:BR,2,FALSE),"")</f>
        <v>Gubbins 2004</v>
      </c>
      <c r="C3988" s="250" t="str">
        <f>IF(AND(A3988&lt;&gt;"",ISNUMBER(A3988)),VLOOKUP(A3988,Studies!A:BR,3,FALSE),"")</f>
        <v>https://www.ncbi.nlm.nih.gov/pubmed/15098799</v>
      </c>
      <c r="D3988" s="250" t="str">
        <f>IF(AND(A3988&lt;&gt;"",ISNUMBER(A3988)),VLOOKUP(A3988,Studies!A:BR,4,FALSE),"")</f>
        <v>po 200 mg solution with water</v>
      </c>
      <c r="E3988" s="250" t="str">
        <f>IF(AND(A3988&lt;&gt;"",ISNUMBER(A3988)),VLOOKUP(A3988,Studies!A:BR,5,FALSE),"")</f>
        <v>Itraconazole</v>
      </c>
      <c r="F3988" s="251" t="str">
        <f>IF(AND(A3988&lt;&gt;"",ISNUMBER(A3988)),VLOOKUP(A3988,Studies!A:BR,6,FALSE),"")</f>
        <v>Plasma</v>
      </c>
      <c r="G3988" s="194">
        <v>0.5</v>
      </c>
      <c r="H3988" s="194" t="s">
        <v>60</v>
      </c>
      <c r="I3988" s="187">
        <v>334.17721557617188</v>
      </c>
      <c r="J3988" s="187" t="s">
        <v>941</v>
      </c>
      <c r="K3988" s="187" t="s">
        <v>116</v>
      </c>
      <c r="L3988" s="195"/>
      <c r="M3988" s="195"/>
      <c r="N3988" s="195"/>
      <c r="O3988" s="199"/>
      <c r="P3988" s="188" t="s">
        <v>1027</v>
      </c>
      <c r="Q3988" s="174">
        <v>0</v>
      </c>
    </row>
    <row r="3989" spans="1:17" s="183" customFormat="1" ht="14.25" x14ac:dyDescent="0.2">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v>0</v>
      </c>
    </row>
    <row r="3990" spans="1:17" s="183" customFormat="1" ht="14.25" x14ac:dyDescent="0.2">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v>0</v>
      </c>
    </row>
    <row r="3991" spans="1:17" s="183" customFormat="1" ht="14.25" x14ac:dyDescent="0.2">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3</v>
      </c>
      <c r="H3991" s="194" t="s">
        <v>60</v>
      </c>
      <c r="I3991" s="187">
        <v>424.23147583007813</v>
      </c>
      <c r="J3991" s="187" t="s">
        <v>941</v>
      </c>
      <c r="K3991" s="187" t="s">
        <v>116</v>
      </c>
      <c r="L3991" s="195"/>
      <c r="M3991" s="195"/>
      <c r="N3991" s="195"/>
      <c r="O3991" s="199"/>
      <c r="P3991" s="188" t="s">
        <v>1027</v>
      </c>
      <c r="Q3991" s="174">
        <v>0</v>
      </c>
    </row>
    <row r="3992" spans="1:17" s="183" customFormat="1" ht="14.25" x14ac:dyDescent="0.2">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v>0</v>
      </c>
    </row>
    <row r="3993" spans="1:17" s="183" customFormat="1" ht="14.25" x14ac:dyDescent="0.2">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v>0</v>
      </c>
    </row>
    <row r="3994" spans="1:17" s="183" customFormat="1" ht="14.25" x14ac:dyDescent="0.2">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v>0</v>
      </c>
    </row>
    <row r="3995" spans="1:17" s="183" customFormat="1" ht="14.25" x14ac:dyDescent="0.2">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8</v>
      </c>
      <c r="H3995" s="194" t="s">
        <v>60</v>
      </c>
      <c r="I3995" s="187">
        <v>190.95840454101563</v>
      </c>
      <c r="J3995" s="187" t="s">
        <v>941</v>
      </c>
      <c r="K3995" s="187" t="s">
        <v>116</v>
      </c>
      <c r="L3995" s="195"/>
      <c r="M3995" s="195"/>
      <c r="N3995" s="195"/>
      <c r="O3995" s="199"/>
      <c r="P3995" s="188" t="s">
        <v>1027</v>
      </c>
      <c r="Q3995" s="174">
        <v>0</v>
      </c>
    </row>
    <row r="3996" spans="1:17" s="183" customFormat="1" ht="14.25" x14ac:dyDescent="0.2">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v>0</v>
      </c>
    </row>
    <row r="3997" spans="1:17" s="183" customFormat="1" ht="14.25" x14ac:dyDescent="0.2">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12</v>
      </c>
      <c r="H3997" s="194" t="s">
        <v>60</v>
      </c>
      <c r="I3997" s="187">
        <v>131.28390502929688</v>
      </c>
      <c r="J3997" s="187" t="s">
        <v>941</v>
      </c>
      <c r="K3997" s="187" t="s">
        <v>116</v>
      </c>
      <c r="L3997" s="195"/>
      <c r="M3997" s="195"/>
      <c r="N3997" s="195"/>
      <c r="O3997" s="199"/>
      <c r="P3997" s="188" t="s">
        <v>1027</v>
      </c>
      <c r="Q3997" s="174">
        <v>0</v>
      </c>
    </row>
    <row r="3998" spans="1:17" s="183" customFormat="1" ht="14.25" x14ac:dyDescent="0.2">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v>0</v>
      </c>
    </row>
    <row r="3999" spans="1:17" s="183" customFormat="1" ht="14.25" x14ac:dyDescent="0.2">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v>0</v>
      </c>
    </row>
    <row r="4000" spans="1:17" s="183" customFormat="1" ht="14.25" x14ac:dyDescent="0.2">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48</v>
      </c>
      <c r="H4000" s="194" t="s">
        <v>60</v>
      </c>
      <c r="I4000" s="187">
        <v>35.804702758789063</v>
      </c>
      <c r="J4000" s="187" t="s">
        <v>941</v>
      </c>
      <c r="K4000" s="187" t="s">
        <v>116</v>
      </c>
      <c r="L4000" s="195"/>
      <c r="M4000" s="195"/>
      <c r="N4000" s="195"/>
      <c r="O4000" s="199"/>
      <c r="P4000" s="188" t="s">
        <v>1027</v>
      </c>
      <c r="Q4000" s="174">
        <v>0</v>
      </c>
    </row>
    <row r="4001" spans="1:17" s="183" customFormat="1" ht="14.25" x14ac:dyDescent="0.2">
      <c r="A4001" s="183">
        <v>499</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Hydroxy-Itraconazole</v>
      </c>
      <c r="F4001" s="251" t="str">
        <f>IF(AND(A4001&lt;&gt;"",ISNUMBER(A4001)),VLOOKUP(A4001,Studies!A:BR,6,FALSE),"")</f>
        <v>Plasma</v>
      </c>
      <c r="G4001" s="194">
        <v>0.5</v>
      </c>
      <c r="H4001" s="194" t="s">
        <v>60</v>
      </c>
      <c r="I4001" s="187">
        <v>271.42855834960938</v>
      </c>
      <c r="J4001" s="187" t="s">
        <v>941</v>
      </c>
      <c r="K4001" s="187" t="s">
        <v>116</v>
      </c>
      <c r="L4001" s="195"/>
      <c r="M4001" s="195"/>
      <c r="N4001" s="195"/>
      <c r="O4001" s="199"/>
      <c r="P4001" s="188" t="s">
        <v>1027</v>
      </c>
      <c r="Q4001" s="174">
        <v>0</v>
      </c>
    </row>
    <row r="4002" spans="1:17" s="183" customFormat="1" ht="14.25" x14ac:dyDescent="0.2">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v>0</v>
      </c>
    </row>
    <row r="4003" spans="1:17" s="183" customFormat="1" ht="14.25" x14ac:dyDescent="0.2">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v>0</v>
      </c>
    </row>
    <row r="4004" spans="1:17" s="183" customFormat="1" ht="14.25" x14ac:dyDescent="0.2">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v>0</v>
      </c>
    </row>
    <row r="4005" spans="1:17" s="183" customFormat="1" ht="14.25" x14ac:dyDescent="0.2">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v>0</v>
      </c>
    </row>
    <row r="4006" spans="1:17" s="183" customFormat="1" ht="14.25" x14ac:dyDescent="0.2">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v>0</v>
      </c>
    </row>
    <row r="4007" spans="1:17" s="183" customFormat="1" ht="14.25" x14ac:dyDescent="0.2">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v>0</v>
      </c>
    </row>
    <row r="4008" spans="1:17" s="183" customFormat="1" ht="14.25" x14ac:dyDescent="0.2">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v>0</v>
      </c>
    </row>
    <row r="4009" spans="1:17" s="183" customFormat="1" ht="14.25" x14ac:dyDescent="0.2">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v>0</v>
      </c>
    </row>
    <row r="4010" spans="1:17" s="183" customFormat="1" ht="14.25" x14ac:dyDescent="0.2">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12</v>
      </c>
      <c r="H4010" s="194" t="s">
        <v>60</v>
      </c>
      <c r="I4010" s="187">
        <v>479.59182739257813</v>
      </c>
      <c r="J4010" s="187" t="s">
        <v>941</v>
      </c>
      <c r="K4010" s="187" t="s">
        <v>116</v>
      </c>
      <c r="L4010" s="195"/>
      <c r="M4010" s="195"/>
      <c r="N4010" s="195"/>
      <c r="O4010" s="199"/>
      <c r="P4010" s="188" t="s">
        <v>1027</v>
      </c>
      <c r="Q4010" s="174">
        <v>0</v>
      </c>
    </row>
    <row r="4011" spans="1:17" s="183" customFormat="1" ht="14.25" x14ac:dyDescent="0.2">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24</v>
      </c>
      <c r="H4011" s="194" t="s">
        <v>60</v>
      </c>
      <c r="I4011" s="187">
        <v>271.42855834960938</v>
      </c>
      <c r="J4011" s="187" t="s">
        <v>941</v>
      </c>
      <c r="K4011" s="187" t="s">
        <v>116</v>
      </c>
      <c r="L4011" s="195"/>
      <c r="M4011" s="195"/>
      <c r="N4011" s="195"/>
      <c r="O4011" s="199"/>
      <c r="P4011" s="188" t="s">
        <v>1027</v>
      </c>
      <c r="Q4011" s="174">
        <v>0</v>
      </c>
    </row>
    <row r="4012" spans="1:17" s="183" customFormat="1" ht="14.25" x14ac:dyDescent="0.2">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36</v>
      </c>
      <c r="H4012" s="194" t="s">
        <v>60</v>
      </c>
      <c r="I4012" s="187">
        <v>157.14285278320313</v>
      </c>
      <c r="J4012" s="187" t="s">
        <v>941</v>
      </c>
      <c r="K4012" s="187" t="s">
        <v>116</v>
      </c>
      <c r="L4012" s="195"/>
      <c r="M4012" s="195"/>
      <c r="N4012" s="195"/>
      <c r="O4012" s="199"/>
      <c r="P4012" s="188" t="s">
        <v>1027</v>
      </c>
      <c r="Q4012" s="174">
        <v>0</v>
      </c>
    </row>
    <row r="4013" spans="1:17" s="183" customFormat="1" ht="14.25" x14ac:dyDescent="0.2">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v>0</v>
      </c>
    </row>
    <row r="4014" spans="1:17" s="183" customFormat="1" ht="14.25" x14ac:dyDescent="0.2">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v>0</v>
      </c>
    </row>
    <row r="4015" spans="1:17" s="183" customFormat="1" ht="14.25" x14ac:dyDescent="0.2">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v>0</v>
      </c>
    </row>
    <row r="4016" spans="1:17" s="183" customFormat="1" ht="14.25" x14ac:dyDescent="0.2">
      <c r="A4016" s="183">
        <v>502</v>
      </c>
      <c r="B4016" s="249" t="str">
        <f>IF(AND(A4016&lt;&gt;"",ISNUMBER(A4016)),VLOOKUP(A4016,Studies!A:BR,2,FALSE),"")</f>
        <v>Gubbins 2007</v>
      </c>
      <c r="C4016" s="250" t="str">
        <f>IF(AND(A4016&lt;&gt;"",ISNUMBER(A4016)),VLOOKUP(A4016,Studies!A:BR,3,FALSE),"")</f>
        <v>https://www.ncbi.nlm.nih.gov/pubmed/18172627</v>
      </c>
      <c r="D4016" s="250" t="str">
        <f>IF(AND(A4016&lt;&gt;"",ISNUMBER(A4016)),VLOOKUP(A4016,Studies!A:BR,4,FALSE),"")</f>
        <v>po 200 mg solution female with water</v>
      </c>
      <c r="E4016" s="250" t="str">
        <f>IF(AND(A4016&lt;&gt;"",ISNUMBER(A4016)),VLOOKUP(A4016,Studies!A:BR,5,FALSE),"")</f>
        <v>Itraconazole</v>
      </c>
      <c r="F4016" s="251"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v>0</v>
      </c>
    </row>
    <row r="4017" spans="1:17" s="183" customFormat="1" ht="14.25" x14ac:dyDescent="0.2">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v>0</v>
      </c>
    </row>
    <row r="4018" spans="1:17" s="183" customFormat="1" ht="14.25" x14ac:dyDescent="0.2">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v>0</v>
      </c>
    </row>
    <row r="4019" spans="1:17" s="183" customFormat="1" ht="14.25" x14ac:dyDescent="0.2">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v>0</v>
      </c>
    </row>
    <row r="4020" spans="1:17" s="183" customFormat="1" ht="14.25" x14ac:dyDescent="0.2">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4</v>
      </c>
      <c r="H4020" s="194" t="s">
        <v>60</v>
      </c>
      <c r="I4020" s="187">
        <v>391.44735717773438</v>
      </c>
      <c r="J4020" s="187" t="s">
        <v>941</v>
      </c>
      <c r="K4020" s="187" t="s">
        <v>116</v>
      </c>
      <c r="L4020" s="195"/>
      <c r="M4020" s="195"/>
      <c r="N4020" s="195"/>
      <c r="O4020" s="199"/>
      <c r="P4020" s="188" t="s">
        <v>1027</v>
      </c>
      <c r="Q4020" s="174">
        <v>0</v>
      </c>
    </row>
    <row r="4021" spans="1:17" s="183" customFormat="1" ht="14.25" x14ac:dyDescent="0.2">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5</v>
      </c>
      <c r="H4021" s="194" t="s">
        <v>60</v>
      </c>
      <c r="I4021" s="187">
        <v>320.83334350585938</v>
      </c>
      <c r="J4021" s="187" t="s">
        <v>941</v>
      </c>
      <c r="K4021" s="187" t="s">
        <v>116</v>
      </c>
      <c r="L4021" s="195"/>
      <c r="M4021" s="195"/>
      <c r="N4021" s="195"/>
      <c r="O4021" s="199"/>
      <c r="P4021" s="188" t="s">
        <v>1027</v>
      </c>
      <c r="Q4021" s="174">
        <v>0</v>
      </c>
    </row>
    <row r="4022" spans="1:17" s="183" customFormat="1" ht="14.25" x14ac:dyDescent="0.2">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6</v>
      </c>
      <c r="H4022" s="194" t="s">
        <v>60</v>
      </c>
      <c r="I4022" s="187">
        <v>230.26315307617188</v>
      </c>
      <c r="J4022" s="187" t="s">
        <v>941</v>
      </c>
      <c r="K4022" s="187" t="s">
        <v>116</v>
      </c>
      <c r="L4022" s="195"/>
      <c r="M4022" s="195"/>
      <c r="N4022" s="195"/>
      <c r="O4022" s="199"/>
      <c r="P4022" s="188" t="s">
        <v>1027</v>
      </c>
      <c r="Q4022" s="174">
        <v>0</v>
      </c>
    </row>
    <row r="4023" spans="1:17" s="183" customFormat="1" ht="14.25" x14ac:dyDescent="0.2">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v>0</v>
      </c>
    </row>
    <row r="4024" spans="1:17" s="183" customFormat="1" ht="14.25" x14ac:dyDescent="0.2">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v>0</v>
      </c>
    </row>
    <row r="4025" spans="1:17" s="183" customFormat="1" ht="14.25" x14ac:dyDescent="0.2">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v>0</v>
      </c>
    </row>
    <row r="4026" spans="1:17" s="183" customFormat="1" ht="14.25" x14ac:dyDescent="0.2">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24</v>
      </c>
      <c r="H4026" s="194" t="s">
        <v>60</v>
      </c>
      <c r="I4026" s="187">
        <v>66.008773803710938</v>
      </c>
      <c r="J4026" s="187" t="s">
        <v>941</v>
      </c>
      <c r="K4026" s="187" t="s">
        <v>116</v>
      </c>
      <c r="L4026" s="195"/>
      <c r="M4026" s="195"/>
      <c r="N4026" s="195"/>
      <c r="O4026" s="199"/>
      <c r="P4026" s="188" t="s">
        <v>1027</v>
      </c>
      <c r="Q4026" s="174">
        <v>0</v>
      </c>
    </row>
    <row r="4027" spans="1:17" s="183" customFormat="1" ht="14.25" x14ac:dyDescent="0.2">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v>0</v>
      </c>
    </row>
    <row r="4028" spans="1:17" s="183" customFormat="1" ht="14.25" x14ac:dyDescent="0.2">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v>0</v>
      </c>
    </row>
    <row r="4029" spans="1:17" s="183" customFormat="1" ht="14.25" x14ac:dyDescent="0.2">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v>0</v>
      </c>
    </row>
    <row r="4030" spans="1:17" s="183" customFormat="1" ht="14.25" x14ac:dyDescent="0.2">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v>0</v>
      </c>
    </row>
    <row r="4031" spans="1:17" s="183" customFormat="1" ht="14.25" x14ac:dyDescent="0.2">
      <c r="A4031" s="183">
        <v>503</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Hydroxy-Itraconazole</v>
      </c>
      <c r="F4031" s="251"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v>0</v>
      </c>
    </row>
    <row r="4032" spans="1:17" s="183" customFormat="1" ht="14.25" x14ac:dyDescent="0.2">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1</v>
      </c>
      <c r="H4032" s="194" t="s">
        <v>60</v>
      </c>
      <c r="I4032" s="187">
        <v>493.42105102539063</v>
      </c>
      <c r="J4032" s="187" t="s">
        <v>941</v>
      </c>
      <c r="K4032" s="187" t="s">
        <v>116</v>
      </c>
      <c r="L4032" s="195"/>
      <c r="M4032" s="195"/>
      <c r="N4032" s="195"/>
      <c r="O4032" s="199"/>
      <c r="P4032" s="188" t="s">
        <v>1027</v>
      </c>
      <c r="Q4032" s="174">
        <v>0</v>
      </c>
    </row>
    <row r="4033" spans="1:17" s="183" customFormat="1" ht="14.25" x14ac:dyDescent="0.2">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v>0</v>
      </c>
    </row>
    <row r="4034" spans="1:17" s="183" customFormat="1" ht="14.25" x14ac:dyDescent="0.2">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v>0</v>
      </c>
    </row>
    <row r="4035" spans="1:17" s="183" customFormat="1" ht="14.25" x14ac:dyDescent="0.2">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v>0</v>
      </c>
    </row>
    <row r="4036" spans="1:17" s="183" customFormat="1" ht="14.25" x14ac:dyDescent="0.2">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v>0</v>
      </c>
    </row>
    <row r="4037" spans="1:17" s="183" customFormat="1" ht="14.25" x14ac:dyDescent="0.2">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v>0</v>
      </c>
    </row>
    <row r="4038" spans="1:17" s="183" customFormat="1" ht="14.25" x14ac:dyDescent="0.2">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v>0</v>
      </c>
    </row>
    <row r="4039" spans="1:17" s="183" customFormat="1" ht="14.25" x14ac:dyDescent="0.2">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v>0</v>
      </c>
    </row>
    <row r="4040" spans="1:17" s="183" customFormat="1" ht="14.25" x14ac:dyDescent="0.2">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12</v>
      </c>
      <c r="H4040" s="194" t="s">
        <v>60</v>
      </c>
      <c r="I4040" s="187">
        <v>491.44735717773438</v>
      </c>
      <c r="J4040" s="187" t="s">
        <v>941</v>
      </c>
      <c r="K4040" s="187" t="s">
        <v>116</v>
      </c>
      <c r="L4040" s="195"/>
      <c r="M4040" s="195"/>
      <c r="N4040" s="195"/>
      <c r="O4040" s="199"/>
      <c r="P4040" s="188" t="s">
        <v>1027</v>
      </c>
      <c r="Q4040" s="174">
        <v>0</v>
      </c>
    </row>
    <row r="4041" spans="1:17" s="183" customFormat="1" ht="14.25" x14ac:dyDescent="0.2">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24</v>
      </c>
      <c r="H4041" s="194" t="s">
        <v>60</v>
      </c>
      <c r="I4041" s="187">
        <v>258.55264282226563</v>
      </c>
      <c r="J4041" s="187" t="s">
        <v>941</v>
      </c>
      <c r="K4041" s="187" t="s">
        <v>116</v>
      </c>
      <c r="L4041" s="195"/>
      <c r="M4041" s="195"/>
      <c r="N4041" s="195"/>
      <c r="O4041" s="199"/>
      <c r="P4041" s="188" t="s">
        <v>1027</v>
      </c>
      <c r="Q4041" s="174">
        <v>0</v>
      </c>
    </row>
    <row r="4042" spans="1:17" s="183" customFormat="1" ht="14.25" x14ac:dyDescent="0.2">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v>0</v>
      </c>
    </row>
    <row r="4043" spans="1:17" s="183" customFormat="1" ht="14.25" x14ac:dyDescent="0.2">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v>0</v>
      </c>
    </row>
    <row r="4044" spans="1:17" s="183" customFormat="1" ht="14.25" x14ac:dyDescent="0.2">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v>0</v>
      </c>
    </row>
    <row r="4045" spans="1:17" s="183" customFormat="1" ht="14.25" x14ac:dyDescent="0.2">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v>0</v>
      </c>
    </row>
    <row r="4046" spans="1:17" s="183" customFormat="1" ht="14.25" x14ac:dyDescent="0.2">
      <c r="A4046" s="183">
        <v>504</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male with water</v>
      </c>
      <c r="E4046" s="250" t="str">
        <f>IF(AND(A4046&lt;&gt;"",ISNUMBER(A4046)),VLOOKUP(A4046,Studies!A:BR,5,FALSE),"")</f>
        <v>Itraconazole</v>
      </c>
      <c r="F4046" s="251" t="str">
        <f>IF(AND(A4046&lt;&gt;"",ISNUMBER(A4046)),VLOOKUP(A4046,Studies!A:BR,6,FALSE),"")</f>
        <v>Plasma</v>
      </c>
      <c r="G4046" s="194">
        <v>0.5</v>
      </c>
      <c r="H4046" s="194" t="s">
        <v>60</v>
      </c>
      <c r="I4046" s="187">
        <v>436.34359741210938</v>
      </c>
      <c r="J4046" s="187" t="s">
        <v>941</v>
      </c>
      <c r="K4046" s="187" t="s">
        <v>116</v>
      </c>
      <c r="L4046" s="195"/>
      <c r="M4046" s="195"/>
      <c r="N4046" s="195"/>
      <c r="O4046" s="199"/>
      <c r="P4046" s="188" t="s">
        <v>1027</v>
      </c>
      <c r="Q4046" s="174">
        <v>0</v>
      </c>
    </row>
    <row r="4047" spans="1:17" s="183" customFormat="1" ht="14.25" x14ac:dyDescent="0.2">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v>0</v>
      </c>
    </row>
    <row r="4048" spans="1:17" s="183" customFormat="1" ht="14.25" x14ac:dyDescent="0.2">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2</v>
      </c>
      <c r="H4048" s="194" t="s">
        <v>60</v>
      </c>
      <c r="I4048" s="187">
        <v>445.59469604492188</v>
      </c>
      <c r="J4048" s="187" t="s">
        <v>941</v>
      </c>
      <c r="K4048" s="187" t="s">
        <v>116</v>
      </c>
      <c r="L4048" s="195"/>
      <c r="M4048" s="195"/>
      <c r="N4048" s="195"/>
      <c r="O4048" s="199"/>
      <c r="P4048" s="188" t="s">
        <v>1027</v>
      </c>
      <c r="Q4048" s="174">
        <v>0</v>
      </c>
    </row>
    <row r="4049" spans="1:17" s="183" customFormat="1" ht="14.25" x14ac:dyDescent="0.2">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3</v>
      </c>
      <c r="H4049" s="194" t="s">
        <v>60</v>
      </c>
      <c r="I4049" s="187">
        <v>417.84140014648438</v>
      </c>
      <c r="J4049" s="187" t="s">
        <v>941</v>
      </c>
      <c r="K4049" s="187" t="s">
        <v>116</v>
      </c>
      <c r="L4049" s="195"/>
      <c r="M4049" s="195"/>
      <c r="N4049" s="195"/>
      <c r="O4049" s="199"/>
      <c r="P4049" s="188" t="s">
        <v>1027</v>
      </c>
      <c r="Q4049" s="174">
        <v>0</v>
      </c>
    </row>
    <row r="4050" spans="1:17" s="183" customFormat="1" ht="14.25" x14ac:dyDescent="0.2">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v>0</v>
      </c>
    </row>
    <row r="4051" spans="1:17" s="183" customFormat="1" ht="14.25" x14ac:dyDescent="0.2">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5</v>
      </c>
      <c r="H4051" s="194" t="s">
        <v>60</v>
      </c>
      <c r="I4051" s="187">
        <v>305.28634643554688</v>
      </c>
      <c r="J4051" s="187" t="s">
        <v>941</v>
      </c>
      <c r="K4051" s="187" t="s">
        <v>116</v>
      </c>
      <c r="L4051" s="195"/>
      <c r="M4051" s="195"/>
      <c r="N4051" s="195"/>
      <c r="O4051" s="199"/>
      <c r="P4051" s="188" t="s">
        <v>1027</v>
      </c>
      <c r="Q4051" s="174">
        <v>0</v>
      </c>
    </row>
    <row r="4052" spans="1:17" s="183" customFormat="1" ht="14.25" x14ac:dyDescent="0.2">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6</v>
      </c>
      <c r="H4052" s="194" t="s">
        <v>60</v>
      </c>
      <c r="I4052" s="187">
        <v>248.23788452148438</v>
      </c>
      <c r="J4052" s="187" t="s">
        <v>941</v>
      </c>
      <c r="K4052" s="187" t="s">
        <v>116</v>
      </c>
      <c r="L4052" s="195"/>
      <c r="M4052" s="195"/>
      <c r="N4052" s="195"/>
      <c r="O4052" s="199"/>
      <c r="P4052" s="188" t="s">
        <v>1027</v>
      </c>
      <c r="Q4052" s="174">
        <v>0</v>
      </c>
    </row>
    <row r="4053" spans="1:17" s="183" customFormat="1" ht="14.25" x14ac:dyDescent="0.2">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8</v>
      </c>
      <c r="H4053" s="194" t="s">
        <v>60</v>
      </c>
      <c r="I4053" s="187">
        <v>195.81497192382813</v>
      </c>
      <c r="J4053" s="187" t="s">
        <v>941</v>
      </c>
      <c r="K4053" s="187" t="s">
        <v>116</v>
      </c>
      <c r="L4053" s="195"/>
      <c r="M4053" s="195"/>
      <c r="N4053" s="195"/>
      <c r="O4053" s="199"/>
      <c r="P4053" s="188" t="s">
        <v>1027</v>
      </c>
      <c r="Q4053" s="174">
        <v>0</v>
      </c>
    </row>
    <row r="4054" spans="1:17" s="183" customFormat="1" ht="14.25" x14ac:dyDescent="0.2">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v>0</v>
      </c>
    </row>
    <row r="4055" spans="1:17" s="183" customFormat="1" ht="14.25" x14ac:dyDescent="0.2">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v>0</v>
      </c>
    </row>
    <row r="4056" spans="1:17" s="183" customFormat="1" ht="14.25" x14ac:dyDescent="0.2">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v>0</v>
      </c>
    </row>
    <row r="4057" spans="1:17" s="183" customFormat="1" ht="14.25" x14ac:dyDescent="0.2">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v>0</v>
      </c>
    </row>
    <row r="4058" spans="1:17" s="183" customFormat="1" ht="14.25" x14ac:dyDescent="0.2">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v>0</v>
      </c>
    </row>
    <row r="4059" spans="1:17" s="183" customFormat="1" ht="14.25" x14ac:dyDescent="0.2">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v>0</v>
      </c>
    </row>
    <row r="4060" spans="1:17" s="183" customFormat="1" ht="14.25" x14ac:dyDescent="0.2">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v>0</v>
      </c>
    </row>
    <row r="4061" spans="1:17" s="183" customFormat="1" ht="14.25" x14ac:dyDescent="0.2">
      <c r="A4061" s="183">
        <v>505</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Hydroxy-Itraconazole</v>
      </c>
      <c r="F4061" s="251"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v>0</v>
      </c>
    </row>
    <row r="4062" spans="1:17" s="183" customFormat="1" ht="14.25" x14ac:dyDescent="0.2">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v>0</v>
      </c>
    </row>
    <row r="4063" spans="1:17" s="183" customFormat="1" ht="14.25" x14ac:dyDescent="0.2">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v>0</v>
      </c>
    </row>
    <row r="4064" spans="1:17" s="183" customFormat="1" ht="14.25" x14ac:dyDescent="0.2">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v>0</v>
      </c>
    </row>
    <row r="4065" spans="1:17" s="183" customFormat="1" ht="14.25" x14ac:dyDescent="0.2">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v>0</v>
      </c>
    </row>
    <row r="4066" spans="1:17" s="183" customFormat="1" ht="14.25" x14ac:dyDescent="0.2">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v>0</v>
      </c>
    </row>
    <row r="4067" spans="1:17" s="183" customFormat="1" ht="14.25" x14ac:dyDescent="0.2">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v>0</v>
      </c>
    </row>
    <row r="4068" spans="1:17" s="183" customFormat="1" ht="14.25" x14ac:dyDescent="0.2">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v>0</v>
      </c>
    </row>
    <row r="4069" spans="1:17" s="183" customFormat="1" ht="14.25" x14ac:dyDescent="0.2">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10</v>
      </c>
      <c r="H4069" s="194" t="s">
        <v>60</v>
      </c>
      <c r="I4069" s="187">
        <v>502.82608032226563</v>
      </c>
      <c r="J4069" s="187" t="s">
        <v>941</v>
      </c>
      <c r="K4069" s="187" t="s">
        <v>116</v>
      </c>
      <c r="L4069" s="195"/>
      <c r="M4069" s="195"/>
      <c r="N4069" s="195"/>
      <c r="O4069" s="199"/>
      <c r="P4069" s="188" t="s">
        <v>1027</v>
      </c>
      <c r="Q4069" s="174">
        <v>0</v>
      </c>
    </row>
    <row r="4070" spans="1:17" s="183" customFormat="1" ht="14.25" x14ac:dyDescent="0.2">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v>0</v>
      </c>
    </row>
    <row r="4071" spans="1:17" s="183" customFormat="1" ht="14.25" x14ac:dyDescent="0.2">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24</v>
      </c>
      <c r="H4071" s="194" t="s">
        <v>60</v>
      </c>
      <c r="I4071" s="187">
        <v>279.78262329101563</v>
      </c>
      <c r="J4071" s="187" t="s">
        <v>941</v>
      </c>
      <c r="K4071" s="187" t="s">
        <v>116</v>
      </c>
      <c r="L4071" s="195"/>
      <c r="M4071" s="195"/>
      <c r="N4071" s="195"/>
      <c r="O4071" s="199"/>
      <c r="P4071" s="188" t="s">
        <v>1027</v>
      </c>
      <c r="Q4071" s="174">
        <v>0</v>
      </c>
    </row>
    <row r="4072" spans="1:17" s="183" customFormat="1" ht="14.25" x14ac:dyDescent="0.2">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v>0</v>
      </c>
    </row>
    <row r="4073" spans="1:17" s="183" customFormat="1" ht="14.25" x14ac:dyDescent="0.2">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48</v>
      </c>
      <c r="H4073" s="194" t="s">
        <v>60</v>
      </c>
      <c r="I4073" s="187">
        <v>86.086959838867188</v>
      </c>
      <c r="J4073" s="187" t="s">
        <v>941</v>
      </c>
      <c r="K4073" s="187" t="s">
        <v>116</v>
      </c>
      <c r="L4073" s="195"/>
      <c r="M4073" s="195"/>
      <c r="N4073" s="195"/>
      <c r="O4073" s="199"/>
      <c r="P4073" s="188" t="s">
        <v>1027</v>
      </c>
      <c r="Q4073" s="174">
        <v>0</v>
      </c>
    </row>
    <row r="4074" spans="1:17" s="183" customFormat="1" ht="14.25" x14ac:dyDescent="0.2">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v>0</v>
      </c>
    </row>
    <row r="4075" spans="1:17" s="183" customFormat="1" ht="14.25" x14ac:dyDescent="0.2">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v>0</v>
      </c>
    </row>
    <row r="4076" spans="1:17" s="183" customFormat="1" ht="14.25" x14ac:dyDescent="0.2">
      <c r="A4076" s="91">
        <v>510</v>
      </c>
      <c r="B4076" s="249" t="str">
        <f>IF(AND(A4076&lt;&gt;"",ISNUMBER(A4076)),VLOOKUP(A4076,Studies!A:BR,2,FALSE),"")</f>
        <v>Uno 2006</v>
      </c>
      <c r="C4076" s="250" t="str">
        <f>IF(AND(A4076&lt;&gt;"",ISNUMBER(A4076)),VLOOKUP(A4076,Studies!A:BR,3,FALSE),"")</f>
        <v>https://www.ncbi.nlm.nih.gov/pubmed/16885720</v>
      </c>
      <c r="D4076" s="250" t="str">
        <f>IF(AND(A4076&lt;&gt;"",ISNUMBER(A4076)),VLOOKUP(A4076,Studies!A:BR,4,FALSE),"")</f>
        <v>day 1 (Japanese)</v>
      </c>
      <c r="E4076" s="250" t="str">
        <f>IF(AND(A4076&lt;&gt;"",ISNUMBER(A4076)),VLOOKUP(A4076,Studies!A:BR,5,FALSE),"")</f>
        <v>Itraconazole</v>
      </c>
      <c r="F4076" s="251"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v>0</v>
      </c>
    </row>
    <row r="4077" spans="1:17" s="183" customFormat="1" ht="14.25" x14ac:dyDescent="0.2">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v>0</v>
      </c>
    </row>
    <row r="4078" spans="1:17" s="183" customFormat="1" ht="14.25" x14ac:dyDescent="0.2">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v>0</v>
      </c>
    </row>
    <row r="4079" spans="1:17" s="183" customFormat="1" ht="14.25" x14ac:dyDescent="0.2">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v>0</v>
      </c>
    </row>
    <row r="4080" spans="1:17" s="183" customFormat="1" ht="14.25" x14ac:dyDescent="0.2">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v>0</v>
      </c>
    </row>
    <row r="4081" spans="1:17" s="183" customFormat="1" ht="14.25" x14ac:dyDescent="0.2">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v>0</v>
      </c>
    </row>
    <row r="4082" spans="1:17" s="183" customFormat="1" ht="14.25" x14ac:dyDescent="0.2">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v>0</v>
      </c>
    </row>
    <row r="4083" spans="1:17" s="183" customFormat="1" ht="14.25" x14ac:dyDescent="0.2">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v>0</v>
      </c>
    </row>
    <row r="4084" spans="1:17" s="183" customFormat="1" ht="14.25" x14ac:dyDescent="0.2">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v>0</v>
      </c>
    </row>
    <row r="4085" spans="1:17" s="183" customFormat="1" ht="14.25" x14ac:dyDescent="0.2">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v>0</v>
      </c>
    </row>
    <row r="4086" spans="1:17" s="183" customFormat="1" ht="14.25" x14ac:dyDescent="0.2">
      <c r="A4086" s="183">
        <v>511</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Hydroxy-Itraconazole</v>
      </c>
      <c r="F4086" s="251"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v>0</v>
      </c>
    </row>
    <row r="4087" spans="1:17" s="183" customFormat="1" ht="14.25" x14ac:dyDescent="0.2">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v>0</v>
      </c>
    </row>
    <row r="4088" spans="1:17" s="183" customFormat="1" ht="14.25" x14ac:dyDescent="0.2">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v>0</v>
      </c>
    </row>
    <row r="4089" spans="1:17" s="183" customFormat="1" ht="14.25" x14ac:dyDescent="0.2">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v>0</v>
      </c>
    </row>
    <row r="4090" spans="1:17" s="183" customFormat="1" ht="14.25" x14ac:dyDescent="0.2">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v>0</v>
      </c>
    </row>
    <row r="4091" spans="1:17" s="183" customFormat="1" ht="14.25" x14ac:dyDescent="0.2">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v>0</v>
      </c>
    </row>
    <row r="4092" spans="1:17" s="183" customFormat="1" ht="14.25" x14ac:dyDescent="0.2">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v>0</v>
      </c>
    </row>
    <row r="4093" spans="1:17" s="183" customFormat="1" ht="14.25" x14ac:dyDescent="0.2">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v>0</v>
      </c>
    </row>
    <row r="4094" spans="1:17" s="183" customFormat="1" ht="14.25" x14ac:dyDescent="0.2">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v>0</v>
      </c>
    </row>
    <row r="4095" spans="1:17" s="183" customFormat="1" ht="14.25" x14ac:dyDescent="0.2">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v>0</v>
      </c>
    </row>
    <row r="4096" spans="1:17" s="183" customFormat="1" ht="14.25" x14ac:dyDescent="0.2">
      <c r="A4096" s="183">
        <v>512</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6 (Japanese)</v>
      </c>
      <c r="E4096" s="250" t="str">
        <f>IF(AND(A4096&lt;&gt;"",ISNUMBER(A4096)),VLOOKUP(A4096,Studies!A:BR,5,FALSE),"")</f>
        <v>Itraconazole</v>
      </c>
      <c r="F4096" s="251"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v>0</v>
      </c>
    </row>
    <row r="4097" spans="1:17" s="183" customFormat="1" ht="14.25" x14ac:dyDescent="0.2">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120.5</v>
      </c>
      <c r="H4097" s="194" t="s">
        <v>60</v>
      </c>
      <c r="I4097" s="187">
        <v>87.179489135742188</v>
      </c>
      <c r="J4097" s="187" t="s">
        <v>941</v>
      </c>
      <c r="K4097" s="187" t="s">
        <v>116</v>
      </c>
      <c r="L4097" s="195"/>
      <c r="M4097" s="195"/>
      <c r="N4097" s="195"/>
      <c r="O4097" s="199"/>
      <c r="P4097" s="188" t="s">
        <v>1026</v>
      </c>
      <c r="Q4097" s="174">
        <v>0</v>
      </c>
    </row>
    <row r="4098" spans="1:17" s="183" customFormat="1" ht="14.25" x14ac:dyDescent="0.2">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v>0</v>
      </c>
    </row>
    <row r="4099" spans="1:17" s="183" customFormat="1" ht="14.25" x14ac:dyDescent="0.2">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121.5</v>
      </c>
      <c r="H4099" s="194" t="s">
        <v>60</v>
      </c>
      <c r="I4099" s="187">
        <v>164.10256958007813</v>
      </c>
      <c r="J4099" s="187" t="s">
        <v>941</v>
      </c>
      <c r="K4099" s="187" t="s">
        <v>116</v>
      </c>
      <c r="L4099" s="195"/>
      <c r="M4099" s="195"/>
      <c r="N4099" s="195"/>
      <c r="O4099" s="199"/>
      <c r="P4099" s="188" t="s">
        <v>1026</v>
      </c>
      <c r="Q4099" s="174">
        <v>0</v>
      </c>
    </row>
    <row r="4100" spans="1:17" s="183" customFormat="1" ht="14.25" x14ac:dyDescent="0.2">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v>0</v>
      </c>
    </row>
    <row r="4101" spans="1:17" s="183" customFormat="1" ht="14.25" x14ac:dyDescent="0.2">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123</v>
      </c>
      <c r="H4101" s="194" t="s">
        <v>60</v>
      </c>
      <c r="I4101" s="187">
        <v>234.61538696289063</v>
      </c>
      <c r="J4101" s="187" t="s">
        <v>941</v>
      </c>
      <c r="K4101" s="187" t="s">
        <v>116</v>
      </c>
      <c r="L4101" s="195"/>
      <c r="M4101" s="195"/>
      <c r="N4101" s="195"/>
      <c r="O4101" s="199"/>
      <c r="P4101" s="188" t="s">
        <v>1026</v>
      </c>
      <c r="Q4101" s="174">
        <v>0</v>
      </c>
    </row>
    <row r="4102" spans="1:17" s="183" customFormat="1" ht="14.25" x14ac:dyDescent="0.2">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v>0</v>
      </c>
    </row>
    <row r="4103" spans="1:17" s="183" customFormat="1" ht="14.25" x14ac:dyDescent="0.2">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v>0</v>
      </c>
    </row>
    <row r="4104" spans="1:17" s="183" customFormat="1" ht="14.25" x14ac:dyDescent="0.2">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v>0</v>
      </c>
    </row>
    <row r="4105" spans="1:17" s="183" customFormat="1" ht="14.25" x14ac:dyDescent="0.2">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v>0</v>
      </c>
    </row>
    <row r="4106" spans="1:17" s="183" customFormat="1" ht="14.25" x14ac:dyDescent="0.2">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v>0</v>
      </c>
    </row>
    <row r="4107" spans="1:17" s="183" customFormat="1" ht="14.25" x14ac:dyDescent="0.2">
      <c r="A4107" s="183">
        <v>513</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Hydroxy-Itraconazole</v>
      </c>
      <c r="F4107" s="251"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v>0</v>
      </c>
    </row>
    <row r="4108" spans="1:17" s="183" customFormat="1" ht="14.25" x14ac:dyDescent="0.2">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v>0</v>
      </c>
    </row>
    <row r="4109" spans="1:17" s="183" customFormat="1" ht="14.25" x14ac:dyDescent="0.2">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121</v>
      </c>
      <c r="H4109" s="194" t="s">
        <v>60</v>
      </c>
      <c r="I4109" s="187">
        <v>237.14901733398438</v>
      </c>
      <c r="J4109" s="187" t="s">
        <v>941</v>
      </c>
      <c r="K4109" s="187" t="s">
        <v>116</v>
      </c>
      <c r="L4109" s="195"/>
      <c r="M4109" s="195"/>
      <c r="N4109" s="195"/>
      <c r="O4109" s="199"/>
      <c r="P4109" s="188" t="s">
        <v>1026</v>
      </c>
      <c r="Q4109" s="174">
        <v>0</v>
      </c>
    </row>
    <row r="4110" spans="1:17" s="183" customFormat="1" ht="14.25" x14ac:dyDescent="0.2">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121.5</v>
      </c>
      <c r="H4110" s="194" t="s">
        <v>60</v>
      </c>
      <c r="I4110" s="187">
        <v>279.91360473632813</v>
      </c>
      <c r="J4110" s="187" t="s">
        <v>941</v>
      </c>
      <c r="K4110" s="187" t="s">
        <v>116</v>
      </c>
      <c r="L4110" s="195"/>
      <c r="M4110" s="195"/>
      <c r="N4110" s="195"/>
      <c r="O4110" s="199"/>
      <c r="P4110" s="188" t="s">
        <v>1026</v>
      </c>
      <c r="Q4110" s="174">
        <v>0</v>
      </c>
    </row>
    <row r="4111" spans="1:17" s="183" customFormat="1" ht="14.25" x14ac:dyDescent="0.2">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122</v>
      </c>
      <c r="H4111" s="194" t="s">
        <v>60</v>
      </c>
      <c r="I4111" s="187">
        <v>347.30020141601563</v>
      </c>
      <c r="J4111" s="187" t="s">
        <v>941</v>
      </c>
      <c r="K4111" s="187" t="s">
        <v>116</v>
      </c>
      <c r="L4111" s="195"/>
      <c r="M4111" s="195"/>
      <c r="N4111" s="195"/>
      <c r="O4111" s="199"/>
      <c r="P4111" s="188" t="s">
        <v>1026</v>
      </c>
      <c r="Q4111" s="174">
        <v>0</v>
      </c>
    </row>
    <row r="4112" spans="1:17" s="183" customFormat="1" ht="14.25" x14ac:dyDescent="0.2">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v>0</v>
      </c>
    </row>
    <row r="4113" spans="1:17" s="183" customFormat="1" ht="14.25" x14ac:dyDescent="0.2">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v>0</v>
      </c>
    </row>
    <row r="4114" spans="1:17" s="183" customFormat="1" ht="14.25" x14ac:dyDescent="0.2">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v>0</v>
      </c>
    </row>
    <row r="4115" spans="1:17" s="183" customFormat="1" ht="14.25" x14ac:dyDescent="0.2">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v>0</v>
      </c>
    </row>
    <row r="4116" spans="1:17" s="183" customFormat="1" ht="14.25" x14ac:dyDescent="0.2">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v>0</v>
      </c>
    </row>
    <row r="4117" spans="1:17" s="183" customFormat="1" ht="14.25" x14ac:dyDescent="0.2">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v>0</v>
      </c>
    </row>
    <row r="4118" spans="1:17" s="183" customFormat="1" ht="14.25" x14ac:dyDescent="0.2">
      <c r="A4118" s="91">
        <v>514</v>
      </c>
      <c r="B4118" s="249" t="str">
        <f>IF(AND(A4118&lt;&gt;"",ISNUMBER(A4118)),VLOOKUP(A4118,Studies!A:BR,2,FALSE),"")</f>
        <v>Bae 2011</v>
      </c>
      <c r="C4118" s="250" t="str">
        <f>IF(AND(A4118&lt;&gt;"",ISNUMBER(A4118)),VLOOKUP(A4118,Studies!A:BR,3,FALSE),"")</f>
        <v>https://www.ncbi.nlm.nih.gov/pubmed/20400647</v>
      </c>
      <c r="D4118" s="250" t="str">
        <f>IF(AND(A4118&lt;&gt;"",ISNUMBER(A4118)),VLOOKUP(A4118,Studies!A:BR,4,FALSE),"")</f>
        <v>po 200 mg capsule with water (Korean)</v>
      </c>
      <c r="E4118" s="250" t="str">
        <f>IF(AND(A4118&lt;&gt;"",ISNUMBER(A4118)),VLOOKUP(A4118,Studies!A:BR,5,FALSE),"")</f>
        <v>Itraconazole</v>
      </c>
      <c r="F4118" s="251"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v>0</v>
      </c>
    </row>
    <row r="4119" spans="1:17" s="183" customFormat="1" ht="14.25" x14ac:dyDescent="0.2">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v>0</v>
      </c>
    </row>
    <row r="4120" spans="1:17" s="183" customFormat="1" ht="14.25" x14ac:dyDescent="0.2">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v>0</v>
      </c>
    </row>
    <row r="4121" spans="1:17" s="183" customFormat="1" ht="14.25" x14ac:dyDescent="0.2">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v>0</v>
      </c>
    </row>
    <row r="4122" spans="1:17" s="183" customFormat="1" ht="14.25" x14ac:dyDescent="0.2">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v>0</v>
      </c>
    </row>
    <row r="4123" spans="1:17" s="183" customFormat="1" ht="14.25" x14ac:dyDescent="0.2">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v>0</v>
      </c>
    </row>
    <row r="4124" spans="1:17" s="183" customFormat="1" ht="14.25" x14ac:dyDescent="0.2">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v>0</v>
      </c>
    </row>
    <row r="4125" spans="1:17" s="183" customFormat="1" ht="14.25" x14ac:dyDescent="0.2">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4</v>
      </c>
      <c r="H4125" s="194" t="s">
        <v>60</v>
      </c>
      <c r="I4125" s="187">
        <v>210.70663452148438</v>
      </c>
      <c r="J4125" s="187" t="s">
        <v>941</v>
      </c>
      <c r="K4125" s="187" t="s">
        <v>116</v>
      </c>
      <c r="L4125" s="195"/>
      <c r="M4125" s="195"/>
      <c r="N4125" s="195"/>
      <c r="O4125" s="199"/>
      <c r="P4125" s="188" t="s">
        <v>1026</v>
      </c>
      <c r="Q4125" s="174">
        <v>0</v>
      </c>
    </row>
    <row r="4126" spans="1:17" s="183" customFormat="1" ht="14.25" x14ac:dyDescent="0.2">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v>0</v>
      </c>
    </row>
    <row r="4127" spans="1:17" s="183" customFormat="1" ht="14.25" x14ac:dyDescent="0.2">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v>0</v>
      </c>
    </row>
    <row r="4128" spans="1:17" s="183" customFormat="1" ht="14.25" x14ac:dyDescent="0.2">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v>0</v>
      </c>
    </row>
    <row r="4129" spans="1:17" s="183" customFormat="1" ht="14.25" x14ac:dyDescent="0.2">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v>0</v>
      </c>
    </row>
    <row r="4130" spans="1:17" s="183" customFormat="1" ht="14.25" x14ac:dyDescent="0.2">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v>0</v>
      </c>
    </row>
    <row r="4131" spans="1:17" s="183" customFormat="1" ht="14.25" x14ac:dyDescent="0.2">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v>0</v>
      </c>
    </row>
    <row r="4132" spans="1:17" s="183" customFormat="1" ht="14.25" x14ac:dyDescent="0.2">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v>0</v>
      </c>
    </row>
    <row r="4133" spans="1:17" s="183" customFormat="1" ht="14.25" x14ac:dyDescent="0.2">
      <c r="A4133" s="183">
        <v>515</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Hydroxy-Itraconazole</v>
      </c>
      <c r="F4133" s="251"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v>0</v>
      </c>
    </row>
    <row r="4134" spans="1:17" s="183" customFormat="1" ht="14.25" x14ac:dyDescent="0.2">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v>0</v>
      </c>
    </row>
    <row r="4135" spans="1:17" s="183" customFormat="1" ht="14.25" x14ac:dyDescent="0.2">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1.5</v>
      </c>
      <c r="H4135" s="194" t="s">
        <v>60</v>
      </c>
      <c r="I4135" s="187">
        <v>205.12820434570313</v>
      </c>
      <c r="J4135" s="187" t="s">
        <v>941</v>
      </c>
      <c r="K4135" s="187" t="s">
        <v>116</v>
      </c>
      <c r="L4135" s="195"/>
      <c r="M4135" s="195"/>
      <c r="N4135" s="195"/>
      <c r="O4135" s="199"/>
      <c r="P4135" s="188" t="s">
        <v>1026</v>
      </c>
      <c r="Q4135" s="174">
        <v>0</v>
      </c>
    </row>
    <row r="4136" spans="1:17" s="183" customFormat="1" ht="14.25" x14ac:dyDescent="0.2">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v>0</v>
      </c>
    </row>
    <row r="4137" spans="1:17" s="183" customFormat="1" ht="14.25" x14ac:dyDescent="0.2">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v>0</v>
      </c>
    </row>
    <row r="4138" spans="1:17" s="183" customFormat="1" ht="14.25" x14ac:dyDescent="0.2">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v>0</v>
      </c>
    </row>
    <row r="4139" spans="1:17" s="183" customFormat="1" ht="14.25" x14ac:dyDescent="0.2">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3.5</v>
      </c>
      <c r="H4139" s="194" t="s">
        <v>60</v>
      </c>
      <c r="I4139" s="187">
        <v>451.28207397460938</v>
      </c>
      <c r="J4139" s="187" t="s">
        <v>941</v>
      </c>
      <c r="K4139" s="187" t="s">
        <v>116</v>
      </c>
      <c r="L4139" s="195"/>
      <c r="M4139" s="195"/>
      <c r="N4139" s="195"/>
      <c r="O4139" s="199"/>
      <c r="P4139" s="188" t="s">
        <v>1026</v>
      </c>
      <c r="Q4139" s="174">
        <v>0</v>
      </c>
    </row>
    <row r="4140" spans="1:17" s="183" customFormat="1" ht="14.25" x14ac:dyDescent="0.2">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v>0</v>
      </c>
    </row>
    <row r="4141" spans="1:17" s="183" customFormat="1" ht="14.25" x14ac:dyDescent="0.2">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v>0</v>
      </c>
    </row>
    <row r="4142" spans="1:17" s="183" customFormat="1" ht="14.25" x14ac:dyDescent="0.2">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6</v>
      </c>
      <c r="H4142" s="194" t="s">
        <v>60</v>
      </c>
      <c r="I4142" s="187">
        <v>433.33334350585938</v>
      </c>
      <c r="J4142" s="187" t="s">
        <v>941</v>
      </c>
      <c r="K4142" s="187" t="s">
        <v>116</v>
      </c>
      <c r="L4142" s="195"/>
      <c r="M4142" s="195"/>
      <c r="N4142" s="195"/>
      <c r="O4142" s="199"/>
      <c r="P4142" s="188" t="s">
        <v>1026</v>
      </c>
      <c r="Q4142" s="174">
        <v>0</v>
      </c>
    </row>
    <row r="4143" spans="1:17" s="183" customFormat="1" ht="14.25" x14ac:dyDescent="0.2">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8</v>
      </c>
      <c r="H4143" s="194" t="s">
        <v>60</v>
      </c>
      <c r="I4143" s="187">
        <v>394.87179565429688</v>
      </c>
      <c r="J4143" s="187" t="s">
        <v>941</v>
      </c>
      <c r="K4143" s="187" t="s">
        <v>116</v>
      </c>
      <c r="L4143" s="195"/>
      <c r="M4143" s="195"/>
      <c r="N4143" s="195"/>
      <c r="O4143" s="199"/>
      <c r="P4143" s="188" t="s">
        <v>1026</v>
      </c>
      <c r="Q4143" s="174">
        <v>0</v>
      </c>
    </row>
    <row r="4144" spans="1:17" s="183" customFormat="1" ht="14.25" x14ac:dyDescent="0.2">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v>0</v>
      </c>
    </row>
    <row r="4145" spans="1:17" s="183" customFormat="1" ht="14.25" x14ac:dyDescent="0.2">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v>0</v>
      </c>
    </row>
    <row r="4146" spans="1:17" s="183" customFormat="1" ht="14.25" x14ac:dyDescent="0.2">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v>0</v>
      </c>
    </row>
    <row r="4147" spans="1:17" s="183" customFormat="1" ht="14.25" x14ac:dyDescent="0.2">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v>0</v>
      </c>
    </row>
    <row r="4148" spans="1:17" s="183" customFormat="1" ht="14.25" x14ac:dyDescent="0.2">
      <c r="A4148" s="183">
        <v>516</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cola (Korean)</v>
      </c>
      <c r="E4148" s="250" t="str">
        <f>IF(AND(A4148&lt;&gt;"",ISNUMBER(A4148)),VLOOKUP(A4148,Studies!A:BR,5,FALSE),"")</f>
        <v>Itraconazole</v>
      </c>
      <c r="F4148" s="251"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v>0</v>
      </c>
    </row>
    <row r="4149" spans="1:17" s="183" customFormat="1" ht="14.25" x14ac:dyDescent="0.2">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v>0</v>
      </c>
    </row>
    <row r="4150" spans="1:17" s="183" customFormat="1" ht="14.25" x14ac:dyDescent="0.2">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v>0</v>
      </c>
    </row>
    <row r="4151" spans="1:17" s="183" customFormat="1" ht="14.25" x14ac:dyDescent="0.2">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v>0</v>
      </c>
    </row>
    <row r="4152" spans="1:17" s="183" customFormat="1" ht="14.25" x14ac:dyDescent="0.2">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2.5</v>
      </c>
      <c r="H4152" s="194" t="s">
        <v>60</v>
      </c>
      <c r="I4152" s="187">
        <v>388.86508178710938</v>
      </c>
      <c r="J4152" s="187" t="s">
        <v>941</v>
      </c>
      <c r="K4152" s="187" t="s">
        <v>116</v>
      </c>
      <c r="L4152" s="195"/>
      <c r="M4152" s="195"/>
      <c r="N4152" s="195"/>
      <c r="O4152" s="199"/>
      <c r="P4152" s="188" t="s">
        <v>1026</v>
      </c>
      <c r="Q4152" s="174">
        <v>0</v>
      </c>
    </row>
    <row r="4153" spans="1:17" s="183" customFormat="1" ht="14.25" x14ac:dyDescent="0.2">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3</v>
      </c>
      <c r="H4153" s="194" t="s">
        <v>60</v>
      </c>
      <c r="I4153" s="187">
        <v>409.42184448242188</v>
      </c>
      <c r="J4153" s="187" t="s">
        <v>941</v>
      </c>
      <c r="K4153" s="187" t="s">
        <v>116</v>
      </c>
      <c r="L4153" s="195"/>
      <c r="M4153" s="195"/>
      <c r="N4153" s="195"/>
      <c r="O4153" s="199"/>
      <c r="P4153" s="188" t="s">
        <v>1026</v>
      </c>
      <c r="Q4153" s="174">
        <v>0</v>
      </c>
    </row>
    <row r="4154" spans="1:17" s="183" customFormat="1" ht="14.25" x14ac:dyDescent="0.2">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3.5</v>
      </c>
      <c r="H4154" s="194" t="s">
        <v>60</v>
      </c>
      <c r="I4154" s="187">
        <v>373.44754028320313</v>
      </c>
      <c r="J4154" s="187" t="s">
        <v>941</v>
      </c>
      <c r="K4154" s="187" t="s">
        <v>116</v>
      </c>
      <c r="L4154" s="195"/>
      <c r="M4154" s="195"/>
      <c r="N4154" s="195"/>
      <c r="O4154" s="199"/>
      <c r="P4154" s="188" t="s">
        <v>1026</v>
      </c>
      <c r="Q4154" s="174">
        <v>0</v>
      </c>
    </row>
    <row r="4155" spans="1:17" s="183" customFormat="1" ht="14.25" x14ac:dyDescent="0.2">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v>0</v>
      </c>
    </row>
    <row r="4156" spans="1:17" s="183" customFormat="1" ht="14.25" x14ac:dyDescent="0.2">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5</v>
      </c>
      <c r="H4156" s="194" t="s">
        <v>60</v>
      </c>
      <c r="I4156" s="187">
        <v>274.08993530273438</v>
      </c>
      <c r="J4156" s="187" t="s">
        <v>941</v>
      </c>
      <c r="K4156" s="187" t="s">
        <v>116</v>
      </c>
      <c r="L4156" s="195"/>
      <c r="M4156" s="195"/>
      <c r="N4156" s="195"/>
      <c r="O4156" s="199"/>
      <c r="P4156" s="188" t="s">
        <v>1026</v>
      </c>
      <c r="Q4156" s="174">
        <v>0</v>
      </c>
    </row>
    <row r="4157" spans="1:17" s="183" customFormat="1" ht="14.25" x14ac:dyDescent="0.2">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v>0</v>
      </c>
    </row>
    <row r="4158" spans="1:17" s="183" customFormat="1" ht="14.25" x14ac:dyDescent="0.2">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v>0</v>
      </c>
    </row>
    <row r="4159" spans="1:17" s="183" customFormat="1" ht="14.25" x14ac:dyDescent="0.2">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v>0</v>
      </c>
    </row>
    <row r="4160" spans="1:17" s="183" customFormat="1" ht="14.25" x14ac:dyDescent="0.2">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v>0</v>
      </c>
    </row>
    <row r="4161" spans="1:17" s="183" customFormat="1" ht="14.25" x14ac:dyDescent="0.2">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v>0</v>
      </c>
    </row>
    <row r="4162" spans="1:17" s="183" customFormat="1" ht="14.25" x14ac:dyDescent="0.2">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v>0</v>
      </c>
    </row>
    <row r="4163" spans="1:17" s="183" customFormat="1" ht="14.25" x14ac:dyDescent="0.2">
      <c r="A4163" s="183">
        <v>517</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Hydroxy-Itraconazole</v>
      </c>
      <c r="F4163" s="251"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v>0</v>
      </c>
    </row>
    <row r="4164" spans="1:17" s="183" customFormat="1" ht="14.25" x14ac:dyDescent="0.2">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v>0</v>
      </c>
    </row>
    <row r="4165" spans="1:17" s="183" customFormat="1" ht="14.25" x14ac:dyDescent="0.2">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v>0</v>
      </c>
    </row>
    <row r="4166" spans="1:17" s="183" customFormat="1" ht="14.25" x14ac:dyDescent="0.2">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2</v>
      </c>
      <c r="H4166" s="194" t="s">
        <v>60</v>
      </c>
      <c r="I4166" s="187">
        <v>433.33334350585938</v>
      </c>
      <c r="J4166" s="187" t="s">
        <v>941</v>
      </c>
      <c r="K4166" s="187" t="s">
        <v>116</v>
      </c>
      <c r="L4166" s="195"/>
      <c r="M4166" s="195"/>
      <c r="N4166" s="195"/>
      <c r="O4166" s="199"/>
      <c r="P4166" s="188" t="s">
        <v>1026</v>
      </c>
      <c r="Q4166" s="174">
        <v>0</v>
      </c>
    </row>
    <row r="4167" spans="1:17" s="183" customFormat="1" ht="14.25" x14ac:dyDescent="0.2">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v>0</v>
      </c>
    </row>
    <row r="4168" spans="1:17" s="183" customFormat="1" ht="14.25" x14ac:dyDescent="0.2">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v>0</v>
      </c>
    </row>
    <row r="4169" spans="1:17" s="183" customFormat="1" ht="14.25" x14ac:dyDescent="0.2">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v>0</v>
      </c>
    </row>
    <row r="4170" spans="1:17" s="183" customFormat="1" ht="14.25" x14ac:dyDescent="0.2">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v>0</v>
      </c>
    </row>
    <row r="4171" spans="1:17" s="183" customFormat="1" ht="14.25" x14ac:dyDescent="0.2">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v>0</v>
      </c>
    </row>
    <row r="4172" spans="1:17" s="183" customFormat="1" ht="14.25" x14ac:dyDescent="0.2">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v>0</v>
      </c>
    </row>
    <row r="4173" spans="1:17" s="183" customFormat="1" ht="14.25" x14ac:dyDescent="0.2">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v>0</v>
      </c>
    </row>
    <row r="4174" spans="1:17" s="183" customFormat="1" ht="14.25" x14ac:dyDescent="0.2">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12</v>
      </c>
      <c r="H4174" s="194" t="s">
        <v>60</v>
      </c>
      <c r="I4174" s="187">
        <v>441.02566528320313</v>
      </c>
      <c r="J4174" s="187" t="s">
        <v>941</v>
      </c>
      <c r="K4174" s="187" t="s">
        <v>116</v>
      </c>
      <c r="L4174" s="195"/>
      <c r="M4174" s="195"/>
      <c r="N4174" s="195"/>
      <c r="O4174" s="199"/>
      <c r="P4174" s="188" t="s">
        <v>1026</v>
      </c>
      <c r="Q4174" s="174">
        <v>0</v>
      </c>
    </row>
    <row r="4175" spans="1:17" s="183" customFormat="1" ht="14.25" x14ac:dyDescent="0.2">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24</v>
      </c>
      <c r="H4175" s="194" t="s">
        <v>60</v>
      </c>
      <c r="I4175" s="187">
        <v>261.53848266601563</v>
      </c>
      <c r="J4175" s="187" t="s">
        <v>941</v>
      </c>
      <c r="K4175" s="187" t="s">
        <v>116</v>
      </c>
      <c r="L4175" s="195"/>
      <c r="M4175" s="195"/>
      <c r="N4175" s="195"/>
      <c r="O4175" s="199"/>
      <c r="P4175" s="188" t="s">
        <v>1026</v>
      </c>
      <c r="Q4175" s="174">
        <v>0</v>
      </c>
    </row>
    <row r="4176" spans="1:17" s="183" customFormat="1" ht="14.25" x14ac:dyDescent="0.2">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v>0</v>
      </c>
    </row>
    <row r="4177" spans="1:17" s="183" customFormat="1" ht="14.25" x14ac:dyDescent="0.2">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v>0</v>
      </c>
    </row>
    <row r="4178" spans="1:17" s="183" customFormat="1" ht="14.25" x14ac:dyDescent="0.2">
      <c r="A4178" s="183">
        <v>518</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vit. C (Korean)</v>
      </c>
      <c r="E4178" s="250" t="str">
        <f>IF(AND(A4178&lt;&gt;"",ISNUMBER(A4178)),VLOOKUP(A4178,Studies!A:BR,5,FALSE),"")</f>
        <v>Itraconazole</v>
      </c>
      <c r="F4178" s="251"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v>0</v>
      </c>
    </row>
    <row r="4179" spans="1:17" s="183" customFormat="1" ht="14.25" x14ac:dyDescent="0.2">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v>0</v>
      </c>
    </row>
    <row r="4180" spans="1:17" s="183" customFormat="1" ht="14.25" x14ac:dyDescent="0.2">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v>0</v>
      </c>
    </row>
    <row r="4181" spans="1:17" s="183" customFormat="1" ht="14.25" x14ac:dyDescent="0.2">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v>0</v>
      </c>
    </row>
    <row r="4182" spans="1:17" s="183" customFormat="1" ht="14.25" x14ac:dyDescent="0.2">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2.5</v>
      </c>
      <c r="H4182" s="194" t="s">
        <v>60</v>
      </c>
      <c r="I4182" s="187">
        <v>316.91647338867188</v>
      </c>
      <c r="J4182" s="187" t="s">
        <v>941</v>
      </c>
      <c r="K4182" s="187" t="s">
        <v>116</v>
      </c>
      <c r="L4182" s="195"/>
      <c r="M4182" s="195"/>
      <c r="N4182" s="195"/>
      <c r="O4182" s="199"/>
      <c r="P4182" s="188" t="s">
        <v>1026</v>
      </c>
      <c r="Q4182" s="174">
        <v>0</v>
      </c>
    </row>
    <row r="4183" spans="1:17" s="183" customFormat="1" ht="14.25" x14ac:dyDescent="0.2">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3</v>
      </c>
      <c r="H4183" s="194" t="s">
        <v>60</v>
      </c>
      <c r="I4183" s="187">
        <v>346.03854370117188</v>
      </c>
      <c r="J4183" s="187" t="s">
        <v>941</v>
      </c>
      <c r="K4183" s="187" t="s">
        <v>116</v>
      </c>
      <c r="L4183" s="195"/>
      <c r="M4183" s="195"/>
      <c r="N4183" s="195"/>
      <c r="O4183" s="199"/>
      <c r="P4183" s="188" t="s">
        <v>1026</v>
      </c>
      <c r="Q4183" s="174">
        <v>0</v>
      </c>
    </row>
    <row r="4184" spans="1:17" s="183" customFormat="1" ht="14.25" x14ac:dyDescent="0.2">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3.5</v>
      </c>
      <c r="H4184" s="194" t="s">
        <v>60</v>
      </c>
      <c r="I4184" s="187">
        <v>335.76016235351563</v>
      </c>
      <c r="J4184" s="187" t="s">
        <v>941</v>
      </c>
      <c r="K4184" s="187" t="s">
        <v>116</v>
      </c>
      <c r="L4184" s="195"/>
      <c r="M4184" s="195"/>
      <c r="N4184" s="195"/>
      <c r="O4184" s="199"/>
      <c r="P4184" s="188" t="s">
        <v>1026</v>
      </c>
      <c r="Q4184" s="174">
        <v>0</v>
      </c>
    </row>
    <row r="4185" spans="1:17" s="183" customFormat="1" ht="14.25" x14ac:dyDescent="0.2">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v>0</v>
      </c>
    </row>
    <row r="4186" spans="1:17" s="183" customFormat="1" ht="14.25" x14ac:dyDescent="0.2">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v>0</v>
      </c>
    </row>
    <row r="4187" spans="1:17" s="183" customFormat="1" ht="14.25" x14ac:dyDescent="0.2">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v>0</v>
      </c>
    </row>
    <row r="4188" spans="1:17" s="183" customFormat="1" ht="14.25" x14ac:dyDescent="0.2">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v>0</v>
      </c>
    </row>
    <row r="4189" spans="1:17" s="183" customFormat="1" ht="14.25" x14ac:dyDescent="0.2">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v>0</v>
      </c>
    </row>
    <row r="4190" spans="1:17" s="183" customFormat="1" ht="14.25" x14ac:dyDescent="0.2">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v>0</v>
      </c>
    </row>
    <row r="4191" spans="1:17" s="183" customFormat="1" ht="14.25" x14ac:dyDescent="0.2">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v>0</v>
      </c>
    </row>
    <row r="4192" spans="1:17" s="183" customFormat="1" ht="14.25" x14ac:dyDescent="0.2">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v>0</v>
      </c>
    </row>
    <row r="4193" spans="1:17" s="183" customFormat="1" ht="14.25" x14ac:dyDescent="0.2">
      <c r="A4193" s="183">
        <v>519</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Hydroxy-Itraconazole</v>
      </c>
      <c r="F4193" s="251"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v>0</v>
      </c>
    </row>
    <row r="4194" spans="1:17" s="183" customFormat="1" ht="14.25" x14ac:dyDescent="0.2">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v>0</v>
      </c>
    </row>
    <row r="4195" spans="1:17" s="183" customFormat="1" ht="14.25" x14ac:dyDescent="0.2">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v>0</v>
      </c>
    </row>
    <row r="4196" spans="1:17" s="183" customFormat="1" ht="14.25" x14ac:dyDescent="0.2">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2</v>
      </c>
      <c r="H4196" s="194" t="s">
        <v>60</v>
      </c>
      <c r="I4196" s="187">
        <v>402.56411743164063</v>
      </c>
      <c r="J4196" s="187" t="s">
        <v>941</v>
      </c>
      <c r="K4196" s="187" t="s">
        <v>116</v>
      </c>
      <c r="L4196" s="195"/>
      <c r="M4196" s="195"/>
      <c r="N4196" s="195"/>
      <c r="O4196" s="199"/>
      <c r="P4196" s="188" t="s">
        <v>1026</v>
      </c>
      <c r="Q4196" s="174">
        <v>0</v>
      </c>
    </row>
    <row r="4197" spans="1:17" s="183" customFormat="1" ht="14.25" x14ac:dyDescent="0.2">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v>0</v>
      </c>
    </row>
    <row r="4198" spans="1:17" s="183" customFormat="1" ht="14.25" x14ac:dyDescent="0.2">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v>0</v>
      </c>
    </row>
    <row r="4199" spans="1:17" s="183" customFormat="1" ht="14.25" x14ac:dyDescent="0.2">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v>0</v>
      </c>
    </row>
    <row r="4200" spans="1:17" s="183" customFormat="1" ht="14.25" x14ac:dyDescent="0.2">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v>0</v>
      </c>
    </row>
    <row r="4201" spans="1:17" s="183" customFormat="1" ht="14.25" x14ac:dyDescent="0.2">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v>0</v>
      </c>
    </row>
    <row r="4202" spans="1:17" s="183" customFormat="1" ht="14.25" x14ac:dyDescent="0.2">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v>0</v>
      </c>
    </row>
    <row r="4203" spans="1:17" s="183" customFormat="1" ht="14.25" x14ac:dyDescent="0.2">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v>0</v>
      </c>
    </row>
    <row r="4204" spans="1:17" s="183" customFormat="1" ht="14.25" x14ac:dyDescent="0.2">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v>0</v>
      </c>
    </row>
    <row r="4205" spans="1:17" s="183" customFormat="1" ht="14.25" x14ac:dyDescent="0.2">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v>0</v>
      </c>
    </row>
    <row r="4206" spans="1:17" s="183" customFormat="1" ht="14.25" x14ac:dyDescent="0.2">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36</v>
      </c>
      <c r="H4206" s="194" t="s">
        <v>60</v>
      </c>
      <c r="I4206" s="187">
        <v>133.33334350585938</v>
      </c>
      <c r="J4206" s="187" t="s">
        <v>941</v>
      </c>
      <c r="K4206" s="187" t="s">
        <v>116</v>
      </c>
      <c r="L4206" s="195"/>
      <c r="M4206" s="195"/>
      <c r="N4206" s="195"/>
      <c r="O4206" s="199"/>
      <c r="P4206" s="188" t="s">
        <v>1026</v>
      </c>
      <c r="Q4206" s="174">
        <v>0</v>
      </c>
    </row>
    <row r="4207" spans="1:17" s="183" customFormat="1" ht="14.25" x14ac:dyDescent="0.2">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48</v>
      </c>
      <c r="H4207" s="194" t="s">
        <v>60</v>
      </c>
      <c r="I4207" s="187">
        <v>82.051284790039063</v>
      </c>
      <c r="J4207" s="187" t="s">
        <v>941</v>
      </c>
      <c r="K4207" s="187" t="s">
        <v>116</v>
      </c>
      <c r="L4207" s="195"/>
      <c r="M4207" s="195"/>
      <c r="N4207" s="195"/>
      <c r="O4207" s="199"/>
      <c r="P4207" s="188" t="s">
        <v>1026</v>
      </c>
      <c r="Q4207" s="174">
        <v>0</v>
      </c>
    </row>
    <row r="4208" spans="1:17" s="183" customFormat="1" ht="14.25" x14ac:dyDescent="0.2">
      <c r="A4208" s="91">
        <v>520</v>
      </c>
      <c r="B4208" s="249" t="str">
        <f>IF(AND(A4208&lt;&gt;"",ISNUMBER(A4208)),VLOOKUP(A4208,Studies!A:BR,2,FALSE),"")</f>
        <v>Mouton 2006</v>
      </c>
      <c r="C4208" s="250" t="str">
        <f>IF(AND(A4208&lt;&gt;"",ISNUMBER(A4208)),VLOOKUP(A4208,Studies!A:BR,3,FALSE),"")</f>
        <v>https://www.ncbi.nlm.nih.gov/pubmed/16982783</v>
      </c>
      <c r="D4208" s="250" t="str">
        <f>IF(AND(A4208&lt;&gt;"",ISNUMBER(A4208)),VLOOKUP(A4208,Studies!A:BR,4,FALSE),"")</f>
        <v>SAD_A 50 mg</v>
      </c>
      <c r="E4208" s="250" t="str">
        <f>IF(AND(A4208&lt;&gt;"",ISNUMBER(A4208)),VLOOKUP(A4208,Studies!A:BR,5,FALSE),"")</f>
        <v>Itraconazole</v>
      </c>
      <c r="F4208" s="251"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v>0</v>
      </c>
    </row>
    <row r="4209" spans="1:17" s="183" customFormat="1" ht="14.25" x14ac:dyDescent="0.2">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v>0</v>
      </c>
    </row>
    <row r="4210" spans="1:17" s="183" customFormat="1" ht="14.25" x14ac:dyDescent="0.2">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1.08</v>
      </c>
      <c r="H4210" s="194" t="s">
        <v>60</v>
      </c>
      <c r="I4210" s="187">
        <v>1009.1549682617188</v>
      </c>
      <c r="J4210" s="187" t="s">
        <v>941</v>
      </c>
      <c r="K4210" s="187" t="s">
        <v>116</v>
      </c>
      <c r="L4210" s="195"/>
      <c r="M4210" s="195"/>
      <c r="N4210" s="195"/>
      <c r="O4210" s="199"/>
      <c r="P4210" s="188"/>
      <c r="Q4210" s="174">
        <v>0</v>
      </c>
    </row>
    <row r="4211" spans="1:17" s="183" customFormat="1" ht="14.25" x14ac:dyDescent="0.2">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1.25</v>
      </c>
      <c r="H4211" s="194" t="s">
        <v>60</v>
      </c>
      <c r="I4211" s="187">
        <v>380.68917846679688</v>
      </c>
      <c r="J4211" s="187" t="s">
        <v>941</v>
      </c>
      <c r="K4211" s="187" t="s">
        <v>116</v>
      </c>
      <c r="L4211" s="195"/>
      <c r="M4211" s="195"/>
      <c r="N4211" s="195"/>
      <c r="O4211" s="199"/>
      <c r="P4211" s="188"/>
      <c r="Q4211" s="174">
        <v>0</v>
      </c>
    </row>
    <row r="4212" spans="1:17" s="183" customFormat="1" ht="14.25" x14ac:dyDescent="0.2">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v>0</v>
      </c>
    </row>
    <row r="4213" spans="1:17" s="183" customFormat="1" ht="14.25" x14ac:dyDescent="0.2">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v>0</v>
      </c>
    </row>
    <row r="4214" spans="1:17" s="183" customFormat="1" ht="14.25" x14ac:dyDescent="0.2">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v>0</v>
      </c>
    </row>
    <row r="4215" spans="1:17" s="183" customFormat="1" ht="14.25" x14ac:dyDescent="0.2">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v>0</v>
      </c>
    </row>
    <row r="4216" spans="1:17" s="183" customFormat="1" ht="14.25" x14ac:dyDescent="0.2">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v>0</v>
      </c>
    </row>
    <row r="4217" spans="1:17" s="183" customFormat="1" ht="14.25" x14ac:dyDescent="0.2">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v>0</v>
      </c>
    </row>
    <row r="4218" spans="1:17" s="183" customFormat="1" ht="14.25" x14ac:dyDescent="0.2">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v>0</v>
      </c>
    </row>
    <row r="4219" spans="1:17" s="183" customFormat="1" ht="14.25" x14ac:dyDescent="0.2">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v>0</v>
      </c>
    </row>
    <row r="4220" spans="1:17" s="183" customFormat="1" ht="14.25" x14ac:dyDescent="0.2">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v>0</v>
      </c>
    </row>
    <row r="4221" spans="1:17" s="183" customFormat="1" ht="14.25" x14ac:dyDescent="0.2">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v>0</v>
      </c>
    </row>
    <row r="4222" spans="1:17" s="183" customFormat="1" ht="14.25" x14ac:dyDescent="0.2">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v>0</v>
      </c>
    </row>
    <row r="4223" spans="1:17" s="183" customFormat="1" ht="14.25" x14ac:dyDescent="0.2">
      <c r="A4223" s="183">
        <v>521</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SAD_B 100 mg</v>
      </c>
      <c r="E4223" s="250" t="str">
        <f>IF(AND(A4223&lt;&gt;"",ISNUMBER(A4223)),VLOOKUP(A4223,Studies!A:BR,5,FALSE),"")</f>
        <v>Itraconazole</v>
      </c>
      <c r="F4223" s="251"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v>0</v>
      </c>
    </row>
    <row r="4224" spans="1:17" s="183" customFormat="1" ht="14.25" x14ac:dyDescent="0.2">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v>0</v>
      </c>
    </row>
    <row r="4225" spans="1:17" s="183" customFormat="1" ht="14.25" x14ac:dyDescent="0.2">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v>0</v>
      </c>
    </row>
    <row r="4226" spans="1:17" s="183" customFormat="1" ht="14.25" x14ac:dyDescent="0.2">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v>0</v>
      </c>
    </row>
    <row r="4227" spans="1:17" s="183" customFormat="1" ht="14.25" x14ac:dyDescent="0.2">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v>0</v>
      </c>
    </row>
    <row r="4228" spans="1:17" s="183" customFormat="1" ht="14.25" x14ac:dyDescent="0.2">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v>0</v>
      </c>
    </row>
    <row r="4229" spans="1:17" s="183" customFormat="1" ht="14.25" x14ac:dyDescent="0.2">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v>0</v>
      </c>
    </row>
    <row r="4230" spans="1:17" s="183" customFormat="1" ht="14.25" x14ac:dyDescent="0.2">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v>0</v>
      </c>
    </row>
    <row r="4231" spans="1:17" s="183" customFormat="1" ht="14.25" x14ac:dyDescent="0.2">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v>0</v>
      </c>
    </row>
    <row r="4232" spans="1:17" s="183" customFormat="1" ht="14.25" x14ac:dyDescent="0.2">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v>0</v>
      </c>
    </row>
    <row r="4233" spans="1:17" s="183" customFormat="1" ht="14.25" x14ac:dyDescent="0.2">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v>0</v>
      </c>
    </row>
    <row r="4234" spans="1:17" s="183" customFormat="1" ht="14.25" x14ac:dyDescent="0.2">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v>0</v>
      </c>
    </row>
    <row r="4235" spans="1:17" s="183" customFormat="1" ht="14.25" x14ac:dyDescent="0.2">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v>0</v>
      </c>
    </row>
    <row r="4236" spans="1:17" s="183" customFormat="1" ht="14.25" x14ac:dyDescent="0.2">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v>0</v>
      </c>
    </row>
    <row r="4237" spans="1:17" s="183" customFormat="1" ht="14.25" x14ac:dyDescent="0.2">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v>0</v>
      </c>
    </row>
    <row r="4238" spans="1:17" s="183" customFormat="1" ht="14.25" x14ac:dyDescent="0.2">
      <c r="A4238" s="183">
        <v>522</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SAD_A 200 mg</v>
      </c>
      <c r="E4238" s="250" t="str">
        <f>IF(AND(A4238&lt;&gt;"",ISNUMBER(A4238)),VLOOKUP(A4238,Studies!A:BR,5,FALSE),"")</f>
        <v>Itraconazole</v>
      </c>
      <c r="F4238" s="251"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v>0</v>
      </c>
    </row>
    <row r="4239" spans="1:17" s="183" customFormat="1" ht="14.25" x14ac:dyDescent="0.2">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v>0</v>
      </c>
    </row>
    <row r="4240" spans="1:17" s="183" customFormat="1" ht="14.25" x14ac:dyDescent="0.2">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v>0</v>
      </c>
    </row>
    <row r="4241" spans="1:17" s="183" customFormat="1" ht="14.25" x14ac:dyDescent="0.2">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v>0</v>
      </c>
    </row>
    <row r="4242" spans="1:17" s="183" customFormat="1" ht="14.25" x14ac:dyDescent="0.2">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v>0</v>
      </c>
    </row>
    <row r="4243" spans="1:17" s="183" customFormat="1" ht="14.25" x14ac:dyDescent="0.2">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v>0</v>
      </c>
    </row>
    <row r="4244" spans="1:17" s="183" customFormat="1" ht="14.25" x14ac:dyDescent="0.2">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v>0</v>
      </c>
    </row>
    <row r="4245" spans="1:17" s="183" customFormat="1" ht="14.25" x14ac:dyDescent="0.2">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v>0</v>
      </c>
    </row>
    <row r="4246" spans="1:17" s="183" customFormat="1" ht="14.25" x14ac:dyDescent="0.2">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v>0</v>
      </c>
    </row>
    <row r="4247" spans="1:17" s="183" customFormat="1" ht="14.25" x14ac:dyDescent="0.2">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v>0</v>
      </c>
    </row>
    <row r="4248" spans="1:17" s="183" customFormat="1" ht="14.25" x14ac:dyDescent="0.2">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v>0</v>
      </c>
    </row>
    <row r="4249" spans="1:17" s="174" customFormat="1" ht="14.25" x14ac:dyDescent="0.2">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v>0</v>
      </c>
    </row>
    <row r="4250" spans="1:17" s="174" customFormat="1" ht="14.25" x14ac:dyDescent="0.2">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v>0</v>
      </c>
    </row>
    <row r="4251" spans="1:17" s="174" customFormat="1" ht="14.25" x14ac:dyDescent="0.2">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v>0</v>
      </c>
    </row>
    <row r="4252" spans="1:17" s="174" customFormat="1" ht="14.25" x14ac:dyDescent="0.2">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v>0</v>
      </c>
    </row>
    <row r="4253" spans="1:17" s="174" customFormat="1" ht="14.25" x14ac:dyDescent="0.2">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v>0</v>
      </c>
    </row>
    <row r="4254" spans="1:17" s="174" customFormat="1" ht="14.25" x14ac:dyDescent="0.2">
      <c r="A4254" s="183">
        <v>523</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SAD_B 300 mg</v>
      </c>
      <c r="E4254" s="250" t="str">
        <f>IF(AND(A4254&lt;&gt;"",ISNUMBER(A4254)),VLOOKUP(A4254,Studies!A:BR,5,FALSE),"")</f>
        <v>Itraconazole</v>
      </c>
      <c r="F4254" s="251"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v>0</v>
      </c>
    </row>
    <row r="4255" spans="1:17" s="174" customFormat="1" ht="14.25" x14ac:dyDescent="0.2">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v>0</v>
      </c>
    </row>
    <row r="4256" spans="1:17" s="174" customFormat="1" ht="14.25" x14ac:dyDescent="0.2">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v>0</v>
      </c>
    </row>
    <row r="4257" spans="1:17" s="174" customFormat="1" ht="14.25" x14ac:dyDescent="0.2">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v>0</v>
      </c>
    </row>
    <row r="4258" spans="1:17" s="174" customFormat="1" ht="14.25" x14ac:dyDescent="0.2">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v>0</v>
      </c>
    </row>
    <row r="4259" spans="1:17" s="174" customFormat="1" ht="14.25" x14ac:dyDescent="0.2">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v>0</v>
      </c>
    </row>
    <row r="4260" spans="1:17" s="174" customFormat="1" ht="14.25" x14ac:dyDescent="0.2">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v>0</v>
      </c>
    </row>
    <row r="4261" spans="1:17" s="174" customFormat="1" ht="14.25" x14ac:dyDescent="0.2">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v>0</v>
      </c>
    </row>
    <row r="4262" spans="1:17" s="174" customFormat="1" ht="14.25" x14ac:dyDescent="0.2">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24</v>
      </c>
      <c r="H4262" s="194" t="s">
        <v>60</v>
      </c>
      <c r="I4262" s="187">
        <v>218.08969116210938</v>
      </c>
      <c r="J4262" s="187" t="s">
        <v>941</v>
      </c>
      <c r="K4262" s="187" t="s">
        <v>116</v>
      </c>
      <c r="L4262" s="195"/>
      <c r="M4262" s="195"/>
      <c r="N4262" s="195"/>
      <c r="O4262" s="199"/>
      <c r="P4262" s="188"/>
      <c r="Q4262" s="174">
        <v>0</v>
      </c>
    </row>
    <row r="4263" spans="1:17" s="174" customFormat="1" ht="14.25" x14ac:dyDescent="0.2">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v>0</v>
      </c>
    </row>
    <row r="4264" spans="1:17" s="174" customFormat="1" ht="14.25" x14ac:dyDescent="0.2">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v>0</v>
      </c>
    </row>
    <row r="4265" spans="1:17" s="174" customFormat="1" ht="14.25" x14ac:dyDescent="0.2">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v>0</v>
      </c>
    </row>
    <row r="4266" spans="1:17" s="174" customFormat="1" ht="14.25" x14ac:dyDescent="0.2">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v>0</v>
      </c>
    </row>
    <row r="4267" spans="1:17" s="174" customFormat="1" ht="14.25" x14ac:dyDescent="0.2">
      <c r="A4267" s="183">
        <v>524</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MAD_m_A 100 mg</v>
      </c>
      <c r="E4267" s="250" t="str">
        <f>IF(AND(A4267&lt;&gt;"",ISNUMBER(A4267)),VLOOKUP(A4267,Studies!A:BR,5,FALSE),"")</f>
        <v>Itraconazole</v>
      </c>
      <c r="F4267" s="251"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v>0</v>
      </c>
    </row>
    <row r="4268" spans="1:17" s="174" customFormat="1" ht="14.25" x14ac:dyDescent="0.2">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v>0</v>
      </c>
    </row>
    <row r="4269" spans="1:17" s="174" customFormat="1" ht="14.25" x14ac:dyDescent="0.2">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v>0</v>
      </c>
    </row>
    <row r="4270" spans="1:17" s="174" customFormat="1" ht="14.25" x14ac:dyDescent="0.2">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v>0</v>
      </c>
    </row>
    <row r="4271" spans="1:17" s="174" customFormat="1" ht="14.25" x14ac:dyDescent="0.2">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v>0</v>
      </c>
    </row>
    <row r="4272" spans="1:17" s="174" customFormat="1" ht="14.25" x14ac:dyDescent="0.2">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v>0</v>
      </c>
    </row>
    <row r="4273" spans="1:17" s="174" customFormat="1" ht="14.25" x14ac:dyDescent="0.2">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v>0</v>
      </c>
    </row>
    <row r="4274" spans="1:17" s="174" customFormat="1" ht="14.25" x14ac:dyDescent="0.2">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v>0</v>
      </c>
    </row>
    <row r="4275" spans="1:17" s="174" customFormat="1" ht="14.25" x14ac:dyDescent="0.2">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v>0</v>
      </c>
    </row>
    <row r="4276" spans="1:17" s="174" customFormat="1" ht="14.25" x14ac:dyDescent="0.2">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v>0</v>
      </c>
    </row>
    <row r="4277" spans="1:17" s="174" customFormat="1" ht="14.25" x14ac:dyDescent="0.2">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v>0</v>
      </c>
    </row>
    <row r="4278" spans="1:17" s="174" customFormat="1" ht="14.25" x14ac:dyDescent="0.2">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v>0</v>
      </c>
    </row>
    <row r="4279" spans="1:17" s="174" customFormat="1" ht="14.25" x14ac:dyDescent="0.2">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v>0</v>
      </c>
    </row>
    <row r="4280" spans="1:17" s="174" customFormat="1" ht="14.25" x14ac:dyDescent="0.2">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v>0</v>
      </c>
    </row>
    <row r="4281" spans="1:17" s="174" customFormat="1" ht="14.25" x14ac:dyDescent="0.2">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v>0</v>
      </c>
    </row>
    <row r="4282" spans="1:17" ht="14.25" x14ac:dyDescent="0.2">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144</v>
      </c>
      <c r="H4282" s="50" t="s">
        <v>60</v>
      </c>
      <c r="I4282" s="187">
        <v>317.97429919242859</v>
      </c>
      <c r="J4282" s="41" t="s">
        <v>941</v>
      </c>
      <c r="K4282" s="41" t="s">
        <v>116</v>
      </c>
      <c r="Q4282" s="174">
        <v>0</v>
      </c>
    </row>
    <row r="4283" spans="1:17" ht="14.25" x14ac:dyDescent="0.2">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144.5</v>
      </c>
      <c r="H4283" s="50" t="s">
        <v>60</v>
      </c>
      <c r="I4283" s="187">
        <v>2715.1880264282227</v>
      </c>
      <c r="J4283" s="41" t="s">
        <v>941</v>
      </c>
      <c r="K4283" s="41" t="s">
        <v>116</v>
      </c>
      <c r="Q4283" s="174">
        <v>0</v>
      </c>
    </row>
    <row r="4284" spans="1:17" ht="14.25" x14ac:dyDescent="0.2">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145</v>
      </c>
      <c r="H4284" s="50" t="s">
        <v>60</v>
      </c>
      <c r="I4284" s="187">
        <v>2280.2770137786865</v>
      </c>
      <c r="J4284" s="41" t="s">
        <v>941</v>
      </c>
      <c r="K4284" s="41" t="s">
        <v>116</v>
      </c>
      <c r="Q4284" s="174">
        <v>0</v>
      </c>
    </row>
    <row r="4285" spans="1:17" ht="14.25" x14ac:dyDescent="0.2">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145.25</v>
      </c>
      <c r="H4285" s="50" t="s">
        <v>60</v>
      </c>
      <c r="I4285" s="187">
        <v>913.85179758071899</v>
      </c>
      <c r="J4285" s="41" t="s">
        <v>941</v>
      </c>
      <c r="K4285" s="41" t="s">
        <v>116</v>
      </c>
      <c r="Q4285" s="174">
        <v>0</v>
      </c>
    </row>
    <row r="4286" spans="1:17" ht="14.25" x14ac:dyDescent="0.2">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146</v>
      </c>
      <c r="H4286" s="50" t="s">
        <v>60</v>
      </c>
      <c r="I4286" s="187">
        <v>712.15170621871948</v>
      </c>
      <c r="J4286" s="41" t="s">
        <v>941</v>
      </c>
      <c r="K4286" s="41" t="s">
        <v>116</v>
      </c>
      <c r="Q4286" s="174">
        <v>0</v>
      </c>
    </row>
    <row r="4287" spans="1:17" ht="14.25" x14ac:dyDescent="0.2">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147</v>
      </c>
      <c r="H4287" s="50" t="s">
        <v>60</v>
      </c>
      <c r="I4287" s="187">
        <v>633.9150071144104</v>
      </c>
      <c r="J4287" s="41" t="s">
        <v>941</v>
      </c>
      <c r="K4287" s="41" t="s">
        <v>116</v>
      </c>
      <c r="Q4287" s="174">
        <v>0</v>
      </c>
    </row>
    <row r="4288" spans="1:17" ht="14.25" x14ac:dyDescent="0.2">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149</v>
      </c>
      <c r="H4288" s="50" t="s">
        <v>60</v>
      </c>
      <c r="I4288" s="187">
        <v>578.52190732955933</v>
      </c>
      <c r="J4288" s="41" t="s">
        <v>941</v>
      </c>
      <c r="K4288" s="41" t="s">
        <v>116</v>
      </c>
      <c r="Q4288" s="174">
        <v>0</v>
      </c>
    </row>
    <row r="4289" spans="1:17" ht="14.25" x14ac:dyDescent="0.2">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151</v>
      </c>
      <c r="H4289" s="50" t="s">
        <v>60</v>
      </c>
      <c r="I4289" s="187">
        <v>502.28238105773926</v>
      </c>
      <c r="J4289" s="41" t="s">
        <v>941</v>
      </c>
      <c r="K4289" s="41" t="s">
        <v>116</v>
      </c>
      <c r="Q4289" s="174">
        <v>0</v>
      </c>
    </row>
    <row r="4290" spans="1:17" ht="14.25" x14ac:dyDescent="0.2">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153</v>
      </c>
      <c r="H4290" s="50" t="s">
        <v>60</v>
      </c>
      <c r="I4290" s="187">
        <v>485.85599660873413</v>
      </c>
      <c r="J4290" s="41" t="s">
        <v>941</v>
      </c>
      <c r="K4290" s="41" t="s">
        <v>116</v>
      </c>
      <c r="Q4290" s="174">
        <v>0</v>
      </c>
    </row>
    <row r="4291" spans="1:17" ht="14.25" x14ac:dyDescent="0.2">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160</v>
      </c>
      <c r="H4291" s="50" t="s">
        <v>60</v>
      </c>
      <c r="I4291" s="187">
        <v>302.50418186187744</v>
      </c>
      <c r="J4291" s="41" t="s">
        <v>941</v>
      </c>
      <c r="K4291" s="41" t="s">
        <v>116</v>
      </c>
      <c r="Q4291" s="174">
        <v>0</v>
      </c>
    </row>
    <row r="4292" spans="1:17" ht="14.25" x14ac:dyDescent="0.2">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168</v>
      </c>
      <c r="H4292" s="50" t="s">
        <v>60</v>
      </c>
      <c r="I4292" s="187">
        <v>337.02552318572998</v>
      </c>
      <c r="J4292" s="41" t="s">
        <v>941</v>
      </c>
      <c r="K4292" s="41" t="s">
        <v>116</v>
      </c>
      <c r="Q4292" s="174">
        <v>0</v>
      </c>
    </row>
    <row r="4293" spans="1:17" ht="14.25" x14ac:dyDescent="0.2">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176</v>
      </c>
      <c r="H4293" s="50" t="s">
        <v>60</v>
      </c>
      <c r="I4293" s="187">
        <v>264.83151316642761</v>
      </c>
      <c r="J4293" s="41" t="s">
        <v>941</v>
      </c>
      <c r="K4293" s="41" t="s">
        <v>116</v>
      </c>
      <c r="Q4293" s="174">
        <v>0</v>
      </c>
    </row>
    <row r="4294" spans="1:17" ht="14.25" x14ac:dyDescent="0.2">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192</v>
      </c>
      <c r="H4294" s="50" t="s">
        <v>60</v>
      </c>
      <c r="I4294" s="187">
        <v>189.91759419441223</v>
      </c>
      <c r="J4294" s="41" t="s">
        <v>941</v>
      </c>
      <c r="K4294" s="41" t="s">
        <v>116</v>
      </c>
      <c r="Q4294" s="174">
        <v>0</v>
      </c>
    </row>
    <row r="4295" spans="1:17" ht="14.25" x14ac:dyDescent="0.2">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216</v>
      </c>
      <c r="H4295" s="50" t="s">
        <v>60</v>
      </c>
      <c r="I4295" s="187">
        <v>159.49720144271851</v>
      </c>
      <c r="J4295" s="41" t="s">
        <v>941</v>
      </c>
      <c r="K4295" s="41" t="s">
        <v>116</v>
      </c>
      <c r="Q4295" s="174">
        <v>0</v>
      </c>
    </row>
    <row r="4296" spans="1:17" ht="14.25" x14ac:dyDescent="0.2">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240</v>
      </c>
      <c r="H4296" s="50" t="s">
        <v>60</v>
      </c>
      <c r="I4296" s="187">
        <v>101.813904941082</v>
      </c>
      <c r="J4296" s="41" t="s">
        <v>941</v>
      </c>
      <c r="K4296" s="41" t="s">
        <v>116</v>
      </c>
      <c r="Q4296" s="174">
        <v>0</v>
      </c>
    </row>
    <row r="4297" spans="1:17" ht="14.25" x14ac:dyDescent="0.2">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312</v>
      </c>
      <c r="H4297" s="50" t="s">
        <v>60</v>
      </c>
      <c r="I4297" s="187">
        <v>38.117222487926483</v>
      </c>
      <c r="J4297" s="41" t="s">
        <v>941</v>
      </c>
      <c r="K4297" s="41" t="s">
        <v>116</v>
      </c>
      <c r="Q4297" s="174">
        <v>0</v>
      </c>
    </row>
    <row r="4298" spans="1:17" ht="14.25" x14ac:dyDescent="0.2">
      <c r="A4298" s="183">
        <v>525</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MAD_m_B 200 mg</v>
      </c>
      <c r="E4298" s="250" t="str">
        <f>IF(AND(A4298&lt;&gt;"",ISNUMBER(A4298)),VLOOKUP(A4298,Studies!A:BR,5,FALSE),"")</f>
        <v>Itraconazole</v>
      </c>
      <c r="F4298" s="251" t="str">
        <f>IF(AND(A4298&lt;&gt;"",ISNUMBER(A4298)),VLOOKUP(A4298,Studies!A:BR,6,FALSE),"")</f>
        <v>Plasma</v>
      </c>
      <c r="G4298" s="194">
        <v>2</v>
      </c>
      <c r="H4298" s="50" t="s">
        <v>60</v>
      </c>
      <c r="I4298" s="187">
        <v>2688.86399269104</v>
      </c>
      <c r="J4298" s="41" t="s">
        <v>941</v>
      </c>
      <c r="K4298" s="41" t="s">
        <v>116</v>
      </c>
      <c r="Q4298" s="174">
        <v>0</v>
      </c>
    </row>
    <row r="4299" spans="1:17" ht="14.25" x14ac:dyDescent="0.2">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8</v>
      </c>
      <c r="H4299" s="50" t="s">
        <v>60</v>
      </c>
      <c r="I4299" s="187">
        <v>353.5493016242981</v>
      </c>
      <c r="J4299" s="41" t="s">
        <v>941</v>
      </c>
      <c r="K4299" s="41" t="s">
        <v>116</v>
      </c>
      <c r="Q4299" s="174">
        <v>0</v>
      </c>
    </row>
    <row r="4300" spans="1:17" ht="14.25" x14ac:dyDescent="0.2">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10</v>
      </c>
      <c r="H4300" s="50" t="s">
        <v>60</v>
      </c>
      <c r="I4300" s="187">
        <v>3304.2991161346436</v>
      </c>
      <c r="J4300" s="41" t="s">
        <v>941</v>
      </c>
      <c r="K4300" s="41" t="s">
        <v>116</v>
      </c>
      <c r="Q4300" s="174">
        <v>0</v>
      </c>
    </row>
    <row r="4301" spans="1:17" ht="14.25" x14ac:dyDescent="0.2">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24</v>
      </c>
      <c r="H4301" s="50" t="s">
        <v>60</v>
      </c>
      <c r="I4301" s="187">
        <v>478.54018211364746</v>
      </c>
      <c r="J4301" s="41" t="s">
        <v>941</v>
      </c>
      <c r="K4301" s="41" t="s">
        <v>116</v>
      </c>
      <c r="Q4301" s="174">
        <v>0</v>
      </c>
    </row>
    <row r="4302" spans="1:17" ht="14.25" x14ac:dyDescent="0.2">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26</v>
      </c>
      <c r="H4302" s="50" t="s">
        <v>60</v>
      </c>
      <c r="I4302" s="187">
        <v>3434.4921112060547</v>
      </c>
      <c r="J4302" s="41" t="s">
        <v>941</v>
      </c>
      <c r="K4302" s="41" t="s">
        <v>116</v>
      </c>
      <c r="Q4302" s="174">
        <v>0</v>
      </c>
    </row>
    <row r="4303" spans="1:17" ht="14.25" x14ac:dyDescent="0.2">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32</v>
      </c>
      <c r="H4303" s="50" t="s">
        <v>60</v>
      </c>
      <c r="I4303" s="187">
        <v>929.03125286102295</v>
      </c>
      <c r="J4303" s="41" t="s">
        <v>941</v>
      </c>
      <c r="K4303" s="41" t="s">
        <v>116</v>
      </c>
      <c r="Q4303" s="174">
        <v>0</v>
      </c>
    </row>
    <row r="4304" spans="1:17" ht="14.25" x14ac:dyDescent="0.2">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48</v>
      </c>
      <c r="H4304" s="50" t="s">
        <v>60</v>
      </c>
      <c r="I4304" s="187">
        <v>984.47608947753906</v>
      </c>
      <c r="J4304" s="41" t="s">
        <v>941</v>
      </c>
      <c r="K4304" s="41" t="s">
        <v>116</v>
      </c>
      <c r="Q4304" s="174">
        <v>0</v>
      </c>
    </row>
    <row r="4305" spans="1:17" ht="14.25" x14ac:dyDescent="0.2">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50</v>
      </c>
      <c r="H4305" s="50" t="s">
        <v>60</v>
      </c>
      <c r="I4305" s="187">
        <v>3616.0969734191895</v>
      </c>
      <c r="J4305" s="41" t="s">
        <v>941</v>
      </c>
      <c r="K4305" s="41" t="s">
        <v>116</v>
      </c>
      <c r="Q4305" s="174">
        <v>0</v>
      </c>
    </row>
    <row r="4306" spans="1:17" ht="14.25" x14ac:dyDescent="0.2">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72</v>
      </c>
      <c r="H4306" s="50" t="s">
        <v>60</v>
      </c>
      <c r="I4306" s="187">
        <v>888.07559013366699</v>
      </c>
      <c r="J4306" s="41" t="s">
        <v>941</v>
      </c>
      <c r="K4306" s="41" t="s">
        <v>116</v>
      </c>
      <c r="Q4306" s="174">
        <v>0</v>
      </c>
    </row>
    <row r="4307" spans="1:17" ht="14.25" x14ac:dyDescent="0.2">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74</v>
      </c>
      <c r="H4307" s="50" t="s">
        <v>60</v>
      </c>
      <c r="I4307" s="187">
        <v>3807.3060512542725</v>
      </c>
      <c r="J4307" s="41" t="s">
        <v>941</v>
      </c>
      <c r="K4307" s="41" t="s">
        <v>116</v>
      </c>
      <c r="Q4307" s="174">
        <v>0</v>
      </c>
    </row>
    <row r="4308" spans="1:17" ht="14.25" x14ac:dyDescent="0.2">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96</v>
      </c>
      <c r="H4308" s="50" t="s">
        <v>60</v>
      </c>
      <c r="I4308" s="187">
        <v>953.2771110534668</v>
      </c>
      <c r="J4308" s="41" t="s">
        <v>941</v>
      </c>
      <c r="K4308" s="41" t="s">
        <v>116</v>
      </c>
      <c r="Q4308" s="174">
        <v>0</v>
      </c>
    </row>
    <row r="4309" spans="1:17" ht="14.25" x14ac:dyDescent="0.2">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98</v>
      </c>
      <c r="H4309" s="50" t="s">
        <v>60</v>
      </c>
      <c r="I4309" s="187">
        <v>4247.8599548339844</v>
      </c>
      <c r="J4309" s="41" t="s">
        <v>941</v>
      </c>
      <c r="K4309" s="41" t="s">
        <v>116</v>
      </c>
      <c r="Q4309" s="174">
        <v>0</v>
      </c>
    </row>
    <row r="4310" spans="1:17" ht="14.25" x14ac:dyDescent="0.2">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120</v>
      </c>
      <c r="H4310" s="50" t="s">
        <v>60</v>
      </c>
      <c r="I4310" s="187">
        <v>1056.7549467086792</v>
      </c>
      <c r="J4310" s="41" t="s">
        <v>941</v>
      </c>
      <c r="K4310" s="41" t="s">
        <v>116</v>
      </c>
      <c r="Q4310" s="174">
        <v>0</v>
      </c>
    </row>
    <row r="4311" spans="1:17" ht="14.25" x14ac:dyDescent="0.2">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122</v>
      </c>
      <c r="H4311" s="50" t="s">
        <v>60</v>
      </c>
      <c r="I4311" s="187">
        <v>4008.6250305175781</v>
      </c>
      <c r="J4311" s="41" t="s">
        <v>941</v>
      </c>
      <c r="K4311" s="41" t="s">
        <v>116</v>
      </c>
      <c r="Q4311" s="174">
        <v>0</v>
      </c>
    </row>
    <row r="4312" spans="1:17" ht="14.25" x14ac:dyDescent="0.2">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144</v>
      </c>
      <c r="H4312" s="50" t="s">
        <v>60</v>
      </c>
      <c r="I4312" s="187">
        <v>1282.0069789886475</v>
      </c>
      <c r="J4312" s="41" t="s">
        <v>941</v>
      </c>
      <c r="K4312" s="41" t="s">
        <v>116</v>
      </c>
      <c r="Q4312" s="174">
        <v>0</v>
      </c>
    </row>
    <row r="4313" spans="1:17" ht="14.25" x14ac:dyDescent="0.2">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144.5</v>
      </c>
      <c r="H4313" s="50" t="s">
        <v>60</v>
      </c>
      <c r="I4313" s="187">
        <v>3303.8530349731445</v>
      </c>
      <c r="J4313" s="41" t="s">
        <v>941</v>
      </c>
      <c r="K4313" s="41" t="s">
        <v>116</v>
      </c>
      <c r="Q4313" s="174">
        <v>0</v>
      </c>
    </row>
    <row r="4314" spans="1:17" ht="14.25" x14ac:dyDescent="0.2">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145</v>
      </c>
      <c r="H4314" s="50" t="s">
        <v>60</v>
      </c>
      <c r="I4314" s="187">
        <v>4032.8569412231445</v>
      </c>
      <c r="J4314" s="41" t="s">
        <v>941</v>
      </c>
      <c r="K4314" s="41" t="s">
        <v>116</v>
      </c>
      <c r="Q4314" s="174">
        <v>0</v>
      </c>
    </row>
    <row r="4315" spans="1:17" ht="14.25" x14ac:dyDescent="0.2">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146</v>
      </c>
      <c r="H4315" s="50" t="s">
        <v>60</v>
      </c>
      <c r="I4315" s="187">
        <v>3757.3928833007813</v>
      </c>
      <c r="J4315" s="41" t="s">
        <v>941</v>
      </c>
      <c r="K4315" s="41" t="s">
        <v>116</v>
      </c>
      <c r="Q4315" s="174">
        <v>0</v>
      </c>
    </row>
    <row r="4316" spans="1:17" ht="14.25" x14ac:dyDescent="0.2">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146.08000000000001</v>
      </c>
      <c r="H4316" s="50" t="s">
        <v>60</v>
      </c>
      <c r="I4316" s="187">
        <v>2777.1649360656738</v>
      </c>
      <c r="J4316" s="41" t="s">
        <v>941</v>
      </c>
      <c r="K4316" s="41" t="s">
        <v>116</v>
      </c>
      <c r="Q4316" s="174">
        <v>0</v>
      </c>
    </row>
    <row r="4317" spans="1:17" ht="14.25" x14ac:dyDescent="0.2">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146.5</v>
      </c>
      <c r="H4317" s="50" t="s">
        <v>60</v>
      </c>
      <c r="I4317" s="187">
        <v>3757.3928833007813</v>
      </c>
      <c r="J4317" s="41" t="s">
        <v>941</v>
      </c>
      <c r="K4317" s="41" t="s">
        <v>116</v>
      </c>
      <c r="Q4317" s="174">
        <v>0</v>
      </c>
    </row>
    <row r="4318" spans="1:17" ht="14.25" x14ac:dyDescent="0.2">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146.75</v>
      </c>
      <c r="H4318" s="50" t="s">
        <v>60</v>
      </c>
      <c r="I4318" s="187">
        <v>2065.9041404724121</v>
      </c>
      <c r="J4318" s="41" t="s">
        <v>941</v>
      </c>
      <c r="K4318" s="41" t="s">
        <v>116</v>
      </c>
      <c r="Q4318" s="174">
        <v>0</v>
      </c>
    </row>
    <row r="4319" spans="1:17" ht="14.25" x14ac:dyDescent="0.2">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147</v>
      </c>
      <c r="H4319" s="50" t="s">
        <v>60</v>
      </c>
      <c r="I4319" s="187">
        <v>1770.3979015350342</v>
      </c>
      <c r="J4319" s="41" t="s">
        <v>941</v>
      </c>
      <c r="K4319" s="41" t="s">
        <v>116</v>
      </c>
      <c r="Q4319" s="174">
        <v>0</v>
      </c>
    </row>
    <row r="4320" spans="1:17" ht="14.25" x14ac:dyDescent="0.2">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147.5</v>
      </c>
      <c r="H4320" s="50" t="s">
        <v>60</v>
      </c>
      <c r="I4320" s="187">
        <v>1851.9279956817627</v>
      </c>
      <c r="J4320" s="41" t="s">
        <v>941</v>
      </c>
      <c r="K4320" s="41" t="s">
        <v>116</v>
      </c>
      <c r="Q4320" s="174">
        <v>0</v>
      </c>
    </row>
    <row r="4321" spans="1:17" ht="14.25" x14ac:dyDescent="0.2">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148</v>
      </c>
      <c r="H4321" s="50" t="s">
        <v>60</v>
      </c>
      <c r="I4321" s="187">
        <v>1526.9509553909302</v>
      </c>
      <c r="J4321" s="41" t="s">
        <v>941</v>
      </c>
      <c r="K4321" s="41" t="s">
        <v>116</v>
      </c>
      <c r="Q4321" s="174">
        <v>0</v>
      </c>
    </row>
    <row r="4322" spans="1:17" ht="14.25" x14ac:dyDescent="0.2">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150</v>
      </c>
      <c r="H4322" s="50" t="s">
        <v>60</v>
      </c>
      <c r="I4322" s="187">
        <v>1507.4349641799927</v>
      </c>
      <c r="J4322" s="41" t="s">
        <v>941</v>
      </c>
      <c r="K4322" s="41" t="s">
        <v>116</v>
      </c>
      <c r="Q4322" s="174">
        <v>0</v>
      </c>
    </row>
    <row r="4323" spans="1:17" ht="14.25" x14ac:dyDescent="0.2">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152</v>
      </c>
      <c r="H4323" s="50" t="s">
        <v>60</v>
      </c>
      <c r="I4323" s="187">
        <v>1526.9509553909302</v>
      </c>
      <c r="J4323" s="41" t="s">
        <v>941</v>
      </c>
      <c r="K4323" s="41" t="s">
        <v>116</v>
      </c>
      <c r="Q4323" s="174">
        <v>0</v>
      </c>
    </row>
    <row r="4324" spans="1:17" ht="14.25" x14ac:dyDescent="0.2">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154</v>
      </c>
      <c r="H4324" s="50" t="s">
        <v>60</v>
      </c>
      <c r="I4324" s="187">
        <v>1566.7450428009033</v>
      </c>
      <c r="J4324" s="41" t="s">
        <v>941</v>
      </c>
      <c r="K4324" s="41" t="s">
        <v>116</v>
      </c>
      <c r="Q4324" s="174">
        <v>0</v>
      </c>
    </row>
    <row r="4325" spans="1:17" ht="14.25" x14ac:dyDescent="0.2">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160</v>
      </c>
      <c r="H4325" s="50" t="s">
        <v>60</v>
      </c>
      <c r="I4325" s="187">
        <v>1325.4780769348145</v>
      </c>
      <c r="J4325" s="41" t="s">
        <v>941</v>
      </c>
      <c r="K4325" s="41" t="s">
        <v>116</v>
      </c>
      <c r="Q4325" s="174">
        <v>0</v>
      </c>
    </row>
    <row r="4326" spans="1:17" ht="14.25" x14ac:dyDescent="0.2">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168</v>
      </c>
      <c r="H4326" s="50" t="s">
        <v>60</v>
      </c>
      <c r="I4326" s="187">
        <v>1351.3020277023315</v>
      </c>
      <c r="J4326" s="41" t="s">
        <v>941</v>
      </c>
      <c r="K4326" s="41" t="s">
        <v>116</v>
      </c>
      <c r="Q4326" s="174">
        <v>0</v>
      </c>
    </row>
    <row r="4327" spans="1:17" ht="14.25" x14ac:dyDescent="0.2">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176</v>
      </c>
      <c r="H4327" s="50" t="s">
        <v>60</v>
      </c>
      <c r="I4327" s="187">
        <v>1158.0129861831665</v>
      </c>
      <c r="J4327" s="41" t="s">
        <v>941</v>
      </c>
      <c r="K4327" s="41" t="s">
        <v>116</v>
      </c>
      <c r="Q4327" s="174">
        <v>0</v>
      </c>
    </row>
    <row r="4328" spans="1:17" ht="14.25" x14ac:dyDescent="0.2">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192</v>
      </c>
      <c r="H4328" s="50" t="s">
        <v>60</v>
      </c>
      <c r="I4328" s="187">
        <v>1092.8831100463867</v>
      </c>
      <c r="J4328" s="41" t="s">
        <v>941</v>
      </c>
      <c r="K4328" s="41" t="s">
        <v>116</v>
      </c>
      <c r="Q4328" s="174">
        <v>0</v>
      </c>
    </row>
    <row r="4329" spans="1:17" ht="14.25" x14ac:dyDescent="0.2">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216</v>
      </c>
      <c r="H4329" s="50" t="s">
        <v>60</v>
      </c>
      <c r="I4329" s="187">
        <v>954.80471849441528</v>
      </c>
      <c r="J4329" s="41" t="s">
        <v>941</v>
      </c>
      <c r="K4329" s="41" t="s">
        <v>116</v>
      </c>
      <c r="Q4329" s="174">
        <v>0</v>
      </c>
    </row>
    <row r="4330" spans="1:17" ht="14.25" x14ac:dyDescent="0.2">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240</v>
      </c>
      <c r="H4330" s="50" t="s">
        <v>60</v>
      </c>
      <c r="I4330" s="187">
        <v>812.98428773880005</v>
      </c>
      <c r="J4330" s="41" t="s">
        <v>941</v>
      </c>
      <c r="K4330" s="41" t="s">
        <v>116</v>
      </c>
      <c r="Q4330" s="174">
        <v>0</v>
      </c>
    </row>
    <row r="4331" spans="1:17" ht="14.25" x14ac:dyDescent="0.2">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312</v>
      </c>
      <c r="H4331" s="50" t="s">
        <v>60</v>
      </c>
      <c r="I4331" s="187">
        <v>435.64468622207642</v>
      </c>
      <c r="J4331" s="41" t="s">
        <v>941</v>
      </c>
      <c r="K4331" s="41" t="s">
        <v>116</v>
      </c>
      <c r="Q4331" s="174">
        <v>0</v>
      </c>
    </row>
    <row r="4332" spans="1:17" ht="14.25" x14ac:dyDescent="0.2">
      <c r="A4332" s="183">
        <v>526</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MAD_m_C 300 mg</v>
      </c>
      <c r="E4332" s="250" t="str">
        <f>IF(AND(A4332&lt;&gt;"",ISNUMBER(A4332)),VLOOKUP(A4332,Studies!A:BR,5,FALSE),"")</f>
        <v>Itraconazole</v>
      </c>
      <c r="F4332" s="251" t="str">
        <f>IF(AND(A4332&lt;&gt;"",ISNUMBER(A4332)),VLOOKUP(A4332,Studies!A:BR,6,FALSE),"")</f>
        <v>Plasma</v>
      </c>
      <c r="G4332" s="194">
        <v>3</v>
      </c>
      <c r="H4332" s="50" t="s">
        <v>60</v>
      </c>
      <c r="I4332" s="187">
        <v>3260.035888671875</v>
      </c>
      <c r="J4332" s="41" t="s">
        <v>941</v>
      </c>
      <c r="K4332" s="41" t="s">
        <v>116</v>
      </c>
      <c r="Q4332" s="174">
        <v>0</v>
      </c>
    </row>
    <row r="4333" spans="1:17" ht="14.25" x14ac:dyDescent="0.2">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8</v>
      </c>
      <c r="H4333" s="50" t="s">
        <v>60</v>
      </c>
      <c r="I4333" s="187">
        <v>593.13031005859375</v>
      </c>
      <c r="J4333" s="41" t="s">
        <v>941</v>
      </c>
      <c r="K4333" s="41" t="s">
        <v>116</v>
      </c>
      <c r="Q4333" s="174">
        <v>0</v>
      </c>
    </row>
    <row r="4334" spans="1:17" ht="14.25" x14ac:dyDescent="0.2">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11</v>
      </c>
      <c r="H4334" s="50" t="s">
        <v>60</v>
      </c>
      <c r="I4334" s="187">
        <v>3754.864013671875</v>
      </c>
      <c r="J4334" s="41" t="s">
        <v>941</v>
      </c>
      <c r="K4334" s="41" t="s">
        <v>116</v>
      </c>
      <c r="Q4334" s="174">
        <v>0</v>
      </c>
    </row>
    <row r="4335" spans="1:17" ht="14.25" x14ac:dyDescent="0.2">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24</v>
      </c>
      <c r="H4335" s="50" t="s">
        <v>60</v>
      </c>
      <c r="I4335" s="187">
        <v>671.89556884765625</v>
      </c>
      <c r="J4335" s="41" t="s">
        <v>941</v>
      </c>
      <c r="K4335" s="41" t="s">
        <v>116</v>
      </c>
      <c r="Q4335" s="174">
        <v>0</v>
      </c>
    </row>
    <row r="4336" spans="1:17" ht="14.25" x14ac:dyDescent="0.2">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27</v>
      </c>
      <c r="H4336" s="50" t="s">
        <v>60</v>
      </c>
      <c r="I4336" s="187">
        <v>3572.18212890625</v>
      </c>
      <c r="J4336" s="41" t="s">
        <v>941</v>
      </c>
      <c r="K4336" s="41" t="s">
        <v>116</v>
      </c>
      <c r="Q4336" s="174">
        <v>0</v>
      </c>
    </row>
    <row r="4337" spans="1:17" ht="14.25" x14ac:dyDescent="0.2">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32</v>
      </c>
      <c r="H4337" s="50" t="s">
        <v>60</v>
      </c>
      <c r="I4337" s="187">
        <v>1079.1400146484375</v>
      </c>
      <c r="J4337" s="41" t="s">
        <v>941</v>
      </c>
      <c r="K4337" s="41" t="s">
        <v>116</v>
      </c>
      <c r="Q4337" s="174">
        <v>0</v>
      </c>
    </row>
    <row r="4338" spans="1:17" ht="14.25" x14ac:dyDescent="0.2">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35</v>
      </c>
      <c r="H4338" s="50" t="s">
        <v>60</v>
      </c>
      <c r="I4338" s="187">
        <v>3914.215087890625</v>
      </c>
      <c r="J4338" s="41" t="s">
        <v>941</v>
      </c>
      <c r="K4338" s="41" t="s">
        <v>116</v>
      </c>
      <c r="Q4338" s="174">
        <v>0</v>
      </c>
    </row>
    <row r="4339" spans="1:17" ht="14.25" x14ac:dyDescent="0.2">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48</v>
      </c>
      <c r="H4339" s="50" t="s">
        <v>60</v>
      </c>
      <c r="I4339" s="187">
        <v>1192.3380126953125</v>
      </c>
      <c r="J4339" s="41" t="s">
        <v>941</v>
      </c>
      <c r="K4339" s="41" t="s">
        <v>116</v>
      </c>
      <c r="Q4339" s="174">
        <v>0</v>
      </c>
    </row>
    <row r="4340" spans="1:17" ht="14.25" x14ac:dyDescent="0.2">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51</v>
      </c>
      <c r="H4340" s="50" t="s">
        <v>60</v>
      </c>
      <c r="I4340" s="187">
        <v>4148.73291015625</v>
      </c>
      <c r="J4340" s="41" t="s">
        <v>941</v>
      </c>
      <c r="K4340" s="41" t="s">
        <v>116</v>
      </c>
      <c r="Q4340" s="174">
        <v>0</v>
      </c>
    </row>
    <row r="4341" spans="1:17" ht="14.25" x14ac:dyDescent="0.2">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72</v>
      </c>
      <c r="H4341" s="50" t="s">
        <v>60</v>
      </c>
      <c r="I4341" s="187">
        <v>1172.6790771484375</v>
      </c>
      <c r="J4341" s="41" t="s">
        <v>941</v>
      </c>
      <c r="K4341" s="41" t="s">
        <v>116</v>
      </c>
      <c r="Q4341" s="174">
        <v>0</v>
      </c>
    </row>
    <row r="4342" spans="1:17" ht="14.25" x14ac:dyDescent="0.2">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75</v>
      </c>
      <c r="H4342" s="50" t="s">
        <v>60</v>
      </c>
      <c r="I4342" s="187">
        <v>4434.00732421875</v>
      </c>
      <c r="J4342" s="41" t="s">
        <v>941</v>
      </c>
      <c r="K4342" s="41" t="s">
        <v>116</v>
      </c>
      <c r="Q4342" s="174">
        <v>0</v>
      </c>
    </row>
    <row r="4343" spans="1:17" ht="14.25" x14ac:dyDescent="0.2">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96</v>
      </c>
      <c r="H4343" s="50" t="s">
        <v>60</v>
      </c>
      <c r="I4343" s="187">
        <v>1222.446044921875</v>
      </c>
      <c r="J4343" s="41" t="s">
        <v>941</v>
      </c>
      <c r="K4343" s="41" t="s">
        <v>116</v>
      </c>
      <c r="Q4343" s="174">
        <v>0</v>
      </c>
    </row>
    <row r="4344" spans="1:17" ht="14.25" x14ac:dyDescent="0.2">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99</v>
      </c>
      <c r="H4344" s="50" t="s">
        <v>60</v>
      </c>
      <c r="I4344" s="187">
        <v>4397.30078125</v>
      </c>
      <c r="J4344" s="41" t="s">
        <v>941</v>
      </c>
      <c r="K4344" s="41" t="s">
        <v>116</v>
      </c>
      <c r="Q4344" s="174">
        <v>0</v>
      </c>
    </row>
    <row r="4345" spans="1:17" ht="14.25" x14ac:dyDescent="0.2">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120</v>
      </c>
      <c r="H4345" s="50" t="s">
        <v>60</v>
      </c>
      <c r="I4345" s="187">
        <v>1431.5999755859375</v>
      </c>
      <c r="J4345" s="41" t="s">
        <v>941</v>
      </c>
      <c r="K4345" s="41" t="s">
        <v>116</v>
      </c>
      <c r="Q4345" s="174">
        <v>0</v>
      </c>
    </row>
    <row r="4346" spans="1:17" ht="14.25" x14ac:dyDescent="0.2">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123</v>
      </c>
      <c r="H4346" s="50" t="s">
        <v>60</v>
      </c>
      <c r="I4346" s="187">
        <v>4218.28271484375</v>
      </c>
      <c r="J4346" s="41" t="s">
        <v>941</v>
      </c>
      <c r="K4346" s="41" t="s">
        <v>116</v>
      </c>
      <c r="Q4346" s="174">
        <v>0</v>
      </c>
    </row>
    <row r="4347" spans="1:17" ht="14.25" x14ac:dyDescent="0.2">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144</v>
      </c>
      <c r="H4347" s="50" t="s">
        <v>60</v>
      </c>
      <c r="I4347" s="187">
        <v>1455.5989990234375</v>
      </c>
      <c r="J4347" s="41" t="s">
        <v>941</v>
      </c>
      <c r="K4347" s="41" t="s">
        <v>116</v>
      </c>
      <c r="Q4347" s="174">
        <v>0</v>
      </c>
    </row>
    <row r="4348" spans="1:17" ht="14.25" x14ac:dyDescent="0.2">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147</v>
      </c>
      <c r="H4348" s="50" t="s">
        <v>60</v>
      </c>
      <c r="I4348" s="187">
        <v>4148.73291015625</v>
      </c>
      <c r="J4348" s="41" t="s">
        <v>941</v>
      </c>
      <c r="K4348" s="41" t="s">
        <v>116</v>
      </c>
      <c r="Q4348" s="174">
        <v>0</v>
      </c>
    </row>
    <row r="4349" spans="1:17" ht="14.25" x14ac:dyDescent="0.2">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148</v>
      </c>
      <c r="H4349" s="50" t="s">
        <v>60</v>
      </c>
      <c r="I4349" s="187">
        <v>2806.98681640625</v>
      </c>
      <c r="J4349" s="41" t="s">
        <v>941</v>
      </c>
      <c r="K4349" s="41" t="s">
        <v>116</v>
      </c>
      <c r="Q4349" s="174">
        <v>0</v>
      </c>
    </row>
    <row r="4350" spans="1:17" ht="14.25" x14ac:dyDescent="0.2">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148.5</v>
      </c>
      <c r="H4350" s="50" t="s">
        <v>60</v>
      </c>
      <c r="I4350" s="187">
        <v>2205.7041015625</v>
      </c>
      <c r="J4350" s="41" t="s">
        <v>941</v>
      </c>
      <c r="K4350" s="41" t="s">
        <v>116</v>
      </c>
      <c r="Q4350" s="174">
        <v>0</v>
      </c>
    </row>
    <row r="4351" spans="1:17" ht="14.25" x14ac:dyDescent="0.2">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149</v>
      </c>
      <c r="H4351" s="50" t="s">
        <v>60</v>
      </c>
      <c r="I4351" s="187">
        <v>1996.301025390625</v>
      </c>
      <c r="J4351" s="41" t="s">
        <v>941</v>
      </c>
      <c r="K4351" s="41" t="s">
        <v>116</v>
      </c>
      <c r="Q4351" s="174">
        <v>0</v>
      </c>
    </row>
    <row r="4352" spans="1:17" ht="14.25" x14ac:dyDescent="0.2">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151</v>
      </c>
      <c r="H4352" s="50" t="s">
        <v>60</v>
      </c>
      <c r="I4352" s="187">
        <v>1704.64501953125</v>
      </c>
      <c r="J4352" s="41" t="s">
        <v>941</v>
      </c>
      <c r="K4352" s="41" t="s">
        <v>116</v>
      </c>
      <c r="Q4352" s="174">
        <v>0</v>
      </c>
    </row>
    <row r="4353" spans="1:17" ht="14.25" x14ac:dyDescent="0.2">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153</v>
      </c>
      <c r="H4353" s="50" t="s">
        <v>60</v>
      </c>
      <c r="I4353" s="187">
        <v>1581.7679443359375</v>
      </c>
      <c r="J4353" s="41" t="s">
        <v>941</v>
      </c>
      <c r="K4353" s="41" t="s">
        <v>116</v>
      </c>
      <c r="Q4353" s="174">
        <v>0</v>
      </c>
    </row>
    <row r="4354" spans="1:17" ht="14.25" x14ac:dyDescent="0.2">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155</v>
      </c>
      <c r="H4354" s="50" t="s">
        <v>60</v>
      </c>
      <c r="I4354" s="187">
        <v>1555.68896484375</v>
      </c>
      <c r="J4354" s="41" t="s">
        <v>941</v>
      </c>
      <c r="K4354" s="41" t="s">
        <v>116</v>
      </c>
      <c r="Q4354" s="174">
        <v>0</v>
      </c>
    </row>
    <row r="4355" spans="1:17" ht="14.25" x14ac:dyDescent="0.2">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160</v>
      </c>
      <c r="H4355" s="50" t="s">
        <v>60</v>
      </c>
      <c r="I4355" s="187">
        <v>1274.324951171875</v>
      </c>
      <c r="J4355" s="41" t="s">
        <v>941</v>
      </c>
      <c r="K4355" s="41" t="s">
        <v>116</v>
      </c>
      <c r="Q4355" s="174">
        <v>0</v>
      </c>
    </row>
    <row r="4356" spans="1:17" ht="14.25" x14ac:dyDescent="0.2">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168</v>
      </c>
      <c r="H4356" s="50" t="s">
        <v>60</v>
      </c>
      <c r="I4356" s="187">
        <v>1594.9720458984375</v>
      </c>
      <c r="J4356" s="41" t="s">
        <v>941</v>
      </c>
      <c r="K4356" s="41" t="s">
        <v>116</v>
      </c>
      <c r="Q4356" s="174">
        <v>0</v>
      </c>
    </row>
    <row r="4357" spans="1:17" ht="14.25" x14ac:dyDescent="0.2">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176</v>
      </c>
      <c r="H4357" s="50" t="s">
        <v>60</v>
      </c>
      <c r="I4357" s="187">
        <v>1504.81201171875</v>
      </c>
      <c r="J4357" s="41" t="s">
        <v>941</v>
      </c>
      <c r="K4357" s="41" t="s">
        <v>116</v>
      </c>
      <c r="Q4357" s="174">
        <v>0</v>
      </c>
    </row>
    <row r="4358" spans="1:17" ht="14.25" x14ac:dyDescent="0.2">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192</v>
      </c>
      <c r="H4358" s="50" t="s">
        <v>60</v>
      </c>
      <c r="I4358" s="187">
        <v>1407.9959716796875</v>
      </c>
      <c r="J4358" s="41" t="s">
        <v>941</v>
      </c>
      <c r="K4358" s="41" t="s">
        <v>116</v>
      </c>
      <c r="Q4358" s="174">
        <v>0</v>
      </c>
    </row>
    <row r="4359" spans="1:17" ht="14.25" x14ac:dyDescent="0.2">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216</v>
      </c>
      <c r="H4359" s="50" t="s">
        <v>60</v>
      </c>
      <c r="I4359" s="187">
        <v>1373.3179931640625</v>
      </c>
      <c r="J4359" s="41" t="s">
        <v>941</v>
      </c>
      <c r="K4359" s="41" t="s">
        <v>116</v>
      </c>
      <c r="Q4359" s="174">
        <v>0</v>
      </c>
    </row>
    <row r="4360" spans="1:17" ht="14.25" x14ac:dyDescent="0.2">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240</v>
      </c>
      <c r="H4360" s="50" t="s">
        <v>60</v>
      </c>
      <c r="I4360" s="187">
        <v>1317.408935546875</v>
      </c>
      <c r="J4360" s="41" t="s">
        <v>941</v>
      </c>
      <c r="K4360" s="41" t="s">
        <v>116</v>
      </c>
      <c r="Q4360" s="174">
        <v>0</v>
      </c>
    </row>
    <row r="4361" spans="1:17" ht="14.25" x14ac:dyDescent="0.2">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312</v>
      </c>
      <c r="H4361" s="50" t="s">
        <v>60</v>
      </c>
      <c r="I4361" s="187">
        <v>993.06304931640625</v>
      </c>
      <c r="J4361" s="41" t="s">
        <v>941</v>
      </c>
      <c r="K4361" s="41" t="s">
        <v>116</v>
      </c>
      <c r="Q4361" s="174">
        <v>0</v>
      </c>
    </row>
    <row r="4362" spans="1:17" ht="14.25" x14ac:dyDescent="0.2">
      <c r="A4362" s="183">
        <v>527</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MAD_m_D 200 mg (HPBCD)</v>
      </c>
      <c r="E4362" s="250" t="str">
        <f>IF(AND(A4362&lt;&gt;"",ISNUMBER(A4362)),VLOOKUP(A4362,Studies!A:BR,5,FALSE),"")</f>
        <v>Itraconazole</v>
      </c>
      <c r="F4362" s="251" t="str">
        <f>IF(AND(A4362&lt;&gt;"",ISNUMBER(A4362)),VLOOKUP(A4362,Studies!A:BR,6,FALSE),"")</f>
        <v>Plasma</v>
      </c>
      <c r="G4362" s="194">
        <v>2</v>
      </c>
      <c r="H4362" s="50" t="s">
        <v>60</v>
      </c>
      <c r="I4362" s="187">
        <v>2776.8650054931641</v>
      </c>
      <c r="J4362" s="41" t="s">
        <v>941</v>
      </c>
      <c r="K4362" s="41" t="s">
        <v>116</v>
      </c>
      <c r="Q4362" s="174">
        <v>0</v>
      </c>
    </row>
    <row r="4363" spans="1:17" ht="14.25" x14ac:dyDescent="0.2">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8</v>
      </c>
      <c r="H4363" s="50" t="s">
        <v>60</v>
      </c>
      <c r="I4363" s="187">
        <v>244.91161108016968</v>
      </c>
      <c r="J4363" s="41" t="s">
        <v>941</v>
      </c>
      <c r="K4363" s="41" t="s">
        <v>116</v>
      </c>
      <c r="Q4363" s="174">
        <v>0</v>
      </c>
    </row>
    <row r="4364" spans="1:17" ht="14.25" x14ac:dyDescent="0.2">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24</v>
      </c>
      <c r="H4364" s="50" t="s">
        <v>60</v>
      </c>
      <c r="I4364" s="187">
        <v>369.85400319099426</v>
      </c>
      <c r="J4364" s="41" t="s">
        <v>941</v>
      </c>
      <c r="K4364" s="41" t="s">
        <v>116</v>
      </c>
      <c r="Q4364" s="174">
        <v>0</v>
      </c>
    </row>
    <row r="4365" spans="1:17" ht="14.25" x14ac:dyDescent="0.2">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32</v>
      </c>
      <c r="H4365" s="50" t="s">
        <v>60</v>
      </c>
      <c r="I4365" s="187">
        <v>822.02214002609253</v>
      </c>
      <c r="J4365" s="41" t="s">
        <v>941</v>
      </c>
      <c r="K4365" s="41" t="s">
        <v>116</v>
      </c>
      <c r="Q4365" s="174">
        <v>0</v>
      </c>
    </row>
    <row r="4366" spans="1:17" ht="14.25" x14ac:dyDescent="0.2">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34</v>
      </c>
      <c r="H4366" s="50" t="s">
        <v>60</v>
      </c>
      <c r="I4366" s="187">
        <v>4034.5273017883301</v>
      </c>
      <c r="J4366" s="41" t="s">
        <v>941</v>
      </c>
      <c r="K4366" s="41" t="s">
        <v>116</v>
      </c>
      <c r="Q4366" s="174">
        <v>0</v>
      </c>
    </row>
    <row r="4367" spans="1:17" ht="14.25" x14ac:dyDescent="0.2">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48</v>
      </c>
      <c r="H4367" s="50" t="s">
        <v>60</v>
      </c>
      <c r="I4367" s="187">
        <v>1376.1309385299683</v>
      </c>
      <c r="J4367" s="41" t="s">
        <v>941</v>
      </c>
      <c r="K4367" s="41" t="s">
        <v>116</v>
      </c>
      <c r="Q4367" s="174">
        <v>0</v>
      </c>
    </row>
    <row r="4368" spans="1:17" ht="14.25" x14ac:dyDescent="0.2">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50</v>
      </c>
      <c r="H4368" s="50" t="s">
        <v>60</v>
      </c>
      <c r="I4368" s="187">
        <v>3434.4921112060547</v>
      </c>
      <c r="J4368" s="41" t="s">
        <v>941</v>
      </c>
      <c r="K4368" s="41" t="s">
        <v>116</v>
      </c>
      <c r="Q4368" s="174">
        <v>0</v>
      </c>
    </row>
    <row r="4369" spans="1:17" ht="14.25" x14ac:dyDescent="0.2">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72</v>
      </c>
      <c r="H4369" s="50" t="s">
        <v>60</v>
      </c>
      <c r="I4369" s="187">
        <v>722.66894578933716</v>
      </c>
      <c r="J4369" s="41" t="s">
        <v>941</v>
      </c>
      <c r="K4369" s="41" t="s">
        <v>116</v>
      </c>
      <c r="Q4369" s="174">
        <v>0</v>
      </c>
    </row>
    <row r="4370" spans="1:17" ht="14.25" x14ac:dyDescent="0.2">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74</v>
      </c>
      <c r="H4370" s="50" t="s">
        <v>60</v>
      </c>
      <c r="I4370" s="187">
        <v>3262.0069980621338</v>
      </c>
      <c r="J4370" s="41" t="s">
        <v>941</v>
      </c>
      <c r="K4370" s="41" t="s">
        <v>116</v>
      </c>
      <c r="Q4370" s="174">
        <v>0</v>
      </c>
    </row>
    <row r="4371" spans="1:17" ht="14.25" x14ac:dyDescent="0.2">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96</v>
      </c>
      <c r="H4371" s="50" t="s">
        <v>60</v>
      </c>
      <c r="I4371" s="187">
        <v>741.52922630310059</v>
      </c>
      <c r="J4371" s="41" t="s">
        <v>941</v>
      </c>
      <c r="K4371" s="41" t="s">
        <v>116</v>
      </c>
      <c r="Q4371" s="174">
        <v>0</v>
      </c>
    </row>
    <row r="4372" spans="1:17" ht="14.25" x14ac:dyDescent="0.2">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98</v>
      </c>
      <c r="H4372" s="50" t="s">
        <v>60</v>
      </c>
      <c r="I4372" s="187">
        <v>3138.3519172668457</v>
      </c>
      <c r="J4372" s="41" t="s">
        <v>941</v>
      </c>
      <c r="K4372" s="41" t="s">
        <v>116</v>
      </c>
      <c r="Q4372" s="174">
        <v>0</v>
      </c>
    </row>
    <row r="4373" spans="1:17" ht="14.25" x14ac:dyDescent="0.2">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120</v>
      </c>
      <c r="H4373" s="50" t="s">
        <v>60</v>
      </c>
      <c r="I4373" s="187">
        <v>780.73900938034058</v>
      </c>
      <c r="J4373" s="41" t="s">
        <v>941</v>
      </c>
      <c r="K4373" s="41" t="s">
        <v>116</v>
      </c>
      <c r="Q4373" s="174">
        <v>0</v>
      </c>
    </row>
    <row r="4374" spans="1:17" ht="14.25" x14ac:dyDescent="0.2">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122</v>
      </c>
      <c r="H4374" s="50" t="s">
        <v>60</v>
      </c>
      <c r="I4374" s="187">
        <v>3220.257043838501</v>
      </c>
      <c r="J4374" s="41" t="s">
        <v>941</v>
      </c>
      <c r="K4374" s="41" t="s">
        <v>116</v>
      </c>
      <c r="Q4374" s="174">
        <v>0</v>
      </c>
    </row>
    <row r="4375" spans="1:17" ht="14.25" x14ac:dyDescent="0.2">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144</v>
      </c>
      <c r="H4375" s="50" t="s">
        <v>60</v>
      </c>
      <c r="I4375" s="187">
        <v>1016.6960954666138</v>
      </c>
      <c r="J4375" s="41" t="s">
        <v>941</v>
      </c>
      <c r="K4375" s="41" t="s">
        <v>116</v>
      </c>
      <c r="Q4375" s="174">
        <v>0</v>
      </c>
    </row>
    <row r="4376" spans="1:17" ht="14.25" x14ac:dyDescent="0.2">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144.5</v>
      </c>
      <c r="H4376" s="50" t="s">
        <v>60</v>
      </c>
      <c r="I4376" s="187">
        <v>2849.5409488677979</v>
      </c>
      <c r="J4376" s="41" t="s">
        <v>941</v>
      </c>
      <c r="K4376" s="41" t="s">
        <v>116</v>
      </c>
      <c r="Q4376" s="174">
        <v>0</v>
      </c>
    </row>
    <row r="4377" spans="1:17" ht="14.25" x14ac:dyDescent="0.2">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145</v>
      </c>
      <c r="H4377" s="50" t="s">
        <v>60</v>
      </c>
      <c r="I4377" s="187">
        <v>3346.6269969940186</v>
      </c>
      <c r="J4377" s="41" t="s">
        <v>941</v>
      </c>
      <c r="K4377" s="41" t="s">
        <v>116</v>
      </c>
      <c r="Q4377" s="174">
        <v>0</v>
      </c>
    </row>
    <row r="4378" spans="1:17" ht="14.25" x14ac:dyDescent="0.2">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146</v>
      </c>
      <c r="H4378" s="50" t="s">
        <v>60</v>
      </c>
      <c r="I4378" s="187">
        <v>2942.6689147949219</v>
      </c>
      <c r="J4378" s="41" t="s">
        <v>941</v>
      </c>
      <c r="K4378" s="41" t="s">
        <v>116</v>
      </c>
      <c r="Q4378" s="174">
        <v>0</v>
      </c>
    </row>
    <row r="4379" spans="1:17" ht="14.25" x14ac:dyDescent="0.2">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146.08000000000001</v>
      </c>
      <c r="H4379" s="50" t="s">
        <v>60</v>
      </c>
      <c r="I4379" s="187">
        <v>2724.0920066833496</v>
      </c>
      <c r="J4379" s="41" t="s">
        <v>941</v>
      </c>
      <c r="K4379" s="41" t="s">
        <v>116</v>
      </c>
      <c r="Q4379" s="174">
        <v>0</v>
      </c>
    </row>
    <row r="4380" spans="1:17" ht="14.25" x14ac:dyDescent="0.2">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146.25</v>
      </c>
      <c r="H4380" s="50" t="s">
        <v>60</v>
      </c>
      <c r="I4380" s="187">
        <v>2570.8820819854736</v>
      </c>
      <c r="J4380" s="41" t="s">
        <v>941</v>
      </c>
      <c r="K4380" s="41" t="s">
        <v>116</v>
      </c>
      <c r="Q4380" s="174">
        <v>0</v>
      </c>
    </row>
    <row r="4381" spans="1:17" ht="14.25" x14ac:dyDescent="0.2">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146.5</v>
      </c>
      <c r="H4381" s="50" t="s">
        <v>60</v>
      </c>
      <c r="I4381" s="187">
        <v>2364.6631240844727</v>
      </c>
      <c r="J4381" s="41" t="s">
        <v>941</v>
      </c>
      <c r="K4381" s="41" t="s">
        <v>116</v>
      </c>
      <c r="Q4381" s="174">
        <v>0</v>
      </c>
    </row>
    <row r="4382" spans="1:17" ht="14.25" x14ac:dyDescent="0.2">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146.75</v>
      </c>
      <c r="H4382" s="50" t="s">
        <v>60</v>
      </c>
      <c r="I4382" s="187">
        <v>2364.6631240844727</v>
      </c>
      <c r="J4382" s="41" t="s">
        <v>941</v>
      </c>
      <c r="K4382" s="41" t="s">
        <v>116</v>
      </c>
      <c r="Q4382" s="174">
        <v>0</v>
      </c>
    </row>
    <row r="4383" spans="1:17" ht="14.25" x14ac:dyDescent="0.2">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148</v>
      </c>
      <c r="H4383" s="50" t="s">
        <v>60</v>
      </c>
      <c r="I4383" s="187">
        <v>1526.9509553909302</v>
      </c>
      <c r="J4383" s="41" t="s">
        <v>941</v>
      </c>
      <c r="K4383" s="41" t="s">
        <v>116</v>
      </c>
      <c r="Q4383" s="174">
        <v>0</v>
      </c>
    </row>
    <row r="4384" spans="1:17" ht="14.25" x14ac:dyDescent="0.2">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150</v>
      </c>
      <c r="H4384" s="50" t="s">
        <v>60</v>
      </c>
      <c r="I4384" s="187">
        <v>1360.0219488143921</v>
      </c>
      <c r="J4384" s="41" t="s">
        <v>941</v>
      </c>
      <c r="K4384" s="41" t="s">
        <v>116</v>
      </c>
      <c r="Q4384" s="174">
        <v>0</v>
      </c>
    </row>
    <row r="4385" spans="1:17" ht="14.25" x14ac:dyDescent="0.2">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152</v>
      </c>
      <c r="H4385" s="50" t="s">
        <v>60</v>
      </c>
      <c r="I4385" s="187">
        <v>1275.3020524978638</v>
      </c>
      <c r="J4385" s="41" t="s">
        <v>941</v>
      </c>
      <c r="K4385" s="41" t="s">
        <v>116</v>
      </c>
      <c r="Q4385" s="174">
        <v>0</v>
      </c>
    </row>
    <row r="4386" spans="1:17" ht="14.25" x14ac:dyDescent="0.2">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154</v>
      </c>
      <c r="H4386" s="50" t="s">
        <v>60</v>
      </c>
      <c r="I4386" s="187">
        <v>1342.6390886306763</v>
      </c>
      <c r="J4386" s="41" t="s">
        <v>941</v>
      </c>
      <c r="K4386" s="41" t="s">
        <v>116</v>
      </c>
      <c r="Q4386" s="174">
        <v>0</v>
      </c>
    </row>
    <row r="4387" spans="1:17" ht="14.25" x14ac:dyDescent="0.2">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160</v>
      </c>
      <c r="H4387" s="50" t="s">
        <v>60</v>
      </c>
      <c r="I4387" s="187">
        <v>918.65992546081543</v>
      </c>
      <c r="J4387" s="41" t="s">
        <v>941</v>
      </c>
      <c r="K4387" s="41" t="s">
        <v>116</v>
      </c>
      <c r="Q4387" s="174">
        <v>0</v>
      </c>
    </row>
    <row r="4388" spans="1:17" ht="14.25" x14ac:dyDescent="0.2">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168</v>
      </c>
      <c r="H4388" s="50" t="s">
        <v>60</v>
      </c>
      <c r="I4388" s="187">
        <v>1051.5110492706299</v>
      </c>
      <c r="J4388" s="41" t="s">
        <v>941</v>
      </c>
      <c r="K4388" s="41" t="s">
        <v>116</v>
      </c>
      <c r="Q4388" s="174">
        <v>0</v>
      </c>
    </row>
    <row r="4389" spans="1:17" ht="14.25" x14ac:dyDescent="0.2">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176</v>
      </c>
      <c r="H4389" s="50" t="s">
        <v>60</v>
      </c>
      <c r="I4389" s="187">
        <v>973.40697050094604</v>
      </c>
      <c r="J4389" s="41" t="s">
        <v>941</v>
      </c>
      <c r="K4389" s="41" t="s">
        <v>116</v>
      </c>
      <c r="Q4389" s="174">
        <v>0</v>
      </c>
    </row>
    <row r="4390" spans="1:17" ht="14.25" x14ac:dyDescent="0.2">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192</v>
      </c>
      <c r="H4390" s="50" t="s">
        <v>60</v>
      </c>
      <c r="I4390" s="187">
        <v>930.55349588394165</v>
      </c>
      <c r="J4390" s="41" t="s">
        <v>941</v>
      </c>
      <c r="K4390" s="41" t="s">
        <v>116</v>
      </c>
      <c r="Q4390" s="174">
        <v>0</v>
      </c>
    </row>
    <row r="4391" spans="1:17" ht="14.25" x14ac:dyDescent="0.2">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216</v>
      </c>
      <c r="H4391" s="50" t="s">
        <v>60</v>
      </c>
      <c r="I4391" s="187">
        <v>632.62099027633667</v>
      </c>
      <c r="J4391" s="41" t="s">
        <v>941</v>
      </c>
      <c r="K4391" s="41" t="s">
        <v>116</v>
      </c>
      <c r="Q4391" s="174">
        <v>0</v>
      </c>
    </row>
    <row r="4392" spans="1:17" ht="14.25" x14ac:dyDescent="0.2">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240</v>
      </c>
      <c r="H4392" s="50" t="s">
        <v>60</v>
      </c>
      <c r="I4392" s="187">
        <v>501.86270475387573</v>
      </c>
      <c r="J4392" s="41" t="s">
        <v>941</v>
      </c>
      <c r="K4392" s="41" t="s">
        <v>116</v>
      </c>
      <c r="Q4392" s="174">
        <v>0</v>
      </c>
    </row>
    <row r="4393" spans="1:17" ht="14.25" x14ac:dyDescent="0.2">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312</v>
      </c>
      <c r="H4393" s="50" t="s">
        <v>60</v>
      </c>
      <c r="I4393" s="187">
        <v>205.26590943336487</v>
      </c>
      <c r="J4393" s="41" t="s">
        <v>941</v>
      </c>
      <c r="K4393" s="41" t="s">
        <v>116</v>
      </c>
      <c r="Q4393" s="174">
        <v>0</v>
      </c>
    </row>
    <row r="4394" spans="1:17" ht="14.25" x14ac:dyDescent="0.2">
      <c r="A4394" s="183">
        <v>528</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SAD_A 50 mg</v>
      </c>
      <c r="E4394" s="250" t="str">
        <f>IF(AND(A4394&lt;&gt;"",ISNUMBER(A4394)),VLOOKUP(A4394,Studies!A:BR,5,FALSE),"")</f>
        <v>Hydroxy-Itraconazole</v>
      </c>
      <c r="F4394" s="251" t="str">
        <f>IF(AND(A4394&lt;&gt;"",ISNUMBER(A4394)),VLOOKUP(A4394,Studies!A:BR,6,FALSE),"")</f>
        <v>Plasma</v>
      </c>
      <c r="G4394" s="194">
        <v>0.5</v>
      </c>
      <c r="H4394" s="50" t="s">
        <v>60</v>
      </c>
      <c r="I4394" s="187">
        <v>21.134603500366211</v>
      </c>
      <c r="J4394" s="41" t="s">
        <v>941</v>
      </c>
      <c r="K4394" s="41" t="s">
        <v>116</v>
      </c>
      <c r="Q4394" s="174">
        <v>0</v>
      </c>
    </row>
    <row r="4395" spans="1:17" ht="14.25" x14ac:dyDescent="0.2">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1</v>
      </c>
      <c r="H4395" s="50" t="s">
        <v>60</v>
      </c>
      <c r="I4395" s="187">
        <v>70.34014892578125</v>
      </c>
      <c r="J4395" s="41" t="s">
        <v>941</v>
      </c>
      <c r="K4395" s="41" t="s">
        <v>116</v>
      </c>
      <c r="Q4395" s="174">
        <v>0</v>
      </c>
    </row>
    <row r="4396" spans="1:17" ht="14.25" x14ac:dyDescent="0.2">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1.25</v>
      </c>
      <c r="H4396" s="50" t="s">
        <v>60</v>
      </c>
      <c r="I4396" s="187">
        <v>86.613517761230469</v>
      </c>
      <c r="J4396" s="41" t="s">
        <v>941</v>
      </c>
      <c r="K4396" s="41" t="s">
        <v>116</v>
      </c>
      <c r="Q4396" s="174">
        <v>0</v>
      </c>
    </row>
    <row r="4397" spans="1:17" ht="14.25" x14ac:dyDescent="0.2">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1.5</v>
      </c>
      <c r="H4397" s="50" t="s">
        <v>60</v>
      </c>
      <c r="I4397" s="187">
        <v>106.65177154541016</v>
      </c>
      <c r="J4397" s="41" t="s">
        <v>941</v>
      </c>
      <c r="K4397" s="41" t="s">
        <v>116</v>
      </c>
      <c r="Q4397" s="174">
        <v>0</v>
      </c>
    </row>
    <row r="4398" spans="1:17" ht="14.25" x14ac:dyDescent="0.2">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3</v>
      </c>
      <c r="H4398" s="50" t="s">
        <v>60</v>
      </c>
      <c r="I4398" s="187">
        <v>100.66117095947266</v>
      </c>
      <c r="J4398" s="41" t="s">
        <v>941</v>
      </c>
      <c r="K4398" s="41" t="s">
        <v>116</v>
      </c>
      <c r="Q4398" s="174">
        <v>0</v>
      </c>
    </row>
    <row r="4399" spans="1:17" ht="14.25" x14ac:dyDescent="0.2">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4</v>
      </c>
      <c r="H4399" s="50" t="s">
        <v>60</v>
      </c>
      <c r="I4399" s="187">
        <v>88.639686584472656</v>
      </c>
      <c r="J4399" s="41" t="s">
        <v>941</v>
      </c>
      <c r="K4399" s="41" t="s">
        <v>116</v>
      </c>
      <c r="Q4399" s="174">
        <v>0</v>
      </c>
    </row>
    <row r="4400" spans="1:17" ht="14.25" x14ac:dyDescent="0.2">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5</v>
      </c>
      <c r="H4400" s="50" t="s">
        <v>60</v>
      </c>
      <c r="I4400" s="187">
        <v>79.879814147949219</v>
      </c>
      <c r="J4400" s="41" t="s">
        <v>941</v>
      </c>
      <c r="K4400" s="41" t="s">
        <v>116</v>
      </c>
      <c r="Q4400" s="174">
        <v>0</v>
      </c>
    </row>
    <row r="4401" spans="1:17" ht="14.25" x14ac:dyDescent="0.2">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7</v>
      </c>
      <c r="H4401" s="50" t="s">
        <v>60</v>
      </c>
      <c r="I4401" s="187">
        <v>63.388740539550781</v>
      </c>
      <c r="J4401" s="41" t="s">
        <v>941</v>
      </c>
      <c r="K4401" s="41" t="s">
        <v>116</v>
      </c>
      <c r="Q4401" s="174">
        <v>0</v>
      </c>
    </row>
    <row r="4402" spans="1:17" ht="14.25" x14ac:dyDescent="0.2">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9</v>
      </c>
      <c r="H4402" s="50" t="s">
        <v>60</v>
      </c>
      <c r="I4402" s="187">
        <v>51.478954315185547</v>
      </c>
      <c r="J4402" s="41" t="s">
        <v>941</v>
      </c>
      <c r="K4402" s="41" t="s">
        <v>116</v>
      </c>
      <c r="Q4402" s="174">
        <v>0</v>
      </c>
    </row>
    <row r="4403" spans="1:17" ht="14.25" x14ac:dyDescent="0.2">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24</v>
      </c>
      <c r="H4403" s="50" t="s">
        <v>60</v>
      </c>
      <c r="I4403" s="187">
        <v>11.993697166442871</v>
      </c>
      <c r="J4403" s="41" t="s">
        <v>941</v>
      </c>
      <c r="K4403" s="41" t="s">
        <v>116</v>
      </c>
      <c r="Q4403" s="174">
        <v>0</v>
      </c>
    </row>
    <row r="4404" spans="1:17" ht="14.25" x14ac:dyDescent="0.2">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32</v>
      </c>
      <c r="H4404" s="50" t="s">
        <v>60</v>
      </c>
      <c r="I4404" s="187">
        <v>6.5742835998535156</v>
      </c>
      <c r="J4404" s="41" t="s">
        <v>941</v>
      </c>
      <c r="K4404" s="41" t="s">
        <v>116</v>
      </c>
      <c r="Q4404" s="174">
        <v>0</v>
      </c>
    </row>
    <row r="4405" spans="1:17" ht="14.25" x14ac:dyDescent="0.2">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48</v>
      </c>
      <c r="H4405" s="50" t="s">
        <v>60</v>
      </c>
      <c r="I4405" s="187">
        <v>2.6070492267608643</v>
      </c>
      <c r="J4405" s="41" t="s">
        <v>941</v>
      </c>
      <c r="K4405" s="41" t="s">
        <v>116</v>
      </c>
      <c r="Q4405" s="174">
        <v>0</v>
      </c>
    </row>
    <row r="4406" spans="1:17" ht="14.25" x14ac:dyDescent="0.2">
      <c r="A4406" s="183">
        <v>529</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SAD_B 100 mg</v>
      </c>
      <c r="E4406" s="250" t="str">
        <f>IF(AND(A4406&lt;&gt;"",ISNUMBER(A4406)),VLOOKUP(A4406,Studies!A:BR,5,FALSE),"")</f>
        <v>Hydroxy-Itraconazole</v>
      </c>
      <c r="F4406" s="251" t="str">
        <f>IF(AND(A4406&lt;&gt;"",ISNUMBER(A4406)),VLOOKUP(A4406,Studies!A:BR,6,FALSE),"")</f>
        <v>Plasma</v>
      </c>
      <c r="G4406" s="194">
        <v>0.5</v>
      </c>
      <c r="H4406" s="50" t="s">
        <v>60</v>
      </c>
      <c r="I4406" s="187">
        <v>43.785713613033295</v>
      </c>
      <c r="J4406" s="41" t="s">
        <v>941</v>
      </c>
      <c r="K4406" s="41" t="s">
        <v>116</v>
      </c>
      <c r="Q4406" s="174">
        <v>0</v>
      </c>
    </row>
    <row r="4407" spans="1:17" ht="14.25" x14ac:dyDescent="0.2">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1.25</v>
      </c>
      <c r="H4407" s="50" t="s">
        <v>60</v>
      </c>
      <c r="I4407" s="187">
        <v>135.9608918428421</v>
      </c>
      <c r="J4407" s="41" t="s">
        <v>941</v>
      </c>
      <c r="K4407" s="41" t="s">
        <v>116</v>
      </c>
      <c r="Q4407" s="174">
        <v>0</v>
      </c>
    </row>
    <row r="4408" spans="1:17" ht="14.25" x14ac:dyDescent="0.2">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1.5</v>
      </c>
      <c r="H4408" s="50" t="s">
        <v>60</v>
      </c>
      <c r="I4408" s="187">
        <v>154.40015494823456</v>
      </c>
      <c r="J4408" s="41" t="s">
        <v>941</v>
      </c>
      <c r="K4408" s="41" t="s">
        <v>116</v>
      </c>
      <c r="Q4408" s="174">
        <v>0</v>
      </c>
    </row>
    <row r="4409" spans="1:17" ht="14.25" x14ac:dyDescent="0.2">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1.75</v>
      </c>
      <c r="H4409" s="50" t="s">
        <v>60</v>
      </c>
      <c r="I4409" s="187">
        <v>163.58891129493713</v>
      </c>
      <c r="J4409" s="41" t="s">
        <v>941</v>
      </c>
      <c r="K4409" s="41" t="s">
        <v>116</v>
      </c>
      <c r="Q4409" s="174">
        <v>0</v>
      </c>
    </row>
    <row r="4410" spans="1:17" ht="14.25" x14ac:dyDescent="0.2">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2</v>
      </c>
      <c r="H4410" s="50" t="s">
        <v>60</v>
      </c>
      <c r="I4410" s="187">
        <v>177.37911641597748</v>
      </c>
      <c r="J4410" s="41" t="s">
        <v>941</v>
      </c>
      <c r="K4410" s="41" t="s">
        <v>116</v>
      </c>
      <c r="Q4410" s="174">
        <v>0</v>
      </c>
    </row>
    <row r="4411" spans="1:17" ht="14.25" x14ac:dyDescent="0.2">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3</v>
      </c>
      <c r="H4411" s="50" t="s">
        <v>60</v>
      </c>
      <c r="I4411" s="187">
        <v>239.58247900009155</v>
      </c>
      <c r="J4411" s="41" t="s">
        <v>941</v>
      </c>
      <c r="K4411" s="41" t="s">
        <v>116</v>
      </c>
      <c r="Q4411" s="174">
        <v>0</v>
      </c>
    </row>
    <row r="4412" spans="1:17" ht="14.25" x14ac:dyDescent="0.2">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4</v>
      </c>
      <c r="H4412" s="50" t="s">
        <v>60</v>
      </c>
      <c r="I4412" s="187">
        <v>253.84065508842468</v>
      </c>
      <c r="J4412" s="41" t="s">
        <v>941</v>
      </c>
      <c r="K4412" s="41" t="s">
        <v>116</v>
      </c>
      <c r="Q4412" s="174">
        <v>0</v>
      </c>
    </row>
    <row r="4413" spans="1:17" ht="14.25" x14ac:dyDescent="0.2">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5</v>
      </c>
      <c r="H4413" s="50" t="s">
        <v>60</v>
      </c>
      <c r="I4413" s="187">
        <v>253.84065508842468</v>
      </c>
      <c r="J4413" s="41" t="s">
        <v>941</v>
      </c>
      <c r="K4413" s="41" t="s">
        <v>116</v>
      </c>
      <c r="Q4413" s="174">
        <v>0</v>
      </c>
    </row>
    <row r="4414" spans="1:17" ht="14.25" x14ac:dyDescent="0.2">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7</v>
      </c>
      <c r="H4414" s="50" t="s">
        <v>60</v>
      </c>
      <c r="I4414" s="187">
        <v>234.10598933696747</v>
      </c>
      <c r="J4414" s="41" t="s">
        <v>941</v>
      </c>
      <c r="K4414" s="41" t="s">
        <v>116</v>
      </c>
      <c r="Q4414" s="174">
        <v>0</v>
      </c>
    </row>
    <row r="4415" spans="1:17" ht="14.25" x14ac:dyDescent="0.2">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9</v>
      </c>
      <c r="H4415" s="50" t="s">
        <v>60</v>
      </c>
      <c r="I4415" s="187">
        <v>223.52567315101624</v>
      </c>
      <c r="J4415" s="41" t="s">
        <v>941</v>
      </c>
      <c r="K4415" s="41" t="s">
        <v>116</v>
      </c>
      <c r="Q4415" s="174">
        <v>0</v>
      </c>
    </row>
    <row r="4416" spans="1:17" ht="14.25" x14ac:dyDescent="0.2">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24</v>
      </c>
      <c r="H4416" s="50" t="s">
        <v>60</v>
      </c>
      <c r="I4416" s="187">
        <v>111.69999837875366</v>
      </c>
      <c r="J4416" s="41" t="s">
        <v>941</v>
      </c>
      <c r="K4416" s="41" t="s">
        <v>116</v>
      </c>
      <c r="Q4416" s="174">
        <v>0</v>
      </c>
    </row>
    <row r="4417" spans="1:17" ht="14.25" x14ac:dyDescent="0.2">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32</v>
      </c>
      <c r="H4417" s="50" t="s">
        <v>60</v>
      </c>
      <c r="I4417" s="187">
        <v>76.269686222076416</v>
      </c>
      <c r="J4417" s="41" t="s">
        <v>941</v>
      </c>
      <c r="K4417" s="41" t="s">
        <v>116</v>
      </c>
      <c r="Q4417" s="174">
        <v>0</v>
      </c>
    </row>
    <row r="4418" spans="1:17" ht="14.25" x14ac:dyDescent="0.2">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48</v>
      </c>
      <c r="H4418" s="50" t="s">
        <v>60</v>
      </c>
      <c r="I4418" s="187">
        <v>34.346815198659897</v>
      </c>
      <c r="J4418" s="41" t="s">
        <v>941</v>
      </c>
      <c r="K4418" s="41" t="s">
        <v>116</v>
      </c>
      <c r="Q4418" s="174">
        <v>0</v>
      </c>
    </row>
    <row r="4419" spans="1:17" ht="14.25" x14ac:dyDescent="0.2">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72</v>
      </c>
      <c r="H4419" s="50" t="s">
        <v>60</v>
      </c>
      <c r="I4419" s="187">
        <v>11.855832301080227</v>
      </c>
      <c r="J4419" s="41" t="s">
        <v>941</v>
      </c>
      <c r="K4419" s="41" t="s">
        <v>116</v>
      </c>
      <c r="Q4419" s="174">
        <v>0</v>
      </c>
    </row>
    <row r="4420" spans="1:17" ht="14.25" x14ac:dyDescent="0.2">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96</v>
      </c>
      <c r="H4420" s="50" t="s">
        <v>60</v>
      </c>
      <c r="I4420" s="187">
        <v>5.4011666215956211</v>
      </c>
      <c r="J4420" s="41" t="s">
        <v>941</v>
      </c>
      <c r="K4420" s="41" t="s">
        <v>116</v>
      </c>
      <c r="Q4420" s="174">
        <v>0</v>
      </c>
    </row>
    <row r="4421" spans="1:17" ht="14.25" x14ac:dyDescent="0.2">
      <c r="A4421" s="183">
        <v>530</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SAD_A 200 mg</v>
      </c>
      <c r="E4421" s="250" t="str">
        <f>IF(AND(A4421&lt;&gt;"",ISNUMBER(A4421)),VLOOKUP(A4421,Studies!A:BR,5,FALSE),"")</f>
        <v>Hydroxy-Itraconazole</v>
      </c>
      <c r="F4421" s="251" t="str">
        <f>IF(AND(A4421&lt;&gt;"",ISNUMBER(A4421)),VLOOKUP(A4421,Studies!A:BR,6,FALSE),"")</f>
        <v>Plasma</v>
      </c>
      <c r="G4421" s="194">
        <v>1.5</v>
      </c>
      <c r="H4421" s="50" t="s">
        <v>60</v>
      </c>
      <c r="I4421" s="187">
        <v>281.6776123046875</v>
      </c>
      <c r="J4421" s="41" t="s">
        <v>941</v>
      </c>
      <c r="K4421" s="41" t="s">
        <v>116</v>
      </c>
      <c r="Q4421" s="174">
        <v>0</v>
      </c>
    </row>
    <row r="4422" spans="1:17" ht="14.25" x14ac:dyDescent="0.2">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2.5</v>
      </c>
      <c r="H4422" s="50" t="s">
        <v>60</v>
      </c>
      <c r="I4422" s="187">
        <v>359.08584594726563</v>
      </c>
      <c r="J4422" s="41" t="s">
        <v>941</v>
      </c>
      <c r="K4422" s="41" t="s">
        <v>116</v>
      </c>
      <c r="Q4422" s="174">
        <v>0</v>
      </c>
    </row>
    <row r="4423" spans="1:17" ht="14.25" x14ac:dyDescent="0.2">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3</v>
      </c>
      <c r="H4423" s="50" t="s">
        <v>60</v>
      </c>
      <c r="I4423" s="187">
        <v>393.88409423828125</v>
      </c>
      <c r="J4423" s="41" t="s">
        <v>941</v>
      </c>
      <c r="K4423" s="41" t="s">
        <v>116</v>
      </c>
      <c r="Q4423" s="174">
        <v>0</v>
      </c>
    </row>
    <row r="4424" spans="1:17" ht="14.25" x14ac:dyDescent="0.2">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4</v>
      </c>
      <c r="H4424" s="50" t="s">
        <v>60</v>
      </c>
      <c r="I4424" s="187">
        <v>417.32516479492188</v>
      </c>
      <c r="J4424" s="41" t="s">
        <v>941</v>
      </c>
      <c r="K4424" s="41" t="s">
        <v>116</v>
      </c>
      <c r="Q4424" s="174">
        <v>0</v>
      </c>
    </row>
    <row r="4425" spans="1:17" ht="14.25" x14ac:dyDescent="0.2">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5</v>
      </c>
      <c r="H4425" s="50" t="s">
        <v>60</v>
      </c>
      <c r="I4425" s="187">
        <v>452.50482177734375</v>
      </c>
      <c r="J4425" s="41" t="s">
        <v>941</v>
      </c>
      <c r="K4425" s="41" t="s">
        <v>116</v>
      </c>
      <c r="Q4425" s="174">
        <v>0</v>
      </c>
    </row>
    <row r="4426" spans="1:17" ht="14.25" x14ac:dyDescent="0.2">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7</v>
      </c>
      <c r="H4426" s="50" t="s">
        <v>60</v>
      </c>
      <c r="I4426" s="187">
        <v>479.4345703125</v>
      </c>
      <c r="J4426" s="41" t="s">
        <v>941</v>
      </c>
      <c r="K4426" s="41" t="s">
        <v>116</v>
      </c>
      <c r="Q4426" s="174">
        <v>0</v>
      </c>
    </row>
    <row r="4427" spans="1:17" ht="14.25" x14ac:dyDescent="0.2">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9</v>
      </c>
      <c r="H4427" s="50" t="s">
        <v>60</v>
      </c>
      <c r="I4427" s="187">
        <v>479.4345703125</v>
      </c>
      <c r="J4427" s="41" t="s">
        <v>941</v>
      </c>
      <c r="K4427" s="41" t="s">
        <v>116</v>
      </c>
      <c r="Q4427" s="174">
        <v>0</v>
      </c>
    </row>
    <row r="4428" spans="1:17" ht="14.25" x14ac:dyDescent="0.2">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24</v>
      </c>
      <c r="H4428" s="50" t="s">
        <v>60</v>
      </c>
      <c r="I4428" s="187">
        <v>295.01046752929688</v>
      </c>
      <c r="J4428" s="41" t="s">
        <v>941</v>
      </c>
      <c r="K4428" s="41" t="s">
        <v>116</v>
      </c>
      <c r="Q4428" s="174">
        <v>0</v>
      </c>
    </row>
    <row r="4429" spans="1:17" ht="14.25" x14ac:dyDescent="0.2">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32</v>
      </c>
      <c r="H4429" s="50" t="s">
        <v>60</v>
      </c>
      <c r="I4429" s="187">
        <v>199.12014770507813</v>
      </c>
      <c r="J4429" s="41" t="s">
        <v>941</v>
      </c>
      <c r="K4429" s="41" t="s">
        <v>116</v>
      </c>
      <c r="Q4429" s="174">
        <v>0</v>
      </c>
    </row>
    <row r="4430" spans="1:17" ht="14.25" x14ac:dyDescent="0.2">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48</v>
      </c>
      <c r="H4430" s="50" t="s">
        <v>60</v>
      </c>
      <c r="I4430" s="187">
        <v>91.768104553222656</v>
      </c>
      <c r="J4430" s="41" t="s">
        <v>941</v>
      </c>
      <c r="K4430" s="41" t="s">
        <v>116</v>
      </c>
      <c r="Q4430" s="174">
        <v>0</v>
      </c>
    </row>
    <row r="4431" spans="1:17" ht="14.25" x14ac:dyDescent="0.2">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72</v>
      </c>
      <c r="H4431" s="50" t="s">
        <v>60</v>
      </c>
      <c r="I4431" s="187">
        <v>23.452291488647461</v>
      </c>
      <c r="J4431" s="41" t="s">
        <v>941</v>
      </c>
      <c r="K4431" s="41" t="s">
        <v>116</v>
      </c>
      <c r="Q4431" s="174">
        <v>0</v>
      </c>
    </row>
    <row r="4432" spans="1:17" ht="14.25" x14ac:dyDescent="0.2">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96</v>
      </c>
      <c r="H4432" s="50" t="s">
        <v>60</v>
      </c>
      <c r="I4432" s="187">
        <v>10.084043502807617</v>
      </c>
      <c r="J4432" s="41" t="s">
        <v>941</v>
      </c>
      <c r="K4432" s="41" t="s">
        <v>116</v>
      </c>
      <c r="Q4432" s="174">
        <v>0</v>
      </c>
    </row>
    <row r="4433" spans="1:17" ht="14.25" x14ac:dyDescent="0.2">
      <c r="A4433" s="183">
        <v>531</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SAD_B 300 mg</v>
      </c>
      <c r="E4433" s="250" t="str">
        <f>IF(AND(A4433&lt;&gt;"",ISNUMBER(A4433)),VLOOKUP(A4433,Studies!A:BR,5,FALSE),"")</f>
        <v>Hydroxy-Itraconazole</v>
      </c>
      <c r="F4433" s="251" t="str">
        <f>IF(AND(A4433&lt;&gt;"",ISNUMBER(A4433)),VLOOKUP(A4433,Studies!A:BR,6,FALSE),"")</f>
        <v>Plasma</v>
      </c>
      <c r="G4433" s="194">
        <v>2</v>
      </c>
      <c r="H4433" s="50" t="s">
        <v>60</v>
      </c>
      <c r="I4433" s="187">
        <v>393.88409423828125</v>
      </c>
      <c r="J4433" s="41" t="s">
        <v>941</v>
      </c>
      <c r="K4433" s="41" t="s">
        <v>116</v>
      </c>
      <c r="Q4433" s="174">
        <v>0</v>
      </c>
    </row>
    <row r="4434" spans="1:17" ht="14.25" x14ac:dyDescent="0.2">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2.5</v>
      </c>
      <c r="H4434" s="50" t="s">
        <v>60</v>
      </c>
      <c r="I4434" s="187">
        <v>583.56695556640625</v>
      </c>
      <c r="J4434" s="41" t="s">
        <v>941</v>
      </c>
      <c r="K4434" s="41" t="s">
        <v>116</v>
      </c>
      <c r="Q4434" s="174">
        <v>0</v>
      </c>
    </row>
    <row r="4435" spans="1:17" ht="14.25" x14ac:dyDescent="0.2">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3</v>
      </c>
      <c r="H4435" s="50" t="s">
        <v>60</v>
      </c>
      <c r="I4435" s="187">
        <v>473.92355346679688</v>
      </c>
      <c r="J4435" s="41" t="s">
        <v>941</v>
      </c>
      <c r="K4435" s="41" t="s">
        <v>116</v>
      </c>
      <c r="Q4435" s="174">
        <v>0</v>
      </c>
    </row>
    <row r="4436" spans="1:17" ht="14.25" x14ac:dyDescent="0.2">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4</v>
      </c>
      <c r="H4436" s="50" t="s">
        <v>60</v>
      </c>
      <c r="I4436" s="187">
        <v>590.3529052734375</v>
      </c>
      <c r="J4436" s="41" t="s">
        <v>941</v>
      </c>
      <c r="K4436" s="41" t="s">
        <v>116</v>
      </c>
      <c r="Q4436" s="174">
        <v>0</v>
      </c>
    </row>
    <row r="4437" spans="1:17" ht="14.25" x14ac:dyDescent="0.2">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5</v>
      </c>
      <c r="H4437" s="50" t="s">
        <v>60</v>
      </c>
      <c r="I4437" s="187">
        <v>640.11846923828125</v>
      </c>
      <c r="J4437" s="41" t="s">
        <v>941</v>
      </c>
      <c r="K4437" s="41" t="s">
        <v>116</v>
      </c>
      <c r="Q4437" s="174">
        <v>0</v>
      </c>
    </row>
    <row r="4438" spans="1:17" ht="14.25" x14ac:dyDescent="0.2">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7</v>
      </c>
      <c r="H4438" s="50" t="s">
        <v>60</v>
      </c>
      <c r="I4438" s="187">
        <v>726.9324951171875</v>
      </c>
      <c r="J4438" s="41" t="s">
        <v>941</v>
      </c>
      <c r="K4438" s="41" t="s">
        <v>116</v>
      </c>
      <c r="Q4438" s="174">
        <v>0</v>
      </c>
    </row>
    <row r="4439" spans="1:17" ht="14.25" x14ac:dyDescent="0.2">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9</v>
      </c>
      <c r="H4439" s="50" t="s">
        <v>60</v>
      </c>
      <c r="I4439" s="187">
        <v>874.6492919921875</v>
      </c>
      <c r="J4439" s="41" t="s">
        <v>941</v>
      </c>
      <c r="K4439" s="41" t="s">
        <v>116</v>
      </c>
      <c r="Q4439" s="174">
        <v>0</v>
      </c>
    </row>
    <row r="4440" spans="1:17" ht="14.25" x14ac:dyDescent="0.2">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24</v>
      </c>
      <c r="H4440" s="50" t="s">
        <v>60</v>
      </c>
      <c r="I4440" s="187">
        <v>597.21844482421875</v>
      </c>
      <c r="J4440" s="41" t="s">
        <v>941</v>
      </c>
      <c r="K4440" s="41" t="s">
        <v>116</v>
      </c>
      <c r="Q4440" s="174">
        <v>0</v>
      </c>
    </row>
    <row r="4441" spans="1:17" ht="14.25" x14ac:dyDescent="0.2">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32</v>
      </c>
      <c r="H4441" s="50" t="s">
        <v>60</v>
      </c>
      <c r="I4441" s="187">
        <v>485.01016235351563</v>
      </c>
      <c r="J4441" s="41" t="s">
        <v>941</v>
      </c>
      <c r="K4441" s="41" t="s">
        <v>116</v>
      </c>
      <c r="Q4441" s="174">
        <v>0</v>
      </c>
    </row>
    <row r="4442" spans="1:17" ht="14.25" x14ac:dyDescent="0.2">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48</v>
      </c>
      <c r="H4442" s="50" t="s">
        <v>60</v>
      </c>
      <c r="I4442" s="187">
        <v>259.77880859375</v>
      </c>
      <c r="J4442" s="41" t="s">
        <v>941</v>
      </c>
      <c r="K4442" s="41" t="s">
        <v>116</v>
      </c>
      <c r="Q4442" s="174">
        <v>0</v>
      </c>
    </row>
    <row r="4443" spans="1:17" ht="14.25" x14ac:dyDescent="0.2">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72</v>
      </c>
      <c r="H4443" s="50" t="s">
        <v>60</v>
      </c>
      <c r="I4443" s="187">
        <v>97.229469299316406</v>
      </c>
      <c r="J4443" s="41" t="s">
        <v>941</v>
      </c>
      <c r="K4443" s="41" t="s">
        <v>116</v>
      </c>
      <c r="Q4443" s="174">
        <v>0</v>
      </c>
    </row>
    <row r="4444" spans="1:17" ht="14.25" x14ac:dyDescent="0.2">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96</v>
      </c>
      <c r="H4444" s="50" t="s">
        <v>60</v>
      </c>
      <c r="I4444" s="187">
        <v>27.572908401489258</v>
      </c>
      <c r="J4444" s="41" t="s">
        <v>941</v>
      </c>
      <c r="K4444" s="41" t="s">
        <v>116</v>
      </c>
      <c r="Q4444" s="174">
        <v>0</v>
      </c>
    </row>
    <row r="4445" spans="1:17" ht="14.25" x14ac:dyDescent="0.2">
      <c r="A4445" s="183">
        <v>532</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MAD_m_A 100 mg</v>
      </c>
      <c r="E4445" s="250" t="str">
        <f>IF(AND(A4445&lt;&gt;"",ISNUMBER(A4445)),VLOOKUP(A4445,Studies!A:BR,5,FALSE),"")</f>
        <v>Hydroxy-Itraconazole</v>
      </c>
      <c r="F4445" s="251" t="str">
        <f>IF(AND(A4445&lt;&gt;"",ISNUMBER(A4445)),VLOOKUP(A4445,Studies!A:BR,6,FALSE),"")</f>
        <v>Plasma</v>
      </c>
      <c r="G4445" s="194">
        <v>1</v>
      </c>
      <c r="H4445" s="50" t="s">
        <v>60</v>
      </c>
      <c r="I4445" s="187">
        <v>148.0000913143158</v>
      </c>
      <c r="J4445" s="41" t="s">
        <v>941</v>
      </c>
      <c r="K4445" s="41" t="s">
        <v>116</v>
      </c>
      <c r="Q4445" s="174">
        <v>0</v>
      </c>
    </row>
    <row r="4446" spans="1:17" ht="14.25" x14ac:dyDescent="0.2">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8</v>
      </c>
      <c r="H4446" s="50" t="s">
        <v>60</v>
      </c>
      <c r="I4446" s="187">
        <v>213.35700154304504</v>
      </c>
      <c r="J4446" s="41" t="s">
        <v>941</v>
      </c>
      <c r="K4446" s="41" t="s">
        <v>116</v>
      </c>
      <c r="Q4446" s="174">
        <v>0</v>
      </c>
    </row>
    <row r="4447" spans="1:17" ht="14.25" x14ac:dyDescent="0.2">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9</v>
      </c>
      <c r="H4447" s="50" t="s">
        <v>60</v>
      </c>
      <c r="I4447" s="187">
        <v>312.73159384727478</v>
      </c>
      <c r="J4447" s="41" t="s">
        <v>941</v>
      </c>
      <c r="K4447" s="41" t="s">
        <v>116</v>
      </c>
      <c r="Q4447" s="174">
        <v>0</v>
      </c>
    </row>
    <row r="4448" spans="1:17" ht="14.25" x14ac:dyDescent="0.2">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24</v>
      </c>
      <c r="H4448" s="50" t="s">
        <v>60</v>
      </c>
      <c r="I4448" s="187">
        <v>326.00361108779907</v>
      </c>
      <c r="J4448" s="41" t="s">
        <v>941</v>
      </c>
      <c r="K4448" s="41" t="s">
        <v>116</v>
      </c>
      <c r="Q4448" s="174">
        <v>0</v>
      </c>
    </row>
    <row r="4449" spans="1:17" ht="14.25" x14ac:dyDescent="0.2">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25</v>
      </c>
      <c r="H4449" s="50" t="s">
        <v>60</v>
      </c>
      <c r="I4449" s="187">
        <v>391.42149686813354</v>
      </c>
      <c r="J4449" s="41" t="s">
        <v>941</v>
      </c>
      <c r="K4449" s="41" t="s">
        <v>116</v>
      </c>
      <c r="Q4449" s="174">
        <v>0</v>
      </c>
    </row>
    <row r="4450" spans="1:17" ht="14.25" x14ac:dyDescent="0.2">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32</v>
      </c>
      <c r="H4450" s="50" t="s">
        <v>60</v>
      </c>
      <c r="I4450" s="187">
        <v>559.60220098495483</v>
      </c>
      <c r="J4450" s="41" t="s">
        <v>941</v>
      </c>
      <c r="K4450" s="41" t="s">
        <v>116</v>
      </c>
      <c r="Q4450" s="174">
        <v>0</v>
      </c>
    </row>
    <row r="4451" spans="1:17" ht="14.25" x14ac:dyDescent="0.2">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48</v>
      </c>
      <c r="H4451" s="50" t="s">
        <v>60</v>
      </c>
      <c r="I4451" s="187">
        <v>644.54203844070435</v>
      </c>
      <c r="J4451" s="41" t="s">
        <v>941</v>
      </c>
      <c r="K4451" s="41" t="s">
        <v>116</v>
      </c>
      <c r="Q4451" s="174">
        <v>0</v>
      </c>
    </row>
    <row r="4452" spans="1:17" ht="14.25" x14ac:dyDescent="0.2">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49</v>
      </c>
      <c r="H4452" s="50" t="s">
        <v>60</v>
      </c>
      <c r="I4452" s="187">
        <v>694.61190700531006</v>
      </c>
      <c r="J4452" s="41" t="s">
        <v>941</v>
      </c>
      <c r="K4452" s="41" t="s">
        <v>116</v>
      </c>
      <c r="Q4452" s="174">
        <v>0</v>
      </c>
    </row>
    <row r="4453" spans="1:17" ht="14.25" x14ac:dyDescent="0.2">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72</v>
      </c>
      <c r="H4453" s="50" t="s">
        <v>60</v>
      </c>
      <c r="I4453" s="187">
        <v>649.92207288742065</v>
      </c>
      <c r="J4453" s="41" t="s">
        <v>941</v>
      </c>
      <c r="K4453" s="41" t="s">
        <v>116</v>
      </c>
      <c r="Q4453" s="174">
        <v>0</v>
      </c>
    </row>
    <row r="4454" spans="1:17" ht="14.25" x14ac:dyDescent="0.2">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73</v>
      </c>
      <c r="H4454" s="50" t="s">
        <v>60</v>
      </c>
      <c r="I4454" s="187">
        <v>688.86178731918335</v>
      </c>
      <c r="J4454" s="41" t="s">
        <v>941</v>
      </c>
      <c r="K4454" s="41" t="s">
        <v>116</v>
      </c>
      <c r="Q4454" s="174">
        <v>0</v>
      </c>
    </row>
    <row r="4455" spans="1:17" ht="14.25" x14ac:dyDescent="0.2">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96</v>
      </c>
      <c r="H4455" s="50" t="s">
        <v>60</v>
      </c>
      <c r="I4455" s="187">
        <v>628.66741418838501</v>
      </c>
      <c r="J4455" s="41" t="s">
        <v>941</v>
      </c>
      <c r="K4455" s="41" t="s">
        <v>116</v>
      </c>
      <c r="Q4455" s="174">
        <v>0</v>
      </c>
    </row>
    <row r="4456" spans="1:17" ht="14.25" x14ac:dyDescent="0.2">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97</v>
      </c>
      <c r="H4456" s="50" t="s">
        <v>60</v>
      </c>
      <c r="I4456" s="187">
        <v>694.61190700531006</v>
      </c>
      <c r="J4456" s="41" t="s">
        <v>941</v>
      </c>
      <c r="K4456" s="41" t="s">
        <v>116</v>
      </c>
      <c r="Q4456" s="174">
        <v>0</v>
      </c>
    </row>
    <row r="4457" spans="1:17" ht="14.25" x14ac:dyDescent="0.2">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120</v>
      </c>
      <c r="H4457" s="50" t="s">
        <v>60</v>
      </c>
      <c r="I4457" s="187">
        <v>677.50400304794312</v>
      </c>
      <c r="J4457" s="41" t="s">
        <v>941</v>
      </c>
      <c r="K4457" s="41" t="s">
        <v>116</v>
      </c>
      <c r="Q4457" s="174">
        <v>0</v>
      </c>
    </row>
    <row r="4458" spans="1:17" ht="14.25" x14ac:dyDescent="0.2">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121</v>
      </c>
      <c r="H4458" s="50" t="s">
        <v>60</v>
      </c>
      <c r="I4458" s="187">
        <v>724.09027814865112</v>
      </c>
      <c r="J4458" s="41" t="s">
        <v>941</v>
      </c>
      <c r="K4458" s="41" t="s">
        <v>116</v>
      </c>
      <c r="Q4458" s="174">
        <v>0</v>
      </c>
    </row>
    <row r="4459" spans="1:17" ht="14.25" x14ac:dyDescent="0.2">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144</v>
      </c>
      <c r="H4459" s="50" t="s">
        <v>60</v>
      </c>
      <c r="I4459" s="187">
        <v>706.25638961791992</v>
      </c>
      <c r="J4459" s="41" t="s">
        <v>941</v>
      </c>
      <c r="K4459" s="41" t="s">
        <v>116</v>
      </c>
      <c r="Q4459" s="174">
        <v>0</v>
      </c>
    </row>
    <row r="4460" spans="1:17" ht="14.25" x14ac:dyDescent="0.2">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144.5</v>
      </c>
      <c r="H4460" s="50" t="s">
        <v>60</v>
      </c>
      <c r="I4460" s="187">
        <v>847.97841310501099</v>
      </c>
      <c r="J4460" s="41" t="s">
        <v>941</v>
      </c>
      <c r="K4460" s="41" t="s">
        <v>116</v>
      </c>
      <c r="Q4460" s="174">
        <v>0</v>
      </c>
    </row>
    <row r="4461" spans="1:17" ht="14.25" x14ac:dyDescent="0.2">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153</v>
      </c>
      <c r="H4461" s="50" t="s">
        <v>60</v>
      </c>
      <c r="I4461" s="187">
        <v>847.97841310501099</v>
      </c>
      <c r="J4461" s="41" t="s">
        <v>941</v>
      </c>
      <c r="K4461" s="41" t="s">
        <v>116</v>
      </c>
      <c r="Q4461" s="174">
        <v>0</v>
      </c>
    </row>
    <row r="4462" spans="1:17" ht="14.25" x14ac:dyDescent="0.2">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160</v>
      </c>
      <c r="H4462" s="50" t="s">
        <v>60</v>
      </c>
      <c r="I4462" s="187">
        <v>712.15170621871948</v>
      </c>
      <c r="J4462" s="41" t="s">
        <v>941</v>
      </c>
      <c r="K4462" s="41" t="s">
        <v>116</v>
      </c>
      <c r="Q4462" s="174">
        <v>0</v>
      </c>
    </row>
    <row r="4463" spans="1:17" ht="14.25" x14ac:dyDescent="0.2">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168</v>
      </c>
      <c r="H4463" s="50" t="s">
        <v>60</v>
      </c>
      <c r="I4463" s="187">
        <v>712.15170621871948</v>
      </c>
      <c r="J4463" s="41" t="s">
        <v>941</v>
      </c>
      <c r="K4463" s="41" t="s">
        <v>116</v>
      </c>
      <c r="Q4463" s="174">
        <v>0</v>
      </c>
    </row>
    <row r="4464" spans="1:17" ht="14.25" x14ac:dyDescent="0.2">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176</v>
      </c>
      <c r="H4464" s="50" t="s">
        <v>60</v>
      </c>
      <c r="I4464" s="187">
        <v>623.46309423446655</v>
      </c>
      <c r="J4464" s="41" t="s">
        <v>941</v>
      </c>
      <c r="K4464" s="41" t="s">
        <v>116</v>
      </c>
      <c r="Q4464" s="174">
        <v>0</v>
      </c>
    </row>
    <row r="4465" spans="1:17" ht="14.25" x14ac:dyDescent="0.2">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192</v>
      </c>
      <c r="H4465" s="50" t="s">
        <v>60</v>
      </c>
      <c r="I4465" s="187">
        <v>428.89991402626038</v>
      </c>
      <c r="J4465" s="41" t="s">
        <v>941</v>
      </c>
      <c r="K4465" s="41" t="s">
        <v>116</v>
      </c>
      <c r="Q4465" s="174">
        <v>0</v>
      </c>
    </row>
    <row r="4466" spans="1:17" ht="14.25" x14ac:dyDescent="0.2">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216</v>
      </c>
      <c r="H4466" s="50" t="s">
        <v>60</v>
      </c>
      <c r="I4466" s="187">
        <v>271.51879668235779</v>
      </c>
      <c r="J4466" s="41" t="s">
        <v>941</v>
      </c>
      <c r="K4466" s="41" t="s">
        <v>116</v>
      </c>
      <c r="Q4466" s="174">
        <v>0</v>
      </c>
    </row>
    <row r="4467" spans="1:17" ht="14.25" x14ac:dyDescent="0.2">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240</v>
      </c>
      <c r="H4467" s="50" t="s">
        <v>60</v>
      </c>
      <c r="I4467" s="187">
        <v>139.63399827480316</v>
      </c>
      <c r="J4467" s="41" t="s">
        <v>941</v>
      </c>
      <c r="K4467" s="41" t="s">
        <v>116</v>
      </c>
      <c r="Q4467" s="174">
        <v>0</v>
      </c>
    </row>
    <row r="4468" spans="1:17" ht="14.25" x14ac:dyDescent="0.2">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312</v>
      </c>
      <c r="H4468" s="50" t="s">
        <v>60</v>
      </c>
      <c r="I4468" s="187">
        <v>34.553591161966324</v>
      </c>
      <c r="J4468" s="41" t="s">
        <v>941</v>
      </c>
      <c r="K4468" s="41" t="s">
        <v>116</v>
      </c>
      <c r="Q4468" s="174">
        <v>0</v>
      </c>
    </row>
    <row r="4469" spans="1:17" ht="14.25" x14ac:dyDescent="0.2">
      <c r="A4469" s="183">
        <v>533</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MAD_m_B 200 mg</v>
      </c>
      <c r="E4469" s="250" t="str">
        <f>IF(AND(A4469&lt;&gt;"",ISNUMBER(A4469)),VLOOKUP(A4469,Studies!A:BR,5,FALSE),"")</f>
        <v>Hydroxy-Itraconazole</v>
      </c>
      <c r="F4469" s="251" t="str">
        <f>IF(AND(A4469&lt;&gt;"",ISNUMBER(A4469)),VLOOKUP(A4469,Studies!A:BR,6,FALSE),"")</f>
        <v>Plasma</v>
      </c>
      <c r="G4469" s="194">
        <v>2</v>
      </c>
      <c r="H4469" s="50" t="s">
        <v>60</v>
      </c>
      <c r="I4469" s="187">
        <v>309.80449914932251</v>
      </c>
      <c r="J4469" s="41" t="s">
        <v>941</v>
      </c>
      <c r="K4469" s="41" t="s">
        <v>116</v>
      </c>
      <c r="Q4469" s="174">
        <v>0</v>
      </c>
    </row>
    <row r="4470" spans="1:17" ht="14.25" x14ac:dyDescent="0.2">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8</v>
      </c>
      <c r="H4470" s="50" t="s">
        <v>60</v>
      </c>
      <c r="I4470" s="187">
        <v>505.10102510452271</v>
      </c>
      <c r="J4470" s="41" t="s">
        <v>941</v>
      </c>
      <c r="K4470" s="41" t="s">
        <v>116</v>
      </c>
      <c r="Q4470" s="174">
        <v>0</v>
      </c>
    </row>
    <row r="4471" spans="1:17" ht="14.25" x14ac:dyDescent="0.2">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10</v>
      </c>
      <c r="H4471" s="50" t="s">
        <v>60</v>
      </c>
      <c r="I4471" s="187">
        <v>733.48188400268555</v>
      </c>
      <c r="J4471" s="41" t="s">
        <v>941</v>
      </c>
      <c r="K4471" s="41" t="s">
        <v>116</v>
      </c>
      <c r="Q4471" s="174">
        <v>0</v>
      </c>
    </row>
    <row r="4472" spans="1:17" ht="14.25" x14ac:dyDescent="0.2">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24</v>
      </c>
      <c r="H4472" s="50" t="s">
        <v>60</v>
      </c>
      <c r="I4472" s="187">
        <v>866.99205636978149</v>
      </c>
      <c r="J4472" s="41" t="s">
        <v>941</v>
      </c>
      <c r="K4472" s="41" t="s">
        <v>116</v>
      </c>
      <c r="Q4472" s="174">
        <v>0</v>
      </c>
    </row>
    <row r="4473" spans="1:17" ht="14.25" x14ac:dyDescent="0.2">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26</v>
      </c>
      <c r="H4473" s="50" t="s">
        <v>60</v>
      </c>
      <c r="I4473" s="187">
        <v>967.16630458831787</v>
      </c>
      <c r="J4473" s="41" t="s">
        <v>941</v>
      </c>
      <c r="K4473" s="41" t="s">
        <v>116</v>
      </c>
      <c r="Q4473" s="174">
        <v>0</v>
      </c>
    </row>
    <row r="4474" spans="1:17" ht="14.25" x14ac:dyDescent="0.2">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32</v>
      </c>
      <c r="H4474" s="50" t="s">
        <v>60</v>
      </c>
      <c r="I4474" s="187">
        <v>1114.1760349273682</v>
      </c>
      <c r="J4474" s="41" t="s">
        <v>941</v>
      </c>
      <c r="K4474" s="41" t="s">
        <v>116</v>
      </c>
      <c r="Q4474" s="174">
        <v>0</v>
      </c>
    </row>
    <row r="4475" spans="1:17" ht="14.25" x14ac:dyDescent="0.2">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34</v>
      </c>
      <c r="H4475" s="50" t="s">
        <v>60</v>
      </c>
      <c r="I4475" s="187">
        <v>1250.9300708770752</v>
      </c>
      <c r="J4475" s="41" t="s">
        <v>941</v>
      </c>
      <c r="K4475" s="41" t="s">
        <v>116</v>
      </c>
      <c r="Q4475" s="174">
        <v>0</v>
      </c>
    </row>
    <row r="4476" spans="1:17" ht="14.25" x14ac:dyDescent="0.2">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48</v>
      </c>
      <c r="H4476" s="50" t="s">
        <v>60</v>
      </c>
      <c r="I4476" s="187">
        <v>1450.3699541091919</v>
      </c>
      <c r="J4476" s="41" t="s">
        <v>941</v>
      </c>
      <c r="K4476" s="41" t="s">
        <v>116</v>
      </c>
      <c r="Q4476" s="174">
        <v>0</v>
      </c>
    </row>
    <row r="4477" spans="1:17" ht="14.25" x14ac:dyDescent="0.2">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50</v>
      </c>
      <c r="H4477" s="50" t="s">
        <v>60</v>
      </c>
      <c r="I4477" s="187">
        <v>1517.1619653701782</v>
      </c>
      <c r="J4477" s="41" t="s">
        <v>941</v>
      </c>
      <c r="K4477" s="41" t="s">
        <v>116</v>
      </c>
      <c r="Q4477" s="174">
        <v>0</v>
      </c>
    </row>
    <row r="4478" spans="1:17" ht="14.25" x14ac:dyDescent="0.2">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72</v>
      </c>
      <c r="H4478" s="50" t="s">
        <v>60</v>
      </c>
      <c r="I4478" s="187">
        <v>1576.854944229126</v>
      </c>
      <c r="J4478" s="41" t="s">
        <v>941</v>
      </c>
      <c r="K4478" s="41" t="s">
        <v>116</v>
      </c>
      <c r="Q4478" s="174">
        <v>0</v>
      </c>
    </row>
    <row r="4479" spans="1:17" ht="14.25" x14ac:dyDescent="0.2">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74</v>
      </c>
      <c r="H4479" s="50" t="s">
        <v>60</v>
      </c>
      <c r="I4479" s="187">
        <v>1660.1139307022095</v>
      </c>
      <c r="J4479" s="41" t="s">
        <v>941</v>
      </c>
      <c r="K4479" s="41" t="s">
        <v>116</v>
      </c>
      <c r="Q4479" s="174">
        <v>0</v>
      </c>
    </row>
    <row r="4480" spans="1:17" ht="14.25" x14ac:dyDescent="0.2">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96</v>
      </c>
      <c r="H4480" s="50" t="s">
        <v>60</v>
      </c>
      <c r="I4480" s="187">
        <v>1714.3700122833252</v>
      </c>
      <c r="J4480" s="41" t="s">
        <v>941</v>
      </c>
      <c r="K4480" s="41" t="s">
        <v>116</v>
      </c>
      <c r="Q4480" s="174">
        <v>0</v>
      </c>
    </row>
    <row r="4481" spans="1:17" ht="14.25" x14ac:dyDescent="0.2">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98</v>
      </c>
      <c r="H4481" s="50" t="s">
        <v>60</v>
      </c>
      <c r="I4481" s="187">
        <v>1962.2918367385864</v>
      </c>
      <c r="J4481" s="41" t="s">
        <v>941</v>
      </c>
      <c r="K4481" s="41" t="s">
        <v>116</v>
      </c>
      <c r="Q4481" s="174">
        <v>0</v>
      </c>
    </row>
    <row r="4482" spans="1:17" ht="14.25" x14ac:dyDescent="0.2">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120</v>
      </c>
      <c r="H4482" s="50" t="s">
        <v>60</v>
      </c>
      <c r="I4482" s="187">
        <v>1816.5369033813477</v>
      </c>
      <c r="J4482" s="41" t="s">
        <v>941</v>
      </c>
      <c r="K4482" s="41" t="s">
        <v>116</v>
      </c>
      <c r="Q4482" s="174">
        <v>0</v>
      </c>
    </row>
    <row r="4483" spans="1:17" ht="14.25" x14ac:dyDescent="0.2">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122</v>
      </c>
      <c r="H4483" s="50" t="s">
        <v>60</v>
      </c>
      <c r="I4483" s="187">
        <v>1949.7120380401611</v>
      </c>
      <c r="J4483" s="41" t="s">
        <v>941</v>
      </c>
      <c r="K4483" s="41" t="s">
        <v>116</v>
      </c>
      <c r="Q4483" s="174">
        <v>0</v>
      </c>
    </row>
    <row r="4484" spans="1:17" ht="14.25" x14ac:dyDescent="0.2">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144</v>
      </c>
      <c r="H4484" s="50" t="s">
        <v>60</v>
      </c>
      <c r="I4484" s="187">
        <v>2092.6499366760254</v>
      </c>
      <c r="J4484" s="41" t="s">
        <v>941</v>
      </c>
      <c r="K4484" s="41" t="s">
        <v>116</v>
      </c>
      <c r="Q4484" s="174">
        <v>0</v>
      </c>
    </row>
    <row r="4485" spans="1:17" ht="14.25" x14ac:dyDescent="0.2">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144.5</v>
      </c>
      <c r="H4485" s="50" t="s">
        <v>60</v>
      </c>
      <c r="I4485" s="187">
        <v>1986.5540266036987</v>
      </c>
      <c r="J4485" s="41" t="s">
        <v>941</v>
      </c>
      <c r="K4485" s="41" t="s">
        <v>116</v>
      </c>
      <c r="Q4485" s="174">
        <v>0</v>
      </c>
    </row>
    <row r="4486" spans="1:17" ht="14.25" x14ac:dyDescent="0.2">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145</v>
      </c>
      <c r="H4486" s="50" t="s">
        <v>60</v>
      </c>
      <c r="I4486" s="187">
        <v>2160.0511074066162</v>
      </c>
      <c r="J4486" s="41" t="s">
        <v>941</v>
      </c>
      <c r="K4486" s="41" t="s">
        <v>116</v>
      </c>
      <c r="Q4486" s="174">
        <v>0</v>
      </c>
    </row>
    <row r="4487" spans="1:17" ht="14.25" x14ac:dyDescent="0.2">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146</v>
      </c>
      <c r="H4487" s="50" t="s">
        <v>60</v>
      </c>
      <c r="I4487" s="187">
        <v>1936.0270500183105</v>
      </c>
      <c r="J4487" s="41" t="s">
        <v>941</v>
      </c>
      <c r="K4487" s="41" t="s">
        <v>116</v>
      </c>
      <c r="Q4487" s="174">
        <v>0</v>
      </c>
    </row>
    <row r="4488" spans="1:17" ht="14.25" x14ac:dyDescent="0.2">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146.08000000000001</v>
      </c>
      <c r="H4488" s="50" t="s">
        <v>60</v>
      </c>
      <c r="I4488" s="187">
        <v>1948.5368728637695</v>
      </c>
      <c r="J4488" s="41" t="s">
        <v>941</v>
      </c>
      <c r="K4488" s="41" t="s">
        <v>116</v>
      </c>
      <c r="Q4488" s="174">
        <v>0</v>
      </c>
    </row>
    <row r="4489" spans="1:17" ht="14.25" x14ac:dyDescent="0.2">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146.25</v>
      </c>
      <c r="H4489" s="50" t="s">
        <v>60</v>
      </c>
      <c r="I4489" s="187">
        <v>1911.2480878829956</v>
      </c>
      <c r="J4489" s="41" t="s">
        <v>941</v>
      </c>
      <c r="K4489" s="41" t="s">
        <v>116</v>
      </c>
      <c r="Q4489" s="174">
        <v>0</v>
      </c>
    </row>
    <row r="4490" spans="1:17" ht="14.25" x14ac:dyDescent="0.2">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146.5</v>
      </c>
      <c r="H4490" s="50" t="s">
        <v>60</v>
      </c>
      <c r="I4490" s="187">
        <v>2051.569938659668</v>
      </c>
      <c r="J4490" s="41" t="s">
        <v>941</v>
      </c>
      <c r="K4490" s="41" t="s">
        <v>116</v>
      </c>
      <c r="Q4490" s="174">
        <v>0</v>
      </c>
    </row>
    <row r="4491" spans="1:17" ht="14.25" x14ac:dyDescent="0.2">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146.75</v>
      </c>
      <c r="H4491" s="50" t="s">
        <v>60</v>
      </c>
      <c r="I4491" s="187">
        <v>1874.6730089187622</v>
      </c>
      <c r="J4491" s="41" t="s">
        <v>941</v>
      </c>
      <c r="K4491" s="41" t="s">
        <v>116</v>
      </c>
      <c r="Q4491" s="174">
        <v>0</v>
      </c>
    </row>
    <row r="4492" spans="1:17" ht="14.25" x14ac:dyDescent="0.2">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147</v>
      </c>
      <c r="H4492" s="50" t="s">
        <v>60</v>
      </c>
      <c r="I4492" s="187">
        <v>2038.3980274200439</v>
      </c>
      <c r="J4492" s="41" t="s">
        <v>941</v>
      </c>
      <c r="K4492" s="41" t="s">
        <v>116</v>
      </c>
      <c r="Q4492" s="174">
        <v>0</v>
      </c>
    </row>
    <row r="4493" spans="1:17" ht="14.25" x14ac:dyDescent="0.2">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147.5</v>
      </c>
      <c r="H4493" s="50" t="s">
        <v>60</v>
      </c>
      <c r="I4493" s="187">
        <v>1986.5540266036987</v>
      </c>
      <c r="J4493" s="41" t="s">
        <v>941</v>
      </c>
      <c r="K4493" s="187" t="s">
        <v>116</v>
      </c>
      <c r="Q4493" s="174">
        <v>0</v>
      </c>
    </row>
    <row r="4494" spans="1:17" ht="14.25" x14ac:dyDescent="0.2">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148</v>
      </c>
      <c r="H4494" s="50" t="s">
        <v>60</v>
      </c>
      <c r="I4494" s="187">
        <v>2118.7140941619873</v>
      </c>
      <c r="J4494" s="41" t="s">
        <v>941</v>
      </c>
      <c r="K4494" s="187" t="s">
        <v>116</v>
      </c>
      <c r="Q4494" s="174">
        <v>0</v>
      </c>
    </row>
    <row r="4495" spans="1:17" ht="14.25" x14ac:dyDescent="0.2">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150</v>
      </c>
      <c r="H4495" s="50" t="s">
        <v>60</v>
      </c>
      <c r="I4495" s="187">
        <v>2078.1681537628174</v>
      </c>
      <c r="J4495" s="41" t="s">
        <v>941</v>
      </c>
      <c r="K4495" s="187" t="s">
        <v>116</v>
      </c>
      <c r="Q4495" s="174">
        <v>0</v>
      </c>
    </row>
    <row r="4496" spans="1:17" ht="14.25" x14ac:dyDescent="0.2">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152</v>
      </c>
      <c r="H4496" s="50" t="s">
        <v>60</v>
      </c>
      <c r="I4496" s="187">
        <v>2160.0511074066162</v>
      </c>
      <c r="J4496" s="41" t="s">
        <v>941</v>
      </c>
      <c r="K4496" s="187" t="s">
        <v>116</v>
      </c>
      <c r="Q4496" s="174">
        <v>0</v>
      </c>
    </row>
    <row r="4497" spans="1:17" ht="14.25" x14ac:dyDescent="0.2">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154</v>
      </c>
      <c r="H4497" s="50" t="s">
        <v>60</v>
      </c>
      <c r="I4497" s="187">
        <v>2259.6671581268311</v>
      </c>
      <c r="J4497" s="41" t="s">
        <v>941</v>
      </c>
      <c r="K4497" s="187" t="s">
        <v>116</v>
      </c>
      <c r="Q4497" s="174">
        <v>0</v>
      </c>
    </row>
    <row r="4498" spans="1:17" ht="14.25" x14ac:dyDescent="0.2">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160</v>
      </c>
      <c r="H4498" s="50" t="s">
        <v>60</v>
      </c>
      <c r="I4498" s="187">
        <v>2050.4779815673828</v>
      </c>
      <c r="J4498" s="41" t="s">
        <v>941</v>
      </c>
      <c r="K4498" s="187" t="s">
        <v>116</v>
      </c>
      <c r="Q4498" s="174">
        <v>0</v>
      </c>
    </row>
    <row r="4499" spans="1:17" ht="14.25" x14ac:dyDescent="0.2">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168</v>
      </c>
      <c r="H4499" s="50" t="s">
        <v>60</v>
      </c>
      <c r="I4499" s="187">
        <v>2187.0880126953125</v>
      </c>
      <c r="J4499" s="41" t="s">
        <v>941</v>
      </c>
      <c r="K4499" s="187" t="s">
        <v>116</v>
      </c>
      <c r="Q4499" s="174">
        <v>0</v>
      </c>
    </row>
    <row r="4500" spans="1:17" ht="14.25" x14ac:dyDescent="0.2">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176</v>
      </c>
      <c r="H4500" s="50" t="s">
        <v>60</v>
      </c>
      <c r="I4500" s="187">
        <v>2131.3848495483398</v>
      </c>
      <c r="J4500" s="41" t="s">
        <v>941</v>
      </c>
      <c r="K4500" s="187" t="s">
        <v>116</v>
      </c>
      <c r="Q4500" s="174">
        <v>0</v>
      </c>
    </row>
    <row r="4501" spans="1:17" ht="14.25" x14ac:dyDescent="0.2">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192</v>
      </c>
      <c r="H4501" s="50" t="s">
        <v>60</v>
      </c>
      <c r="I4501" s="187">
        <v>2024.198055267334</v>
      </c>
      <c r="J4501" s="41" t="s">
        <v>941</v>
      </c>
      <c r="K4501" s="187" t="s">
        <v>116</v>
      </c>
      <c r="Q4501" s="174">
        <v>0</v>
      </c>
    </row>
    <row r="4502" spans="1:17" ht="14.25" x14ac:dyDescent="0.2">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216</v>
      </c>
      <c r="H4502" s="50" t="s">
        <v>60</v>
      </c>
      <c r="I4502" s="187">
        <v>1745.1269626617432</v>
      </c>
      <c r="J4502" s="41" t="s">
        <v>941</v>
      </c>
      <c r="K4502" s="187" t="s">
        <v>116</v>
      </c>
      <c r="Q4502" s="174">
        <v>0</v>
      </c>
    </row>
    <row r="4503" spans="1:17" ht="14.25" x14ac:dyDescent="0.2">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240</v>
      </c>
      <c r="H4503" s="50" t="s">
        <v>60</v>
      </c>
      <c r="I4503" s="187">
        <v>1401.4869928359985</v>
      </c>
      <c r="J4503" s="41" t="s">
        <v>941</v>
      </c>
      <c r="K4503" s="187" t="s">
        <v>116</v>
      </c>
      <c r="Q4503" s="174">
        <v>0</v>
      </c>
    </row>
    <row r="4504" spans="1:17" ht="14.25" x14ac:dyDescent="0.2">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312</v>
      </c>
      <c r="H4504" s="50" t="s">
        <v>60</v>
      </c>
      <c r="I4504" s="187">
        <v>730.59362173080444</v>
      </c>
      <c r="J4504" s="41" t="s">
        <v>941</v>
      </c>
      <c r="K4504" s="187" t="s">
        <v>116</v>
      </c>
      <c r="Q4504" s="174">
        <v>0</v>
      </c>
    </row>
    <row r="4505" spans="1:17" ht="14.25" x14ac:dyDescent="0.2">
      <c r="A4505" s="183">
        <v>534</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MAD_m_C 300 mg</v>
      </c>
      <c r="E4505" s="250" t="str">
        <f>IF(AND(A4505&lt;&gt;"",ISNUMBER(A4505)),VLOOKUP(A4505,Studies!A:BR,5,FALSE),"")</f>
        <v>Hydroxy-Itraconazole</v>
      </c>
      <c r="F4505" s="251" t="str">
        <f>IF(AND(A4505&lt;&gt;"",ISNUMBER(A4505)),VLOOKUP(A4505,Studies!A:BR,6,FALSE),"")</f>
        <v>Plasma</v>
      </c>
      <c r="G4505" s="194">
        <v>3</v>
      </c>
      <c r="H4505" s="50" t="s">
        <v>60</v>
      </c>
      <c r="I4505" s="187">
        <v>523.59857177734375</v>
      </c>
      <c r="J4505" s="41" t="s">
        <v>941</v>
      </c>
      <c r="K4505" s="187" t="s">
        <v>116</v>
      </c>
      <c r="Q4505" s="174">
        <v>0</v>
      </c>
    </row>
    <row r="4506" spans="1:17" ht="14.25" x14ac:dyDescent="0.2">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8</v>
      </c>
      <c r="H4506" s="50" t="s">
        <v>60</v>
      </c>
      <c r="I4506" s="187">
        <v>761.12042236328125</v>
      </c>
      <c r="J4506" s="41" t="s">
        <v>941</v>
      </c>
      <c r="K4506" s="187" t="s">
        <v>116</v>
      </c>
      <c r="Q4506" s="174">
        <v>0</v>
      </c>
    </row>
    <row r="4507" spans="1:17" ht="14.25" x14ac:dyDescent="0.2">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11</v>
      </c>
      <c r="H4507" s="50" t="s">
        <v>60</v>
      </c>
      <c r="I4507" s="187">
        <v>1043.8489990234375</v>
      </c>
      <c r="J4507" s="41" t="s">
        <v>941</v>
      </c>
      <c r="K4507" s="187" t="s">
        <v>116</v>
      </c>
      <c r="Q4507" s="174">
        <v>0</v>
      </c>
    </row>
    <row r="4508" spans="1:17" ht="14.25" x14ac:dyDescent="0.2">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24</v>
      </c>
      <c r="H4508" s="50" t="s">
        <v>60</v>
      </c>
      <c r="I4508" s="187">
        <v>1328.405029296875</v>
      </c>
      <c r="J4508" s="41" t="s">
        <v>941</v>
      </c>
      <c r="K4508" s="187" t="s">
        <v>116</v>
      </c>
      <c r="Q4508" s="174">
        <v>0</v>
      </c>
    </row>
    <row r="4509" spans="1:17" ht="14.25" x14ac:dyDescent="0.2">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27</v>
      </c>
      <c r="H4509" s="50" t="s">
        <v>60</v>
      </c>
      <c r="I4509" s="187">
        <v>1530.0389404296875</v>
      </c>
      <c r="J4509" s="41" t="s">
        <v>941</v>
      </c>
      <c r="K4509" s="187" t="s">
        <v>116</v>
      </c>
      <c r="Q4509" s="174">
        <v>0</v>
      </c>
    </row>
    <row r="4510" spans="1:17" ht="14.25" x14ac:dyDescent="0.2">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32</v>
      </c>
      <c r="H4510" s="50" t="s">
        <v>60</v>
      </c>
      <c r="I4510" s="187">
        <v>1555.68896484375</v>
      </c>
      <c r="J4510" s="41" t="s">
        <v>941</v>
      </c>
      <c r="K4510" s="187" t="s">
        <v>116</v>
      </c>
      <c r="Q4510" s="174">
        <v>0</v>
      </c>
    </row>
    <row r="4511" spans="1:17" ht="14.25" x14ac:dyDescent="0.2">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35</v>
      </c>
      <c r="H4511" s="50" t="s">
        <v>60</v>
      </c>
      <c r="I4511" s="187">
        <v>1821.8590087890625</v>
      </c>
      <c r="J4511" s="41" t="s">
        <v>941</v>
      </c>
      <c r="K4511" s="187" t="s">
        <v>116</v>
      </c>
      <c r="Q4511" s="174">
        <v>0</v>
      </c>
    </row>
    <row r="4512" spans="1:17" ht="14.25" x14ac:dyDescent="0.2">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48</v>
      </c>
      <c r="H4512" s="50" t="s">
        <v>60</v>
      </c>
      <c r="I4512" s="187">
        <v>2012.9639892578125</v>
      </c>
      <c r="J4512" s="41" t="s">
        <v>941</v>
      </c>
      <c r="K4512" s="187" t="s">
        <v>116</v>
      </c>
      <c r="Q4512" s="174">
        <v>0</v>
      </c>
    </row>
    <row r="4513" spans="1:17" ht="14.25" x14ac:dyDescent="0.2">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51</v>
      </c>
      <c r="H4513" s="50" t="s">
        <v>60</v>
      </c>
      <c r="I4513" s="187">
        <v>2242.680908203125</v>
      </c>
      <c r="J4513" s="41" t="s">
        <v>941</v>
      </c>
      <c r="K4513" s="187" t="s">
        <v>116</v>
      </c>
      <c r="Q4513" s="174">
        <v>0</v>
      </c>
    </row>
    <row r="4514" spans="1:17" ht="14.25" x14ac:dyDescent="0.2">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72</v>
      </c>
      <c r="H4514" s="50" t="s">
        <v>60</v>
      </c>
      <c r="I4514" s="187">
        <v>2318.50390625</v>
      </c>
      <c r="J4514" s="41" t="s">
        <v>941</v>
      </c>
      <c r="K4514" s="187" t="s">
        <v>116</v>
      </c>
      <c r="Q4514" s="174">
        <v>0</v>
      </c>
    </row>
    <row r="4515" spans="1:17" ht="14.25" x14ac:dyDescent="0.2">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75</v>
      </c>
      <c r="H4515" s="50" t="s">
        <v>60</v>
      </c>
      <c r="I4515" s="187">
        <v>2477.927978515625</v>
      </c>
      <c r="J4515" s="41" t="s">
        <v>941</v>
      </c>
      <c r="K4515" s="187" t="s">
        <v>116</v>
      </c>
      <c r="Q4515" s="174">
        <v>0</v>
      </c>
    </row>
    <row r="4516" spans="1:17" ht="14.25" x14ac:dyDescent="0.2">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96</v>
      </c>
      <c r="H4516" s="50" t="s">
        <v>60</v>
      </c>
      <c r="I4516" s="187">
        <v>2477.927978515625</v>
      </c>
      <c r="J4516" s="41" t="s">
        <v>941</v>
      </c>
      <c r="K4516" s="187" t="s">
        <v>116</v>
      </c>
      <c r="Q4516" s="174">
        <v>0</v>
      </c>
    </row>
    <row r="4517" spans="1:17" ht="14.25" x14ac:dyDescent="0.2">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99</v>
      </c>
      <c r="H4517" s="50" t="s">
        <v>60</v>
      </c>
      <c r="I4517" s="187">
        <v>2783.75</v>
      </c>
      <c r="J4517" s="41" t="s">
        <v>941</v>
      </c>
      <c r="K4517" s="187" t="s">
        <v>116</v>
      </c>
      <c r="Q4517" s="174">
        <v>0</v>
      </c>
    </row>
    <row r="4518" spans="1:17" ht="14.25" x14ac:dyDescent="0.2">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120</v>
      </c>
      <c r="H4518" s="50" t="s">
        <v>60</v>
      </c>
      <c r="I4518" s="187">
        <v>2950.537109375</v>
      </c>
      <c r="J4518" s="41" t="s">
        <v>941</v>
      </c>
      <c r="K4518" s="187" t="s">
        <v>116</v>
      </c>
      <c r="Q4518" s="174">
        <v>0</v>
      </c>
    </row>
    <row r="4519" spans="1:17" ht="14.25" x14ac:dyDescent="0.2">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123</v>
      </c>
      <c r="H4519" s="50" t="s">
        <v>60</v>
      </c>
      <c r="I4519" s="187">
        <v>2760.705810546875</v>
      </c>
      <c r="J4519" s="41" t="s">
        <v>941</v>
      </c>
      <c r="K4519" s="187" t="s">
        <v>116</v>
      </c>
      <c r="Q4519" s="174">
        <v>0</v>
      </c>
    </row>
    <row r="4520" spans="1:17" ht="14.25" x14ac:dyDescent="0.2">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144</v>
      </c>
      <c r="H4520" s="50" t="s">
        <v>60</v>
      </c>
      <c r="I4520" s="187">
        <v>2715.18798828125</v>
      </c>
      <c r="J4520" s="41" t="s">
        <v>941</v>
      </c>
      <c r="K4520" s="187" t="s">
        <v>116</v>
      </c>
      <c r="Q4520" s="174">
        <v>0</v>
      </c>
    </row>
    <row r="4521" spans="1:17" ht="14.25" x14ac:dyDescent="0.2">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146</v>
      </c>
      <c r="H4521" s="50" t="s">
        <v>60</v>
      </c>
      <c r="I4521" s="187">
        <v>2783.75</v>
      </c>
      <c r="J4521" s="41" t="s">
        <v>941</v>
      </c>
      <c r="K4521" s="187" t="s">
        <v>116</v>
      </c>
      <c r="Q4521" s="174">
        <v>0</v>
      </c>
    </row>
    <row r="4522" spans="1:17" ht="14.25" x14ac:dyDescent="0.2">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153</v>
      </c>
      <c r="H4522" s="50" t="s">
        <v>60</v>
      </c>
      <c r="I4522" s="187">
        <v>2975.166015625</v>
      </c>
      <c r="J4522" s="41" t="s">
        <v>941</v>
      </c>
      <c r="K4522" s="187" t="s">
        <v>116</v>
      </c>
      <c r="Q4522" s="174">
        <v>0</v>
      </c>
    </row>
    <row r="4523" spans="1:17" ht="14.25" x14ac:dyDescent="0.2">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155</v>
      </c>
      <c r="H4523" s="50" t="s">
        <v>60</v>
      </c>
      <c r="I4523" s="187">
        <v>2806.98681640625</v>
      </c>
      <c r="J4523" s="41" t="s">
        <v>941</v>
      </c>
      <c r="K4523" s="187" t="s">
        <v>116</v>
      </c>
      <c r="Q4523" s="174">
        <v>0</v>
      </c>
    </row>
    <row r="4524" spans="1:17" ht="14.25" x14ac:dyDescent="0.2">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160</v>
      </c>
      <c r="H4524" s="50" t="s">
        <v>60</v>
      </c>
      <c r="I4524" s="187">
        <v>2561.7060546875</v>
      </c>
      <c r="J4524" s="41" t="s">
        <v>941</v>
      </c>
      <c r="K4524" s="187" t="s">
        <v>116</v>
      </c>
      <c r="Q4524" s="174">
        <v>0</v>
      </c>
    </row>
    <row r="4525" spans="1:17" ht="14.25" x14ac:dyDescent="0.2">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168</v>
      </c>
      <c r="H4525" s="50" t="s">
        <v>60</v>
      </c>
      <c r="I4525" s="187">
        <v>3025.0419921875</v>
      </c>
      <c r="J4525" s="41" t="s">
        <v>941</v>
      </c>
      <c r="K4525" s="187" t="s">
        <v>116</v>
      </c>
      <c r="Q4525" s="174">
        <v>0</v>
      </c>
    </row>
    <row r="4526" spans="1:17" ht="14.25" x14ac:dyDescent="0.2">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176</v>
      </c>
      <c r="H4526" s="50" t="s">
        <v>60</v>
      </c>
      <c r="I4526" s="187">
        <v>3075.75390625</v>
      </c>
      <c r="J4526" s="41" t="s">
        <v>941</v>
      </c>
      <c r="K4526" s="187" t="s">
        <v>116</v>
      </c>
      <c r="Q4526" s="174">
        <v>0</v>
      </c>
    </row>
    <row r="4527" spans="1:17" ht="14.25" x14ac:dyDescent="0.2">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192</v>
      </c>
      <c r="H4527" s="50" t="s">
        <v>60</v>
      </c>
      <c r="I4527" s="187">
        <v>2926.112060546875</v>
      </c>
      <c r="J4527" s="41" t="s">
        <v>941</v>
      </c>
      <c r="K4527" s="187" t="s">
        <v>116</v>
      </c>
      <c r="Q4527" s="174">
        <v>0</v>
      </c>
    </row>
    <row r="4528" spans="1:17" ht="14.25" x14ac:dyDescent="0.2">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216</v>
      </c>
      <c r="H4528" s="50" t="s">
        <v>60</v>
      </c>
      <c r="I4528" s="187">
        <v>2830.4169921875</v>
      </c>
      <c r="J4528" s="41" t="s">
        <v>941</v>
      </c>
      <c r="K4528" s="187" t="s">
        <v>116</v>
      </c>
      <c r="Q4528" s="174">
        <v>0</v>
      </c>
    </row>
    <row r="4529" spans="1:17" ht="14.25" x14ac:dyDescent="0.2">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240</v>
      </c>
      <c r="H4529" s="50" t="s">
        <v>60</v>
      </c>
      <c r="I4529" s="187">
        <v>2670.421142578125</v>
      </c>
      <c r="J4529" s="41" t="s">
        <v>941</v>
      </c>
      <c r="K4529" s="187" t="s">
        <v>116</v>
      </c>
      <c r="Q4529" s="174">
        <v>0</v>
      </c>
    </row>
    <row r="4530" spans="1:17" ht="14.25" x14ac:dyDescent="0.2">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312</v>
      </c>
      <c r="H4530" s="50" t="s">
        <v>60</v>
      </c>
      <c r="I4530" s="187">
        <v>1852.4010009765625</v>
      </c>
      <c r="J4530" s="41" t="s">
        <v>941</v>
      </c>
      <c r="K4530" s="187" t="s">
        <v>116</v>
      </c>
      <c r="Q4530" s="174">
        <v>0</v>
      </c>
    </row>
    <row r="4531" spans="1:17" ht="14.25" x14ac:dyDescent="0.2">
      <c r="A4531" s="183">
        <v>535</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MAD_m_D 200 mg (HPBCD)</v>
      </c>
      <c r="E4531" s="250" t="str">
        <f>IF(AND(A4531&lt;&gt;"",ISNUMBER(A4531)),VLOOKUP(A4531,Studies!A:BR,5,FALSE),"")</f>
        <v>Hydroxy-Itraconazole</v>
      </c>
      <c r="F4531" s="251" t="str">
        <f>IF(AND(A4531&lt;&gt;"",ISNUMBER(A4531)),VLOOKUP(A4531,Studies!A:BR,6,FALSE),"")</f>
        <v>Plasma</v>
      </c>
      <c r="G4531" s="194">
        <v>2</v>
      </c>
      <c r="H4531" s="50" t="s">
        <v>60</v>
      </c>
      <c r="I4531" s="187">
        <v>492.27190017700195</v>
      </c>
      <c r="J4531" s="41" t="s">
        <v>941</v>
      </c>
      <c r="K4531" s="187" t="s">
        <v>116</v>
      </c>
      <c r="Q4531" s="174">
        <v>0</v>
      </c>
    </row>
    <row r="4532" spans="1:17" ht="14.25" x14ac:dyDescent="0.2">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8</v>
      </c>
      <c r="H4532" s="50" t="s">
        <v>60</v>
      </c>
      <c r="I4532" s="187">
        <v>464.58521485328674</v>
      </c>
      <c r="J4532" s="41" t="s">
        <v>941</v>
      </c>
      <c r="K4532" s="187" t="s">
        <v>116</v>
      </c>
      <c r="Q4532" s="174">
        <v>0</v>
      </c>
    </row>
    <row r="4533" spans="1:17" ht="14.25" x14ac:dyDescent="0.2">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10</v>
      </c>
      <c r="H4533" s="50" t="s">
        <v>60</v>
      </c>
      <c r="I4533" s="187">
        <v>747.772216796875</v>
      </c>
      <c r="J4533" s="41" t="s">
        <v>941</v>
      </c>
      <c r="K4533" s="187" t="s">
        <v>116</v>
      </c>
      <c r="Q4533" s="174">
        <v>0</v>
      </c>
    </row>
    <row r="4534" spans="1:17" ht="14.25" x14ac:dyDescent="0.2">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24</v>
      </c>
      <c r="H4534" s="50" t="s">
        <v>60</v>
      </c>
      <c r="I4534" s="187">
        <v>844.97129917144775</v>
      </c>
      <c r="J4534" s="41" t="s">
        <v>941</v>
      </c>
      <c r="K4534" s="187" t="s">
        <v>116</v>
      </c>
      <c r="Q4534" s="174">
        <v>0</v>
      </c>
    </row>
    <row r="4535" spans="1:17" ht="14.25" x14ac:dyDescent="0.2">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26</v>
      </c>
      <c r="H4535" s="50" t="s">
        <v>60</v>
      </c>
      <c r="I4535" s="187">
        <v>1031.4170122146606</v>
      </c>
      <c r="J4535" s="41" t="s">
        <v>941</v>
      </c>
      <c r="K4535" s="187" t="s">
        <v>116</v>
      </c>
      <c r="Q4535" s="174">
        <v>0</v>
      </c>
    </row>
    <row r="4536" spans="1:17" ht="14.25" x14ac:dyDescent="0.2">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32</v>
      </c>
      <c r="H4536" s="50" t="s">
        <v>60</v>
      </c>
      <c r="I4536" s="187">
        <v>1203.5750150680542</v>
      </c>
      <c r="J4536" s="41" t="s">
        <v>941</v>
      </c>
      <c r="K4536" s="187" t="s">
        <v>116</v>
      </c>
      <c r="Q4536" s="174">
        <v>0</v>
      </c>
    </row>
    <row r="4537" spans="1:17" ht="14.25" x14ac:dyDescent="0.2">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34</v>
      </c>
      <c r="H4537" s="50" t="s">
        <v>60</v>
      </c>
      <c r="I4537" s="187">
        <v>1386.5189552307129</v>
      </c>
      <c r="J4537" s="41" t="s">
        <v>941</v>
      </c>
      <c r="K4537" s="187" t="s">
        <v>116</v>
      </c>
      <c r="Q4537" s="174">
        <v>0</v>
      </c>
    </row>
    <row r="4538" spans="1:17" ht="14.25" x14ac:dyDescent="0.2">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48</v>
      </c>
      <c r="H4538" s="50" t="s">
        <v>60</v>
      </c>
      <c r="I4538" s="187">
        <v>1413.532018661499</v>
      </c>
      <c r="J4538" s="41" t="s">
        <v>941</v>
      </c>
      <c r="K4538" s="187" t="s">
        <v>116</v>
      </c>
      <c r="Q4538" s="174">
        <v>0</v>
      </c>
    </row>
    <row r="4539" spans="1:17" ht="14.25" x14ac:dyDescent="0.2">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50</v>
      </c>
      <c r="H4539" s="50" t="s">
        <v>60</v>
      </c>
      <c r="I4539" s="187">
        <v>1576.854944229126</v>
      </c>
      <c r="J4539" s="41" t="s">
        <v>941</v>
      </c>
      <c r="K4539" s="187" t="s">
        <v>116</v>
      </c>
      <c r="Q4539" s="174">
        <v>0</v>
      </c>
    </row>
    <row r="4540" spans="1:17" ht="14.25" x14ac:dyDescent="0.2">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72</v>
      </c>
      <c r="H4540" s="50" t="s">
        <v>60</v>
      </c>
      <c r="I4540" s="187">
        <v>1556.6999912261963</v>
      </c>
      <c r="J4540" s="41" t="s">
        <v>941</v>
      </c>
      <c r="K4540" s="187" t="s">
        <v>116</v>
      </c>
      <c r="Q4540" s="174">
        <v>0</v>
      </c>
    </row>
    <row r="4541" spans="1:17" ht="14.25" x14ac:dyDescent="0.2">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74</v>
      </c>
      <c r="H4541" s="50" t="s">
        <v>60</v>
      </c>
      <c r="I4541" s="187">
        <v>1770.3979015350342</v>
      </c>
      <c r="J4541" s="41" t="s">
        <v>941</v>
      </c>
      <c r="K4541" s="187" t="s">
        <v>116</v>
      </c>
      <c r="Q4541" s="174">
        <v>0</v>
      </c>
    </row>
    <row r="4542" spans="1:17" ht="14.25" x14ac:dyDescent="0.2">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96</v>
      </c>
      <c r="H4542" s="50" t="s">
        <v>60</v>
      </c>
      <c r="I4542" s="187">
        <v>1638.8959884643555</v>
      </c>
      <c r="J4542" s="41" t="s">
        <v>941</v>
      </c>
      <c r="K4542" s="187" t="s">
        <v>116</v>
      </c>
      <c r="Q4542" s="174">
        <v>0</v>
      </c>
    </row>
    <row r="4543" spans="1:17" ht="14.25" x14ac:dyDescent="0.2">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98</v>
      </c>
      <c r="H4543" s="50" t="s">
        <v>60</v>
      </c>
      <c r="I4543" s="187">
        <v>1949.7120380401611</v>
      </c>
      <c r="J4543" s="41" t="s">
        <v>941</v>
      </c>
      <c r="K4543" s="187" t="s">
        <v>116</v>
      </c>
      <c r="Q4543" s="174">
        <v>0</v>
      </c>
    </row>
    <row r="4544" spans="1:17" ht="14.25" x14ac:dyDescent="0.2">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120</v>
      </c>
      <c r="H4544" s="50" t="s">
        <v>60</v>
      </c>
      <c r="I4544" s="187">
        <v>1770.3979015350342</v>
      </c>
      <c r="J4544" s="41" t="s">
        <v>941</v>
      </c>
      <c r="K4544" s="187" t="s">
        <v>116</v>
      </c>
      <c r="Q4544" s="174">
        <v>0</v>
      </c>
    </row>
    <row r="4545" spans="1:17" ht="14.25" x14ac:dyDescent="0.2">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122</v>
      </c>
      <c r="H4545" s="50" t="s">
        <v>60</v>
      </c>
      <c r="I4545" s="187">
        <v>1987.697958946228</v>
      </c>
      <c r="J4545" s="41" t="s">
        <v>941</v>
      </c>
      <c r="K4545" s="187" t="s">
        <v>116</v>
      </c>
      <c r="Q4545" s="174">
        <v>0</v>
      </c>
    </row>
    <row r="4546" spans="1:17" ht="14.25" x14ac:dyDescent="0.2">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144</v>
      </c>
      <c r="H4546" s="50" t="s">
        <v>60</v>
      </c>
      <c r="I4546" s="187">
        <v>2079.2341232299805</v>
      </c>
      <c r="J4546" s="41" t="s">
        <v>941</v>
      </c>
      <c r="K4546" s="187" t="s">
        <v>116</v>
      </c>
      <c r="Q4546" s="174">
        <v>0</v>
      </c>
    </row>
    <row r="4547" spans="1:17" ht="14.25" x14ac:dyDescent="0.2">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144.5</v>
      </c>
      <c r="H4547" s="50" t="s">
        <v>60</v>
      </c>
      <c r="I4547" s="187">
        <v>1923.5979318618774</v>
      </c>
      <c r="J4547" s="41" t="s">
        <v>941</v>
      </c>
      <c r="K4547" s="187" t="s">
        <v>116</v>
      </c>
      <c r="Q4547" s="174">
        <v>0</v>
      </c>
    </row>
    <row r="4548" spans="1:17" ht="14.25" x14ac:dyDescent="0.2">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145</v>
      </c>
      <c r="H4548" s="50" t="s">
        <v>60</v>
      </c>
      <c r="I4548" s="187">
        <v>2132.404088973999</v>
      </c>
      <c r="J4548" s="41" t="s">
        <v>941</v>
      </c>
      <c r="K4548" s="187" t="s">
        <v>116</v>
      </c>
      <c r="Q4548" s="174">
        <v>0</v>
      </c>
    </row>
    <row r="4549" spans="1:17" ht="14.25" x14ac:dyDescent="0.2">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146</v>
      </c>
      <c r="H4549" s="50" t="s">
        <v>60</v>
      </c>
      <c r="I4549" s="187">
        <v>2064.8260116577148</v>
      </c>
      <c r="J4549" s="41" t="s">
        <v>941</v>
      </c>
      <c r="K4549" s="187" t="s">
        <v>116</v>
      </c>
      <c r="Q4549" s="174">
        <v>0</v>
      </c>
    </row>
    <row r="4550" spans="1:17" ht="14.25" x14ac:dyDescent="0.2">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146.25</v>
      </c>
      <c r="H4550" s="50" t="s">
        <v>60</v>
      </c>
      <c r="I4550" s="187">
        <v>2051.569938659668</v>
      </c>
      <c r="J4550" s="41" t="s">
        <v>941</v>
      </c>
      <c r="K4550" s="187" t="s">
        <v>116</v>
      </c>
      <c r="Q4550" s="174">
        <v>0</v>
      </c>
    </row>
    <row r="4551" spans="1:17" ht="14.25" x14ac:dyDescent="0.2">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146.5</v>
      </c>
      <c r="H4551" s="50" t="s">
        <v>60</v>
      </c>
      <c r="I4551" s="187">
        <v>2064.8260116577148</v>
      </c>
      <c r="J4551" s="41" t="s">
        <v>941</v>
      </c>
      <c r="K4551" s="187" t="s">
        <v>116</v>
      </c>
      <c r="Q4551" s="174">
        <v>0</v>
      </c>
    </row>
    <row r="4552" spans="1:17" ht="14.25" x14ac:dyDescent="0.2">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146.75</v>
      </c>
      <c r="H4552" s="50" t="s">
        <v>60</v>
      </c>
      <c r="I4552" s="187">
        <v>2091.5958881378174</v>
      </c>
      <c r="J4552" s="41" t="s">
        <v>941</v>
      </c>
      <c r="K4552" s="187" t="s">
        <v>116</v>
      </c>
      <c r="Q4552" s="174">
        <v>0</v>
      </c>
    </row>
    <row r="4553" spans="1:17" ht="14.25" x14ac:dyDescent="0.2">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147</v>
      </c>
      <c r="H4553" s="50" t="s">
        <v>60</v>
      </c>
      <c r="I4553" s="187">
        <v>2174.0078926086426</v>
      </c>
      <c r="J4553" s="41" t="s">
        <v>941</v>
      </c>
      <c r="K4553" s="187" t="s">
        <v>116</v>
      </c>
      <c r="Q4553" s="174">
        <v>0</v>
      </c>
    </row>
    <row r="4554" spans="1:17" ht="14.25" x14ac:dyDescent="0.2">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147.5</v>
      </c>
      <c r="H4554" s="50" t="s">
        <v>60</v>
      </c>
      <c r="I4554" s="187">
        <v>2146.1830139160156</v>
      </c>
      <c r="J4554" s="41" t="s">
        <v>941</v>
      </c>
      <c r="K4554" s="187" t="s">
        <v>116</v>
      </c>
      <c r="Q4554" s="174">
        <v>0</v>
      </c>
    </row>
    <row r="4555" spans="1:17" ht="14.25" x14ac:dyDescent="0.2">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148</v>
      </c>
      <c r="H4555" s="50" t="s">
        <v>60</v>
      </c>
      <c r="I4555" s="187">
        <v>1986.5540266036987</v>
      </c>
      <c r="J4555" s="41" t="s">
        <v>941</v>
      </c>
      <c r="K4555" s="187" t="s">
        <v>116</v>
      </c>
      <c r="Q4555" s="174">
        <v>0</v>
      </c>
    </row>
    <row r="4556" spans="1:17" ht="14.25" x14ac:dyDescent="0.2">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150</v>
      </c>
      <c r="H4556" s="50" t="s">
        <v>60</v>
      </c>
      <c r="I4556" s="187">
        <v>2012.3090744018555</v>
      </c>
      <c r="J4556" s="41" t="s">
        <v>941</v>
      </c>
      <c r="K4556" s="41" t="s">
        <v>116</v>
      </c>
      <c r="Q4556" s="174">
        <v>0</v>
      </c>
    </row>
    <row r="4557" spans="1:17" ht="14.25" x14ac:dyDescent="0.2">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152</v>
      </c>
      <c r="H4557" s="50" t="s">
        <v>60</v>
      </c>
      <c r="I4557" s="187">
        <v>2064.8260116577148</v>
      </c>
      <c r="J4557" s="41" t="s">
        <v>941</v>
      </c>
      <c r="K4557" s="41" t="s">
        <v>116</v>
      </c>
      <c r="O4557" s="199"/>
      <c r="Q4557" s="174">
        <v>0</v>
      </c>
    </row>
    <row r="4558" spans="1:17" ht="14.25" x14ac:dyDescent="0.2">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154</v>
      </c>
      <c r="H4558" s="50" t="s">
        <v>60</v>
      </c>
      <c r="I4558" s="187">
        <v>2132.404088973999</v>
      </c>
      <c r="J4558" s="41" t="s">
        <v>941</v>
      </c>
      <c r="K4558" s="41" t="s">
        <v>116</v>
      </c>
      <c r="O4558" s="199"/>
      <c r="Q4558" s="174">
        <v>0</v>
      </c>
    </row>
    <row r="4559" spans="1:17" ht="14.25" x14ac:dyDescent="0.2">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160</v>
      </c>
      <c r="H4559" s="50" t="s">
        <v>60</v>
      </c>
      <c r="I4559" s="187">
        <v>1825.7229328155518</v>
      </c>
      <c r="J4559" s="41" t="s">
        <v>941</v>
      </c>
      <c r="K4559" s="41" t="s">
        <v>116</v>
      </c>
      <c r="O4559" s="199"/>
      <c r="Q4559" s="174">
        <v>0</v>
      </c>
    </row>
    <row r="4560" spans="1:17" ht="14.25" x14ac:dyDescent="0.2">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168</v>
      </c>
      <c r="H4560" s="50" t="s">
        <v>60</v>
      </c>
      <c r="I4560" s="187">
        <v>2063.7459754943848</v>
      </c>
      <c r="J4560" s="41" t="s">
        <v>941</v>
      </c>
      <c r="K4560" s="41" t="s">
        <v>116</v>
      </c>
      <c r="O4560" s="199"/>
      <c r="Q4560" s="174">
        <v>0</v>
      </c>
    </row>
    <row r="4561" spans="1:17" ht="14.25" x14ac:dyDescent="0.2">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176</v>
      </c>
      <c r="H4561" s="50" t="s">
        <v>60</v>
      </c>
      <c r="I4561" s="187">
        <v>2050.4779815673828</v>
      </c>
      <c r="J4561" s="41" t="s">
        <v>941</v>
      </c>
      <c r="K4561" s="41" t="s">
        <v>116</v>
      </c>
      <c r="O4561" s="199"/>
      <c r="Q4561" s="174">
        <v>0</v>
      </c>
    </row>
    <row r="4562" spans="1:17" ht="14.25" x14ac:dyDescent="0.2">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192</v>
      </c>
      <c r="H4562" s="50" t="s">
        <v>60</v>
      </c>
      <c r="I4562" s="187">
        <v>1802.3229837417603</v>
      </c>
      <c r="J4562" s="41" t="s">
        <v>941</v>
      </c>
      <c r="K4562" s="41" t="s">
        <v>116</v>
      </c>
      <c r="O4562" s="199"/>
      <c r="Q4562" s="174">
        <v>0</v>
      </c>
    </row>
    <row r="4563" spans="1:17" ht="14.25" x14ac:dyDescent="0.2">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216</v>
      </c>
      <c r="H4563" s="50" t="s">
        <v>60</v>
      </c>
      <c r="I4563" s="187">
        <v>1357.0109605789185</v>
      </c>
      <c r="J4563" s="41" t="s">
        <v>941</v>
      </c>
      <c r="K4563" s="41" t="s">
        <v>116</v>
      </c>
      <c r="O4563" s="199"/>
      <c r="Q4563" s="174">
        <v>0</v>
      </c>
    </row>
    <row r="4564" spans="1:17" ht="14.25" x14ac:dyDescent="0.2">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240</v>
      </c>
      <c r="H4564" s="50" t="s">
        <v>60</v>
      </c>
      <c r="I4564" s="187">
        <v>970.34287452697754</v>
      </c>
      <c r="J4564" s="41" t="s">
        <v>941</v>
      </c>
      <c r="K4564" s="41" t="s">
        <v>116</v>
      </c>
      <c r="O4564" s="199"/>
      <c r="Q4564" s="174">
        <v>0</v>
      </c>
    </row>
    <row r="4565" spans="1:17" ht="14.25" x14ac:dyDescent="0.2">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312</v>
      </c>
      <c r="H4565" s="50" t="s">
        <v>60</v>
      </c>
      <c r="I4565" s="187">
        <v>267.11669564247131</v>
      </c>
      <c r="J4565" s="41" t="s">
        <v>941</v>
      </c>
      <c r="K4565" s="41" t="s">
        <v>116</v>
      </c>
      <c r="O4565" s="199"/>
      <c r="Q4565" s="174">
        <v>0</v>
      </c>
    </row>
    <row r="4566" spans="1:17" ht="14.25" x14ac:dyDescent="0.2">
      <c r="A4566" s="183">
        <v>536</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MAD_m_A 100 mg (terminal phase only)</v>
      </c>
      <c r="E4566" s="250" t="str">
        <f>IF(AND(A4566&lt;&gt;"",ISNUMBER(A4566)),VLOOKUP(A4566,Studies!A:BR,5,FALSE),"")</f>
        <v>Itraconazole</v>
      </c>
      <c r="F4566" s="251" t="str">
        <f>IF(AND(A4566&lt;&gt;"",ISNUMBER(A4566)),VLOOKUP(A4566,Studies!A:BR,6,FALSE),"")</f>
        <v>Plasma</v>
      </c>
      <c r="G4566" s="194">
        <v>168</v>
      </c>
      <c r="H4566" s="50" t="s">
        <v>60</v>
      </c>
      <c r="I4566" s="187">
        <v>332.26919555664063</v>
      </c>
      <c r="J4566" s="41" t="s">
        <v>941</v>
      </c>
      <c r="K4566" s="41" t="s">
        <v>116</v>
      </c>
      <c r="O4566" s="199"/>
      <c r="P4566" s="42" t="s">
        <v>1028</v>
      </c>
      <c r="Q4566" s="174">
        <v>0</v>
      </c>
    </row>
    <row r="4567" spans="1:17" ht="14.25" x14ac:dyDescent="0.2">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176</v>
      </c>
      <c r="H4567" s="50" t="s">
        <v>60</v>
      </c>
      <c r="I4567" s="187">
        <v>248.55101013183594</v>
      </c>
      <c r="J4567" s="41" t="s">
        <v>941</v>
      </c>
      <c r="K4567" s="41" t="s">
        <v>116</v>
      </c>
      <c r="O4567" s="199"/>
      <c r="P4567" s="42" t="s">
        <v>1028</v>
      </c>
      <c r="Q4567" s="174">
        <v>0</v>
      </c>
    </row>
    <row r="4568" spans="1:17" ht="14.25" x14ac:dyDescent="0.2">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192</v>
      </c>
      <c r="H4568" s="50" t="s">
        <v>60</v>
      </c>
      <c r="I4568" s="187">
        <v>181.0838623046875</v>
      </c>
      <c r="J4568" s="41" t="s">
        <v>941</v>
      </c>
      <c r="K4568" s="41" t="s">
        <v>116</v>
      </c>
      <c r="O4568" s="199"/>
      <c r="P4568" s="42" t="s">
        <v>1028</v>
      </c>
      <c r="Q4568" s="174">
        <v>0</v>
      </c>
    </row>
    <row r="4569" spans="1:17" ht="14.25" x14ac:dyDescent="0.2">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216</v>
      </c>
      <c r="H4569" s="50" t="s">
        <v>60</v>
      </c>
      <c r="I4569" s="187">
        <v>146.61865234375</v>
      </c>
      <c r="J4569" s="41" t="s">
        <v>941</v>
      </c>
      <c r="K4569" s="41" t="s">
        <v>116</v>
      </c>
      <c r="O4569" s="199"/>
      <c r="P4569" s="42" t="s">
        <v>1028</v>
      </c>
      <c r="Q4569" s="174">
        <v>0</v>
      </c>
    </row>
    <row r="4570" spans="1:17" ht="14.25" x14ac:dyDescent="0.2">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240</v>
      </c>
      <c r="H4570" s="50" t="s">
        <v>60</v>
      </c>
      <c r="I4570" s="187">
        <v>86.489395141601563</v>
      </c>
      <c r="J4570" s="41" t="s">
        <v>941</v>
      </c>
      <c r="K4570" s="41" t="s">
        <v>116</v>
      </c>
      <c r="O4570" s="199"/>
      <c r="P4570" s="42" t="s">
        <v>1028</v>
      </c>
      <c r="Q4570" s="174">
        <v>0</v>
      </c>
    </row>
    <row r="4571" spans="1:17" ht="14.25" x14ac:dyDescent="0.2">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312</v>
      </c>
      <c r="H4571" s="50" t="s">
        <v>60</v>
      </c>
      <c r="I4571" s="187">
        <v>21.926746368408203</v>
      </c>
      <c r="J4571" s="41" t="s">
        <v>941</v>
      </c>
      <c r="K4571" s="41" t="s">
        <v>116</v>
      </c>
      <c r="O4571" s="199"/>
      <c r="P4571" s="42" t="s">
        <v>1028</v>
      </c>
      <c r="Q4571" s="174">
        <v>0</v>
      </c>
    </row>
    <row r="4572" spans="1:17" ht="14.25" x14ac:dyDescent="0.2">
      <c r="A4572" s="183">
        <v>537</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MAD_m_B 200 mg (terminal phase only)</v>
      </c>
      <c r="E4572" s="250" t="str">
        <f>IF(AND(A4572&lt;&gt;"",ISNUMBER(A4572)),VLOOKUP(A4572,Studies!A:BR,5,FALSE),"")</f>
        <v>Itraconazole</v>
      </c>
      <c r="F4572" s="251" t="str">
        <f>IF(AND(A4572&lt;&gt;"",ISNUMBER(A4572)),VLOOKUP(A4572,Studies!A:BR,6,FALSE),"")</f>
        <v>Plasma</v>
      </c>
      <c r="G4572" s="194">
        <v>168</v>
      </c>
      <c r="H4572" s="50" t="s">
        <v>60</v>
      </c>
      <c r="I4572" s="187">
        <v>1310.6255531311035</v>
      </c>
      <c r="J4572" s="41" t="s">
        <v>941</v>
      </c>
      <c r="K4572" s="41" t="s">
        <v>116</v>
      </c>
      <c r="O4572" s="199"/>
      <c r="P4572" s="42" t="s">
        <v>1028</v>
      </c>
      <c r="Q4572" s="174">
        <v>0</v>
      </c>
    </row>
    <row r="4573" spans="1:17" ht="14.25" x14ac:dyDescent="0.2">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176</v>
      </c>
      <c r="H4573" s="50" t="s">
        <v>60</v>
      </c>
      <c r="I4573" s="187">
        <v>1118.6926364898682</v>
      </c>
      <c r="J4573" s="41" t="s">
        <v>941</v>
      </c>
      <c r="K4573" s="41" t="s">
        <v>116</v>
      </c>
      <c r="O4573" s="199"/>
      <c r="P4573" s="42" t="s">
        <v>1028</v>
      </c>
      <c r="Q4573" s="174">
        <v>0</v>
      </c>
    </row>
    <row r="4574" spans="1:17" ht="14.25" x14ac:dyDescent="0.2">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192</v>
      </c>
      <c r="H4574" s="50" t="s">
        <v>60</v>
      </c>
      <c r="I4574" s="187">
        <v>1033.538818359375</v>
      </c>
      <c r="J4574" s="41" t="s">
        <v>941</v>
      </c>
      <c r="K4574" s="41" t="s">
        <v>116</v>
      </c>
      <c r="O4574" s="199"/>
      <c r="P4574" s="42" t="s">
        <v>1028</v>
      </c>
      <c r="Q4574" s="174">
        <v>0</v>
      </c>
    </row>
    <row r="4575" spans="1:17" ht="14.25" x14ac:dyDescent="0.2">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216</v>
      </c>
      <c r="H4575" s="50" t="s">
        <v>60</v>
      </c>
      <c r="I4575" s="187">
        <v>905.77495098114014</v>
      </c>
      <c r="J4575" s="41" t="s">
        <v>941</v>
      </c>
      <c r="K4575" s="41" t="s">
        <v>116</v>
      </c>
      <c r="O4575" s="199"/>
      <c r="P4575" s="42" t="s">
        <v>1028</v>
      </c>
      <c r="Q4575" s="174">
        <v>0</v>
      </c>
    </row>
    <row r="4576" spans="1:17" ht="14.25" x14ac:dyDescent="0.2">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240</v>
      </c>
      <c r="H4576" s="50" t="s">
        <v>60</v>
      </c>
      <c r="I4576" s="187">
        <v>714.2796516418457</v>
      </c>
      <c r="J4576" s="41" t="s">
        <v>941</v>
      </c>
      <c r="K4576" s="41" t="s">
        <v>116</v>
      </c>
      <c r="O4576" s="199"/>
      <c r="P4576" s="42" t="s">
        <v>1028</v>
      </c>
      <c r="Q4576" s="174">
        <v>0</v>
      </c>
    </row>
    <row r="4577" spans="1:17" ht="14.25" x14ac:dyDescent="0.2">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312</v>
      </c>
      <c r="H4577" s="50" t="s">
        <v>60</v>
      </c>
      <c r="I4577" s="187">
        <v>235.77243089675903</v>
      </c>
      <c r="J4577" s="41" t="s">
        <v>941</v>
      </c>
      <c r="K4577" s="41" t="s">
        <v>116</v>
      </c>
      <c r="O4577" s="199"/>
      <c r="P4577" s="42" t="s">
        <v>1028</v>
      </c>
      <c r="Q4577" s="174">
        <v>0</v>
      </c>
    </row>
    <row r="4578" spans="1:17" ht="14.25" x14ac:dyDescent="0.2">
      <c r="A4578" s="183">
        <v>538</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MAD_m_C 300 mg (terminal phase only)</v>
      </c>
      <c r="E4578" s="250" t="str">
        <f>IF(AND(A4578&lt;&gt;"",ISNUMBER(A4578)),VLOOKUP(A4578,Studies!A:BR,5,FALSE),"")</f>
        <v>Itraconazole</v>
      </c>
      <c r="F4578" s="251" t="str">
        <f>IF(AND(A4578&lt;&gt;"",ISNUMBER(A4578)),VLOOKUP(A4578,Studies!A:BR,6,FALSE),"")</f>
        <v>Plasma</v>
      </c>
      <c r="G4578" s="194">
        <v>168</v>
      </c>
      <c r="H4578" s="50" t="s">
        <v>60</v>
      </c>
      <c r="I4578" s="187">
        <v>1576.550537109375</v>
      </c>
      <c r="J4578" s="41" t="s">
        <v>941</v>
      </c>
      <c r="K4578" s="41" t="s">
        <v>116</v>
      </c>
      <c r="O4578" s="199"/>
      <c r="P4578" s="42" t="s">
        <v>1028</v>
      </c>
      <c r="Q4578" s="174">
        <v>0</v>
      </c>
    </row>
    <row r="4579" spans="1:17" ht="14.25" x14ac:dyDescent="0.2">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176</v>
      </c>
      <c r="H4579" s="50" t="s">
        <v>60</v>
      </c>
      <c r="I4579" s="187">
        <v>1535.48876953125</v>
      </c>
      <c r="J4579" s="41" t="s">
        <v>941</v>
      </c>
      <c r="K4579" s="41" t="s">
        <v>116</v>
      </c>
      <c r="O4579" s="199"/>
      <c r="P4579" s="42" t="s">
        <v>1028</v>
      </c>
      <c r="Q4579" s="174">
        <v>0</v>
      </c>
    </row>
    <row r="4580" spans="1:17" ht="14.25" x14ac:dyDescent="0.2">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192</v>
      </c>
      <c r="H4580" s="50" t="s">
        <v>60</v>
      </c>
      <c r="I4580" s="187">
        <v>1381.6605224609375</v>
      </c>
      <c r="J4580" s="41" t="s">
        <v>941</v>
      </c>
      <c r="K4580" s="41" t="s">
        <v>116</v>
      </c>
      <c r="O4580" s="199"/>
      <c r="P4580" s="42" t="s">
        <v>1028</v>
      </c>
      <c r="Q4580" s="174">
        <v>0</v>
      </c>
    </row>
    <row r="4581" spans="1:17" ht="14.25" x14ac:dyDescent="0.2">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216</v>
      </c>
      <c r="H4581" s="50" t="s">
        <v>60</v>
      </c>
      <c r="I4581" s="187">
        <v>1381.6605224609375</v>
      </c>
      <c r="J4581" s="41" t="s">
        <v>941</v>
      </c>
      <c r="K4581" s="41" t="s">
        <v>116</v>
      </c>
      <c r="O4581" s="199"/>
      <c r="P4581" s="42" t="s">
        <v>1028</v>
      </c>
      <c r="Q4581" s="174">
        <v>0</v>
      </c>
    </row>
    <row r="4582" spans="1:17" ht="14.25" x14ac:dyDescent="0.2">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240</v>
      </c>
      <c r="H4582" s="50" t="s">
        <v>60</v>
      </c>
      <c r="I4582" s="187">
        <v>1310.62548828125</v>
      </c>
      <c r="J4582" s="41" t="s">
        <v>941</v>
      </c>
      <c r="K4582" s="41" t="s">
        <v>116</v>
      </c>
      <c r="O4582" s="199"/>
      <c r="P4582" s="42" t="s">
        <v>1028</v>
      </c>
      <c r="Q4582" s="174">
        <v>0</v>
      </c>
    </row>
    <row r="4583" spans="1:17" ht="14.25" x14ac:dyDescent="0.2">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312</v>
      </c>
      <c r="H4583" s="50" t="s">
        <v>60</v>
      </c>
      <c r="I4583" s="187">
        <v>954.86676025390625</v>
      </c>
      <c r="J4583" s="41" t="s">
        <v>941</v>
      </c>
      <c r="K4583" s="41" t="s">
        <v>116</v>
      </c>
      <c r="O4583" s="199"/>
      <c r="P4583" s="42" t="s">
        <v>1028</v>
      </c>
      <c r="Q4583" s="174">
        <v>0</v>
      </c>
    </row>
    <row r="4584" spans="1:17" ht="14.25" x14ac:dyDescent="0.2">
      <c r="A4584" s="183">
        <v>539</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MAD_m_A 100 mg (terminal phase only)</v>
      </c>
      <c r="E4584" s="250" t="str">
        <f>IF(AND(A4584&lt;&gt;"",ISNUMBER(A4584)),VLOOKUP(A4584,Studies!A:BR,5,FALSE),"")</f>
        <v>Hydroxy-Itraconazole</v>
      </c>
      <c r="F4584" s="251" t="str">
        <f>IF(AND(A4584&lt;&gt;"",ISNUMBER(A4584)),VLOOKUP(A4584,Studies!A:BR,6,FALSE),"")</f>
        <v>Plasma</v>
      </c>
      <c r="G4584" s="194">
        <v>168</v>
      </c>
      <c r="H4584" s="50" t="s">
        <v>60</v>
      </c>
      <c r="I4584" s="187">
        <v>700.2259521484375</v>
      </c>
      <c r="J4584" s="41" t="s">
        <v>941</v>
      </c>
      <c r="K4584" s="41" t="s">
        <v>116</v>
      </c>
      <c r="O4584" s="199"/>
      <c r="P4584" s="42" t="s">
        <v>1028</v>
      </c>
      <c r="Q4584" s="174">
        <v>0</v>
      </c>
    </row>
    <row r="4585" spans="1:17" ht="14.25" x14ac:dyDescent="0.2">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176</v>
      </c>
      <c r="H4585" s="50" t="s">
        <v>60</v>
      </c>
      <c r="I4585" s="187">
        <v>627.50775146484375</v>
      </c>
      <c r="J4585" s="41" t="s">
        <v>941</v>
      </c>
      <c r="K4585" s="41" t="s">
        <v>116</v>
      </c>
      <c r="O4585" s="199"/>
      <c r="P4585" s="42" t="s">
        <v>1028</v>
      </c>
      <c r="Q4585" s="174">
        <v>0</v>
      </c>
    </row>
    <row r="4586" spans="1:17" ht="14.25" x14ac:dyDescent="0.2">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192</v>
      </c>
      <c r="H4586" s="50" t="s">
        <v>60</v>
      </c>
      <c r="I4586" s="187">
        <v>415.95623779296875</v>
      </c>
      <c r="J4586" s="41" t="s">
        <v>941</v>
      </c>
      <c r="K4586" s="41" t="s">
        <v>116</v>
      </c>
      <c r="O4586" s="199"/>
      <c r="P4586" s="42" t="s">
        <v>1028</v>
      </c>
      <c r="Q4586" s="174">
        <v>0</v>
      </c>
    </row>
    <row r="4587" spans="1:17" ht="14.25" x14ac:dyDescent="0.2">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216</v>
      </c>
      <c r="H4587" s="50" t="s">
        <v>60</v>
      </c>
      <c r="I4587" s="187">
        <v>227.58462524414063</v>
      </c>
      <c r="J4587" s="41" t="s">
        <v>941</v>
      </c>
      <c r="K4587" s="41" t="s">
        <v>116</v>
      </c>
      <c r="O4587" s="199"/>
      <c r="P4587" s="42" t="s">
        <v>1028</v>
      </c>
      <c r="Q4587" s="174">
        <v>0</v>
      </c>
    </row>
    <row r="4588" spans="1:17" ht="14.25" x14ac:dyDescent="0.2">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240</v>
      </c>
      <c r="H4588" s="50" t="s">
        <v>60</v>
      </c>
      <c r="I4588" s="187">
        <v>94.665245056152344</v>
      </c>
      <c r="J4588" s="41" t="s">
        <v>941</v>
      </c>
      <c r="K4588" s="41" t="s">
        <v>116</v>
      </c>
      <c r="O4588" s="199"/>
      <c r="P4588" s="42" t="s">
        <v>1028</v>
      </c>
      <c r="Q4588" s="174">
        <v>0</v>
      </c>
    </row>
    <row r="4589" spans="1:17" ht="14.25" x14ac:dyDescent="0.2">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312</v>
      </c>
      <c r="H4589" s="50" t="s">
        <v>60</v>
      </c>
      <c r="I4589" s="187">
        <v>31.622776031494141</v>
      </c>
      <c r="J4589" s="41" t="s">
        <v>941</v>
      </c>
      <c r="K4589" s="41" t="s">
        <v>116</v>
      </c>
      <c r="O4589" s="199"/>
      <c r="P4589" s="42" t="s">
        <v>1028</v>
      </c>
      <c r="Q4589" s="174">
        <v>0</v>
      </c>
    </row>
    <row r="4590" spans="1:17" ht="14.25" x14ac:dyDescent="0.2">
      <c r="A4590" s="183">
        <v>540</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MAD_m_B 200 mg (terminal phase only)</v>
      </c>
      <c r="E4590" s="250" t="str">
        <f>IF(AND(A4590&lt;&gt;"",ISNUMBER(A4590)),VLOOKUP(A4590,Studies!A:BR,5,FALSE),"")</f>
        <v>Hydroxy-Itraconazole</v>
      </c>
      <c r="F4590" s="251" t="str">
        <f>IF(AND(A4590&lt;&gt;"",ISNUMBER(A4590)),VLOOKUP(A4590,Studies!A:BR,6,FALSE),"")</f>
        <v>Plasma</v>
      </c>
      <c r="G4590" s="194">
        <v>168</v>
      </c>
      <c r="H4590" s="50" t="s">
        <v>60</v>
      </c>
      <c r="I4590" s="187">
        <v>2096.179723739624</v>
      </c>
      <c r="J4590" s="41" t="s">
        <v>941</v>
      </c>
      <c r="K4590" s="41" t="s">
        <v>116</v>
      </c>
      <c r="O4590" s="199"/>
      <c r="P4590" s="42" t="s">
        <v>1028</v>
      </c>
      <c r="Q4590" s="174">
        <v>0</v>
      </c>
    </row>
    <row r="4591" spans="1:17" ht="14.25" x14ac:dyDescent="0.2">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176</v>
      </c>
      <c r="H4591" s="50" t="s">
        <v>60</v>
      </c>
      <c r="I4591" s="187">
        <v>2096.179723739624</v>
      </c>
      <c r="J4591" s="41" t="s">
        <v>941</v>
      </c>
      <c r="K4591" s="41" t="s">
        <v>116</v>
      </c>
      <c r="O4591" s="199"/>
      <c r="P4591" s="42" t="s">
        <v>1028</v>
      </c>
      <c r="Q4591" s="174">
        <v>0</v>
      </c>
    </row>
    <row r="4592" spans="1:17" ht="14.25" x14ac:dyDescent="0.2">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192</v>
      </c>
      <c r="H4592" s="50" t="s">
        <v>60</v>
      </c>
      <c r="I4592" s="187">
        <v>2039.5004749298096</v>
      </c>
      <c r="J4592" s="41" t="s">
        <v>941</v>
      </c>
      <c r="K4592" s="41" t="s">
        <v>116</v>
      </c>
      <c r="O4592" s="199"/>
      <c r="P4592" s="42" t="s">
        <v>1028</v>
      </c>
      <c r="Q4592" s="174">
        <v>0</v>
      </c>
    </row>
    <row r="4593" spans="1:17" ht="14.25" x14ac:dyDescent="0.2">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216</v>
      </c>
      <c r="H4593" s="50" t="s">
        <v>60</v>
      </c>
      <c r="I4593" s="187">
        <v>1683.4126710891724</v>
      </c>
      <c r="J4593" s="41" t="s">
        <v>941</v>
      </c>
      <c r="K4593" s="41" t="s">
        <v>116</v>
      </c>
      <c r="O4593" s="199"/>
      <c r="P4593" s="42" t="s">
        <v>1028</v>
      </c>
      <c r="Q4593" s="174">
        <v>0</v>
      </c>
    </row>
    <row r="4594" spans="1:17" ht="14.25" x14ac:dyDescent="0.2">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240</v>
      </c>
      <c r="H4594" s="50" t="s">
        <v>60</v>
      </c>
      <c r="I4594" s="187">
        <v>1211.5280628204346</v>
      </c>
      <c r="J4594" s="41" t="s">
        <v>941</v>
      </c>
      <c r="K4594" s="41" t="s">
        <v>116</v>
      </c>
      <c r="O4594" s="199"/>
      <c r="P4594" s="42" t="s">
        <v>1028</v>
      </c>
      <c r="Q4594" s="174">
        <v>0</v>
      </c>
    </row>
    <row r="4595" spans="1:17" ht="14.25" x14ac:dyDescent="0.2">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312</v>
      </c>
      <c r="H4595" s="50" t="s">
        <v>60</v>
      </c>
      <c r="I4595" s="187">
        <v>415.95622897148132</v>
      </c>
      <c r="J4595" s="41" t="s">
        <v>941</v>
      </c>
      <c r="K4595" s="41" t="s">
        <v>116</v>
      </c>
      <c r="O4595" s="199"/>
      <c r="P4595" s="42" t="s">
        <v>1028</v>
      </c>
      <c r="Q4595" s="174">
        <v>0</v>
      </c>
    </row>
    <row r="4596" spans="1:17" ht="14.25" x14ac:dyDescent="0.2">
      <c r="A4596" s="183">
        <v>541</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MAD_m_C 300 mg (terminal phase only)</v>
      </c>
      <c r="E4596" s="250" t="str">
        <f>IF(AND(A4596&lt;&gt;"",ISNUMBER(A4596)),VLOOKUP(A4596,Studies!A:BR,5,FALSE),"")</f>
        <v>Hydroxy-Itraconazole</v>
      </c>
      <c r="F4596" s="251" t="str">
        <f>IF(AND(A4596&lt;&gt;"",ISNUMBER(A4596)),VLOOKUP(A4596,Studies!A:BR,6,FALSE),"")</f>
        <v>Plasma</v>
      </c>
      <c r="G4596" s="194">
        <v>168</v>
      </c>
      <c r="H4596" s="50" t="s">
        <v>60</v>
      </c>
      <c r="I4596" s="187">
        <v>3076.771728515625</v>
      </c>
      <c r="J4596" s="41" t="s">
        <v>941</v>
      </c>
      <c r="K4596" s="41" t="s">
        <v>116</v>
      </c>
      <c r="O4596" s="199"/>
      <c r="P4596" s="42" t="s">
        <v>1028</v>
      </c>
      <c r="Q4596" s="174">
        <v>0</v>
      </c>
    </row>
    <row r="4597" spans="1:17" ht="14.25" x14ac:dyDescent="0.2">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176</v>
      </c>
      <c r="H4597" s="50" t="s">
        <v>60</v>
      </c>
      <c r="I4597" s="187">
        <v>3076.771728515625</v>
      </c>
      <c r="J4597" s="41" t="s">
        <v>941</v>
      </c>
      <c r="K4597" s="41" t="s">
        <v>116</v>
      </c>
      <c r="O4597" s="199"/>
      <c r="P4597" s="42" t="s">
        <v>1028</v>
      </c>
      <c r="Q4597" s="174">
        <v>0</v>
      </c>
    </row>
    <row r="4598" spans="1:17" ht="14.25" x14ac:dyDescent="0.2">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192</v>
      </c>
      <c r="H4598" s="50" t="s">
        <v>60</v>
      </c>
      <c r="I4598" s="187">
        <v>2833.8779296875</v>
      </c>
      <c r="J4598" s="41" t="s">
        <v>941</v>
      </c>
      <c r="K4598" s="41" t="s">
        <v>116</v>
      </c>
      <c r="O4598" s="199"/>
      <c r="P4598" s="42" t="s">
        <v>1028</v>
      </c>
      <c r="Q4598" s="174">
        <v>0</v>
      </c>
    </row>
    <row r="4599" spans="1:17" ht="14.25" x14ac:dyDescent="0.2">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216</v>
      </c>
      <c r="H4599" s="50" t="s">
        <v>60</v>
      </c>
      <c r="I4599" s="187">
        <v>2833.8779296875</v>
      </c>
      <c r="J4599" s="41" t="s">
        <v>941</v>
      </c>
      <c r="K4599" s="41" t="s">
        <v>116</v>
      </c>
      <c r="O4599" s="199"/>
      <c r="P4599" s="42" t="s">
        <v>1028</v>
      </c>
      <c r="Q4599" s="174">
        <v>0</v>
      </c>
    </row>
    <row r="4600" spans="1:17" ht="14.25" x14ac:dyDescent="0.2">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240</v>
      </c>
      <c r="H4600" s="50" t="s">
        <v>60</v>
      </c>
      <c r="I4600" s="187">
        <v>2610.15771484375</v>
      </c>
      <c r="J4600" s="41" t="s">
        <v>941</v>
      </c>
      <c r="K4600" s="41" t="s">
        <v>116</v>
      </c>
      <c r="O4600" s="199"/>
      <c r="P4600" s="42" t="s">
        <v>1028</v>
      </c>
      <c r="Q4600" s="174">
        <v>0</v>
      </c>
    </row>
    <row r="4601" spans="1:17" ht="14.25" x14ac:dyDescent="0.2">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312</v>
      </c>
      <c r="H4601" s="50" t="s">
        <v>60</v>
      </c>
      <c r="I4601" s="187">
        <v>1778.2794189453125</v>
      </c>
      <c r="J4601" s="41" t="s">
        <v>941</v>
      </c>
      <c r="K4601" s="41" t="s">
        <v>116</v>
      </c>
      <c r="O4601" s="199"/>
      <c r="P4601" s="42" t="s">
        <v>1028</v>
      </c>
      <c r="Q4601" s="174">
        <v>0</v>
      </c>
    </row>
    <row r="4602" spans="1:17" ht="14.25" x14ac:dyDescent="0.2">
      <c r="A4602" s="183">
        <v>545</v>
      </c>
      <c r="B4602" s="249" t="str">
        <f>IF(AND(A4602&lt;&gt;"",ISNUMBER(A4602)),VLOOKUP(A4602,Studies!A:BR,2,FALSE),"")</f>
        <v>Zhou 1998</v>
      </c>
      <c r="C4602" s="250" t="str">
        <f>IF(AND(A4602&lt;&gt;"",ISNUMBER(A4602)),VLOOKUP(A4602,Studies!A:BR,3,FALSE),"")</f>
        <v>https://www.ncbi.nlm.nih.gov/pubmed/9702843</v>
      </c>
      <c r="D4602" s="250" t="str">
        <f>IF(AND(A4602&lt;&gt;"",ISNUMBER(A4602)),VLOOKUP(A4602,Studies!A:BR,4,FALSE),"")</f>
        <v>IV 200 mg OD</v>
      </c>
      <c r="E4602" s="250" t="str">
        <f>IF(AND(A4602&lt;&gt;"",ISNUMBER(A4602)),VLOOKUP(A4602,Studies!A:BR,5,FALSE),"")</f>
        <v>Itraconazole</v>
      </c>
      <c r="F4602" s="251" t="str">
        <f>IF(AND(A4602&lt;&gt;"",ISNUMBER(A4602)),VLOOKUP(A4602,Studies!A:BR,6,FALSE),"")</f>
        <v>Plasma</v>
      </c>
      <c r="G4602" s="194">
        <v>1</v>
      </c>
      <c r="H4602" s="50" t="s">
        <v>60</v>
      </c>
      <c r="I4602" s="187">
        <v>1844.7870016098022</v>
      </c>
      <c r="J4602" s="41" t="s">
        <v>941</v>
      </c>
      <c r="K4602" s="41" t="s">
        <v>116</v>
      </c>
      <c r="O4602" s="199"/>
      <c r="Q4602" s="174">
        <v>0</v>
      </c>
    </row>
    <row r="4603" spans="1:17" ht="14.25" x14ac:dyDescent="0.2">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1.25</v>
      </c>
      <c r="H4603" s="50" t="s">
        <v>60</v>
      </c>
      <c r="I4603" s="187">
        <v>1478.672981262207</v>
      </c>
      <c r="J4603" s="41" t="s">
        <v>941</v>
      </c>
      <c r="K4603" s="41" t="s">
        <v>116</v>
      </c>
      <c r="O4603" s="199"/>
      <c r="Q4603" s="174">
        <v>0</v>
      </c>
    </row>
    <row r="4604" spans="1:17" ht="14.25" x14ac:dyDescent="0.2">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1.5</v>
      </c>
      <c r="H4604" s="50" t="s">
        <v>60</v>
      </c>
      <c r="I4604" s="187">
        <v>1176.5400171279907</v>
      </c>
      <c r="J4604" s="41" t="s">
        <v>941</v>
      </c>
      <c r="K4604" s="41" t="s">
        <v>116</v>
      </c>
      <c r="O4604" s="199"/>
      <c r="Q4604" s="174">
        <v>0</v>
      </c>
    </row>
    <row r="4605" spans="1:17" ht="14.25" x14ac:dyDescent="0.2">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2</v>
      </c>
      <c r="H4605" s="50" t="s">
        <v>60</v>
      </c>
      <c r="I4605" s="187">
        <v>941.94310903549194</v>
      </c>
      <c r="J4605" s="41" t="s">
        <v>941</v>
      </c>
      <c r="K4605" s="41" t="s">
        <v>116</v>
      </c>
      <c r="O4605" s="199"/>
      <c r="Q4605" s="174">
        <v>0</v>
      </c>
    </row>
    <row r="4606" spans="1:17" ht="14.25" x14ac:dyDescent="0.2">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3</v>
      </c>
      <c r="H4606" s="50" t="s">
        <v>60</v>
      </c>
      <c r="I4606" s="187">
        <v>771.32701873779297</v>
      </c>
      <c r="J4606" s="41" t="s">
        <v>941</v>
      </c>
      <c r="K4606" s="41" t="s">
        <v>116</v>
      </c>
      <c r="O4606" s="199"/>
      <c r="Q4606" s="174">
        <v>0</v>
      </c>
    </row>
    <row r="4607" spans="1:17" ht="14.25" x14ac:dyDescent="0.2">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5</v>
      </c>
      <c r="H4607" s="50" t="s">
        <v>60</v>
      </c>
      <c r="I4607" s="187">
        <v>430.09477853775024</v>
      </c>
      <c r="J4607" s="41" t="s">
        <v>941</v>
      </c>
      <c r="K4607" s="41" t="s">
        <v>116</v>
      </c>
      <c r="O4607" s="199"/>
      <c r="Q4607" s="174">
        <v>0</v>
      </c>
    </row>
    <row r="4608" spans="1:17" ht="14.25" x14ac:dyDescent="0.2">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7</v>
      </c>
      <c r="H4608" s="50" t="s">
        <v>60</v>
      </c>
      <c r="I4608" s="187">
        <v>334.12319421768188</v>
      </c>
      <c r="J4608" s="41" t="s">
        <v>941</v>
      </c>
      <c r="K4608" s="41" t="s">
        <v>116</v>
      </c>
      <c r="O4608" s="199"/>
      <c r="Q4608" s="174">
        <v>0</v>
      </c>
    </row>
    <row r="4609" spans="1:17" ht="14.25" x14ac:dyDescent="0.2">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12</v>
      </c>
      <c r="H4609" s="50" t="s">
        <v>60</v>
      </c>
      <c r="I4609" s="187">
        <v>270.14219760894775</v>
      </c>
      <c r="J4609" s="41" t="s">
        <v>941</v>
      </c>
      <c r="K4609" s="41" t="s">
        <v>116</v>
      </c>
      <c r="O4609" s="199"/>
      <c r="Q4609" s="174">
        <v>0</v>
      </c>
    </row>
    <row r="4610" spans="1:17" ht="14.25" x14ac:dyDescent="0.2">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24</v>
      </c>
      <c r="H4610" s="50" t="s">
        <v>60</v>
      </c>
      <c r="I4610" s="187">
        <v>412.3222827911377</v>
      </c>
      <c r="J4610" s="41" t="s">
        <v>941</v>
      </c>
      <c r="K4610" s="41" t="s">
        <v>116</v>
      </c>
      <c r="O4610" s="199"/>
      <c r="Q4610" s="174">
        <v>0</v>
      </c>
    </row>
    <row r="4611" spans="1:17" ht="14.25" x14ac:dyDescent="0.2">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36</v>
      </c>
      <c r="H4611" s="50" t="s">
        <v>60</v>
      </c>
      <c r="I4611" s="187">
        <v>451.42179727554321</v>
      </c>
      <c r="J4611" s="41" t="s">
        <v>941</v>
      </c>
      <c r="K4611" s="41" t="s">
        <v>116</v>
      </c>
      <c r="O4611" s="199"/>
      <c r="Q4611" s="174">
        <v>0</v>
      </c>
    </row>
    <row r="4612" spans="1:17" ht="14.25" x14ac:dyDescent="0.2">
      <c r="A4612" s="30">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48</v>
      </c>
      <c r="H4612" s="50" t="s">
        <v>60</v>
      </c>
      <c r="I4612" s="187">
        <v>817.53551959991455</v>
      </c>
      <c r="J4612" s="41" t="s">
        <v>941</v>
      </c>
      <c r="K4612" s="187" t="s">
        <v>116</v>
      </c>
      <c r="Q4612" s="174">
        <v>0</v>
      </c>
    </row>
    <row r="4613" spans="1:17" ht="14.25" x14ac:dyDescent="0.2">
      <c r="A4613" s="183">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72</v>
      </c>
      <c r="H4613" s="194" t="s">
        <v>60</v>
      </c>
      <c r="I4613" s="187">
        <v>771.32701873779297</v>
      </c>
      <c r="J4613" s="187" t="s">
        <v>941</v>
      </c>
      <c r="K4613" s="187" t="s">
        <v>116</v>
      </c>
      <c r="M4613" s="195"/>
      <c r="N4613" s="195"/>
      <c r="Q4613" s="174">
        <v>0</v>
      </c>
    </row>
    <row r="4614" spans="1:17" ht="14.25" x14ac:dyDescent="0.2">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96</v>
      </c>
      <c r="H4614" s="194" t="s">
        <v>60</v>
      </c>
      <c r="I4614" s="187">
        <v>927.72513628005981</v>
      </c>
      <c r="J4614" s="187" t="s">
        <v>941</v>
      </c>
      <c r="K4614" s="187" t="s">
        <v>116</v>
      </c>
      <c r="M4614" s="195"/>
      <c r="N4614" s="195"/>
      <c r="Q4614" s="174">
        <v>0</v>
      </c>
    </row>
    <row r="4615" spans="1:17" ht="14.25" x14ac:dyDescent="0.2">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120</v>
      </c>
      <c r="H4615" s="194" t="s">
        <v>60</v>
      </c>
      <c r="I4615" s="187">
        <v>899.28907155990601</v>
      </c>
      <c r="J4615" s="187" t="s">
        <v>941</v>
      </c>
      <c r="K4615" s="187" t="s">
        <v>116</v>
      </c>
      <c r="M4615" s="195"/>
      <c r="N4615" s="195"/>
      <c r="Q4615" s="174">
        <v>0</v>
      </c>
    </row>
    <row r="4616" spans="1:17" ht="14.25" x14ac:dyDescent="0.2">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144</v>
      </c>
      <c r="H4616" s="194" t="s">
        <v>60</v>
      </c>
      <c r="I4616" s="187">
        <v>856.63509368896484</v>
      </c>
      <c r="J4616" s="187" t="s">
        <v>941</v>
      </c>
      <c r="K4616" s="187" t="s">
        <v>116</v>
      </c>
      <c r="M4616" s="195"/>
      <c r="N4616" s="195"/>
      <c r="Q4616" s="174">
        <v>0</v>
      </c>
    </row>
    <row r="4617" spans="1:17" ht="14.25" x14ac:dyDescent="0.2">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145</v>
      </c>
      <c r="H4617" s="194" t="s">
        <v>60</v>
      </c>
      <c r="I4617" s="187">
        <v>2740.5209541320801</v>
      </c>
      <c r="J4617" s="187" t="s">
        <v>941</v>
      </c>
      <c r="K4617" s="187" t="s">
        <v>116</v>
      </c>
      <c r="M4617" s="195"/>
      <c r="N4617" s="195"/>
      <c r="Q4617" s="174">
        <v>0</v>
      </c>
    </row>
    <row r="4618" spans="1:17" ht="14.25" x14ac:dyDescent="0.2">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145.25</v>
      </c>
      <c r="H4618" s="194" t="s">
        <v>60</v>
      </c>
      <c r="I4618" s="187">
        <v>2370.8529472351074</v>
      </c>
      <c r="J4618" s="187" t="s">
        <v>941</v>
      </c>
      <c r="K4618" s="187" t="s">
        <v>116</v>
      </c>
      <c r="M4618" s="195"/>
      <c r="N4618" s="195"/>
      <c r="Q4618" s="174">
        <v>0</v>
      </c>
    </row>
    <row r="4619" spans="1:17" ht="14.25" x14ac:dyDescent="0.2">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145.5</v>
      </c>
      <c r="H4619" s="194" t="s">
        <v>60</v>
      </c>
      <c r="I4619" s="187">
        <v>2026.0660648345947</v>
      </c>
      <c r="J4619" s="187" t="s">
        <v>941</v>
      </c>
      <c r="K4619" s="187" t="s">
        <v>116</v>
      </c>
      <c r="M4619" s="195"/>
      <c r="N4619" s="195"/>
      <c r="Q4619" s="174">
        <v>0</v>
      </c>
    </row>
    <row r="4620" spans="1:17" ht="14.25" x14ac:dyDescent="0.2">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146</v>
      </c>
      <c r="H4620" s="194" t="s">
        <v>60</v>
      </c>
      <c r="I4620" s="187">
        <v>1890.9950256347656</v>
      </c>
      <c r="J4620" s="187" t="s">
        <v>941</v>
      </c>
      <c r="K4620" s="187" t="s">
        <v>116</v>
      </c>
      <c r="M4620" s="195"/>
      <c r="N4620" s="195"/>
      <c r="Q4620" s="174">
        <v>0</v>
      </c>
    </row>
    <row r="4621" spans="1:17" ht="14.25" x14ac:dyDescent="0.2">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147</v>
      </c>
      <c r="H4621" s="194" t="s">
        <v>60</v>
      </c>
      <c r="I4621" s="187">
        <v>1716.825008392334</v>
      </c>
      <c r="J4621" s="187" t="s">
        <v>941</v>
      </c>
      <c r="K4621" s="187" t="s">
        <v>116</v>
      </c>
      <c r="M4621" s="195"/>
      <c r="N4621" s="195"/>
      <c r="Q4621" s="174">
        <v>0</v>
      </c>
    </row>
    <row r="4622" spans="1:17" ht="14.25" x14ac:dyDescent="0.2">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149</v>
      </c>
      <c r="H4622" s="194" t="s">
        <v>60</v>
      </c>
      <c r="I4622" s="187">
        <v>1531.9900512695313</v>
      </c>
      <c r="J4622" s="187" t="s">
        <v>941</v>
      </c>
      <c r="K4622" s="187" t="s">
        <v>116</v>
      </c>
      <c r="M4622" s="195"/>
      <c r="N4622" s="195"/>
      <c r="Q4622" s="174">
        <v>0</v>
      </c>
    </row>
    <row r="4623" spans="1:17" ht="14.25" x14ac:dyDescent="0.2">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151</v>
      </c>
      <c r="H4623" s="194" t="s">
        <v>60</v>
      </c>
      <c r="I4623" s="187">
        <v>1354.2649745941162</v>
      </c>
      <c r="J4623" s="187" t="s">
        <v>941</v>
      </c>
      <c r="K4623" s="187" t="s">
        <v>116</v>
      </c>
      <c r="M4623" s="195"/>
      <c r="N4623" s="195"/>
      <c r="Q4623" s="174">
        <v>0</v>
      </c>
    </row>
    <row r="4624" spans="1:17" ht="14.25" x14ac:dyDescent="0.2">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153</v>
      </c>
      <c r="H4624" s="194" t="s">
        <v>60</v>
      </c>
      <c r="I4624" s="187">
        <v>1308.0569505691528</v>
      </c>
      <c r="J4624" s="187" t="s">
        <v>941</v>
      </c>
      <c r="K4624" s="187" t="s">
        <v>116</v>
      </c>
      <c r="M4624" s="195"/>
      <c r="N4624" s="195"/>
      <c r="Q4624" s="174">
        <v>0</v>
      </c>
    </row>
    <row r="4625" spans="1:17" ht="14.25" x14ac:dyDescent="0.2">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156</v>
      </c>
      <c r="H4625" s="194" t="s">
        <v>60</v>
      </c>
      <c r="I4625" s="187">
        <v>1144.5499658584595</v>
      </c>
      <c r="J4625" s="187" t="s">
        <v>941</v>
      </c>
      <c r="K4625" s="187" t="s">
        <v>116</v>
      </c>
      <c r="M4625" s="195"/>
      <c r="N4625" s="195"/>
      <c r="Q4625" s="174">
        <v>0</v>
      </c>
    </row>
    <row r="4626" spans="1:17" ht="14.25" x14ac:dyDescent="0.2">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168</v>
      </c>
      <c r="H4626" s="194" t="s">
        <v>60</v>
      </c>
      <c r="I4626" s="187">
        <v>917.06156730651855</v>
      </c>
      <c r="J4626" s="187" t="s">
        <v>941</v>
      </c>
      <c r="K4626" s="187" t="s">
        <v>116</v>
      </c>
      <c r="M4626" s="195"/>
      <c r="N4626" s="195"/>
      <c r="Q4626" s="174">
        <v>0</v>
      </c>
    </row>
    <row r="4627" spans="1:17" ht="14.25" x14ac:dyDescent="0.2">
      <c r="A4627" s="183">
        <v>546</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Hydroxy-Itraconazole</v>
      </c>
      <c r="F4627" s="251" t="str">
        <f>IF(AND(A4627&lt;&gt;"",ISNUMBER(A4627)),VLOOKUP(A4627,Studies!A:BR,6,FALSE),"")</f>
        <v>Plasma</v>
      </c>
      <c r="G4627" s="194">
        <v>1</v>
      </c>
      <c r="H4627" s="194" t="s">
        <v>60</v>
      </c>
      <c r="I4627" s="187">
        <v>322.91668653488159</v>
      </c>
      <c r="J4627" s="187" t="s">
        <v>941</v>
      </c>
      <c r="K4627" s="187" t="s">
        <v>116</v>
      </c>
      <c r="M4627" s="195"/>
      <c r="N4627" s="195"/>
      <c r="Q4627" s="174">
        <v>0</v>
      </c>
    </row>
    <row r="4628" spans="1:17" ht="14.25" x14ac:dyDescent="0.2">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12</v>
      </c>
      <c r="H4628" s="194" t="s">
        <v>60</v>
      </c>
      <c r="I4628" s="187">
        <v>354.16668653488159</v>
      </c>
      <c r="J4628" s="187" t="s">
        <v>941</v>
      </c>
      <c r="K4628" s="187" t="s">
        <v>116</v>
      </c>
      <c r="M4628" s="195"/>
      <c r="N4628" s="195"/>
      <c r="Q4628" s="174">
        <v>0</v>
      </c>
    </row>
    <row r="4629" spans="1:17" ht="14.25" x14ac:dyDescent="0.2">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24</v>
      </c>
      <c r="H4629" s="194" t="s">
        <v>60</v>
      </c>
      <c r="I4629" s="187">
        <v>614.58331346511841</v>
      </c>
      <c r="J4629" s="187" t="s">
        <v>941</v>
      </c>
      <c r="K4629" s="187" t="s">
        <v>116</v>
      </c>
      <c r="M4629" s="195"/>
      <c r="N4629" s="195"/>
      <c r="Q4629" s="174">
        <v>0</v>
      </c>
    </row>
    <row r="4630" spans="1:17" ht="14.25" x14ac:dyDescent="0.2">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36</v>
      </c>
      <c r="H4630" s="194" t="s">
        <v>60</v>
      </c>
      <c r="I4630" s="187">
        <v>711.80552244186401</v>
      </c>
      <c r="J4630" s="187" t="s">
        <v>941</v>
      </c>
      <c r="K4630" s="187" t="s">
        <v>116</v>
      </c>
      <c r="M4630" s="195"/>
      <c r="N4630" s="195"/>
      <c r="Q4630" s="174">
        <v>0</v>
      </c>
    </row>
    <row r="4631" spans="1:17" ht="14.25" x14ac:dyDescent="0.2">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48</v>
      </c>
      <c r="H4631" s="194" t="s">
        <v>60</v>
      </c>
      <c r="I4631" s="187">
        <v>1083.3330154418945</v>
      </c>
      <c r="J4631" s="187" t="s">
        <v>941</v>
      </c>
      <c r="K4631" s="187" t="s">
        <v>116</v>
      </c>
      <c r="M4631" s="195"/>
      <c r="N4631" s="195"/>
      <c r="Q4631" s="174">
        <v>0</v>
      </c>
    </row>
    <row r="4632" spans="1:17" ht="14.25" x14ac:dyDescent="0.2">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72</v>
      </c>
      <c r="H4632" s="194" t="s">
        <v>60</v>
      </c>
      <c r="I4632" s="187">
        <v>1385.4169845581055</v>
      </c>
      <c r="J4632" s="187" t="s">
        <v>941</v>
      </c>
      <c r="K4632" s="187" t="s">
        <v>116</v>
      </c>
      <c r="M4632" s="195"/>
      <c r="N4632" s="195"/>
      <c r="Q4632" s="174">
        <v>0</v>
      </c>
    </row>
    <row r="4633" spans="1:17" ht="14.25" x14ac:dyDescent="0.2">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96</v>
      </c>
      <c r="H4633" s="194" t="s">
        <v>60</v>
      </c>
      <c r="I4633" s="187">
        <v>1579.8609256744385</v>
      </c>
      <c r="J4633" s="187" t="s">
        <v>941</v>
      </c>
      <c r="K4633" s="187" t="s">
        <v>116</v>
      </c>
      <c r="M4633" s="195"/>
      <c r="N4633" s="195"/>
      <c r="Q4633" s="174">
        <v>0</v>
      </c>
    </row>
    <row r="4634" spans="1:17" ht="14.25" x14ac:dyDescent="0.2">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120</v>
      </c>
      <c r="H4634" s="194" t="s">
        <v>60</v>
      </c>
      <c r="I4634" s="187">
        <v>1652.7780294418335</v>
      </c>
      <c r="J4634" s="187" t="s">
        <v>941</v>
      </c>
      <c r="K4634" s="187" t="s">
        <v>116</v>
      </c>
      <c r="M4634" s="195"/>
      <c r="N4634" s="195"/>
      <c r="Q4634" s="174">
        <v>0</v>
      </c>
    </row>
    <row r="4635" spans="1:17" ht="14.25" x14ac:dyDescent="0.2">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144</v>
      </c>
      <c r="H4635" s="194" t="s">
        <v>60</v>
      </c>
      <c r="I4635" s="187">
        <v>1576.388955116272</v>
      </c>
      <c r="J4635" s="187" t="s">
        <v>941</v>
      </c>
      <c r="K4635" s="187" t="s">
        <v>116</v>
      </c>
      <c r="M4635" s="195"/>
      <c r="N4635" s="195"/>
      <c r="Q4635" s="174">
        <v>0</v>
      </c>
    </row>
    <row r="4636" spans="1:17" ht="14.25" x14ac:dyDescent="0.2">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168</v>
      </c>
      <c r="H4636" s="194" t="s">
        <v>60</v>
      </c>
      <c r="I4636" s="187">
        <v>1756.9440603256226</v>
      </c>
      <c r="J4636" s="187" t="s">
        <v>941</v>
      </c>
      <c r="K4636" s="187" t="s">
        <v>116</v>
      </c>
      <c r="M4636" s="195"/>
      <c r="N4636" s="195"/>
      <c r="Q4636" s="174">
        <v>0</v>
      </c>
    </row>
    <row r="4637" spans="1:17" ht="14.25" x14ac:dyDescent="0.2">
      <c r="A4637" s="183">
        <v>547</v>
      </c>
      <c r="B4637" s="249" t="str">
        <f>IF(AND(A4637&lt;&gt;"",ISNUMBER(A4637)),VLOOKUP(A4637,Studies!A:BR,2,FALSE),"")</f>
        <v>Rouini 2005</v>
      </c>
      <c r="C4637" s="250" t="str">
        <f>IF(AND(A4637&lt;&gt;"",ISNUMBER(A4637)),VLOOKUP(A4637,Studies!A:BR,3,FALSE),"")</f>
        <v>https://www.ncbi.nlm.nih.gov/pubmed/14698254</v>
      </c>
      <c r="D4637" s="250" t="str">
        <f>IF(AND(A4637&lt;&gt;"",ISNUMBER(A4637)),VLOOKUP(A4637,Studies!A:BR,4,FALSE),"")</f>
        <v>Reference</v>
      </c>
      <c r="E4637" s="250" t="str">
        <f>IF(AND(A4637&lt;&gt;"",ISNUMBER(A4637)),VLOOKUP(A4637,Studies!A:BR,5,FALSE),"")</f>
        <v>Mefenamic acid</v>
      </c>
      <c r="F4637" s="251" t="str">
        <f>IF(AND(A4637&lt;&gt;"",ISNUMBER(A4637)),VLOOKUP(A4637,Studies!A:BR,6,FALSE),"")</f>
        <v>Plasma</v>
      </c>
      <c r="G4637" s="194">
        <v>0.5</v>
      </c>
      <c r="H4637" s="194" t="s">
        <v>60</v>
      </c>
      <c r="I4637" s="187">
        <v>1754.4760000000001</v>
      </c>
      <c r="J4637" s="187" t="s">
        <v>941</v>
      </c>
      <c r="K4637" s="187" t="s">
        <v>116</v>
      </c>
      <c r="M4637" s="195"/>
      <c r="N4637" s="195"/>
      <c r="Q4637" s="174">
        <v>0</v>
      </c>
    </row>
    <row r="4638" spans="1:17" ht="14.25" x14ac:dyDescent="0.2">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1</v>
      </c>
      <c r="H4638" s="50" t="s">
        <v>60</v>
      </c>
      <c r="I4638" s="187">
        <v>2604.8589999999999</v>
      </c>
      <c r="J4638" s="41" t="s">
        <v>941</v>
      </c>
      <c r="K4638" s="41" t="s">
        <v>116</v>
      </c>
      <c r="Q4638" s="174">
        <v>0</v>
      </c>
    </row>
    <row r="4639" spans="1:17" ht="14.25" x14ac:dyDescent="0.2">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1.5</v>
      </c>
      <c r="H4639" s="50" t="s">
        <v>60</v>
      </c>
      <c r="I4639" s="187">
        <v>3079.2840000000001</v>
      </c>
      <c r="J4639" s="41" t="s">
        <v>941</v>
      </c>
      <c r="K4639" s="41" t="s">
        <v>116</v>
      </c>
      <c r="Q4639" s="174">
        <v>0</v>
      </c>
    </row>
    <row r="4640" spans="1:17" ht="14.25" x14ac:dyDescent="0.2">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2</v>
      </c>
      <c r="H4640" s="50" t="s">
        <v>60</v>
      </c>
      <c r="I4640" s="187">
        <v>2542.1990000000001</v>
      </c>
      <c r="J4640" s="41" t="s">
        <v>941</v>
      </c>
      <c r="K4640" s="41" t="s">
        <v>116</v>
      </c>
      <c r="Q4640" s="174">
        <v>0</v>
      </c>
    </row>
    <row r="4641" spans="1:17" ht="14.25" x14ac:dyDescent="0.2">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2.5</v>
      </c>
      <c r="H4641" s="50" t="s">
        <v>60</v>
      </c>
      <c r="I4641" s="187">
        <v>2345.2689999999998</v>
      </c>
      <c r="J4641" s="41" t="s">
        <v>941</v>
      </c>
      <c r="K4641" s="41" t="s">
        <v>116</v>
      </c>
      <c r="Q4641" s="174">
        <v>0</v>
      </c>
    </row>
    <row r="4642" spans="1:17" ht="14.25" x14ac:dyDescent="0.2">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3</v>
      </c>
      <c r="H4642" s="50" t="s">
        <v>60</v>
      </c>
      <c r="I4642" s="187">
        <v>2067.7750000000001</v>
      </c>
      <c r="J4642" s="41" t="s">
        <v>941</v>
      </c>
      <c r="K4642" s="41" t="s">
        <v>116</v>
      </c>
      <c r="Q4642" s="174">
        <v>0</v>
      </c>
    </row>
    <row r="4643" spans="1:17" ht="14.25" x14ac:dyDescent="0.2">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3.5</v>
      </c>
      <c r="H4643" s="50" t="s">
        <v>60</v>
      </c>
      <c r="I4643" s="187">
        <v>1566.4960000000001</v>
      </c>
      <c r="J4643" s="41" t="s">
        <v>941</v>
      </c>
      <c r="K4643" s="41" t="s">
        <v>116</v>
      </c>
      <c r="Q4643" s="174">
        <v>0</v>
      </c>
    </row>
    <row r="4644" spans="1:17" ht="14.25" x14ac:dyDescent="0.2">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4</v>
      </c>
      <c r="H4644" s="50" t="s">
        <v>60</v>
      </c>
      <c r="I4644" s="187">
        <v>1101.0229999999999</v>
      </c>
      <c r="J4644" s="41" t="s">
        <v>941</v>
      </c>
      <c r="K4644" s="41" t="s">
        <v>116</v>
      </c>
      <c r="Q4644" s="174">
        <v>0</v>
      </c>
    </row>
    <row r="4645" spans="1:17" ht="14.25" x14ac:dyDescent="0.2">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5</v>
      </c>
      <c r="H4645" s="50" t="s">
        <v>60</v>
      </c>
      <c r="I4645" s="187">
        <v>599.74429999999995</v>
      </c>
      <c r="J4645" s="41" t="s">
        <v>941</v>
      </c>
      <c r="K4645" s="41" t="s">
        <v>116</v>
      </c>
      <c r="Q4645" s="174">
        <v>0</v>
      </c>
    </row>
    <row r="4646" spans="1:17" ht="14.25" x14ac:dyDescent="0.2">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6</v>
      </c>
      <c r="H4646" s="50" t="s">
        <v>60</v>
      </c>
      <c r="I4646" s="187">
        <v>358.05630000000002</v>
      </c>
      <c r="J4646" s="41" t="s">
        <v>941</v>
      </c>
      <c r="K4646" s="41" t="s">
        <v>116</v>
      </c>
      <c r="O4646" s="199"/>
      <c r="Q4646" s="174">
        <v>0</v>
      </c>
    </row>
    <row r="4647" spans="1:17" ht="14.25" x14ac:dyDescent="0.2">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8</v>
      </c>
      <c r="H4647" s="50" t="s">
        <v>60</v>
      </c>
      <c r="I4647" s="187">
        <v>250.63939999999999</v>
      </c>
      <c r="J4647" s="41" t="s">
        <v>941</v>
      </c>
      <c r="K4647" s="41" t="s">
        <v>116</v>
      </c>
      <c r="O4647" s="199"/>
      <c r="Q4647" s="174">
        <v>0</v>
      </c>
    </row>
    <row r="4648" spans="1:17" ht="14.25" x14ac:dyDescent="0.2">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10</v>
      </c>
      <c r="H4648" s="50" t="s">
        <v>60</v>
      </c>
      <c r="I4648" s="187">
        <v>161.12530000000001</v>
      </c>
      <c r="J4648" s="41" t="s">
        <v>941</v>
      </c>
      <c r="K4648" s="41" t="s">
        <v>116</v>
      </c>
      <c r="O4648" s="199"/>
      <c r="Q4648" s="174">
        <v>0</v>
      </c>
    </row>
    <row r="4649" spans="1:17" ht="14.25" x14ac:dyDescent="0.2">
      <c r="A4649" s="183">
        <v>548</v>
      </c>
      <c r="B4649" s="249" t="str">
        <f>IF(AND(A4649&lt;&gt;"",ISNUMBER(A4649)),VLOOKUP(A4649,Studies!A:BR,2,FALSE),"")</f>
        <v>Mahadik 2012</v>
      </c>
      <c r="C4649" s="250" t="str">
        <f>IF(AND(A4649&lt;&gt;"",ISNUMBER(A4649)),VLOOKUP(A4649,Studies!A:BR,3,FALSE),"")</f>
        <v>https://www.ncbi.nlm.nih.gov/pubmed/22275128</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0.5</v>
      </c>
      <c r="H4649" s="50" t="s">
        <v>60</v>
      </c>
      <c r="I4649" s="187">
        <v>71.25891</v>
      </c>
      <c r="J4649" s="41" t="s">
        <v>941</v>
      </c>
      <c r="K4649" s="41" t="s">
        <v>116</v>
      </c>
      <c r="O4649" s="199"/>
      <c r="Q4649" s="174">
        <v>0</v>
      </c>
    </row>
    <row r="4650" spans="1:17" ht="14.25" x14ac:dyDescent="0.2">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1</v>
      </c>
      <c r="H4650" s="50" t="s">
        <v>60</v>
      </c>
      <c r="I4650" s="187">
        <v>1128.2660000000001</v>
      </c>
      <c r="J4650" s="41" t="s">
        <v>941</v>
      </c>
      <c r="K4650" s="41" t="s">
        <v>116</v>
      </c>
      <c r="O4650" s="199"/>
      <c r="Q4650" s="174">
        <v>0</v>
      </c>
    </row>
    <row r="4651" spans="1:17" ht="14.25" x14ac:dyDescent="0.2">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1.5</v>
      </c>
      <c r="H4651" s="50" t="s">
        <v>60</v>
      </c>
      <c r="I4651" s="187">
        <v>1567.6959999999999</v>
      </c>
      <c r="J4651" s="41" t="s">
        <v>941</v>
      </c>
      <c r="K4651" s="41" t="s">
        <v>116</v>
      </c>
      <c r="O4651" s="199"/>
      <c r="Q4651" s="174">
        <v>0</v>
      </c>
    </row>
    <row r="4652" spans="1:17" ht="14.25" x14ac:dyDescent="0.2">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2</v>
      </c>
      <c r="H4652" s="50" t="s">
        <v>60</v>
      </c>
      <c r="I4652" s="187">
        <v>1555.819</v>
      </c>
      <c r="J4652" s="41" t="s">
        <v>941</v>
      </c>
      <c r="K4652" s="41" t="s">
        <v>116</v>
      </c>
      <c r="O4652" s="199"/>
      <c r="Q4652" s="174">
        <v>0</v>
      </c>
    </row>
    <row r="4653" spans="1:17" ht="14.25" x14ac:dyDescent="0.2">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2.5</v>
      </c>
      <c r="H4653" s="50" t="s">
        <v>60</v>
      </c>
      <c r="I4653" s="187">
        <v>1324.2280000000001</v>
      </c>
      <c r="J4653" s="41" t="s">
        <v>941</v>
      </c>
      <c r="K4653" s="41" t="s">
        <v>116</v>
      </c>
      <c r="O4653" s="199"/>
      <c r="Q4653" s="174">
        <v>0</v>
      </c>
    </row>
    <row r="4654" spans="1:17" ht="14.25" x14ac:dyDescent="0.2">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3</v>
      </c>
      <c r="H4654" s="50" t="s">
        <v>60</v>
      </c>
      <c r="I4654" s="187">
        <v>1751.7809999999999</v>
      </c>
      <c r="J4654" s="41" t="s">
        <v>941</v>
      </c>
      <c r="K4654" s="41" t="s">
        <v>116</v>
      </c>
      <c r="O4654" s="199"/>
      <c r="Q4654" s="174">
        <v>0</v>
      </c>
    </row>
    <row r="4655" spans="1:17" ht="14.25" x14ac:dyDescent="0.2">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3.5</v>
      </c>
      <c r="H4655" s="50" t="s">
        <v>60</v>
      </c>
      <c r="I4655" s="187">
        <v>1745.8430000000001</v>
      </c>
      <c r="J4655" s="41" t="s">
        <v>941</v>
      </c>
      <c r="K4655" s="41" t="s">
        <v>116</v>
      </c>
      <c r="O4655" s="199"/>
      <c r="Q4655" s="174">
        <v>0</v>
      </c>
    </row>
    <row r="4656" spans="1:17" ht="14.25" x14ac:dyDescent="0.2">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4</v>
      </c>
      <c r="H4656" s="50" t="s">
        <v>60</v>
      </c>
      <c r="I4656" s="187">
        <v>1561.758</v>
      </c>
      <c r="J4656" s="41" t="s">
        <v>941</v>
      </c>
      <c r="K4656" s="41" t="s">
        <v>116</v>
      </c>
      <c r="O4656" s="199"/>
      <c r="Q4656" s="174">
        <v>0</v>
      </c>
    </row>
    <row r="4657" spans="1:17" ht="14.25" x14ac:dyDescent="0.2">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4.5</v>
      </c>
      <c r="H4657" s="50" t="s">
        <v>60</v>
      </c>
      <c r="I4657" s="187">
        <v>2173.3969999999999</v>
      </c>
      <c r="J4657" s="41" t="s">
        <v>941</v>
      </c>
      <c r="K4657" s="41" t="s">
        <v>116</v>
      </c>
      <c r="O4657" s="199"/>
      <c r="Q4657" s="174">
        <v>0</v>
      </c>
    </row>
    <row r="4658" spans="1:17" ht="14.25" x14ac:dyDescent="0.2">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5</v>
      </c>
      <c r="H4658" s="50" t="s">
        <v>60</v>
      </c>
      <c r="I4658" s="187">
        <v>1520.19</v>
      </c>
      <c r="J4658" s="41" t="s">
        <v>941</v>
      </c>
      <c r="K4658" s="41" t="s">
        <v>116</v>
      </c>
      <c r="O4658" s="199"/>
      <c r="Q4658" s="174">
        <v>0</v>
      </c>
    </row>
    <row r="4659" spans="1:17" ht="14.25" x14ac:dyDescent="0.2">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5.5</v>
      </c>
      <c r="H4659" s="50" t="s">
        <v>60</v>
      </c>
      <c r="I4659" s="187">
        <v>1330.1659999999999</v>
      </c>
      <c r="J4659" s="41" t="s">
        <v>941</v>
      </c>
      <c r="K4659" s="41" t="s">
        <v>116</v>
      </c>
      <c r="O4659" s="199"/>
      <c r="Q4659" s="174">
        <v>0</v>
      </c>
    </row>
    <row r="4660" spans="1:17" ht="14.25" x14ac:dyDescent="0.2">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6</v>
      </c>
      <c r="H4660" s="50" t="s">
        <v>60</v>
      </c>
      <c r="I4660" s="187">
        <v>1027.316</v>
      </c>
      <c r="J4660" s="41" t="s">
        <v>941</v>
      </c>
      <c r="K4660" s="41" t="s">
        <v>116</v>
      </c>
      <c r="Q4660" s="174">
        <v>0</v>
      </c>
    </row>
    <row r="4661" spans="1:17" ht="14.25" x14ac:dyDescent="0.2">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7</v>
      </c>
      <c r="H4661" s="50" t="s">
        <v>60</v>
      </c>
      <c r="I4661" s="187">
        <v>587.88599999999997</v>
      </c>
      <c r="J4661" s="41" t="s">
        <v>941</v>
      </c>
      <c r="K4661" s="41" t="s">
        <v>116</v>
      </c>
      <c r="O4661" s="199"/>
      <c r="Q4661" s="174">
        <v>0</v>
      </c>
    </row>
    <row r="4662" spans="1:17" ht="14.25" x14ac:dyDescent="0.2">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8</v>
      </c>
      <c r="H4662" s="50" t="s">
        <v>60</v>
      </c>
      <c r="I4662" s="187">
        <v>415.67700000000002</v>
      </c>
      <c r="J4662" s="41" t="s">
        <v>941</v>
      </c>
      <c r="K4662" s="41" t="s">
        <v>116</v>
      </c>
      <c r="O4662" s="199"/>
      <c r="Q4662" s="174">
        <v>0</v>
      </c>
    </row>
    <row r="4663" spans="1:17" ht="14.25" x14ac:dyDescent="0.2">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10</v>
      </c>
      <c r="H4663" s="50" t="s">
        <v>60</v>
      </c>
      <c r="I4663" s="187">
        <v>326.60329999999999</v>
      </c>
      <c r="J4663" s="41" t="s">
        <v>941</v>
      </c>
      <c r="K4663" s="41" t="s">
        <v>116</v>
      </c>
      <c r="O4663" s="199"/>
      <c r="Q4663" s="174">
        <v>0</v>
      </c>
    </row>
    <row r="4664" spans="1:17" ht="14.25" x14ac:dyDescent="0.2">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12</v>
      </c>
      <c r="H4664" s="50" t="s">
        <v>60</v>
      </c>
      <c r="I4664" s="187">
        <v>267.22089999999997</v>
      </c>
      <c r="J4664" s="41" t="s">
        <v>941</v>
      </c>
      <c r="K4664" s="41" t="s">
        <v>116</v>
      </c>
      <c r="O4664" s="199"/>
      <c r="Q4664" s="174">
        <v>0</v>
      </c>
    </row>
    <row r="4665" spans="1:17" ht="14.25" x14ac:dyDescent="0.2">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16</v>
      </c>
      <c r="H4665" s="50" t="s">
        <v>60</v>
      </c>
      <c r="I4665" s="187">
        <v>106.8884</v>
      </c>
      <c r="J4665" s="41" t="s">
        <v>941</v>
      </c>
      <c r="K4665" s="41" t="s">
        <v>116</v>
      </c>
      <c r="O4665" s="199"/>
      <c r="Q4665" s="174">
        <v>0</v>
      </c>
    </row>
    <row r="4666" spans="1:17" x14ac:dyDescent="0.2">
      <c r="A4666" s="189">
        <v>549</v>
      </c>
      <c r="B4666" s="249" t="str">
        <f>IF(AND(A4666&lt;&gt;"",ISNUMBER(A4666)),VLOOKUP(A4666,Studies!A:BR,2,FALSE),"")</f>
        <v>Baneyx 2014</v>
      </c>
      <c r="C4666" s="250" t="str">
        <f>IF(AND(A4666&lt;&gt;"",ISNUMBER(A4666)),VLOOKUP(A4666,Studies!A:BR,3,FALSE),"")</f>
        <v>https://www.ncbi.nlm.nih.gov/pubmed/24530864</v>
      </c>
      <c r="D4666" s="250" t="str">
        <f>IF(AND(A4666&lt;&gt;"",ISNUMBER(A4666)),VLOOKUP(A4666,Studies!A:BR,4,FALSE),"")</f>
        <v>Day 7 - 600 mg po MD</v>
      </c>
      <c r="E4666" s="250" t="str">
        <f>IF(AND(A4666&lt;&gt;"",ISNUMBER(A4666)),VLOOKUP(A4666,Studies!A:BR,5,FALSE),"")</f>
        <v>Rifampicin</v>
      </c>
      <c r="F4666" s="251" t="str">
        <f>IF(AND(A4666&lt;&gt;"",ISNUMBER(A4666)),VLOOKUP(A4666,Studies!A:BR,6,FALSE),"")</f>
        <v>Plasma</v>
      </c>
      <c r="G4666" s="194">
        <v>145</v>
      </c>
      <c r="H4666" s="50" t="s">
        <v>60</v>
      </c>
      <c r="I4666" s="187">
        <v>7.813707</v>
      </c>
      <c r="J4666" s="41" t="s">
        <v>959</v>
      </c>
      <c r="K4666" s="41" t="s">
        <v>116</v>
      </c>
      <c r="L4666" s="195">
        <v>4.7525620000000002</v>
      </c>
      <c r="M4666" s="52" t="s">
        <v>959</v>
      </c>
      <c r="N4666" s="52" t="s">
        <v>117</v>
      </c>
      <c r="O4666" s="199"/>
    </row>
    <row r="4667" spans="1:17" x14ac:dyDescent="0.2">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146</v>
      </c>
      <c r="H4667" s="50" t="s">
        <v>60</v>
      </c>
      <c r="I4667" s="187">
        <v>9.1267779999999998</v>
      </c>
      <c r="J4667" s="41" t="s">
        <v>959</v>
      </c>
      <c r="K4667" s="41" t="s">
        <v>116</v>
      </c>
      <c r="L4667" s="195">
        <v>2.8783029999999998</v>
      </c>
      <c r="M4667" s="52" t="s">
        <v>959</v>
      </c>
      <c r="N4667" s="52" t="s">
        <v>117</v>
      </c>
      <c r="O4667" s="199"/>
    </row>
    <row r="4668" spans="1:17" x14ac:dyDescent="0.2">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147</v>
      </c>
      <c r="H4668" s="50" t="s">
        <v>60</v>
      </c>
      <c r="I4668" s="187">
        <v>7.0022580000000003</v>
      </c>
      <c r="J4668" s="41" t="s">
        <v>959</v>
      </c>
      <c r="K4668" s="41" t="s">
        <v>116</v>
      </c>
      <c r="L4668" s="195">
        <v>2.464264</v>
      </c>
      <c r="M4668" s="52" t="s">
        <v>959</v>
      </c>
      <c r="N4668" s="195" t="s">
        <v>117</v>
      </c>
    </row>
    <row r="4669" spans="1:17" x14ac:dyDescent="0.2">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148</v>
      </c>
      <c r="H4669" s="50" t="s">
        <v>60</v>
      </c>
      <c r="I4669" s="187">
        <v>5.779693</v>
      </c>
      <c r="J4669" s="41" t="s">
        <v>959</v>
      </c>
      <c r="K4669" s="41" t="s">
        <v>116</v>
      </c>
      <c r="L4669" s="195">
        <v>2.034014</v>
      </c>
      <c r="M4669" s="52" t="s">
        <v>959</v>
      </c>
      <c r="N4669" s="195" t="s">
        <v>117</v>
      </c>
    </row>
    <row r="4670" spans="1:17" x14ac:dyDescent="0.2">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150</v>
      </c>
      <c r="H4670" s="194" t="s">
        <v>60</v>
      </c>
      <c r="I4670" s="187">
        <v>2.912633</v>
      </c>
      <c r="J4670" s="41" t="s">
        <v>959</v>
      </c>
      <c r="K4670" s="41" t="s">
        <v>116</v>
      </c>
      <c r="L4670" s="195">
        <v>1.323642</v>
      </c>
      <c r="M4670" s="52" t="s">
        <v>959</v>
      </c>
      <c r="N4670" s="52" t="s">
        <v>117</v>
      </c>
    </row>
    <row r="4671" spans="1:17" x14ac:dyDescent="0.2">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152</v>
      </c>
      <c r="H4671" s="194" t="s">
        <v>60</v>
      </c>
      <c r="I4671" s="187">
        <v>1.7782789999999999</v>
      </c>
      <c r="J4671" s="187" t="s">
        <v>959</v>
      </c>
      <c r="K4671" s="187" t="s">
        <v>116</v>
      </c>
      <c r="L4671" s="195">
        <v>1.2705070000000001</v>
      </c>
      <c r="M4671" s="52" t="s">
        <v>959</v>
      </c>
      <c r="N4671" s="195" t="s">
        <v>117</v>
      </c>
    </row>
    <row r="4672" spans="1:17" x14ac:dyDescent="0.2">
      <c r="A4672" s="183">
        <v>550</v>
      </c>
      <c r="B4672" s="249" t="str">
        <f>IF(AND(A4672&lt;&gt;"",ISNUMBER(A4672)),VLOOKUP(A4672,Studies!A:BR,2,FALSE),"")</f>
        <v>Agarwala 2003</v>
      </c>
      <c r="C4672" s="250" t="str">
        <f>IF(AND(A4672&lt;&gt;"",ISNUMBER(A4672)),VLOOKUP(A4672,Studies!A:BR,3,FALSE),"")</f>
        <v>http://www.medadvocates.org/resources/conferences/iasconfpath/ias2003/atv%20pk%20past%2024%20hour%20interval.pdf</v>
      </c>
      <c r="D4672" s="250" t="str">
        <f>IF(AND(A4672&lt;&gt;"",ISNUMBER(A4672)),VLOOKUP(A4672,Studies!A:BR,4,FALSE),"")</f>
        <v>Day 6</v>
      </c>
      <c r="E4672" s="250" t="str">
        <f>IF(AND(A4672&lt;&gt;"",ISNUMBER(A4672)),VLOOKUP(A4672,Studies!A:BR,5,FALSE),"")</f>
        <v>Atazanavir</v>
      </c>
      <c r="F4672" s="251" t="str">
        <f>IF(AND(A4672&lt;&gt;"",ISNUMBER(A4672)),VLOOKUP(A4672,Studies!A:BR,6,FALSE),"")</f>
        <v>Plasma</v>
      </c>
      <c r="G4672" s="194">
        <v>119.95263054999999</v>
      </c>
      <c r="H4672" s="194" t="s">
        <v>60</v>
      </c>
      <c r="I4672" s="187">
        <v>390.90800000000002</v>
      </c>
      <c r="J4672" s="187" t="s">
        <v>941</v>
      </c>
      <c r="K4672" s="187" t="s">
        <v>116</v>
      </c>
      <c r="L4672" s="195">
        <v>263.50330000000002</v>
      </c>
      <c r="M4672" s="52" t="s">
        <v>941</v>
      </c>
      <c r="N4672" s="195" t="s">
        <v>117</v>
      </c>
    </row>
    <row r="4673" spans="1:14" x14ac:dyDescent="0.2">
      <c r="A4673" s="30">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121.04652</v>
      </c>
      <c r="H4673" s="194" t="s">
        <v>60</v>
      </c>
      <c r="I4673" s="187">
        <v>1273.1959999999999</v>
      </c>
      <c r="J4673" s="187" t="s">
        <v>941</v>
      </c>
      <c r="K4673" s="187" t="s">
        <v>116</v>
      </c>
      <c r="L4673" s="195">
        <v>1484.5830000000001</v>
      </c>
      <c r="M4673" s="52" t="s">
        <v>941</v>
      </c>
      <c r="N4673" s="195" t="s">
        <v>117</v>
      </c>
    </row>
    <row r="4674" spans="1:14" x14ac:dyDescent="0.2">
      <c r="A4674" s="183">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121.06000899999999</v>
      </c>
      <c r="H4674" s="194" t="s">
        <v>60</v>
      </c>
      <c r="I4674" s="187">
        <v>3204.9960000000001</v>
      </c>
      <c r="J4674" s="187" t="s">
        <v>941</v>
      </c>
      <c r="K4674" s="187" t="s">
        <v>116</v>
      </c>
      <c r="L4674" s="195">
        <v>2276.8609999999999</v>
      </c>
      <c r="M4674" s="52" t="s">
        <v>941</v>
      </c>
      <c r="N4674" s="195" t="s">
        <v>117</v>
      </c>
    </row>
    <row r="4675" spans="1:14" x14ac:dyDescent="0.2">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122.14417400000001</v>
      </c>
      <c r="H4675" s="194" t="s">
        <v>60</v>
      </c>
      <c r="I4675" s="187">
        <v>5365.42</v>
      </c>
      <c r="J4675" s="187" t="s">
        <v>941</v>
      </c>
      <c r="K4675" s="187" t="s">
        <v>116</v>
      </c>
      <c r="L4675" s="195">
        <v>1576.6959999999999</v>
      </c>
      <c r="M4675" s="52" t="s">
        <v>941</v>
      </c>
      <c r="N4675" s="195" t="s">
        <v>117</v>
      </c>
    </row>
    <row r="4676" spans="1:14" x14ac:dyDescent="0.2">
      <c r="A4676" s="30">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123.22018199999999</v>
      </c>
      <c r="H4676" s="194" t="s">
        <v>60</v>
      </c>
      <c r="I4676" s="187">
        <v>5139.9120000000003</v>
      </c>
      <c r="J4676" s="187" t="s">
        <v>941</v>
      </c>
      <c r="K4676" s="187" t="s">
        <v>116</v>
      </c>
      <c r="L4676" s="195">
        <v>1654.75</v>
      </c>
      <c r="M4676" s="52" t="s">
        <v>941</v>
      </c>
      <c r="N4676" s="195" t="s">
        <v>117</v>
      </c>
    </row>
    <row r="4677" spans="1:14" x14ac:dyDescent="0.2">
      <c r="A4677" s="183">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124.158787</v>
      </c>
      <c r="H4677" s="194" t="s">
        <v>60</v>
      </c>
      <c r="I4677" s="187">
        <v>4058.7429999999999</v>
      </c>
      <c r="J4677" s="187" t="s">
        <v>941</v>
      </c>
      <c r="K4677" s="187" t="s">
        <v>116</v>
      </c>
      <c r="L4677" s="195">
        <v>1192.713</v>
      </c>
      <c r="M4677" s="52" t="s">
        <v>941</v>
      </c>
      <c r="N4677" s="195" t="s">
        <v>117</v>
      </c>
    </row>
    <row r="4678" spans="1:14" x14ac:dyDescent="0.2">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125.097706</v>
      </c>
      <c r="H4678" s="194" t="s">
        <v>60</v>
      </c>
      <c r="I4678" s="187">
        <v>3274.549</v>
      </c>
      <c r="J4678" s="187" t="s">
        <v>941</v>
      </c>
      <c r="K4678" s="187" t="s">
        <v>116</v>
      </c>
      <c r="L4678" s="195">
        <v>1148.153</v>
      </c>
      <c r="M4678" s="52" t="s">
        <v>941</v>
      </c>
      <c r="N4678" s="195" t="s">
        <v>117</v>
      </c>
    </row>
    <row r="4679" spans="1:14" x14ac:dyDescent="0.2">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126.16995</v>
      </c>
      <c r="H4679" s="194" t="s">
        <v>60</v>
      </c>
      <c r="I4679" s="187">
        <v>2424.462</v>
      </c>
      <c r="J4679" s="187" t="s">
        <v>941</v>
      </c>
      <c r="K4679" s="187" t="s">
        <v>116</v>
      </c>
      <c r="L4679" s="195">
        <v>712.45849999999996</v>
      </c>
      <c r="M4679" s="52" t="s">
        <v>941</v>
      </c>
      <c r="N4679" s="195" t="s">
        <v>117</v>
      </c>
    </row>
    <row r="4680" spans="1:14" x14ac:dyDescent="0.2">
      <c r="A4680" s="30">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128.18362200000001</v>
      </c>
      <c r="H4680" s="194" t="s">
        <v>60</v>
      </c>
      <c r="I4680" s="187">
        <v>1719.615</v>
      </c>
      <c r="J4680" s="187" t="s">
        <v>941</v>
      </c>
      <c r="K4680" s="187" t="s">
        <v>116</v>
      </c>
      <c r="L4680" s="195">
        <v>602.94730000000004</v>
      </c>
      <c r="M4680" s="52" t="s">
        <v>941</v>
      </c>
      <c r="N4680" s="195" t="s">
        <v>117</v>
      </c>
    </row>
    <row r="4681" spans="1:14" x14ac:dyDescent="0.2">
      <c r="A4681" s="183">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130.06271000000001</v>
      </c>
      <c r="H4681" s="194" t="s">
        <v>60</v>
      </c>
      <c r="I4681" s="187">
        <v>1219.683</v>
      </c>
      <c r="J4681" s="187" t="s">
        <v>941</v>
      </c>
      <c r="K4681" s="187" t="s">
        <v>116</v>
      </c>
      <c r="L4681" s="195">
        <v>463.40660000000003</v>
      </c>
      <c r="M4681" s="52" t="s">
        <v>941</v>
      </c>
      <c r="N4681" s="195" t="s">
        <v>117</v>
      </c>
    </row>
    <row r="4682" spans="1:14" x14ac:dyDescent="0.2">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131.94337999999999</v>
      </c>
      <c r="H4682" s="194" t="s">
        <v>60</v>
      </c>
      <c r="I4682" s="187">
        <v>963.12570000000005</v>
      </c>
      <c r="J4682" s="187" t="s">
        <v>941</v>
      </c>
      <c r="K4682" s="187" t="s">
        <v>116</v>
      </c>
      <c r="L4682" s="195">
        <v>394.77229999999997</v>
      </c>
      <c r="M4682" s="52" t="s">
        <v>941</v>
      </c>
      <c r="N4682" s="195" t="s">
        <v>117</v>
      </c>
    </row>
    <row r="4683" spans="1:14" x14ac:dyDescent="0.2">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136.10874999999999</v>
      </c>
      <c r="H4683" s="194" t="s">
        <v>60</v>
      </c>
      <c r="I4683" s="187">
        <v>613.59069999999997</v>
      </c>
      <c r="J4683" s="187" t="s">
        <v>941</v>
      </c>
      <c r="K4683" s="187" t="s">
        <v>116</v>
      </c>
      <c r="L4683" s="195">
        <v>349.53500000000003</v>
      </c>
      <c r="M4683" s="52" t="s">
        <v>941</v>
      </c>
      <c r="N4683" s="195" t="s">
        <v>117</v>
      </c>
    </row>
    <row r="4684" spans="1:14" x14ac:dyDescent="0.2">
      <c r="A4684" s="30">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140.14237</v>
      </c>
      <c r="H4684" s="194" t="s">
        <v>60</v>
      </c>
      <c r="I4684" s="187">
        <v>474.23180000000002</v>
      </c>
      <c r="J4684" s="187" t="s">
        <v>941</v>
      </c>
      <c r="K4684" s="187" t="s">
        <v>116</v>
      </c>
      <c r="L4684" s="195">
        <v>286.30259999999998</v>
      </c>
      <c r="M4684" s="52" t="s">
        <v>941</v>
      </c>
      <c r="N4684" s="195" t="s">
        <v>117</v>
      </c>
    </row>
    <row r="4685" spans="1:14" x14ac:dyDescent="0.2">
      <c r="A4685" s="183">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144.17693</v>
      </c>
      <c r="H4685" s="194" t="s">
        <v>60</v>
      </c>
      <c r="I4685" s="187">
        <v>390.90800000000002</v>
      </c>
      <c r="J4685" s="187" t="s">
        <v>941</v>
      </c>
      <c r="K4685" s="187" t="s">
        <v>116</v>
      </c>
      <c r="L4685" s="195">
        <v>263.50330000000002</v>
      </c>
      <c r="M4685" s="52" t="s">
        <v>941</v>
      </c>
      <c r="N4685" s="195" t="s">
        <v>117</v>
      </c>
    </row>
    <row r="4686" spans="1:14" x14ac:dyDescent="0.2">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156.00454999999999</v>
      </c>
      <c r="H4686" s="194" t="s">
        <v>60</v>
      </c>
      <c r="I4686" s="187">
        <v>136.5206</v>
      </c>
      <c r="J4686" s="187" t="s">
        <v>941</v>
      </c>
      <c r="K4686" s="187" t="s">
        <v>116</v>
      </c>
      <c r="L4686" s="195">
        <v>123.4465</v>
      </c>
      <c r="M4686" s="52" t="s">
        <v>941</v>
      </c>
      <c r="N4686" s="195" t="s">
        <v>117</v>
      </c>
    </row>
    <row r="4687" spans="1:14" x14ac:dyDescent="0.2">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168.10195999999999</v>
      </c>
      <c r="H4687" s="194" t="s">
        <v>60</v>
      </c>
      <c r="I4687" s="187">
        <v>49.770240000000001</v>
      </c>
      <c r="J4687" s="187" t="s">
        <v>941</v>
      </c>
      <c r="K4687" s="187" t="s">
        <v>116</v>
      </c>
      <c r="L4687" s="195">
        <v>60.373049999999999</v>
      </c>
      <c r="M4687" s="52" t="s">
        <v>941</v>
      </c>
      <c r="N4687" s="195" t="s">
        <v>117</v>
      </c>
    </row>
    <row r="4688" spans="1:14" x14ac:dyDescent="0.2">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180.19621999999998</v>
      </c>
      <c r="H4688" s="194" t="s">
        <v>60</v>
      </c>
      <c r="I4688" s="187">
        <v>14.63865</v>
      </c>
      <c r="J4688" s="187" t="s">
        <v>941</v>
      </c>
      <c r="K4688" s="187" t="s">
        <v>116</v>
      </c>
      <c r="L4688" s="195">
        <v>21.42831</v>
      </c>
      <c r="M4688" s="52" t="s">
        <v>941</v>
      </c>
      <c r="N4688" s="195" t="s">
        <v>117</v>
      </c>
    </row>
    <row r="4689" spans="1:14" x14ac:dyDescent="0.2">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192.02352999999999</v>
      </c>
      <c r="H4689" s="194" t="s">
        <v>60</v>
      </c>
      <c r="I4689" s="187">
        <v>5.0038080000000003</v>
      </c>
      <c r="J4689" s="187" t="s">
        <v>941</v>
      </c>
      <c r="K4689" s="187" t="s">
        <v>116</v>
      </c>
      <c r="L4689" s="195">
        <v>7.3246589999999996</v>
      </c>
      <c r="M4689" s="52" t="s">
        <v>941</v>
      </c>
      <c r="N4689" s="52" t="s">
        <v>117</v>
      </c>
    </row>
    <row r="4690" spans="1:14" x14ac:dyDescent="0.2">
      <c r="A4690" s="30">
        <v>551</v>
      </c>
      <c r="B4690" s="249" t="str">
        <f>IF(AND(A4690&lt;&gt;"",ISNUMBER(A4690)),VLOOKUP(A4690,Studies!A:BR,2,FALSE),"")</f>
        <v>Agarwala 2005a</v>
      </c>
      <c r="C4690" s="250" t="str">
        <f>IF(AND(A4690&lt;&gt;"",ISNUMBER(A4690)),VLOOKUP(A4690,Studies!A:BR,3,FALSE),"")</f>
        <v>http://www.medadvocates.org/resources/conferences/3rd%20_ias/05-156a_agarwala_086.pdf</v>
      </c>
      <c r="D4690" s="250" t="str">
        <f>IF(AND(A4690&lt;&gt;"",ISNUMBER(A4690)),VLOOKUP(A4690,Studies!A:BR,4,FALSE),"")</f>
        <v>ATV 400 mg AM (N=15)</v>
      </c>
      <c r="E4690" s="250" t="str">
        <f>IF(AND(A4690&lt;&gt;"",ISNUMBER(A4690)),VLOOKUP(A4690,Studies!A:BR,5,FALSE),"")</f>
        <v>Atazanavir</v>
      </c>
      <c r="F4690" s="251" t="str">
        <f>IF(AND(A4690&lt;&gt;"",ISNUMBER(A4690)),VLOOKUP(A4690,Studies!A:BR,6,FALSE),"")</f>
        <v>Plasma</v>
      </c>
      <c r="G4690" s="194">
        <v>119.98133747999999</v>
      </c>
      <c r="H4690" s="194" t="s">
        <v>60</v>
      </c>
      <c r="I4690" s="187">
        <v>345.62599999999998</v>
      </c>
      <c r="J4690" s="187" t="s">
        <v>941</v>
      </c>
      <c r="K4690" s="187" t="s">
        <v>116</v>
      </c>
    </row>
    <row r="4691" spans="1:14" x14ac:dyDescent="0.2">
      <c r="A4691" s="183">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121.94090199999999</v>
      </c>
      <c r="H4691" s="194" t="s">
        <v>60</v>
      </c>
      <c r="I4691" s="187">
        <v>5943.076</v>
      </c>
      <c r="J4691" s="187" t="s">
        <v>941</v>
      </c>
      <c r="K4691" s="187" t="s">
        <v>116</v>
      </c>
    </row>
    <row r="4692" spans="1:14" x14ac:dyDescent="0.2">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123.95645399999999</v>
      </c>
      <c r="H4692" s="194" t="s">
        <v>60</v>
      </c>
      <c r="I4692" s="187">
        <v>4274.4979999999996</v>
      </c>
      <c r="J4692" s="187" t="s">
        <v>941</v>
      </c>
      <c r="K4692" s="187" t="s">
        <v>116</v>
      </c>
    </row>
    <row r="4693" spans="1:14" x14ac:dyDescent="0.2">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125.953344</v>
      </c>
      <c r="H4693" s="194" t="s">
        <v>60</v>
      </c>
      <c r="I4693" s="187">
        <v>2211.2240000000002</v>
      </c>
      <c r="J4693" s="187" t="s">
        <v>941</v>
      </c>
      <c r="K4693" s="187" t="s">
        <v>116</v>
      </c>
    </row>
    <row r="4694" spans="1:14" x14ac:dyDescent="0.2">
      <c r="A4694" s="30">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127.950233</v>
      </c>
      <c r="H4694" s="194" t="s">
        <v>60</v>
      </c>
      <c r="I4694" s="187">
        <v>1458.2829999999999</v>
      </c>
      <c r="J4694" s="187" t="s">
        <v>941</v>
      </c>
      <c r="K4694" s="187" t="s">
        <v>116</v>
      </c>
    </row>
    <row r="4695" spans="1:14" x14ac:dyDescent="0.2">
      <c r="A4695" s="183">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129.947123</v>
      </c>
      <c r="H4695" s="194" t="s">
        <v>60</v>
      </c>
      <c r="I4695" s="187">
        <v>1104.8779999999999</v>
      </c>
      <c r="J4695" s="187" t="s">
        <v>941</v>
      </c>
      <c r="K4695" s="187" t="s">
        <v>116</v>
      </c>
    </row>
    <row r="4696" spans="1:14" x14ac:dyDescent="0.2">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132</v>
      </c>
      <c r="H4696" s="194" t="s">
        <v>60</v>
      </c>
      <c r="I4696" s="187">
        <v>881.83240000000001</v>
      </c>
      <c r="J4696" s="187" t="s">
        <v>941</v>
      </c>
      <c r="K4696" s="187" t="s">
        <v>116</v>
      </c>
    </row>
    <row r="4697" spans="1:14" x14ac:dyDescent="0.2">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136.01244</v>
      </c>
      <c r="H4697" s="194" t="s">
        <v>60</v>
      </c>
      <c r="I4697" s="187">
        <v>533.24929999999995</v>
      </c>
      <c r="J4697" s="187" t="s">
        <v>941</v>
      </c>
      <c r="K4697" s="187" t="s">
        <v>116</v>
      </c>
    </row>
    <row r="4698" spans="1:14" x14ac:dyDescent="0.2">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143.96268000000001</v>
      </c>
      <c r="H4698" s="194" t="s">
        <v>60</v>
      </c>
      <c r="I4698" s="187">
        <v>345.62599999999998</v>
      </c>
      <c r="J4698" s="187" t="s">
        <v>941</v>
      </c>
      <c r="K4698" s="187" t="s">
        <v>116</v>
      </c>
    </row>
    <row r="4699" spans="1:14" x14ac:dyDescent="0.2">
      <c r="A4699" s="30">
        <v>552</v>
      </c>
      <c r="B4699" s="249" t="str">
        <f>IF(AND(A4699&lt;&gt;"",ISNUMBER(A4699)),VLOOKUP(A4699,Studies!A:BR,2,FALSE),"")</f>
        <v>Agarwala 2005b</v>
      </c>
      <c r="C4699" s="250" t="str">
        <f>IF(AND(A4699&lt;&gt;"",ISNUMBER(A4699)),VLOOKUP(A4699,Studies!A:BR,3,FALSE),"")</f>
        <v>http://www.medadvocates.org/resources/conferences/3rd%20_ias/05-156b_agarwala_109.pdf</v>
      </c>
      <c r="D4699" s="250" t="str">
        <f>IF(AND(A4699&lt;&gt;"",ISNUMBER(A4699)),VLOOKUP(A4699,Studies!A:BR,4,FALSE),"")</f>
        <v>ATV 400 mg (Treatment A)</v>
      </c>
      <c r="E4699" s="250" t="str">
        <f>IF(AND(A4699&lt;&gt;"",ISNUMBER(A4699)),VLOOKUP(A4699,Studies!A:BR,5,FALSE),"")</f>
        <v>Atazanavir</v>
      </c>
      <c r="F4699" s="251" t="str">
        <f>IF(AND(A4699&lt;&gt;"",ISNUMBER(A4699)),VLOOKUP(A4699,Studies!A:BR,6,FALSE),"")</f>
        <v>Plasma</v>
      </c>
      <c r="G4699" s="194">
        <v>119.96707819</v>
      </c>
      <c r="H4699" s="194" t="s">
        <v>60</v>
      </c>
      <c r="I4699" s="187">
        <v>268.75580000000002</v>
      </c>
      <c r="J4699" s="187" t="s">
        <v>941</v>
      </c>
      <c r="K4699" s="187" t="s">
        <v>116</v>
      </c>
    </row>
    <row r="4700" spans="1:14" x14ac:dyDescent="0.2">
      <c r="A4700" s="183">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122.00823</v>
      </c>
      <c r="H4700" s="194" t="s">
        <v>60</v>
      </c>
      <c r="I4700" s="187">
        <v>4674.3879999999999</v>
      </c>
      <c r="J4700" s="187" t="s">
        <v>941</v>
      </c>
      <c r="K4700" s="187" t="s">
        <v>116</v>
      </c>
    </row>
    <row r="4701" spans="1:14" x14ac:dyDescent="0.2">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123.98353899999999</v>
      </c>
      <c r="H4701" s="194" t="s">
        <v>60</v>
      </c>
      <c r="I4701" s="187">
        <v>3333.7710000000002</v>
      </c>
      <c r="J4701" s="187" t="s">
        <v>941</v>
      </c>
      <c r="K4701" s="187" t="s">
        <v>116</v>
      </c>
    </row>
    <row r="4702" spans="1:14" x14ac:dyDescent="0.2">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125.99176900000001</v>
      </c>
      <c r="H4702" s="194" t="s">
        <v>60</v>
      </c>
      <c r="I4702" s="187">
        <v>1876.6980000000001</v>
      </c>
      <c r="J4702" s="187" t="s">
        <v>941</v>
      </c>
      <c r="K4702" s="187" t="s">
        <v>116</v>
      </c>
    </row>
    <row r="4703" spans="1:14" x14ac:dyDescent="0.2">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127.967078</v>
      </c>
      <c r="H4703" s="194" t="s">
        <v>60</v>
      </c>
      <c r="I4703" s="187">
        <v>1432.067</v>
      </c>
      <c r="J4703" s="187" t="s">
        <v>941</v>
      </c>
      <c r="K4703" s="187" t="s">
        <v>116</v>
      </c>
    </row>
    <row r="4704" spans="1:14" x14ac:dyDescent="0.2">
      <c r="A4704" s="30">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130.00823</v>
      </c>
      <c r="H4704" s="50" t="s">
        <v>60</v>
      </c>
      <c r="I4704" s="187">
        <v>1021.349</v>
      </c>
      <c r="J4704" s="41" t="s">
        <v>941</v>
      </c>
      <c r="K4704" s="41" t="s">
        <v>116</v>
      </c>
    </row>
    <row r="4705" spans="1:14" x14ac:dyDescent="0.2">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132.01646</v>
      </c>
      <c r="H4705" s="50" t="s">
        <v>60</v>
      </c>
      <c r="I4705" s="187">
        <v>779.36900000000003</v>
      </c>
      <c r="J4705" s="41" t="s">
        <v>941</v>
      </c>
      <c r="K4705" s="41" t="s">
        <v>116</v>
      </c>
    </row>
    <row r="4706" spans="1:14" x14ac:dyDescent="0.2">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135.96708000000001</v>
      </c>
      <c r="H4706" s="50" t="s">
        <v>60</v>
      </c>
      <c r="I4706" s="187">
        <v>519.51289999999995</v>
      </c>
      <c r="J4706" s="41" t="s">
        <v>941</v>
      </c>
      <c r="K4706" s="41" t="s">
        <v>116</v>
      </c>
    </row>
    <row r="4707" spans="1:14" x14ac:dyDescent="0.2">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144</v>
      </c>
      <c r="H4707" s="50" t="s">
        <v>60</v>
      </c>
      <c r="I4707" s="187">
        <v>302.50599999999997</v>
      </c>
      <c r="J4707" s="41" t="s">
        <v>941</v>
      </c>
      <c r="K4707" s="41" t="s">
        <v>116</v>
      </c>
      <c r="N4707" s="195"/>
    </row>
    <row r="4708" spans="1:14" x14ac:dyDescent="0.2">
      <c r="A4708" s="30">
        <v>553</v>
      </c>
      <c r="B4708" s="249" t="str">
        <f>IF(AND(A4708&lt;&gt;"",ISNUMBER(A4708)),VLOOKUP(A4708,Studies!A:BR,2,FALSE),"")</f>
        <v>Martin 2008</v>
      </c>
      <c r="C4708" s="250" t="str">
        <f>IF(AND(A4708&lt;&gt;"",ISNUMBER(A4708)),VLOOKUP(A4708,Studies!A:BR,3,FALSE),"")</f>
        <v>https://www.ncbi.nlm.nih.gov/pubmed/19014835</v>
      </c>
      <c r="D4708" s="250" t="str">
        <f>IF(AND(A4708&lt;&gt;"",ISNUMBER(A4708)),VLOOKUP(A4708,Studies!A:BR,4,FALSE),"")</f>
        <v>Atazanavir monotherapy (n = 24)</v>
      </c>
      <c r="E4708" s="250" t="str">
        <f>IF(AND(A4708&lt;&gt;"",ISNUMBER(A4708)),VLOOKUP(A4708,Studies!A:BR,5,FALSE),"")</f>
        <v>Atazanavir</v>
      </c>
      <c r="F4708" s="251" t="str">
        <f>IF(AND(A4708&lt;&gt;"",ISNUMBER(A4708)),VLOOKUP(A4708,Studies!A:BR,6,FALSE),"")</f>
        <v>Plasma</v>
      </c>
      <c r="G4708" s="194">
        <v>144</v>
      </c>
      <c r="H4708" s="50" t="s">
        <v>60</v>
      </c>
      <c r="I4708" s="187">
        <v>0.3901345</v>
      </c>
      <c r="J4708" s="41" t="s">
        <v>959</v>
      </c>
      <c r="K4708" s="41" t="s">
        <v>116</v>
      </c>
      <c r="L4708" s="195">
        <v>0.25560539999999998</v>
      </c>
      <c r="M4708" s="52" t="s">
        <v>959</v>
      </c>
      <c r="N4708" s="195" t="s">
        <v>117</v>
      </c>
    </row>
    <row r="4709" spans="1:14" x14ac:dyDescent="0.2">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144.5</v>
      </c>
      <c r="H4709" s="50" t="s">
        <v>60</v>
      </c>
      <c r="I4709" s="187">
        <v>0.48430489999999998</v>
      </c>
      <c r="J4709" s="41" t="s">
        <v>959</v>
      </c>
      <c r="K4709" s="41" t="s">
        <v>116</v>
      </c>
      <c r="L4709" s="195">
        <v>0.3094171</v>
      </c>
      <c r="M4709" s="52" t="s">
        <v>959</v>
      </c>
      <c r="N4709" s="195" t="s">
        <v>117</v>
      </c>
    </row>
    <row r="4710" spans="1:14" x14ac:dyDescent="0.2">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145</v>
      </c>
      <c r="H4710" s="50" t="s">
        <v>60</v>
      </c>
      <c r="I4710" s="187">
        <v>2.9730940000000001</v>
      </c>
      <c r="J4710" s="41" t="s">
        <v>959</v>
      </c>
      <c r="K4710" s="41" t="s">
        <v>116</v>
      </c>
      <c r="L4710" s="195">
        <v>1.7757849999999999</v>
      </c>
      <c r="M4710" s="52" t="s">
        <v>959</v>
      </c>
      <c r="N4710" s="195" t="s">
        <v>117</v>
      </c>
    </row>
    <row r="4711" spans="1:14" x14ac:dyDescent="0.2">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145.5</v>
      </c>
      <c r="H4711" s="50" t="s">
        <v>60</v>
      </c>
      <c r="I4711" s="187">
        <v>4.29148</v>
      </c>
      <c r="J4711" s="41" t="s">
        <v>959</v>
      </c>
      <c r="K4711" s="41" t="s">
        <v>116</v>
      </c>
      <c r="L4711" s="195">
        <v>1.8565020000000001</v>
      </c>
      <c r="M4711" s="52" t="s">
        <v>959</v>
      </c>
      <c r="N4711" s="195" t="s">
        <v>117</v>
      </c>
    </row>
    <row r="4712" spans="1:14" x14ac:dyDescent="0.2">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146</v>
      </c>
      <c r="H4712" s="50" t="s">
        <v>60</v>
      </c>
      <c r="I4712" s="187">
        <v>4.6816139999999997</v>
      </c>
      <c r="J4712" s="41" t="s">
        <v>959</v>
      </c>
      <c r="K4712" s="41" t="s">
        <v>116</v>
      </c>
      <c r="L4712" s="195">
        <v>1.7354259999999999</v>
      </c>
      <c r="M4712" s="52" t="s">
        <v>959</v>
      </c>
      <c r="N4712" s="195" t="s">
        <v>117</v>
      </c>
    </row>
    <row r="4713" spans="1:14" x14ac:dyDescent="0.2">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147</v>
      </c>
      <c r="H4713" s="50" t="s">
        <v>60</v>
      </c>
      <c r="I4713" s="187">
        <v>4.2780269999999998</v>
      </c>
      <c r="J4713" s="41" t="s">
        <v>959</v>
      </c>
      <c r="K4713" s="41" t="s">
        <v>116</v>
      </c>
      <c r="L4713" s="195">
        <v>1.183856</v>
      </c>
      <c r="M4713" s="52" t="s">
        <v>959</v>
      </c>
      <c r="N4713" s="195" t="s">
        <v>117</v>
      </c>
    </row>
    <row r="4714" spans="1:14" x14ac:dyDescent="0.2">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148</v>
      </c>
      <c r="H4714" s="50" t="s">
        <v>60</v>
      </c>
      <c r="I4714" s="187">
        <v>3.484305</v>
      </c>
      <c r="J4714" s="41" t="s">
        <v>959</v>
      </c>
      <c r="K4714" s="41" t="s">
        <v>116</v>
      </c>
      <c r="L4714" s="195">
        <v>0.95515680000000003</v>
      </c>
      <c r="M4714" s="52" t="s">
        <v>959</v>
      </c>
      <c r="N4714" s="195" t="s">
        <v>117</v>
      </c>
    </row>
    <row r="4715" spans="1:14" x14ac:dyDescent="0.2">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150</v>
      </c>
      <c r="H4715" s="50" t="s">
        <v>60</v>
      </c>
      <c r="I4715" s="187">
        <v>1.977579</v>
      </c>
      <c r="J4715" s="41" t="s">
        <v>959</v>
      </c>
      <c r="K4715" s="41" t="s">
        <v>116</v>
      </c>
      <c r="L4715" s="195">
        <v>0.60538069999999999</v>
      </c>
      <c r="M4715" s="52" t="s">
        <v>959</v>
      </c>
      <c r="N4715" s="195" t="s">
        <v>117</v>
      </c>
    </row>
    <row r="4716" spans="1:14" x14ac:dyDescent="0.2">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152</v>
      </c>
      <c r="H4716" s="50" t="s">
        <v>60</v>
      </c>
      <c r="I4716" s="187">
        <v>1.4798210000000001</v>
      </c>
      <c r="J4716" s="41" t="s">
        <v>959</v>
      </c>
      <c r="K4716" s="41" t="s">
        <v>116</v>
      </c>
      <c r="L4716" s="195">
        <v>0.53811620000000004</v>
      </c>
      <c r="M4716" s="52" t="s">
        <v>959</v>
      </c>
      <c r="N4716" s="195" t="s">
        <v>117</v>
      </c>
    </row>
    <row r="4717" spans="1:14" x14ac:dyDescent="0.2">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154</v>
      </c>
      <c r="H4717" s="50" t="s">
        <v>60</v>
      </c>
      <c r="I4717" s="187">
        <v>1.2107619999999999</v>
      </c>
      <c r="J4717" s="41" t="s">
        <v>959</v>
      </c>
      <c r="K4717" s="41" t="s">
        <v>116</v>
      </c>
      <c r="L4717" s="195">
        <v>0.49775819999999998</v>
      </c>
      <c r="M4717" s="52" t="s">
        <v>959</v>
      </c>
      <c r="N4717" s="195" t="s">
        <v>117</v>
      </c>
    </row>
    <row r="4718" spans="1:14" x14ac:dyDescent="0.2">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156</v>
      </c>
      <c r="H4718" s="50" t="s">
        <v>60</v>
      </c>
      <c r="I4718" s="187">
        <v>0.9282511</v>
      </c>
      <c r="J4718" s="41" t="s">
        <v>959</v>
      </c>
      <c r="K4718" s="41" t="s">
        <v>116</v>
      </c>
      <c r="L4718" s="195">
        <v>0.37668160000000001</v>
      </c>
      <c r="M4718" s="52" t="s">
        <v>959</v>
      </c>
      <c r="N4718" s="195" t="s">
        <v>117</v>
      </c>
    </row>
    <row r="4719" spans="1:14" x14ac:dyDescent="0.2">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162</v>
      </c>
      <c r="H4719" s="50" t="s">
        <v>60</v>
      </c>
      <c r="I4719" s="187">
        <v>0.59192820000000002</v>
      </c>
      <c r="J4719" s="41" t="s">
        <v>959</v>
      </c>
      <c r="K4719" s="41" t="s">
        <v>116</v>
      </c>
      <c r="L4719" s="195">
        <v>0.32286999999999999</v>
      </c>
      <c r="M4719" s="52" t="s">
        <v>959</v>
      </c>
      <c r="N4719" s="195" t="s">
        <v>117</v>
      </c>
    </row>
    <row r="4720" spans="1:14" x14ac:dyDescent="0.2">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168</v>
      </c>
      <c r="H4720" s="50" t="s">
        <v>60</v>
      </c>
      <c r="I4720" s="187">
        <v>0.37668160000000001</v>
      </c>
      <c r="J4720" s="41" t="s">
        <v>959</v>
      </c>
      <c r="K4720" s="41" t="s">
        <v>116</v>
      </c>
      <c r="L4720" s="195">
        <v>0.28251120000000002</v>
      </c>
      <c r="M4720" s="52" t="s">
        <v>959</v>
      </c>
      <c r="N4720" s="195" t="s">
        <v>117</v>
      </c>
    </row>
    <row r="4721" spans="1:14" x14ac:dyDescent="0.2">
      <c r="A4721" s="30">
        <v>554</v>
      </c>
      <c r="B4721" s="249" t="str">
        <f>IF(AND(A4721&lt;&gt;"",ISNUMBER(A4721)),VLOOKUP(A4721,Studies!A:BR,2,FALSE),"")</f>
        <v>Zhu 2011</v>
      </c>
      <c r="C4721" s="250" t="str">
        <f>IF(AND(A4721&lt;&gt;"",ISNUMBER(A4721)),VLOOKUP(A4721,Studies!A:BR,3,FALSE),"")</f>
        <v>https://www.ncbi.nlm.nih.gov/pubmed/20457590</v>
      </c>
      <c r="D4721" s="250" t="str">
        <f>IF(AND(A4721&lt;&gt;"",ISNUMBER(A4721)),VLOOKUP(A4721,Studies!A:BR,4,FALSE),"")</f>
        <v>Treatment A: Atazanavir 400 mg QPM</v>
      </c>
      <c r="E4721" s="250" t="str">
        <f>IF(AND(A4721&lt;&gt;"",ISNUMBER(A4721)),VLOOKUP(A4721,Studies!A:BR,5,FALSE),"")</f>
        <v>Atazanavir</v>
      </c>
      <c r="F4721" s="251" t="str">
        <f>IF(AND(A4721&lt;&gt;"",ISNUMBER(A4721)),VLOOKUP(A4721,Studies!A:BR,6,FALSE),"")</f>
        <v>Plasma</v>
      </c>
      <c r="G4721" s="194">
        <v>120</v>
      </c>
      <c r="H4721" s="50" t="s">
        <v>60</v>
      </c>
      <c r="I4721" s="187">
        <v>305.16430000000003</v>
      </c>
      <c r="J4721" s="41" t="s">
        <v>941</v>
      </c>
      <c r="K4721" s="41" t="s">
        <v>116</v>
      </c>
      <c r="L4721" s="195">
        <v>176.05629999999999</v>
      </c>
      <c r="M4721" s="52" t="s">
        <v>941</v>
      </c>
      <c r="N4721" s="195" t="s">
        <v>117</v>
      </c>
    </row>
    <row r="4722" spans="1:14" x14ac:dyDescent="0.2">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120.5</v>
      </c>
      <c r="H4722" s="50" t="s">
        <v>60</v>
      </c>
      <c r="I4722" s="187">
        <v>281.6902</v>
      </c>
      <c r="J4722" s="41" t="s">
        <v>941</v>
      </c>
      <c r="K4722" s="41" t="s">
        <v>116</v>
      </c>
      <c r="L4722" s="195">
        <v>164.3192</v>
      </c>
      <c r="M4722" s="52" t="s">
        <v>941</v>
      </c>
      <c r="N4722" s="52" t="s">
        <v>117</v>
      </c>
    </row>
    <row r="4723" spans="1:14" x14ac:dyDescent="0.2">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121.5</v>
      </c>
      <c r="H4723" s="50" t="s">
        <v>60</v>
      </c>
      <c r="I4723" s="187">
        <v>1983.568</v>
      </c>
      <c r="J4723" s="41" t="s">
        <v>941</v>
      </c>
      <c r="K4723" s="41" t="s">
        <v>116</v>
      </c>
    </row>
    <row r="4724" spans="1:14" x14ac:dyDescent="0.2">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122</v>
      </c>
      <c r="H4724" s="50" t="s">
        <v>60</v>
      </c>
      <c r="I4724" s="187">
        <v>3169.0140000000001</v>
      </c>
      <c r="J4724" s="41" t="s">
        <v>941</v>
      </c>
      <c r="K4724" s="41" t="s">
        <v>116</v>
      </c>
    </row>
    <row r="4725" spans="1:14" x14ac:dyDescent="0.2">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122.5</v>
      </c>
      <c r="H4725" s="50" t="s">
        <v>60</v>
      </c>
      <c r="I4725" s="187">
        <v>3462.4409999999998</v>
      </c>
      <c r="J4725" s="41" t="s">
        <v>941</v>
      </c>
      <c r="K4725" s="41" t="s">
        <v>116</v>
      </c>
    </row>
    <row r="4726" spans="1:14" x14ac:dyDescent="0.2">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123</v>
      </c>
      <c r="H4726" s="50" t="s">
        <v>60</v>
      </c>
      <c r="I4726" s="187">
        <v>3650.2350000000001</v>
      </c>
      <c r="J4726" s="41" t="s">
        <v>941</v>
      </c>
      <c r="K4726" s="41" t="s">
        <v>116</v>
      </c>
    </row>
    <row r="4727" spans="1:14" x14ac:dyDescent="0.2">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124</v>
      </c>
      <c r="H4727" s="50" t="s">
        <v>60</v>
      </c>
      <c r="I4727" s="187">
        <v>3497.6529999999998</v>
      </c>
      <c r="J4727" s="41" t="s">
        <v>941</v>
      </c>
      <c r="K4727" s="41" t="s">
        <v>116</v>
      </c>
    </row>
    <row r="4728" spans="1:14" x14ac:dyDescent="0.2">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126</v>
      </c>
      <c r="H4728" s="50" t="s">
        <v>60</v>
      </c>
      <c r="I4728" s="187">
        <v>2699.5309999999999</v>
      </c>
      <c r="J4728" s="41" t="s">
        <v>941</v>
      </c>
      <c r="K4728" s="41" t="s">
        <v>116</v>
      </c>
    </row>
    <row r="4729" spans="1:14" x14ac:dyDescent="0.2">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128</v>
      </c>
      <c r="H4729" s="50" t="s">
        <v>60</v>
      </c>
      <c r="I4729" s="187">
        <v>1971.8309999999999</v>
      </c>
      <c r="J4729" s="41" t="s">
        <v>941</v>
      </c>
      <c r="K4729" s="41" t="s">
        <v>116</v>
      </c>
      <c r="N4729" s="195"/>
    </row>
    <row r="4730" spans="1:14" x14ac:dyDescent="0.2">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132</v>
      </c>
      <c r="H4730" s="50" t="s">
        <v>60</v>
      </c>
      <c r="I4730" s="187">
        <v>1314.5540000000001</v>
      </c>
      <c r="J4730" s="41" t="s">
        <v>941</v>
      </c>
      <c r="K4730" s="41" t="s">
        <v>116</v>
      </c>
      <c r="L4730" s="195">
        <v>434.27229999999997</v>
      </c>
      <c r="M4730" s="52" t="s">
        <v>941</v>
      </c>
      <c r="N4730" s="195" t="s">
        <v>117</v>
      </c>
    </row>
    <row r="4731" spans="1:14" x14ac:dyDescent="0.2">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136</v>
      </c>
      <c r="H4731" s="50" t="s">
        <v>60</v>
      </c>
      <c r="I4731" s="187">
        <v>809.85910000000001</v>
      </c>
      <c r="J4731" s="41" t="s">
        <v>941</v>
      </c>
      <c r="K4731" s="41" t="s">
        <v>116</v>
      </c>
      <c r="L4731" s="195">
        <v>352.11270000000002</v>
      </c>
      <c r="M4731" s="52" t="s">
        <v>941</v>
      </c>
      <c r="N4731" s="195" t="s">
        <v>117</v>
      </c>
    </row>
    <row r="4732" spans="1:14" x14ac:dyDescent="0.2">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144</v>
      </c>
      <c r="H4732" s="50" t="s">
        <v>60</v>
      </c>
      <c r="I4732" s="187">
        <v>293.42720000000003</v>
      </c>
      <c r="J4732" s="41" t="s">
        <v>941</v>
      </c>
      <c r="K4732" s="41" t="s">
        <v>116</v>
      </c>
      <c r="L4732" s="195">
        <v>187.79349999999999</v>
      </c>
      <c r="M4732" s="52" t="s">
        <v>941</v>
      </c>
      <c r="N4732" s="195" t="s">
        <v>117</v>
      </c>
    </row>
    <row r="4733" spans="1:14" x14ac:dyDescent="0.2">
      <c r="A4733" s="30">
        <v>555</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B: Atazanavir 400 mg QAM</v>
      </c>
      <c r="E4733" s="250" t="str">
        <f>IF(AND(A4733&lt;&gt;"",ISNUMBER(A4733)),VLOOKUP(A4733,Studies!A:BR,5,FALSE),"")</f>
        <v>Atazanavir</v>
      </c>
      <c r="F4733" s="251" t="str">
        <f>IF(AND(A4733&lt;&gt;"",ISNUMBER(A4733)),VLOOKUP(A4733,Studies!A:BR,6,FALSE),"")</f>
        <v>Plasma</v>
      </c>
      <c r="G4733" s="194">
        <v>120</v>
      </c>
      <c r="H4733" s="50" t="s">
        <v>60</v>
      </c>
      <c r="I4733" s="187">
        <v>308.30040000000002</v>
      </c>
      <c r="J4733" s="41" t="s">
        <v>941</v>
      </c>
      <c r="K4733" s="41" t="s">
        <v>116</v>
      </c>
      <c r="L4733" s="195">
        <v>189.72329999999999</v>
      </c>
      <c r="M4733" s="52" t="s">
        <v>941</v>
      </c>
      <c r="N4733" s="195" t="s">
        <v>117</v>
      </c>
    </row>
    <row r="4734" spans="1:14" x14ac:dyDescent="0.2">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120.5</v>
      </c>
      <c r="H4734" s="50" t="s">
        <v>60</v>
      </c>
      <c r="I4734" s="187">
        <v>308.30040000000002</v>
      </c>
      <c r="J4734" s="41" t="s">
        <v>941</v>
      </c>
      <c r="K4734" s="41" t="s">
        <v>116</v>
      </c>
      <c r="L4734" s="195">
        <v>189.72329999999999</v>
      </c>
      <c r="M4734" s="52" t="s">
        <v>941</v>
      </c>
      <c r="N4734" s="52" t="s">
        <v>117</v>
      </c>
    </row>
    <row r="4735" spans="1:14" x14ac:dyDescent="0.2">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121.5</v>
      </c>
      <c r="H4735" s="50" t="s">
        <v>60</v>
      </c>
      <c r="I4735" s="187">
        <v>3652.174</v>
      </c>
      <c r="J4735" s="41" t="s">
        <v>941</v>
      </c>
      <c r="K4735" s="41" t="s">
        <v>116</v>
      </c>
    </row>
    <row r="4736" spans="1:14" x14ac:dyDescent="0.2">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122</v>
      </c>
      <c r="H4736" s="50" t="s">
        <v>60</v>
      </c>
      <c r="I4736" s="187">
        <v>4494.0709999999999</v>
      </c>
      <c r="J4736" s="41" t="s">
        <v>941</v>
      </c>
      <c r="K4736" s="41" t="s">
        <v>116</v>
      </c>
    </row>
    <row r="4737" spans="1:14" x14ac:dyDescent="0.2">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122.5</v>
      </c>
      <c r="H4737" s="50" t="s">
        <v>60</v>
      </c>
      <c r="I4737" s="187">
        <v>4470.3559999999998</v>
      </c>
      <c r="J4737" s="41" t="s">
        <v>941</v>
      </c>
      <c r="K4737" s="41" t="s">
        <v>116</v>
      </c>
    </row>
    <row r="4738" spans="1:14" x14ac:dyDescent="0.2">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123</v>
      </c>
      <c r="H4738" s="50" t="s">
        <v>60</v>
      </c>
      <c r="I4738" s="187">
        <v>4434.7830000000004</v>
      </c>
      <c r="J4738" s="41" t="s">
        <v>941</v>
      </c>
      <c r="K4738" s="41" t="s">
        <v>116</v>
      </c>
    </row>
    <row r="4739" spans="1:14" x14ac:dyDescent="0.2">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124</v>
      </c>
      <c r="H4739" s="50" t="s">
        <v>60</v>
      </c>
      <c r="I4739" s="187">
        <v>3806.3240000000001</v>
      </c>
      <c r="J4739" s="41" t="s">
        <v>941</v>
      </c>
      <c r="K4739" s="41" t="s">
        <v>116</v>
      </c>
      <c r="N4739" s="195"/>
    </row>
    <row r="4740" spans="1:14" x14ac:dyDescent="0.2">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126</v>
      </c>
      <c r="H4740" s="50" t="s">
        <v>60</v>
      </c>
      <c r="I4740" s="187">
        <v>2098.8139999999999</v>
      </c>
      <c r="J4740" s="41" t="s">
        <v>941</v>
      </c>
      <c r="K4740" s="41" t="s">
        <v>116</v>
      </c>
      <c r="L4740" s="195">
        <v>11.85791</v>
      </c>
      <c r="M4740" s="52" t="s">
        <v>941</v>
      </c>
      <c r="N4740" s="195" t="s">
        <v>117</v>
      </c>
    </row>
    <row r="4741" spans="1:14" x14ac:dyDescent="0.2">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128</v>
      </c>
      <c r="H4741" s="50" t="s">
        <v>60</v>
      </c>
      <c r="I4741" s="187">
        <v>1399.2090000000001</v>
      </c>
      <c r="J4741" s="41" t="s">
        <v>941</v>
      </c>
      <c r="K4741" s="41" t="s">
        <v>116</v>
      </c>
      <c r="L4741" s="195">
        <v>533.59730000000002</v>
      </c>
      <c r="M4741" s="52" t="s">
        <v>941</v>
      </c>
      <c r="N4741" s="195" t="s">
        <v>117</v>
      </c>
    </row>
    <row r="4742" spans="1:14" x14ac:dyDescent="0.2">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132</v>
      </c>
      <c r="H4742" s="50" t="s">
        <v>60</v>
      </c>
      <c r="I4742" s="187">
        <v>782.6087</v>
      </c>
      <c r="J4742" s="41" t="s">
        <v>941</v>
      </c>
      <c r="K4742" s="41" t="s">
        <v>116</v>
      </c>
      <c r="L4742" s="195">
        <v>296.4427</v>
      </c>
      <c r="M4742" s="52" t="s">
        <v>941</v>
      </c>
      <c r="N4742" s="195" t="s">
        <v>117</v>
      </c>
    </row>
    <row r="4743" spans="1:14" x14ac:dyDescent="0.2">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136</v>
      </c>
      <c r="H4743" s="50" t="s">
        <v>60</v>
      </c>
      <c r="I4743" s="187">
        <v>486.166</v>
      </c>
      <c r="J4743" s="41" t="s">
        <v>941</v>
      </c>
      <c r="K4743" s="41" t="s">
        <v>116</v>
      </c>
      <c r="L4743" s="195">
        <v>249.0119</v>
      </c>
      <c r="M4743" s="52" t="s">
        <v>941</v>
      </c>
      <c r="N4743" s="195" t="s">
        <v>117</v>
      </c>
    </row>
    <row r="4744" spans="1:14" x14ac:dyDescent="0.2">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144</v>
      </c>
      <c r="H4744" s="50" t="s">
        <v>60</v>
      </c>
      <c r="I4744" s="187">
        <v>320.15809999999999</v>
      </c>
      <c r="J4744" s="41" t="s">
        <v>941</v>
      </c>
      <c r="K4744" s="41" t="s">
        <v>116</v>
      </c>
      <c r="L4744" s="195">
        <v>201.58099999999999</v>
      </c>
      <c r="M4744" s="52" t="s">
        <v>941</v>
      </c>
      <c r="N4744" s="52" t="s">
        <v>117</v>
      </c>
    </row>
    <row r="4745" spans="1:14" x14ac:dyDescent="0.2">
      <c r="A4745" s="30">
        <v>556</v>
      </c>
      <c r="B4745" s="249" t="str">
        <f>IF(AND(A4745&lt;&gt;"",ISNUMBER(A4745)),VLOOKUP(A4745,Studies!A:BR,2,FALSE),"")</f>
        <v>ClinPharmReview, AI424-001, p. 51</v>
      </c>
      <c r="C4745" s="250" t="str">
        <f>IF(AND(A4745&lt;&gt;"",ISNUMBER(A4745)),VLOOKUP(A4745,Studies!A:BR,3,FALSE),"")</f>
        <v>https://www.accessdata.fda.gov/drugsatfda_docs/nda/2003/21-567_Reyataz_BioPharmr_P1.pdf</v>
      </c>
      <c r="D4745" s="250" t="str">
        <f>IF(AND(A4745&lt;&gt;"",ISNUMBER(A4745)),VLOOKUP(A4745,Studies!A:BR,4,FALSE),"")</f>
        <v>100 mg</v>
      </c>
      <c r="E4745" s="250" t="str">
        <f>IF(AND(A4745&lt;&gt;"",ISNUMBER(A4745)),VLOOKUP(A4745,Studies!A:BR,5,FALSE),"")</f>
        <v>Atazanavir</v>
      </c>
      <c r="F4745" s="251" t="str">
        <f>IF(AND(A4745&lt;&gt;"",ISNUMBER(A4745)),VLOOKUP(A4745,Studies!A:BR,6,FALSE),"")</f>
        <v>Plasma</v>
      </c>
      <c r="G4745" s="194">
        <v>0.59868370000000004</v>
      </c>
      <c r="H4745" s="50" t="s">
        <v>60</v>
      </c>
      <c r="I4745" s="187">
        <v>11.5062</v>
      </c>
      <c r="J4745" s="41" t="s">
        <v>941</v>
      </c>
      <c r="K4745" s="41" t="s">
        <v>116</v>
      </c>
    </row>
    <row r="4746" spans="1:14" x14ac:dyDescent="0.2">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0.74884209999999995</v>
      </c>
      <c r="H4746" s="50" t="s">
        <v>60</v>
      </c>
      <c r="I4746" s="187">
        <v>31.492550000000001</v>
      </c>
      <c r="J4746" s="41" t="s">
        <v>941</v>
      </c>
      <c r="K4746" s="41" t="s">
        <v>116</v>
      </c>
    </row>
    <row r="4747" spans="1:14" x14ac:dyDescent="0.2">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0.94092790000000004</v>
      </c>
      <c r="H4747" s="50" t="s">
        <v>60</v>
      </c>
      <c r="I4747" s="187">
        <v>37.762520000000002</v>
      </c>
      <c r="J4747" s="41" t="s">
        <v>941</v>
      </c>
      <c r="K4747" s="41" t="s">
        <v>116</v>
      </c>
    </row>
    <row r="4748" spans="1:14" x14ac:dyDescent="0.2">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1.3992039999999999</v>
      </c>
      <c r="H4748" s="50" t="s">
        <v>60</v>
      </c>
      <c r="I4748" s="187">
        <v>41.011270000000003</v>
      </c>
      <c r="J4748" s="41" t="s">
        <v>941</v>
      </c>
      <c r="K4748" s="41" t="s">
        <v>116</v>
      </c>
    </row>
    <row r="4749" spans="1:14" x14ac:dyDescent="0.2">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2.1246450000000001</v>
      </c>
      <c r="H4749" s="50" t="s">
        <v>60</v>
      </c>
      <c r="I4749" s="187">
        <v>41.011270000000003</v>
      </c>
      <c r="J4749" s="41" t="s">
        <v>941</v>
      </c>
      <c r="K4749" s="41" t="s">
        <v>116</v>
      </c>
    </row>
    <row r="4750" spans="1:14" x14ac:dyDescent="0.2">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3.0275449999999999</v>
      </c>
      <c r="H4750" s="50" t="s">
        <v>60</v>
      </c>
      <c r="I4750" s="187">
        <v>38.390999999999998</v>
      </c>
      <c r="J4750" s="41" t="s">
        <v>941</v>
      </c>
      <c r="K4750" s="41" t="s">
        <v>116</v>
      </c>
    </row>
    <row r="4751" spans="1:14" x14ac:dyDescent="0.2">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4.0191759999999999</v>
      </c>
      <c r="H4751" s="50" t="s">
        <v>60</v>
      </c>
      <c r="I4751" s="187">
        <v>34.771120000000003</v>
      </c>
      <c r="J4751" s="41" t="s">
        <v>941</v>
      </c>
      <c r="K4751" s="41" t="s">
        <v>116</v>
      </c>
    </row>
    <row r="4752" spans="1:14" x14ac:dyDescent="0.2">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5.0195819999999998</v>
      </c>
      <c r="H4752" s="50" t="s">
        <v>60</v>
      </c>
      <c r="I4752" s="187">
        <v>36.536250000000003</v>
      </c>
      <c r="J4752" s="41" t="s">
        <v>941</v>
      </c>
      <c r="K4752" s="41" t="s">
        <v>116</v>
      </c>
    </row>
    <row r="4753" spans="1:11" x14ac:dyDescent="0.2">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6.0989680000000002</v>
      </c>
      <c r="H4753" s="50" t="s">
        <v>60</v>
      </c>
      <c r="I4753" s="187">
        <v>31.492550000000001</v>
      </c>
      <c r="J4753" s="41" t="s">
        <v>941</v>
      </c>
      <c r="K4753" s="41" t="s">
        <v>116</v>
      </c>
    </row>
    <row r="4754" spans="1:11" x14ac:dyDescent="0.2">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7.975949</v>
      </c>
      <c r="H4754" s="50" t="s">
        <v>60</v>
      </c>
      <c r="I4754" s="187">
        <v>19.837689999999998</v>
      </c>
      <c r="J4754" s="41" t="s">
        <v>941</v>
      </c>
      <c r="K4754" s="41" t="s">
        <v>116</v>
      </c>
    </row>
    <row r="4755" spans="1:11" x14ac:dyDescent="0.2">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11.900539999999999</v>
      </c>
      <c r="H4755" s="50" t="s">
        <v>60</v>
      </c>
      <c r="I4755" s="187">
        <v>6.56454</v>
      </c>
      <c r="J4755" s="41" t="s">
        <v>941</v>
      </c>
      <c r="K4755" s="41" t="s">
        <v>116</v>
      </c>
    </row>
    <row r="4756" spans="1:11" x14ac:dyDescent="0.2">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17.978059999999999</v>
      </c>
      <c r="H4756" s="50" t="s">
        <v>60</v>
      </c>
      <c r="I4756" s="187">
        <v>1.4617549999999999</v>
      </c>
      <c r="J4756" s="41" t="s">
        <v>941</v>
      </c>
      <c r="K4756" s="41" t="s">
        <v>116</v>
      </c>
    </row>
    <row r="4757" spans="1:11" x14ac:dyDescent="0.2">
      <c r="A4757" s="30">
        <v>557</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300 mg</v>
      </c>
      <c r="E4757" s="250" t="str">
        <f>IF(AND(A4757&lt;&gt;"",ISNUMBER(A4757)),VLOOKUP(A4757,Studies!A:BR,5,FALSE),"")</f>
        <v>Atazanavir</v>
      </c>
      <c r="F4757" s="251" t="str">
        <f>IF(AND(A4757&lt;&gt;"",ISNUMBER(A4757)),VLOOKUP(A4757,Studies!A:BR,6,FALSE),"")</f>
        <v>Plasma</v>
      </c>
      <c r="G4757" s="194">
        <v>0.61038429999999999</v>
      </c>
      <c r="H4757" s="50" t="s">
        <v>60</v>
      </c>
      <c r="I4757" s="187">
        <v>302.19459999999998</v>
      </c>
      <c r="J4757" s="41" t="s">
        <v>941</v>
      </c>
      <c r="K4757" s="41" t="s">
        <v>116</v>
      </c>
    </row>
    <row r="4758" spans="1:11" x14ac:dyDescent="0.2">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0.93215250000000005</v>
      </c>
      <c r="H4758" s="50" t="s">
        <v>60</v>
      </c>
      <c r="I4758" s="187">
        <v>701.25850000000003</v>
      </c>
      <c r="J4758" s="41" t="s">
        <v>941</v>
      </c>
      <c r="K4758" s="41" t="s">
        <v>116</v>
      </c>
    </row>
    <row r="4759" spans="1:11" x14ac:dyDescent="0.2">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1.498659</v>
      </c>
      <c r="H4759" s="50" t="s">
        <v>60</v>
      </c>
      <c r="I4759" s="187">
        <v>1025.068</v>
      </c>
      <c r="J4759" s="41" t="s">
        <v>941</v>
      </c>
      <c r="K4759" s="41" t="s">
        <v>116</v>
      </c>
    </row>
    <row r="4760" spans="1:11" x14ac:dyDescent="0.2">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2.1304949999999998</v>
      </c>
      <c r="H4760" s="50" t="s">
        <v>60</v>
      </c>
      <c r="I4760" s="187">
        <v>975.54499999999996</v>
      </c>
      <c r="J4760" s="41" t="s">
        <v>941</v>
      </c>
      <c r="K4760" s="41" t="s">
        <v>116</v>
      </c>
    </row>
    <row r="4761" spans="1:11" x14ac:dyDescent="0.2">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3.02657</v>
      </c>
      <c r="H4761" s="50" t="s">
        <v>60</v>
      </c>
      <c r="I4761" s="187">
        <v>813.56880000000001</v>
      </c>
      <c r="J4761" s="41" t="s">
        <v>941</v>
      </c>
      <c r="K4761" s="41" t="s">
        <v>116</v>
      </c>
    </row>
    <row r="4762" spans="1:11" x14ac:dyDescent="0.2">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4.0952310000000001</v>
      </c>
      <c r="H4762" s="50" t="s">
        <v>60</v>
      </c>
      <c r="I4762" s="187">
        <v>584.82389999999998</v>
      </c>
      <c r="J4762" s="41" t="s">
        <v>941</v>
      </c>
      <c r="K4762" s="41" t="s">
        <v>116</v>
      </c>
    </row>
    <row r="4763" spans="1:11" x14ac:dyDescent="0.2">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5.0810110000000002</v>
      </c>
      <c r="H4763" s="50" t="s">
        <v>60</v>
      </c>
      <c r="I4763" s="187">
        <v>479.73739999999998</v>
      </c>
      <c r="J4763" s="41" t="s">
        <v>941</v>
      </c>
      <c r="K4763" s="41" t="s">
        <v>116</v>
      </c>
    </row>
    <row r="4764" spans="1:11" x14ac:dyDescent="0.2">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6.0628909999999996</v>
      </c>
      <c r="H4764" s="50" t="s">
        <v>60</v>
      </c>
      <c r="I4764" s="187">
        <v>368.3904</v>
      </c>
      <c r="J4764" s="41" t="s">
        <v>941</v>
      </c>
      <c r="K4764" s="41" t="s">
        <v>116</v>
      </c>
    </row>
    <row r="4765" spans="1:11" x14ac:dyDescent="0.2">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8.1212319999999991</v>
      </c>
      <c r="H4765" s="50" t="s">
        <v>60</v>
      </c>
      <c r="I4765" s="187">
        <v>232.05529999999999</v>
      </c>
      <c r="J4765" s="41" t="s">
        <v>941</v>
      </c>
      <c r="K4765" s="41" t="s">
        <v>116</v>
      </c>
    </row>
    <row r="4766" spans="1:11" x14ac:dyDescent="0.2">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12.064349999999999</v>
      </c>
      <c r="H4766" s="50" t="s">
        <v>60</v>
      </c>
      <c r="I4766" s="187">
        <v>105.07640000000001</v>
      </c>
      <c r="J4766" s="41" t="s">
        <v>941</v>
      </c>
      <c r="K4766" s="41" t="s">
        <v>116</v>
      </c>
    </row>
    <row r="4767" spans="1:11" x14ac:dyDescent="0.2">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18.067769999999999</v>
      </c>
      <c r="H4767" s="50" t="s">
        <v>60</v>
      </c>
      <c r="I4767" s="187">
        <v>30.97701</v>
      </c>
      <c r="J4767" s="41" t="s">
        <v>941</v>
      </c>
      <c r="K4767" s="41" t="s">
        <v>116</v>
      </c>
    </row>
    <row r="4768" spans="1:11" x14ac:dyDescent="0.2">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23.998049999999999</v>
      </c>
      <c r="H4768" s="50" t="s">
        <v>60</v>
      </c>
      <c r="I4768" s="187">
        <v>12.29152</v>
      </c>
      <c r="J4768" s="41" t="s">
        <v>941</v>
      </c>
      <c r="K4768" s="41" t="s">
        <v>116</v>
      </c>
    </row>
    <row r="4769" spans="1:11" x14ac:dyDescent="0.2">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30.017060000000001</v>
      </c>
      <c r="H4769" s="50" t="s">
        <v>60</v>
      </c>
      <c r="I4769" s="187">
        <v>4.718839</v>
      </c>
      <c r="J4769" s="41" t="s">
        <v>941</v>
      </c>
      <c r="K4769" s="41" t="s">
        <v>116</v>
      </c>
    </row>
    <row r="4770" spans="1:11" x14ac:dyDescent="0.2">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36.011699999999998</v>
      </c>
      <c r="H4770" s="50" t="s">
        <v>60</v>
      </c>
      <c r="I4770" s="187">
        <v>1.199093</v>
      </c>
      <c r="J4770" s="41" t="s">
        <v>941</v>
      </c>
      <c r="K4770" s="41" t="s">
        <v>116</v>
      </c>
    </row>
    <row r="4771" spans="1:11" x14ac:dyDescent="0.2">
      <c r="A4771" s="30">
        <v>558</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600 mg</v>
      </c>
      <c r="E4771" s="250" t="str">
        <f>IF(AND(A4771&lt;&gt;"",ISNUMBER(A4771)),VLOOKUP(A4771,Studies!A:BR,5,FALSE),"")</f>
        <v>Atazanavir</v>
      </c>
      <c r="F4771" s="251" t="str">
        <f>IF(AND(A4771&lt;&gt;"",ISNUMBER(A4771)),VLOOKUP(A4771,Studies!A:BR,6,FALSE),"")</f>
        <v>Plasma</v>
      </c>
      <c r="G4771" s="194">
        <v>1.091086</v>
      </c>
      <c r="H4771" s="50" t="s">
        <v>60</v>
      </c>
      <c r="I4771" s="187">
        <v>2226.7440000000001</v>
      </c>
      <c r="J4771" s="41" t="s">
        <v>941</v>
      </c>
      <c r="K4771" s="41" t="s">
        <v>116</v>
      </c>
    </row>
    <row r="4772" spans="1:11" x14ac:dyDescent="0.2">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1.5600879999999999</v>
      </c>
      <c r="H4772" s="50" t="s">
        <v>60</v>
      </c>
      <c r="I4772" s="187">
        <v>2899.7840000000001</v>
      </c>
      <c r="J4772" s="41" t="s">
        <v>941</v>
      </c>
      <c r="K4772" s="41" t="s">
        <v>116</v>
      </c>
    </row>
    <row r="4773" spans="1:11" x14ac:dyDescent="0.2">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2.193873</v>
      </c>
      <c r="H4773" s="50" t="s">
        <v>60</v>
      </c>
      <c r="I4773" s="187">
        <v>2852.3130000000001</v>
      </c>
      <c r="J4773" s="41" t="s">
        <v>941</v>
      </c>
      <c r="K4773" s="41" t="s">
        <v>116</v>
      </c>
    </row>
    <row r="4774" spans="1:11" x14ac:dyDescent="0.2">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2.999269</v>
      </c>
      <c r="H4774" s="50" t="s">
        <v>60</v>
      </c>
      <c r="I4774" s="187">
        <v>2378.7240000000002</v>
      </c>
      <c r="J4774" s="41" t="s">
        <v>941</v>
      </c>
      <c r="K4774" s="41" t="s">
        <v>116</v>
      </c>
    </row>
    <row r="4775" spans="1:11" x14ac:dyDescent="0.2">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4.0786540000000002</v>
      </c>
      <c r="H4775" s="50" t="s">
        <v>60</v>
      </c>
      <c r="I4775" s="187">
        <v>2050.35</v>
      </c>
      <c r="J4775" s="41" t="s">
        <v>941</v>
      </c>
      <c r="K4775" s="41" t="s">
        <v>116</v>
      </c>
    </row>
    <row r="4776" spans="1:11" x14ac:dyDescent="0.2">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5.0605339999999996</v>
      </c>
      <c r="H4776" s="50" t="s">
        <v>60</v>
      </c>
      <c r="I4776" s="187">
        <v>1574.4639999999999</v>
      </c>
      <c r="J4776" s="41" t="s">
        <v>941</v>
      </c>
      <c r="K4776" s="41" t="s">
        <v>116</v>
      </c>
    </row>
    <row r="4777" spans="1:11" x14ac:dyDescent="0.2">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6.0404650000000002</v>
      </c>
      <c r="H4777" s="50" t="s">
        <v>60</v>
      </c>
      <c r="I4777" s="187">
        <v>1169.77</v>
      </c>
      <c r="J4777" s="41" t="s">
        <v>941</v>
      </c>
      <c r="K4777" s="41" t="s">
        <v>116</v>
      </c>
    </row>
    <row r="4778" spans="1:11" x14ac:dyDescent="0.2">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8.1105060000000009</v>
      </c>
      <c r="H4778" s="50" t="s">
        <v>60</v>
      </c>
      <c r="I4778" s="187">
        <v>898.26610000000005</v>
      </c>
      <c r="J4778" s="41" t="s">
        <v>941</v>
      </c>
      <c r="K4778" s="41" t="s">
        <v>116</v>
      </c>
    </row>
    <row r="4779" spans="1:11" x14ac:dyDescent="0.2">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11.9688</v>
      </c>
      <c r="H4779" s="50" t="s">
        <v>60</v>
      </c>
      <c r="I4779" s="187">
        <v>449.08620000000002</v>
      </c>
      <c r="J4779" s="41" t="s">
        <v>941</v>
      </c>
      <c r="K4779" s="41" t="s">
        <v>116</v>
      </c>
    </row>
    <row r="4780" spans="1:11" x14ac:dyDescent="0.2">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18.081420000000001</v>
      </c>
      <c r="H4780" s="50" t="s">
        <v>60</v>
      </c>
      <c r="I4780" s="187">
        <v>181.1609</v>
      </c>
      <c r="J4780" s="41" t="s">
        <v>941</v>
      </c>
      <c r="K4780" s="41" t="s">
        <v>116</v>
      </c>
    </row>
    <row r="4781" spans="1:11" x14ac:dyDescent="0.2">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24.122859999999999</v>
      </c>
      <c r="H4781" s="50" t="s">
        <v>60</v>
      </c>
      <c r="I4781" s="187">
        <v>101.6643</v>
      </c>
      <c r="J4781" s="41" t="s">
        <v>941</v>
      </c>
      <c r="K4781" s="41" t="s">
        <v>116</v>
      </c>
    </row>
    <row r="4782" spans="1:11" x14ac:dyDescent="0.2">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30.058019999999999</v>
      </c>
      <c r="H4782" s="50" t="s">
        <v>60</v>
      </c>
      <c r="I4782" s="187">
        <v>43.810380000000002</v>
      </c>
      <c r="J4782" s="41" t="s">
        <v>941</v>
      </c>
      <c r="K4782" s="41" t="s">
        <v>116</v>
      </c>
    </row>
    <row r="4783" spans="1:11" x14ac:dyDescent="0.2">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36.002929999999999</v>
      </c>
      <c r="H4783" s="50" t="s">
        <v>60</v>
      </c>
      <c r="I4783" s="187">
        <v>22.267440000000001</v>
      </c>
      <c r="J4783" s="41" t="s">
        <v>941</v>
      </c>
      <c r="K4783" s="41" t="s">
        <v>116</v>
      </c>
    </row>
    <row r="4784" spans="1:11" x14ac:dyDescent="0.2">
      <c r="A4784" s="30">
        <v>559</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900 mg</v>
      </c>
      <c r="E4784" s="250" t="str">
        <f>IF(AND(A4784&lt;&gt;"",ISNUMBER(A4784)),VLOOKUP(A4784,Studies!A:BR,5,FALSE),"")</f>
        <v>Atazanavir</v>
      </c>
      <c r="F4784" s="251" t="str">
        <f>IF(AND(A4784&lt;&gt;"",ISNUMBER(A4784)),VLOOKUP(A4784,Studies!A:BR,6,FALSE),"")</f>
        <v>Plasma</v>
      </c>
      <c r="G4784" s="194">
        <v>1.493784</v>
      </c>
      <c r="H4784" s="50" t="s">
        <v>60</v>
      </c>
      <c r="I4784" s="187">
        <v>4381.0389999999998</v>
      </c>
      <c r="J4784" s="41" t="s">
        <v>941</v>
      </c>
      <c r="K4784" s="41" t="s">
        <v>116</v>
      </c>
    </row>
    <row r="4785" spans="1:11" x14ac:dyDescent="0.2">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1.9598599999999999</v>
      </c>
      <c r="H4785" s="50" t="s">
        <v>60</v>
      </c>
      <c r="I4785" s="187">
        <v>5429.59</v>
      </c>
      <c r="J4785" s="41" t="s">
        <v>941</v>
      </c>
      <c r="K4785" s="41" t="s">
        <v>116</v>
      </c>
    </row>
    <row r="4786" spans="1:11" x14ac:dyDescent="0.2">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2.9514909999999999</v>
      </c>
      <c r="H4786" s="50" t="s">
        <v>60</v>
      </c>
      <c r="I4786" s="187">
        <v>4917.6350000000002</v>
      </c>
      <c r="J4786" s="41" t="s">
        <v>941</v>
      </c>
      <c r="K4786" s="41" t="s">
        <v>116</v>
      </c>
    </row>
    <row r="4787" spans="1:11" x14ac:dyDescent="0.2">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4.1196060000000001</v>
      </c>
      <c r="H4787" s="50" t="s">
        <v>60</v>
      </c>
      <c r="I4787" s="187">
        <v>4101.1270000000004</v>
      </c>
      <c r="J4787" s="41" t="s">
        <v>941</v>
      </c>
      <c r="K4787" s="41" t="s">
        <v>116</v>
      </c>
    </row>
    <row r="4788" spans="1:11" x14ac:dyDescent="0.2">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5.006907</v>
      </c>
      <c r="H4788" s="50" t="s">
        <v>60</v>
      </c>
      <c r="I4788" s="187">
        <v>2948.0450000000001</v>
      </c>
      <c r="J4788" s="41" t="s">
        <v>941</v>
      </c>
      <c r="K4788" s="41" t="s">
        <v>116</v>
      </c>
    </row>
    <row r="4789" spans="1:11" x14ac:dyDescent="0.2">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5.994637</v>
      </c>
      <c r="H4789" s="50" t="s">
        <v>60</v>
      </c>
      <c r="I4789" s="187">
        <v>2499.4789999999998</v>
      </c>
      <c r="J4789" s="41" t="s">
        <v>941</v>
      </c>
      <c r="K4789" s="41" t="s">
        <v>116</v>
      </c>
    </row>
    <row r="4790" spans="1:11" x14ac:dyDescent="0.2">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8.0627289999999991</v>
      </c>
      <c r="H4790" s="50" t="s">
        <v>60</v>
      </c>
      <c r="I4790" s="187">
        <v>1857.0229999999999</v>
      </c>
      <c r="J4790" s="41" t="s">
        <v>941</v>
      </c>
      <c r="K4790" s="41" t="s">
        <v>116</v>
      </c>
    </row>
    <row r="4791" spans="1:11" x14ac:dyDescent="0.2">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12.020479999999999</v>
      </c>
      <c r="H4791" s="50" t="s">
        <v>60</v>
      </c>
      <c r="I4791" s="187">
        <v>1077.105</v>
      </c>
      <c r="J4791" s="41" t="s">
        <v>941</v>
      </c>
      <c r="K4791" s="41" t="s">
        <v>116</v>
      </c>
    </row>
    <row r="4792" spans="1:11" x14ac:dyDescent="0.2">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18.05217</v>
      </c>
      <c r="H4792" s="50" t="s">
        <v>60</v>
      </c>
      <c r="I4792" s="187">
        <v>512.48059999999998</v>
      </c>
      <c r="J4792" s="41" t="s">
        <v>941</v>
      </c>
      <c r="K4792" s="41" t="s">
        <v>116</v>
      </c>
    </row>
    <row r="4793" spans="1:11" x14ac:dyDescent="0.2">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24.098479999999999</v>
      </c>
      <c r="H4793" s="50" t="s">
        <v>60</v>
      </c>
      <c r="I4793" s="187">
        <v>312.3372</v>
      </c>
      <c r="J4793" s="41" t="s">
        <v>941</v>
      </c>
      <c r="K4793" s="41" t="s">
        <v>116</v>
      </c>
    </row>
    <row r="4794" spans="1:11" x14ac:dyDescent="0.2">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30.041440000000001</v>
      </c>
      <c r="H4794" s="50" t="s">
        <v>60</v>
      </c>
      <c r="I4794" s="187">
        <v>153.596</v>
      </c>
      <c r="J4794" s="41" t="s">
        <v>941</v>
      </c>
      <c r="K4794" s="41" t="s">
        <v>116</v>
      </c>
    </row>
    <row r="4795" spans="1:11" x14ac:dyDescent="0.2">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36.07508</v>
      </c>
      <c r="H4795" s="50" t="s">
        <v>60</v>
      </c>
      <c r="I4795" s="187">
        <v>75.532910000000001</v>
      </c>
      <c r="J4795" s="41" t="s">
        <v>941</v>
      </c>
      <c r="K4795" s="41" t="s">
        <v>116</v>
      </c>
    </row>
    <row r="4796" spans="1:11" x14ac:dyDescent="0.2">
      <c r="A4796" s="30">
        <v>560</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200 mg</v>
      </c>
      <c r="E4796" s="250" t="str">
        <f>IF(AND(A4796&lt;&gt;"",ISNUMBER(A4796)),VLOOKUP(A4796,Studies!A:BR,5,FALSE),"")</f>
        <v>Atazanavir</v>
      </c>
      <c r="F4796" s="251" t="str">
        <f>IF(AND(A4796&lt;&gt;"",ISNUMBER(A4796)),VLOOKUP(A4796,Studies!A:BR,6,FALSE),"")</f>
        <v>Plasma</v>
      </c>
      <c r="G4796" s="194">
        <v>0.82587149999999998</v>
      </c>
      <c r="H4796" s="50" t="s">
        <v>60</v>
      </c>
      <c r="I4796" s="187">
        <v>2499.4789999999998</v>
      </c>
      <c r="J4796" s="41" t="s">
        <v>941</v>
      </c>
      <c r="K4796" s="41" t="s">
        <v>116</v>
      </c>
    </row>
    <row r="4797" spans="1:11" x14ac:dyDescent="0.2">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1.4918340000000001</v>
      </c>
      <c r="H4797" s="50" t="s">
        <v>60</v>
      </c>
      <c r="I4797" s="187">
        <v>4238.7730000000001</v>
      </c>
      <c r="J4797" s="41" t="s">
        <v>941</v>
      </c>
      <c r="K4797" s="41" t="s">
        <v>116</v>
      </c>
    </row>
    <row r="4798" spans="1:11" x14ac:dyDescent="0.2">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2.035914</v>
      </c>
      <c r="H4798" s="50" t="s">
        <v>60</v>
      </c>
      <c r="I4798" s="187">
        <v>4238.7730000000001</v>
      </c>
      <c r="J4798" s="41" t="s">
        <v>941</v>
      </c>
      <c r="K4798" s="41" t="s">
        <v>116</v>
      </c>
    </row>
    <row r="4799" spans="1:11" x14ac:dyDescent="0.2">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2.9349150000000002</v>
      </c>
      <c r="H4799" s="50" t="s">
        <v>60</v>
      </c>
      <c r="I4799" s="187">
        <v>3714.433</v>
      </c>
      <c r="J4799" s="41" t="s">
        <v>941</v>
      </c>
      <c r="K4799" s="41" t="s">
        <v>116</v>
      </c>
    </row>
    <row r="4800" spans="1:11" x14ac:dyDescent="0.2">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4.0152760000000001</v>
      </c>
      <c r="H4800" s="50" t="s">
        <v>60</v>
      </c>
      <c r="I4800" s="187">
        <v>3254.9540000000002</v>
      </c>
      <c r="J4800" s="41" t="s">
        <v>941</v>
      </c>
      <c r="K4800" s="41" t="s">
        <v>116</v>
      </c>
    </row>
    <row r="4801" spans="1:14" x14ac:dyDescent="0.2">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4.9981309999999999</v>
      </c>
      <c r="H4801" s="50" t="s">
        <v>60</v>
      </c>
      <c r="I4801" s="187">
        <v>2541.078</v>
      </c>
      <c r="J4801" s="41" t="s">
        <v>941</v>
      </c>
      <c r="K4801" s="41" t="s">
        <v>116</v>
      </c>
    </row>
    <row r="4802" spans="1:14" x14ac:dyDescent="0.2">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6.0677659999999998</v>
      </c>
      <c r="H4802" s="50" t="s">
        <v>60</v>
      </c>
      <c r="I4802" s="187">
        <v>1857.0229999999999</v>
      </c>
      <c r="J4802" s="41" t="s">
        <v>941</v>
      </c>
      <c r="K4802" s="41" t="s">
        <v>116</v>
      </c>
    </row>
    <row r="4803" spans="1:14" x14ac:dyDescent="0.2">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8.0529779999999995</v>
      </c>
      <c r="H4803" s="50" t="s">
        <v>60</v>
      </c>
      <c r="I4803" s="187">
        <v>1574.4639999999999</v>
      </c>
      <c r="J4803" s="41" t="s">
        <v>941</v>
      </c>
      <c r="K4803" s="41" t="s">
        <v>116</v>
      </c>
    </row>
    <row r="4804" spans="1:14" x14ac:dyDescent="0.2">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12.10336</v>
      </c>
      <c r="H4804" s="50" t="s">
        <v>60</v>
      </c>
      <c r="I4804" s="187">
        <v>943.86609999999996</v>
      </c>
      <c r="J4804" s="41" t="s">
        <v>941</v>
      </c>
      <c r="K4804" s="41" t="s">
        <v>116</v>
      </c>
    </row>
    <row r="4805" spans="1:14" x14ac:dyDescent="0.2">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18.046309999999998</v>
      </c>
      <c r="H4805" s="50" t="s">
        <v>60</v>
      </c>
      <c r="I4805" s="187">
        <v>464.15890000000002</v>
      </c>
      <c r="J4805" s="41" t="s">
        <v>941</v>
      </c>
      <c r="K4805" s="41" t="s">
        <v>116</v>
      </c>
    </row>
    <row r="4806" spans="1:14" x14ac:dyDescent="0.2">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24.074100000000001</v>
      </c>
      <c r="H4806" s="50" t="s">
        <v>60</v>
      </c>
      <c r="I4806" s="187">
        <v>206.73410000000001</v>
      </c>
      <c r="J4806" s="41" t="s">
        <v>941</v>
      </c>
      <c r="K4806" s="41" t="s">
        <v>116</v>
      </c>
    </row>
    <row r="4807" spans="1:14" x14ac:dyDescent="0.2">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30.115539999999999</v>
      </c>
      <c r="H4807" s="50" t="s">
        <v>60</v>
      </c>
      <c r="I4807" s="187">
        <v>116.0155</v>
      </c>
      <c r="J4807" s="41" t="s">
        <v>941</v>
      </c>
      <c r="K4807" s="41" t="s">
        <v>116</v>
      </c>
    </row>
    <row r="4808" spans="1:14" x14ac:dyDescent="0.2">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36.050699999999999</v>
      </c>
      <c r="H4808" s="50" t="s">
        <v>60</v>
      </c>
      <c r="I4808" s="187">
        <v>49.994790000000002</v>
      </c>
      <c r="J4808" s="41" t="s">
        <v>941</v>
      </c>
      <c r="K4808" s="41" t="s">
        <v>116</v>
      </c>
      <c r="N4808" s="195"/>
    </row>
    <row r="4809" spans="1:14" x14ac:dyDescent="0.2">
      <c r="A4809" s="30">
        <v>561</v>
      </c>
      <c r="B4809" s="249" t="str">
        <f>IF(AND(A4809&lt;&gt;"",ISNUMBER(A4809)),VLOOKUP(A4809,Studies!A:BR,2,FALSE),"")</f>
        <v>ClinPharmReview, AI424-040, p. 64</v>
      </c>
      <c r="C4809" s="250" t="str">
        <f>IF(AND(A4809&lt;&gt;"",ISNUMBER(A4809)),VLOOKUP(A4809,Studies!A:BR,3,FALSE),"")</f>
        <v>https://www.accessdata.fda.gov/drugsatfda_docs/nda/2003/21-567_Reyataz_BioPharmr_P2.pdf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95.996133614000001</v>
      </c>
      <c r="H4809" s="50" t="s">
        <v>60</v>
      </c>
      <c r="I4809" s="187">
        <v>48.094079999999998</v>
      </c>
      <c r="J4809" s="41" t="s">
        <v>941</v>
      </c>
      <c r="K4809" s="41" t="s">
        <v>116</v>
      </c>
      <c r="L4809" s="195">
        <v>68.9649</v>
      </c>
      <c r="M4809" s="52" t="s">
        <v>941</v>
      </c>
      <c r="N4809" s="195" t="s">
        <v>117</v>
      </c>
    </row>
    <row r="4810" spans="1:14" x14ac:dyDescent="0.2">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96.504997399999993</v>
      </c>
      <c r="H4810" s="50" t="s">
        <v>60</v>
      </c>
      <c r="I4810" s="187">
        <v>46.143549999999998</v>
      </c>
      <c r="J4810" s="41" t="s">
        <v>941</v>
      </c>
      <c r="K4810" s="41" t="s">
        <v>116</v>
      </c>
      <c r="L4810" s="195">
        <v>40.101559999999999</v>
      </c>
      <c r="M4810" s="52" t="s">
        <v>941</v>
      </c>
      <c r="N4810" s="195" t="s">
        <v>117</v>
      </c>
    </row>
    <row r="4811" spans="1:14" x14ac:dyDescent="0.2">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97.012203999999997</v>
      </c>
      <c r="H4811" s="50" t="s">
        <v>60</v>
      </c>
      <c r="I4811" s="187">
        <v>231.44069999999999</v>
      </c>
      <c r="J4811" s="41" t="s">
        <v>941</v>
      </c>
      <c r="K4811" s="41" t="s">
        <v>116</v>
      </c>
      <c r="L4811" s="195">
        <v>316.43279999999999</v>
      </c>
      <c r="M4811" s="52" t="s">
        <v>941</v>
      </c>
      <c r="N4811" s="195" t="s">
        <v>117</v>
      </c>
    </row>
    <row r="4812" spans="1:14" x14ac:dyDescent="0.2">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97.470410000000001</v>
      </c>
      <c r="H4812" s="50" t="s">
        <v>60</v>
      </c>
      <c r="I4812" s="187">
        <v>754.45519999999999</v>
      </c>
      <c r="J4812" s="41" t="s">
        <v>941</v>
      </c>
      <c r="K4812" s="41" t="s">
        <v>116</v>
      </c>
      <c r="L4812" s="195">
        <v>524.90549999999996</v>
      </c>
      <c r="M4812" s="52" t="s">
        <v>941</v>
      </c>
      <c r="N4812" s="195" t="s">
        <v>117</v>
      </c>
    </row>
    <row r="4813" spans="1:14" x14ac:dyDescent="0.2">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97.991268000000005</v>
      </c>
      <c r="H4813" s="50" t="s">
        <v>60</v>
      </c>
      <c r="I4813" s="187">
        <v>1227.53</v>
      </c>
      <c r="J4813" s="41" t="s">
        <v>941</v>
      </c>
      <c r="K4813" s="41" t="s">
        <v>116</v>
      </c>
      <c r="L4813" s="195">
        <v>661.10230000000001</v>
      </c>
      <c r="M4813" s="52" t="s">
        <v>941</v>
      </c>
      <c r="N4813" s="195" t="s">
        <v>117</v>
      </c>
    </row>
    <row r="4814" spans="1:14" x14ac:dyDescent="0.2">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98.459969000000001</v>
      </c>
      <c r="H4814" s="50" t="s">
        <v>60</v>
      </c>
      <c r="I4814" s="187">
        <v>1129.6210000000001</v>
      </c>
      <c r="J4814" s="41" t="s">
        <v>941</v>
      </c>
      <c r="K4814" s="41" t="s">
        <v>116</v>
      </c>
      <c r="L4814" s="195">
        <v>537.50599999999997</v>
      </c>
      <c r="M4814" s="52" t="s">
        <v>941</v>
      </c>
      <c r="N4814" s="195" t="s">
        <v>117</v>
      </c>
    </row>
    <row r="4815" spans="1:14" x14ac:dyDescent="0.2">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98.932772</v>
      </c>
      <c r="H4815" s="50" t="s">
        <v>60</v>
      </c>
      <c r="I4815" s="187">
        <v>1245.3889999999999</v>
      </c>
      <c r="J4815" s="41" t="s">
        <v>941</v>
      </c>
      <c r="K4815" s="41" t="s">
        <v>116</v>
      </c>
      <c r="L4815" s="195">
        <v>1429.595</v>
      </c>
      <c r="M4815" s="52" t="s">
        <v>941</v>
      </c>
      <c r="N4815" s="195" t="s">
        <v>117</v>
      </c>
    </row>
    <row r="4816" spans="1:14" x14ac:dyDescent="0.2">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99.942609000000004</v>
      </c>
      <c r="H4816" s="50" t="s">
        <v>60</v>
      </c>
      <c r="I4816" s="187">
        <v>809.90920000000006</v>
      </c>
      <c r="J4816" s="41" t="s">
        <v>941</v>
      </c>
      <c r="K4816" s="41" t="s">
        <v>116</v>
      </c>
      <c r="L4816" s="195">
        <v>402.10770000000002</v>
      </c>
      <c r="M4816" s="52" t="s">
        <v>941</v>
      </c>
      <c r="N4816" s="195" t="s">
        <v>117</v>
      </c>
    </row>
    <row r="4817" spans="1:14" x14ac:dyDescent="0.2">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100.997344</v>
      </c>
      <c r="H4817" s="50" t="s">
        <v>60</v>
      </c>
      <c r="I4817" s="187">
        <v>676.44230000000005</v>
      </c>
      <c r="J4817" s="41" t="s">
        <v>941</v>
      </c>
      <c r="K4817" s="41" t="s">
        <v>116</v>
      </c>
      <c r="L4817" s="195">
        <v>254.80619999999999</v>
      </c>
      <c r="M4817" s="52" t="s">
        <v>941</v>
      </c>
      <c r="N4817" s="195" t="s">
        <v>117</v>
      </c>
    </row>
    <row r="4818" spans="1:14" x14ac:dyDescent="0.2">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101.97112</v>
      </c>
      <c r="H4818" s="50" t="s">
        <v>60</v>
      </c>
      <c r="I4818" s="187">
        <v>505.49299999999999</v>
      </c>
      <c r="J4818" s="41" t="s">
        <v>941</v>
      </c>
      <c r="K4818" s="41" t="s">
        <v>116</v>
      </c>
      <c r="L4818" s="195">
        <v>261.53969999999998</v>
      </c>
      <c r="M4818" s="52" t="s">
        <v>941</v>
      </c>
      <c r="N4818" s="195" t="s">
        <v>117</v>
      </c>
    </row>
    <row r="4819" spans="1:14" x14ac:dyDescent="0.2">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104.000263</v>
      </c>
      <c r="H4819" s="50" t="s">
        <v>60</v>
      </c>
      <c r="I4819" s="187">
        <v>324.38929999999999</v>
      </c>
      <c r="J4819" s="41" t="s">
        <v>941</v>
      </c>
      <c r="K4819" s="41" t="s">
        <v>116</v>
      </c>
      <c r="L4819" s="195">
        <v>174.7268</v>
      </c>
      <c r="M4819" s="52" t="s">
        <v>941</v>
      </c>
      <c r="N4819" s="195" t="s">
        <v>117</v>
      </c>
    </row>
    <row r="4820" spans="1:14" x14ac:dyDescent="0.2">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106.03162</v>
      </c>
      <c r="H4820" s="50" t="s">
        <v>60</v>
      </c>
      <c r="I4820" s="187">
        <v>229.44149999999999</v>
      </c>
      <c r="J4820" s="41" t="s">
        <v>941</v>
      </c>
      <c r="K4820" s="41" t="s">
        <v>116</v>
      </c>
      <c r="L4820" s="195">
        <v>143.75919999999999</v>
      </c>
      <c r="M4820" s="52" t="s">
        <v>941</v>
      </c>
      <c r="N4820" s="195" t="s">
        <v>117</v>
      </c>
    </row>
    <row r="4821" spans="1:14" x14ac:dyDescent="0.2">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108.02312000000001</v>
      </c>
      <c r="H4821" s="50" t="s">
        <v>60</v>
      </c>
      <c r="I4821" s="187">
        <v>157.83199999999999</v>
      </c>
      <c r="J4821" s="41" t="s">
        <v>941</v>
      </c>
      <c r="K4821" s="41" t="s">
        <v>116</v>
      </c>
      <c r="L4821" s="195">
        <v>113.5808</v>
      </c>
      <c r="M4821" s="52" t="s">
        <v>941</v>
      </c>
      <c r="N4821" s="195" t="s">
        <v>117</v>
      </c>
    </row>
    <row r="4822" spans="1:14" x14ac:dyDescent="0.2">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112.04945000000001</v>
      </c>
      <c r="H4822" s="50" t="s">
        <v>60</v>
      </c>
      <c r="I4822" s="187">
        <v>89.479339999999993</v>
      </c>
      <c r="J4822" s="41" t="s">
        <v>941</v>
      </c>
      <c r="K4822" s="41" t="s">
        <v>116</v>
      </c>
      <c r="L4822" s="195">
        <v>66.5351</v>
      </c>
      <c r="M4822" s="52" t="s">
        <v>941</v>
      </c>
      <c r="N4822" s="195" t="s">
        <v>117</v>
      </c>
    </row>
    <row r="4823" spans="1:14" x14ac:dyDescent="0.2">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120.03188</v>
      </c>
      <c r="H4823" s="50" t="s">
        <v>60</v>
      </c>
      <c r="I4823" s="187">
        <v>41.276440000000001</v>
      </c>
      <c r="J4823" s="41" t="s">
        <v>941</v>
      </c>
      <c r="K4823" s="41" t="s">
        <v>116</v>
      </c>
      <c r="L4823" s="195">
        <v>41.425759999999997</v>
      </c>
      <c r="M4823" s="52" t="s">
        <v>941</v>
      </c>
      <c r="N4823" s="195" t="s">
        <v>117</v>
      </c>
    </row>
    <row r="4824" spans="1:14" x14ac:dyDescent="0.2">
      <c r="A4824" s="30">
        <v>562</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400 mg</v>
      </c>
      <c r="E4824" s="250" t="str">
        <f>IF(AND(A4824&lt;&gt;"",ISNUMBER(A4824)),VLOOKUP(A4824,Studies!A:BR,5,FALSE),"")</f>
        <v>Atazanavir</v>
      </c>
      <c r="F4824" s="251" t="str">
        <f>IF(AND(A4824&lt;&gt;"",ISNUMBER(A4824)),VLOOKUP(A4824,Studies!A:BR,6,FALSE),"")</f>
        <v>Plasma</v>
      </c>
      <c r="G4824" s="194">
        <v>95.990373488000003</v>
      </c>
      <c r="H4824" s="50" t="s">
        <v>60</v>
      </c>
      <c r="I4824" s="187">
        <v>209.85980000000001</v>
      </c>
      <c r="J4824" s="41" t="s">
        <v>941</v>
      </c>
      <c r="K4824" s="41" t="s">
        <v>116</v>
      </c>
      <c r="L4824" s="195">
        <v>131.48220000000001</v>
      </c>
      <c r="M4824" s="52" t="s">
        <v>941</v>
      </c>
      <c r="N4824" s="195" t="s">
        <v>117</v>
      </c>
    </row>
    <row r="4825" spans="1:14" x14ac:dyDescent="0.2">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96.500815399999993</v>
      </c>
      <c r="H4825" s="50" t="s">
        <v>60</v>
      </c>
      <c r="I4825" s="187">
        <v>215.8391</v>
      </c>
      <c r="J4825" s="41" t="s">
        <v>941</v>
      </c>
      <c r="K4825" s="41" t="s">
        <v>116</v>
      </c>
      <c r="L4825" s="195">
        <v>120.8985</v>
      </c>
      <c r="M4825" s="52" t="s">
        <v>941</v>
      </c>
      <c r="N4825" s="195" t="s">
        <v>117</v>
      </c>
    </row>
    <row r="4826" spans="1:14" x14ac:dyDescent="0.2">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96.971962199999993</v>
      </c>
      <c r="H4826" s="50" t="s">
        <v>60</v>
      </c>
      <c r="I4826" s="187">
        <v>1243.9760000000001</v>
      </c>
      <c r="J4826" s="41" t="s">
        <v>941</v>
      </c>
      <c r="K4826" s="41" t="s">
        <v>116</v>
      </c>
      <c r="L4826" s="195">
        <v>986.1354</v>
      </c>
      <c r="M4826" s="52" t="s">
        <v>941</v>
      </c>
      <c r="N4826" s="195" t="s">
        <v>117</v>
      </c>
    </row>
    <row r="4827" spans="1:14" x14ac:dyDescent="0.2">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97.465281000000004</v>
      </c>
      <c r="H4827" s="50" t="s">
        <v>60</v>
      </c>
      <c r="I4827" s="187">
        <v>3384.8829999999998</v>
      </c>
      <c r="J4827" s="41" t="s">
        <v>941</v>
      </c>
      <c r="K4827" s="41" t="s">
        <v>116</v>
      </c>
      <c r="L4827" s="195">
        <v>1610.3979999999999</v>
      </c>
      <c r="M4827" s="52" t="s">
        <v>941</v>
      </c>
      <c r="N4827" s="195" t="s">
        <v>117</v>
      </c>
    </row>
    <row r="4828" spans="1:14" x14ac:dyDescent="0.2">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97.941242000000003</v>
      </c>
      <c r="H4828" s="50" t="s">
        <v>60</v>
      </c>
      <c r="I4828" s="187">
        <v>4288.24</v>
      </c>
      <c r="J4828" s="41" t="s">
        <v>941</v>
      </c>
      <c r="K4828" s="41" t="s">
        <v>116</v>
      </c>
      <c r="L4828" s="195">
        <v>1697.9449999999999</v>
      </c>
      <c r="M4828" s="52" t="s">
        <v>941</v>
      </c>
      <c r="N4828" s="195" t="s">
        <v>117</v>
      </c>
    </row>
    <row r="4829" spans="1:14" x14ac:dyDescent="0.2">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98.488690000000005</v>
      </c>
      <c r="H4829" s="50" t="s">
        <v>60</v>
      </c>
      <c r="I4829" s="187">
        <v>4001.6179999999999</v>
      </c>
      <c r="J4829" s="41" t="s">
        <v>941</v>
      </c>
      <c r="K4829" s="41" t="s">
        <v>116</v>
      </c>
      <c r="L4829" s="195">
        <v>1066.4549999999999</v>
      </c>
      <c r="M4829" s="52" t="s">
        <v>941</v>
      </c>
      <c r="N4829" s="195" t="s">
        <v>117</v>
      </c>
    </row>
    <row r="4830" spans="1:14" x14ac:dyDescent="0.2">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98.918490000000006</v>
      </c>
      <c r="H4830" s="50" t="s">
        <v>60</v>
      </c>
      <c r="I4830" s="187">
        <v>3733.9</v>
      </c>
      <c r="J4830" s="41" t="s">
        <v>941</v>
      </c>
      <c r="K4830" s="41" t="s">
        <v>116</v>
      </c>
      <c r="L4830" s="195">
        <v>930.04349999999999</v>
      </c>
      <c r="M4830" s="52" t="s">
        <v>941</v>
      </c>
      <c r="N4830" s="195" t="s">
        <v>117</v>
      </c>
    </row>
    <row r="4831" spans="1:14" x14ac:dyDescent="0.2">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99.975117999999995</v>
      </c>
      <c r="H4831" s="50" t="s">
        <v>60</v>
      </c>
      <c r="I4831" s="187">
        <v>3389.806</v>
      </c>
      <c r="J4831" s="41" t="s">
        <v>941</v>
      </c>
      <c r="K4831" s="41" t="s">
        <v>116</v>
      </c>
      <c r="L4831" s="195">
        <v>1543.692</v>
      </c>
      <c r="M4831" s="52" t="s">
        <v>941</v>
      </c>
      <c r="N4831" s="195" t="s">
        <v>117</v>
      </c>
    </row>
    <row r="4832" spans="1:14" x14ac:dyDescent="0.2">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100.947633</v>
      </c>
      <c r="H4832" s="50" t="s">
        <v>60</v>
      </c>
      <c r="I4832" s="187">
        <v>2396.15</v>
      </c>
      <c r="J4832" s="41" t="s">
        <v>941</v>
      </c>
      <c r="K4832" s="41" t="s">
        <v>116</v>
      </c>
      <c r="L4832" s="195">
        <v>681.20259999999996</v>
      </c>
      <c r="M4832" s="52" t="s">
        <v>941</v>
      </c>
      <c r="N4832" s="195" t="s">
        <v>117</v>
      </c>
    </row>
    <row r="4833" spans="1:14" x14ac:dyDescent="0.2">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101.999842</v>
      </c>
      <c r="H4833" s="50" t="s">
        <v>60</v>
      </c>
      <c r="I4833" s="187">
        <v>1790.681</v>
      </c>
      <c r="J4833" s="41" t="s">
        <v>941</v>
      </c>
      <c r="K4833" s="41" t="s">
        <v>116</v>
      </c>
      <c r="L4833" s="195">
        <v>606.93910000000005</v>
      </c>
      <c r="M4833" s="52" t="s">
        <v>941</v>
      </c>
      <c r="N4833" s="195" t="s">
        <v>117</v>
      </c>
    </row>
    <row r="4834" spans="1:14" x14ac:dyDescent="0.2">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103.992294</v>
      </c>
      <c r="H4834" s="50" t="s">
        <v>60</v>
      </c>
      <c r="I4834" s="187">
        <v>1284.251</v>
      </c>
      <c r="J4834" s="41" t="s">
        <v>941</v>
      </c>
      <c r="K4834" s="41" t="s">
        <v>116</v>
      </c>
      <c r="L4834" s="195">
        <v>533.59659999999997</v>
      </c>
      <c r="M4834" s="52" t="s">
        <v>941</v>
      </c>
      <c r="N4834" s="195" t="s">
        <v>117</v>
      </c>
    </row>
    <row r="4835" spans="1:14" x14ac:dyDescent="0.2">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106.02396</v>
      </c>
      <c r="H4835" s="50" t="s">
        <v>60</v>
      </c>
      <c r="I4835" s="187">
        <v>921.06820000000005</v>
      </c>
      <c r="J4835" s="41" t="s">
        <v>941</v>
      </c>
      <c r="K4835" s="41" t="s">
        <v>116</v>
      </c>
      <c r="L4835" s="195">
        <v>419.44720000000001</v>
      </c>
      <c r="M4835" s="52" t="s">
        <v>941</v>
      </c>
      <c r="N4835" s="195" t="s">
        <v>117</v>
      </c>
    </row>
    <row r="4836" spans="1:14" x14ac:dyDescent="0.2">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108.05500000000001</v>
      </c>
      <c r="H4836" s="50" t="s">
        <v>60</v>
      </c>
      <c r="I4836" s="187">
        <v>642.48199999999997</v>
      </c>
      <c r="J4836" s="41" t="s">
        <v>941</v>
      </c>
      <c r="K4836" s="41" t="s">
        <v>116</v>
      </c>
      <c r="L4836" s="195">
        <v>332.39510000000001</v>
      </c>
      <c r="M4836" s="52" t="s">
        <v>941</v>
      </c>
      <c r="N4836" s="195" t="s">
        <v>117</v>
      </c>
    </row>
    <row r="4837" spans="1:14" x14ac:dyDescent="0.2">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112.08353</v>
      </c>
      <c r="H4837" s="50" t="s">
        <v>60</v>
      </c>
      <c r="I4837" s="187">
        <v>401.46050000000002</v>
      </c>
      <c r="J4837" s="41" t="s">
        <v>941</v>
      </c>
      <c r="K4837" s="41" t="s">
        <v>116</v>
      </c>
      <c r="L4837" s="195">
        <v>233.62289999999999</v>
      </c>
      <c r="M4837" s="52" t="s">
        <v>941</v>
      </c>
      <c r="N4837" s="195" t="s">
        <v>117</v>
      </c>
    </row>
    <row r="4838" spans="1:14" x14ac:dyDescent="0.2">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120.03022</v>
      </c>
      <c r="H4838" s="50" t="s">
        <v>60</v>
      </c>
      <c r="I4838" s="187">
        <v>215.78020000000001</v>
      </c>
      <c r="J4838" s="41" t="s">
        <v>941</v>
      </c>
      <c r="K4838" s="41" t="s">
        <v>116</v>
      </c>
      <c r="L4838" s="195">
        <v>155.27379999999999</v>
      </c>
      <c r="M4838" s="52" t="s">
        <v>941</v>
      </c>
      <c r="N4838" s="195" t="s">
        <v>117</v>
      </c>
    </row>
    <row r="4839" spans="1:14" x14ac:dyDescent="0.2">
      <c r="A4839" s="30">
        <v>563</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800 mg</v>
      </c>
      <c r="E4839" s="250" t="str">
        <f>IF(AND(A4839&lt;&gt;"",ISNUMBER(A4839)),VLOOKUP(A4839,Studies!A:BR,5,FALSE),"")</f>
        <v>Atazanavir</v>
      </c>
      <c r="F4839" s="251" t="str">
        <f>IF(AND(A4839&lt;&gt;"",ISNUMBER(A4839)),VLOOKUP(A4839,Studies!A:BR,6,FALSE),"")</f>
        <v>Plasma</v>
      </c>
      <c r="G4839" s="194">
        <v>95.988400839999997</v>
      </c>
      <c r="H4839" s="50" t="s">
        <v>60</v>
      </c>
      <c r="I4839" s="187">
        <v>1081.9380000000001</v>
      </c>
      <c r="J4839" s="41" t="s">
        <v>941</v>
      </c>
      <c r="K4839" s="41" t="s">
        <v>116</v>
      </c>
      <c r="L4839" s="195">
        <v>778.46950000000004</v>
      </c>
      <c r="M4839" s="52" t="s">
        <v>941</v>
      </c>
      <c r="N4839" s="195" t="s">
        <v>117</v>
      </c>
    </row>
    <row r="4840" spans="1:14" x14ac:dyDescent="0.2">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96.501367700000003</v>
      </c>
      <c r="H4840" s="50" t="s">
        <v>60</v>
      </c>
      <c r="I4840" s="187">
        <v>1243.6369999999999</v>
      </c>
      <c r="J4840" s="41" t="s">
        <v>941</v>
      </c>
      <c r="K4840" s="41" t="s">
        <v>116</v>
      </c>
      <c r="L4840" s="195">
        <v>807.43330000000003</v>
      </c>
      <c r="M4840" s="52" t="s">
        <v>941</v>
      </c>
      <c r="N4840" s="195" t="s">
        <v>117</v>
      </c>
    </row>
    <row r="4841" spans="1:14" x14ac:dyDescent="0.2">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96.962414600000002</v>
      </c>
      <c r="H4841" s="50" t="s">
        <v>60</v>
      </c>
      <c r="I4841" s="187">
        <v>4594.2430000000004</v>
      </c>
      <c r="J4841" s="41" t="s">
        <v>941</v>
      </c>
      <c r="K4841" s="41" t="s">
        <v>116</v>
      </c>
      <c r="L4841" s="195">
        <v>3196.5810000000001</v>
      </c>
      <c r="M4841" s="52" t="s">
        <v>941</v>
      </c>
      <c r="N4841" s="195" t="s">
        <v>117</v>
      </c>
    </row>
    <row r="4842" spans="1:14" x14ac:dyDescent="0.2">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97.524066000000005</v>
      </c>
      <c r="H4842" s="50" t="s">
        <v>60</v>
      </c>
      <c r="I4842" s="187">
        <v>8013.1620000000003</v>
      </c>
      <c r="J4842" s="41" t="s">
        <v>941</v>
      </c>
      <c r="K4842" s="41" t="s">
        <v>116</v>
      </c>
      <c r="L4842" s="195">
        <v>2715.5210000000002</v>
      </c>
      <c r="M4842" s="52" t="s">
        <v>941</v>
      </c>
      <c r="N4842" s="195" t="s">
        <v>117</v>
      </c>
    </row>
    <row r="4843" spans="1:14" x14ac:dyDescent="0.2">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97.957970000000003</v>
      </c>
      <c r="H4843" s="50" t="s">
        <v>60</v>
      </c>
      <c r="I4843" s="187">
        <v>8957.8289999999997</v>
      </c>
      <c r="J4843" s="41" t="s">
        <v>941</v>
      </c>
      <c r="K4843" s="41" t="s">
        <v>116</v>
      </c>
      <c r="L4843" s="195">
        <v>2546.1019999999999</v>
      </c>
      <c r="M4843" s="52" t="s">
        <v>941</v>
      </c>
      <c r="N4843" s="195" t="s">
        <v>117</v>
      </c>
    </row>
    <row r="4844" spans="1:14" x14ac:dyDescent="0.2">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98.426039000000003</v>
      </c>
      <c r="H4844" s="50" t="s">
        <v>60</v>
      </c>
      <c r="I4844" s="187">
        <v>8017.3490000000002</v>
      </c>
      <c r="J4844" s="41" t="s">
        <v>941</v>
      </c>
      <c r="K4844" s="41" t="s">
        <v>116</v>
      </c>
      <c r="L4844" s="195">
        <v>2423.3670000000002</v>
      </c>
      <c r="M4844" s="52" t="s">
        <v>941</v>
      </c>
      <c r="N4844" s="195" t="s">
        <v>117</v>
      </c>
    </row>
    <row r="4845" spans="1:14" x14ac:dyDescent="0.2">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98.934586999999993</v>
      </c>
      <c r="H4845" s="50" t="s">
        <v>60</v>
      </c>
      <c r="I4845" s="187">
        <v>7586.0169999999998</v>
      </c>
      <c r="J4845" s="41" t="s">
        <v>941</v>
      </c>
      <c r="K4845" s="41" t="s">
        <v>116</v>
      </c>
      <c r="L4845" s="195">
        <v>3151.9290000000001</v>
      </c>
      <c r="M4845" s="52" t="s">
        <v>941</v>
      </c>
      <c r="N4845" s="195" t="s">
        <v>117</v>
      </c>
    </row>
    <row r="4846" spans="1:14" x14ac:dyDescent="0.2">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99.951052000000004</v>
      </c>
      <c r="H4846" s="50" t="s">
        <v>60</v>
      </c>
      <c r="I4846" s="187">
        <v>6605.5240000000003</v>
      </c>
      <c r="J4846" s="41" t="s">
        <v>941</v>
      </c>
      <c r="K4846" s="41" t="s">
        <v>116</v>
      </c>
      <c r="L4846" s="195">
        <v>2488.2080000000001</v>
      </c>
      <c r="M4846" s="52" t="s">
        <v>941</v>
      </c>
      <c r="N4846" s="195" t="s">
        <v>117</v>
      </c>
    </row>
    <row r="4847" spans="1:14" x14ac:dyDescent="0.2">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100.966255</v>
      </c>
      <c r="H4847" s="50" t="s">
        <v>60</v>
      </c>
      <c r="I4847" s="187">
        <v>5440.71</v>
      </c>
      <c r="J4847" s="41" t="s">
        <v>941</v>
      </c>
      <c r="K4847" s="41" t="s">
        <v>116</v>
      </c>
      <c r="L4847" s="195">
        <v>2049.268</v>
      </c>
      <c r="M4847" s="52" t="s">
        <v>941</v>
      </c>
      <c r="N4847" s="195" t="s">
        <v>117</v>
      </c>
    </row>
    <row r="4848" spans="1:14" x14ac:dyDescent="0.2">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101.981773</v>
      </c>
      <c r="H4848" s="50" t="s">
        <v>60</v>
      </c>
      <c r="I4848" s="187">
        <v>4544.0190000000002</v>
      </c>
      <c r="J4848" s="41" t="s">
        <v>941</v>
      </c>
      <c r="K4848" s="41" t="s">
        <v>116</v>
      </c>
      <c r="L4848" s="195">
        <v>1625.181</v>
      </c>
      <c r="M4848" s="52" t="s">
        <v>941</v>
      </c>
      <c r="N4848" s="195" t="s">
        <v>117</v>
      </c>
    </row>
    <row r="4849" spans="1:14" x14ac:dyDescent="0.2">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103.977065</v>
      </c>
      <c r="H4849" s="50" t="s">
        <v>60</v>
      </c>
      <c r="I4849" s="187">
        <v>3693.165</v>
      </c>
      <c r="J4849" s="41" t="s">
        <v>941</v>
      </c>
      <c r="K4849" s="41" t="s">
        <v>116</v>
      </c>
      <c r="L4849" s="195">
        <v>1534.48</v>
      </c>
      <c r="M4849" s="52" t="s">
        <v>941</v>
      </c>
      <c r="N4849" s="195" t="s">
        <v>117</v>
      </c>
    </row>
    <row r="4850" spans="1:14" x14ac:dyDescent="0.2">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106.01063000000001</v>
      </c>
      <c r="H4850" s="50" t="s">
        <v>60</v>
      </c>
      <c r="I4850" s="187">
        <v>2879.11</v>
      </c>
      <c r="J4850" s="41" t="s">
        <v>941</v>
      </c>
      <c r="K4850" s="41" t="s">
        <v>116</v>
      </c>
      <c r="L4850" s="195">
        <v>1311.124</v>
      </c>
      <c r="M4850" s="52" t="s">
        <v>941</v>
      </c>
      <c r="N4850" s="195" t="s">
        <v>117</v>
      </c>
    </row>
    <row r="4851" spans="1:14" x14ac:dyDescent="0.2">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108.08435</v>
      </c>
      <c r="H4851" s="50" t="s">
        <v>60</v>
      </c>
      <c r="I4851" s="187">
        <v>2340.1120000000001</v>
      </c>
      <c r="J4851" s="41" t="s">
        <v>941</v>
      </c>
      <c r="K4851" s="41" t="s">
        <v>116</v>
      </c>
      <c r="L4851" s="195">
        <v>1310.6890000000001</v>
      </c>
      <c r="M4851" s="52" t="s">
        <v>941</v>
      </c>
      <c r="N4851" s="195" t="s">
        <v>117</v>
      </c>
    </row>
    <row r="4852" spans="1:14" x14ac:dyDescent="0.2">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112.03698</v>
      </c>
      <c r="H4852" s="50" t="s">
        <v>60</v>
      </c>
      <c r="I4852" s="187">
        <v>1634.1389999999999</v>
      </c>
      <c r="J4852" s="41" t="s">
        <v>941</v>
      </c>
      <c r="K4852" s="41" t="s">
        <v>116</v>
      </c>
      <c r="L4852" s="195">
        <v>950.95860000000005</v>
      </c>
      <c r="M4852" s="52" t="s">
        <v>941</v>
      </c>
      <c r="N4852" s="195" t="s">
        <v>117</v>
      </c>
    </row>
    <row r="4853" spans="1:14" x14ac:dyDescent="0.2">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120.06619999999999</v>
      </c>
      <c r="H4853" s="50" t="s">
        <v>60</v>
      </c>
      <c r="I4853" s="187">
        <v>1052.3240000000001</v>
      </c>
      <c r="J4853" s="41" t="s">
        <v>941</v>
      </c>
      <c r="K4853" s="41" t="s">
        <v>116</v>
      </c>
      <c r="L4853" s="195">
        <v>887.38559999999995</v>
      </c>
      <c r="M4853" s="52" t="s">
        <v>941</v>
      </c>
      <c r="N4853" s="52" t="s">
        <v>117</v>
      </c>
    </row>
    <row r="4854" spans="1:14" x14ac:dyDescent="0.2">
      <c r="A4854" s="30">
        <v>564</v>
      </c>
      <c r="B4854" s="249" t="str">
        <f>IF(AND(A4854&lt;&gt;"",ISNUMBER(A4854)),VLOOKUP(A4854,Studies!A:BR,2,FALSE),"")</f>
        <v>ClinPharmReview, AI424-002, p. 55</v>
      </c>
      <c r="C4854" s="250" t="str">
        <f>IF(AND(A4854&lt;&gt;"",ISNUMBER(A4854)),VLOOKUP(A4854,Studies!A:BR,3,FALSE),"")</f>
        <v>https://www.accessdata.fda.gov/drugsatfda_docs/nda/2003/21-567_Reyataz_BioPharmr_P1.pdf</v>
      </c>
      <c r="D4854" s="250" t="str">
        <f>IF(AND(A4854&lt;&gt;"",ISNUMBER(A4854)),VLOOKUP(A4854,Studies!A:BR,4,FALSE),"")</f>
        <v>100 mg</v>
      </c>
      <c r="E4854" s="250" t="str">
        <f>IF(AND(A4854&lt;&gt;"",ISNUMBER(A4854)),VLOOKUP(A4854,Studies!A:BR,5,FALSE),"")</f>
        <v>Atazanavir</v>
      </c>
      <c r="F4854" s="251" t="str">
        <f>IF(AND(A4854&lt;&gt;"",ISNUMBER(A4854)),VLOOKUP(A4854,Studies!A:BR,6,FALSE),"")</f>
        <v>Plasma</v>
      </c>
      <c r="G4854" s="194">
        <v>0.25</v>
      </c>
      <c r="H4854" s="50" t="s">
        <v>60</v>
      </c>
      <c r="I4854" s="187">
        <v>6.9870029999999996</v>
      </c>
      <c r="J4854" s="41" t="s">
        <v>941</v>
      </c>
      <c r="K4854" s="41" t="s">
        <v>116</v>
      </c>
    </row>
    <row r="4855" spans="1:14" x14ac:dyDescent="0.2">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0.5</v>
      </c>
      <c r="H4855" s="50" t="s">
        <v>60</v>
      </c>
      <c r="I4855" s="187">
        <v>7.3827680000000004</v>
      </c>
      <c r="J4855" s="41" t="s">
        <v>941</v>
      </c>
      <c r="K4855" s="41" t="s">
        <v>116</v>
      </c>
    </row>
    <row r="4856" spans="1:14" x14ac:dyDescent="0.2">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0.75</v>
      </c>
      <c r="H4856" s="50" t="s">
        <v>60</v>
      </c>
      <c r="I4856" s="187">
        <v>11.1791</v>
      </c>
      <c r="J4856" s="41" t="s">
        <v>941</v>
      </c>
      <c r="K4856" s="41" t="s">
        <v>116</v>
      </c>
    </row>
    <row r="4857" spans="1:14" x14ac:dyDescent="0.2">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1</v>
      </c>
      <c r="H4857" s="50" t="s">
        <v>60</v>
      </c>
      <c r="I4857" s="187">
        <v>16.927579999999999</v>
      </c>
      <c r="J4857" s="41" t="s">
        <v>941</v>
      </c>
      <c r="K4857" s="41" t="s">
        <v>116</v>
      </c>
    </row>
    <row r="4858" spans="1:14" x14ac:dyDescent="0.2">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1.5</v>
      </c>
      <c r="H4858" s="50" t="s">
        <v>60</v>
      </c>
      <c r="I4858" s="187">
        <v>27.083880000000001</v>
      </c>
      <c r="J4858" s="41" t="s">
        <v>941</v>
      </c>
      <c r="K4858" s="41" t="s">
        <v>116</v>
      </c>
    </row>
    <row r="4859" spans="1:14" x14ac:dyDescent="0.2">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2</v>
      </c>
      <c r="H4859" s="50" t="s">
        <v>60</v>
      </c>
      <c r="I4859" s="187">
        <v>30.235600000000002</v>
      </c>
      <c r="J4859" s="41" t="s">
        <v>941</v>
      </c>
      <c r="K4859" s="41" t="s">
        <v>116</v>
      </c>
    </row>
    <row r="4860" spans="1:14" x14ac:dyDescent="0.2">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3</v>
      </c>
      <c r="H4860" s="50" t="s">
        <v>60</v>
      </c>
      <c r="I4860" s="187">
        <v>24.919139999999999</v>
      </c>
      <c r="J4860" s="41" t="s">
        <v>941</v>
      </c>
      <c r="K4860" s="41" t="s">
        <v>116</v>
      </c>
    </row>
    <row r="4861" spans="1:14" x14ac:dyDescent="0.2">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4</v>
      </c>
      <c r="H4861" s="50" t="s">
        <v>60</v>
      </c>
      <c r="I4861" s="187">
        <v>22.880970000000001</v>
      </c>
      <c r="J4861" s="41" t="s">
        <v>941</v>
      </c>
      <c r="K4861" s="41" t="s">
        <v>116</v>
      </c>
    </row>
    <row r="4862" spans="1:14" x14ac:dyDescent="0.2">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5</v>
      </c>
      <c r="H4862" s="50" t="s">
        <v>60</v>
      </c>
      <c r="I4862" s="187">
        <v>16.62453</v>
      </c>
      <c r="J4862" s="41" t="s">
        <v>941</v>
      </c>
      <c r="K4862" s="41" t="s">
        <v>116</v>
      </c>
    </row>
    <row r="4863" spans="1:14" x14ac:dyDescent="0.2">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6</v>
      </c>
      <c r="H4863" s="50" t="s">
        <v>60</v>
      </c>
      <c r="I4863" s="187">
        <v>13.45556</v>
      </c>
      <c r="J4863" s="41" t="s">
        <v>941</v>
      </c>
      <c r="K4863" s="41" t="s">
        <v>116</v>
      </c>
    </row>
    <row r="4864" spans="1:14" x14ac:dyDescent="0.2">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8</v>
      </c>
      <c r="H4864" s="50" t="s">
        <v>60</v>
      </c>
      <c r="I4864" s="187">
        <v>6.8552179999999998</v>
      </c>
      <c r="J4864" s="41" t="s">
        <v>941</v>
      </c>
      <c r="K4864" s="41" t="s">
        <v>116</v>
      </c>
    </row>
    <row r="4865" spans="1:11" x14ac:dyDescent="0.2">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12</v>
      </c>
      <c r="H4865" s="50" t="s">
        <v>60</v>
      </c>
      <c r="I4865" s="187">
        <v>1.1758869999999999</v>
      </c>
      <c r="J4865" s="41" t="s">
        <v>941</v>
      </c>
      <c r="K4865" s="41" t="s">
        <v>116</v>
      </c>
    </row>
    <row r="4866" spans="1:11" x14ac:dyDescent="0.2">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144</v>
      </c>
      <c r="H4866" s="50" t="s">
        <v>60</v>
      </c>
      <c r="I4866" s="187">
        <v>67.348529999999997</v>
      </c>
      <c r="J4866" s="41" t="s">
        <v>941</v>
      </c>
      <c r="K4866" s="41" t="s">
        <v>116</v>
      </c>
    </row>
    <row r="4867" spans="1:11" x14ac:dyDescent="0.2">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144.25</v>
      </c>
      <c r="H4867" s="50" t="s">
        <v>60</v>
      </c>
      <c r="I4867" s="187">
        <v>64.887370000000004</v>
      </c>
      <c r="J4867" s="41" t="s">
        <v>941</v>
      </c>
      <c r="K4867" s="41" t="s">
        <v>116</v>
      </c>
    </row>
    <row r="4868" spans="1:11" x14ac:dyDescent="0.2">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144.5</v>
      </c>
      <c r="H4868" s="50" t="s">
        <v>60</v>
      </c>
      <c r="I4868" s="187">
        <v>77.959029999999998</v>
      </c>
      <c r="J4868" s="41" t="s">
        <v>941</v>
      </c>
      <c r="K4868" s="41" t="s">
        <v>116</v>
      </c>
    </row>
    <row r="4869" spans="1:11" x14ac:dyDescent="0.2">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144.75</v>
      </c>
      <c r="H4869" s="50" t="s">
        <v>60</v>
      </c>
      <c r="I4869" s="187">
        <v>148.29910000000001</v>
      </c>
      <c r="J4869" s="41" t="s">
        <v>941</v>
      </c>
      <c r="K4869" s="41" t="s">
        <v>116</v>
      </c>
    </row>
    <row r="4870" spans="1:11" x14ac:dyDescent="0.2">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145</v>
      </c>
      <c r="H4870" s="50" t="s">
        <v>60</v>
      </c>
      <c r="I4870" s="187">
        <v>262.09460000000001</v>
      </c>
      <c r="J4870" s="41" t="s">
        <v>941</v>
      </c>
      <c r="K4870" s="41" t="s">
        <v>116</v>
      </c>
    </row>
    <row r="4871" spans="1:11" x14ac:dyDescent="0.2">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145.5</v>
      </c>
      <c r="H4871" s="50" t="s">
        <v>60</v>
      </c>
      <c r="I4871" s="187">
        <v>332.60820000000001</v>
      </c>
      <c r="J4871" s="41" t="s">
        <v>941</v>
      </c>
      <c r="K4871" s="41" t="s">
        <v>116</v>
      </c>
    </row>
    <row r="4872" spans="1:11" x14ac:dyDescent="0.2">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146</v>
      </c>
      <c r="H4872" s="50" t="s">
        <v>60</v>
      </c>
      <c r="I4872" s="187">
        <v>351.1841</v>
      </c>
      <c r="J4872" s="41" t="s">
        <v>941</v>
      </c>
      <c r="K4872" s="41" t="s">
        <v>116</v>
      </c>
    </row>
    <row r="4873" spans="1:11" x14ac:dyDescent="0.2">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147</v>
      </c>
      <c r="H4873" s="50" t="s">
        <v>60</v>
      </c>
      <c r="I4873" s="187">
        <v>325.79840000000002</v>
      </c>
      <c r="J4873" s="41" t="s">
        <v>941</v>
      </c>
      <c r="K4873" s="41" t="s">
        <v>116</v>
      </c>
    </row>
    <row r="4874" spans="1:11" x14ac:dyDescent="0.2">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148</v>
      </c>
      <c r="H4874" s="50" t="s">
        <v>60</v>
      </c>
      <c r="I4874" s="187">
        <v>280.79790000000003</v>
      </c>
      <c r="J4874" s="41" t="s">
        <v>941</v>
      </c>
      <c r="K4874" s="41" t="s">
        <v>116</v>
      </c>
    </row>
    <row r="4875" spans="1:11" x14ac:dyDescent="0.2">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149</v>
      </c>
      <c r="H4875" s="50" t="s">
        <v>60</v>
      </c>
      <c r="I4875" s="187">
        <v>220.78469999999999</v>
      </c>
      <c r="J4875" s="41" t="s">
        <v>941</v>
      </c>
      <c r="K4875" s="41" t="s">
        <v>116</v>
      </c>
    </row>
    <row r="4876" spans="1:11" x14ac:dyDescent="0.2">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150</v>
      </c>
      <c r="H4876" s="50" t="s">
        <v>60</v>
      </c>
      <c r="I4876" s="187">
        <v>176.80500000000001</v>
      </c>
      <c r="J4876" s="41" t="s">
        <v>941</v>
      </c>
      <c r="K4876" s="41" t="s">
        <v>116</v>
      </c>
    </row>
    <row r="4877" spans="1:11" x14ac:dyDescent="0.2">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152</v>
      </c>
      <c r="H4877" s="50" t="s">
        <v>60</v>
      </c>
      <c r="I4877" s="187">
        <v>136.2602</v>
      </c>
      <c r="J4877" s="41" t="s">
        <v>941</v>
      </c>
      <c r="K4877" s="41" t="s">
        <v>116</v>
      </c>
    </row>
    <row r="4878" spans="1:11" x14ac:dyDescent="0.2">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156</v>
      </c>
      <c r="H4878" s="50" t="s">
        <v>60</v>
      </c>
      <c r="I4878" s="187">
        <v>61.433920000000001</v>
      </c>
      <c r="J4878" s="41" t="s">
        <v>941</v>
      </c>
      <c r="K4878" s="41" t="s">
        <v>116</v>
      </c>
    </row>
    <row r="4879" spans="1:11" x14ac:dyDescent="0.2">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312</v>
      </c>
      <c r="H4879" s="50" t="s">
        <v>60</v>
      </c>
      <c r="I4879" s="187">
        <v>62.296410000000002</v>
      </c>
      <c r="J4879" s="41" t="s">
        <v>941</v>
      </c>
      <c r="K4879" s="41" t="s">
        <v>116</v>
      </c>
    </row>
    <row r="4880" spans="1:11" x14ac:dyDescent="0.2">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312.25</v>
      </c>
      <c r="H4880" s="50" t="s">
        <v>60</v>
      </c>
      <c r="I4880" s="187">
        <v>59.005940000000002</v>
      </c>
      <c r="J4880" s="41" t="s">
        <v>941</v>
      </c>
      <c r="K4880" s="41" t="s">
        <v>116</v>
      </c>
    </row>
    <row r="4881" spans="1:11" x14ac:dyDescent="0.2">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312.5</v>
      </c>
      <c r="H4881" s="50" t="s">
        <v>60</v>
      </c>
      <c r="I4881" s="187">
        <v>70.807689999999994</v>
      </c>
      <c r="J4881" s="41" t="s">
        <v>941</v>
      </c>
      <c r="K4881" s="41" t="s">
        <v>116</v>
      </c>
    </row>
    <row r="4882" spans="1:11" x14ac:dyDescent="0.2">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312.75</v>
      </c>
      <c r="H4882" s="50" t="s">
        <v>60</v>
      </c>
      <c r="I4882" s="187">
        <v>89.749179999999996</v>
      </c>
      <c r="J4882" s="41" t="s">
        <v>941</v>
      </c>
      <c r="K4882" s="41" t="s">
        <v>116</v>
      </c>
    </row>
    <row r="4883" spans="1:11" x14ac:dyDescent="0.2">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313</v>
      </c>
      <c r="H4883" s="50" t="s">
        <v>60</v>
      </c>
      <c r="I4883" s="187">
        <v>115.8429</v>
      </c>
      <c r="J4883" s="41" t="s">
        <v>941</v>
      </c>
      <c r="K4883" s="41" t="s">
        <v>116</v>
      </c>
    </row>
    <row r="4884" spans="1:11" x14ac:dyDescent="0.2">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313.5</v>
      </c>
      <c r="H4884" s="50" t="s">
        <v>60</v>
      </c>
      <c r="I4884" s="187">
        <v>131.685</v>
      </c>
      <c r="J4884" s="41" t="s">
        <v>941</v>
      </c>
      <c r="K4884" s="41" t="s">
        <v>116</v>
      </c>
    </row>
    <row r="4885" spans="1:11" x14ac:dyDescent="0.2">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314</v>
      </c>
      <c r="H4885" s="50" t="s">
        <v>60</v>
      </c>
      <c r="I4885" s="187">
        <v>144.35300000000001</v>
      </c>
      <c r="J4885" s="41" t="s">
        <v>941</v>
      </c>
      <c r="K4885" s="41" t="s">
        <v>116</v>
      </c>
    </row>
    <row r="4886" spans="1:11" x14ac:dyDescent="0.2">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315</v>
      </c>
      <c r="H4886" s="50" t="s">
        <v>60</v>
      </c>
      <c r="I4886" s="187">
        <v>149.9213</v>
      </c>
      <c r="J4886" s="41" t="s">
        <v>941</v>
      </c>
      <c r="K4886" s="41" t="s">
        <v>116</v>
      </c>
    </row>
    <row r="4887" spans="1:11" x14ac:dyDescent="0.2">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316</v>
      </c>
      <c r="H4887" s="50" t="s">
        <v>60</v>
      </c>
      <c r="I4887" s="187">
        <v>132.18639999999999</v>
      </c>
      <c r="J4887" s="41" t="s">
        <v>941</v>
      </c>
      <c r="K4887" s="41" t="s">
        <v>116</v>
      </c>
    </row>
    <row r="4888" spans="1:11" x14ac:dyDescent="0.2">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317</v>
      </c>
      <c r="H4888" s="50" t="s">
        <v>60</v>
      </c>
      <c r="I4888" s="187">
        <v>108.3567</v>
      </c>
      <c r="J4888" s="41" t="s">
        <v>941</v>
      </c>
      <c r="K4888" s="41" t="s">
        <v>116</v>
      </c>
    </row>
    <row r="4889" spans="1:11" x14ac:dyDescent="0.2">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318</v>
      </c>
      <c r="H4889" s="50" t="s">
        <v>60</v>
      </c>
      <c r="I4889" s="187">
        <v>90.468270000000004</v>
      </c>
      <c r="J4889" s="41" t="s">
        <v>941</v>
      </c>
      <c r="K4889" s="41" t="s">
        <v>116</v>
      </c>
    </row>
    <row r="4890" spans="1:11" x14ac:dyDescent="0.2">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320</v>
      </c>
      <c r="H4890" s="50" t="s">
        <v>60</v>
      </c>
      <c r="I4890" s="187">
        <v>65.391559999999998</v>
      </c>
      <c r="J4890" s="41" t="s">
        <v>941</v>
      </c>
      <c r="K4890" s="41" t="s">
        <v>116</v>
      </c>
    </row>
    <row r="4891" spans="1:11" x14ac:dyDescent="0.2">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324</v>
      </c>
      <c r="H4891" s="50" t="s">
        <v>60</v>
      </c>
      <c r="I4891" s="187">
        <v>30.078230000000001</v>
      </c>
      <c r="J4891" s="41" t="s">
        <v>941</v>
      </c>
      <c r="K4891" s="41" t="s">
        <v>116</v>
      </c>
    </row>
    <row r="4892" spans="1:11" x14ac:dyDescent="0.2">
      <c r="A4892" s="30">
        <v>565</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200 mg</v>
      </c>
      <c r="E4892" s="250" t="str">
        <f>IF(AND(A4892&lt;&gt;"",ISNUMBER(A4892)),VLOOKUP(A4892,Studies!A:BR,5,FALSE),"")</f>
        <v>Atazanavir</v>
      </c>
      <c r="F4892" s="251" t="str">
        <f>IF(AND(A4892&lt;&gt;"",ISNUMBER(A4892)),VLOOKUP(A4892,Studies!A:BR,6,FALSE),"")</f>
        <v>Plasma</v>
      </c>
      <c r="G4892" s="194">
        <v>0.25</v>
      </c>
      <c r="H4892" s="50" t="s">
        <v>60</v>
      </c>
      <c r="I4892" s="187">
        <v>7.1130360000000001</v>
      </c>
      <c r="J4892" s="41" t="s">
        <v>941</v>
      </c>
      <c r="K4892" s="41" t="s">
        <v>116</v>
      </c>
    </row>
    <row r="4893" spans="1:11" x14ac:dyDescent="0.2">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0.5</v>
      </c>
      <c r="H4893" s="50" t="s">
        <v>60</v>
      </c>
      <c r="I4893" s="187">
        <v>103.9149</v>
      </c>
      <c r="J4893" s="41" t="s">
        <v>941</v>
      </c>
      <c r="K4893" s="41" t="s">
        <v>116</v>
      </c>
    </row>
    <row r="4894" spans="1:11" x14ac:dyDescent="0.2">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0.75</v>
      </c>
      <c r="H4894" s="50" t="s">
        <v>60</v>
      </c>
      <c r="I4894" s="187">
        <v>265.0899</v>
      </c>
      <c r="J4894" s="41" t="s">
        <v>941</v>
      </c>
      <c r="K4894" s="41" t="s">
        <v>116</v>
      </c>
    </row>
    <row r="4895" spans="1:11" x14ac:dyDescent="0.2">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1</v>
      </c>
      <c r="H4895" s="50" t="s">
        <v>60</v>
      </c>
      <c r="I4895" s="187">
        <v>312.03219999999999</v>
      </c>
      <c r="J4895" s="41" t="s">
        <v>941</v>
      </c>
      <c r="K4895" s="41" t="s">
        <v>116</v>
      </c>
    </row>
    <row r="4896" spans="1:11" x14ac:dyDescent="0.2">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1.5</v>
      </c>
      <c r="H4896" s="50" t="s">
        <v>60</v>
      </c>
      <c r="I4896" s="187">
        <v>280.7373</v>
      </c>
      <c r="J4896" s="41" t="s">
        <v>941</v>
      </c>
      <c r="K4896" s="41" t="s">
        <v>116</v>
      </c>
    </row>
    <row r="4897" spans="1:11" x14ac:dyDescent="0.2">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2</v>
      </c>
      <c r="H4897" s="50" t="s">
        <v>60</v>
      </c>
      <c r="I4897" s="187">
        <v>235.04390000000001</v>
      </c>
      <c r="J4897" s="41" t="s">
        <v>941</v>
      </c>
      <c r="K4897" s="41" t="s">
        <v>116</v>
      </c>
    </row>
    <row r="4898" spans="1:11" x14ac:dyDescent="0.2">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3</v>
      </c>
      <c r="H4898" s="50" t="s">
        <v>60</v>
      </c>
      <c r="I4898" s="187">
        <v>227.78720000000001</v>
      </c>
      <c r="J4898" s="41" t="s">
        <v>941</v>
      </c>
      <c r="K4898" s="41" t="s">
        <v>116</v>
      </c>
    </row>
    <row r="4899" spans="1:11" x14ac:dyDescent="0.2">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4</v>
      </c>
      <c r="H4899" s="50" t="s">
        <v>60</v>
      </c>
      <c r="I4899" s="187">
        <v>162.55160000000001</v>
      </c>
      <c r="J4899" s="41" t="s">
        <v>941</v>
      </c>
      <c r="K4899" s="41" t="s">
        <v>116</v>
      </c>
    </row>
    <row r="4900" spans="1:11" x14ac:dyDescent="0.2">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5</v>
      </c>
      <c r="H4900" s="50" t="s">
        <v>60</v>
      </c>
      <c r="I4900" s="187">
        <v>136.4014</v>
      </c>
      <c r="J4900" s="41" t="s">
        <v>941</v>
      </c>
      <c r="K4900" s="41" t="s">
        <v>116</v>
      </c>
    </row>
    <row r="4901" spans="1:11" x14ac:dyDescent="0.2">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6</v>
      </c>
      <c r="H4901" s="50" t="s">
        <v>60</v>
      </c>
      <c r="I4901" s="187">
        <v>108.44450000000001</v>
      </c>
      <c r="J4901" s="41" t="s">
        <v>941</v>
      </c>
      <c r="K4901" s="41" t="s">
        <v>116</v>
      </c>
    </row>
    <row r="4902" spans="1:11" x14ac:dyDescent="0.2">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8</v>
      </c>
      <c r="H4902" s="50" t="s">
        <v>60</v>
      </c>
      <c r="I4902" s="187">
        <v>74.997960000000006</v>
      </c>
      <c r="J4902" s="41" t="s">
        <v>941</v>
      </c>
      <c r="K4902" s="41" t="s">
        <v>116</v>
      </c>
    </row>
    <row r="4903" spans="1:11" x14ac:dyDescent="0.2">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12</v>
      </c>
      <c r="H4903" s="50" t="s">
        <v>60</v>
      </c>
      <c r="I4903" s="187">
        <v>35.226680000000002</v>
      </c>
      <c r="J4903" s="41" t="s">
        <v>941</v>
      </c>
      <c r="K4903" s="41" t="s">
        <v>116</v>
      </c>
    </row>
    <row r="4904" spans="1:11" x14ac:dyDescent="0.2">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144</v>
      </c>
      <c r="H4904" s="50" t="s">
        <v>60</v>
      </c>
      <c r="I4904" s="187">
        <v>358.84120000000001</v>
      </c>
      <c r="J4904" s="41" t="s">
        <v>941</v>
      </c>
      <c r="K4904" s="41" t="s">
        <v>116</v>
      </c>
    </row>
    <row r="4905" spans="1:11" x14ac:dyDescent="0.2">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144.25</v>
      </c>
      <c r="H4905" s="50" t="s">
        <v>60</v>
      </c>
      <c r="I4905" s="187">
        <v>327.1893</v>
      </c>
      <c r="J4905" s="41" t="s">
        <v>941</v>
      </c>
      <c r="K4905" s="41" t="s">
        <v>116</v>
      </c>
    </row>
    <row r="4906" spans="1:11" x14ac:dyDescent="0.2">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144.5</v>
      </c>
      <c r="H4906" s="50" t="s">
        <v>60</v>
      </c>
      <c r="I4906" s="187">
        <v>611.06479999999999</v>
      </c>
      <c r="J4906" s="41" t="s">
        <v>941</v>
      </c>
      <c r="K4906" s="41" t="s">
        <v>116</v>
      </c>
    </row>
    <row r="4907" spans="1:11" x14ac:dyDescent="0.2">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144.75</v>
      </c>
      <c r="H4907" s="50" t="s">
        <v>60</v>
      </c>
      <c r="I4907" s="187">
        <v>1618.3440000000001</v>
      </c>
      <c r="J4907" s="41" t="s">
        <v>941</v>
      </c>
      <c r="K4907" s="41" t="s">
        <v>116</v>
      </c>
    </row>
    <row r="4908" spans="1:11" x14ac:dyDescent="0.2">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145</v>
      </c>
      <c r="H4908" s="50" t="s">
        <v>60</v>
      </c>
      <c r="I4908" s="187">
        <v>1944.1379999999999</v>
      </c>
      <c r="J4908" s="41" t="s">
        <v>941</v>
      </c>
      <c r="K4908" s="41" t="s">
        <v>116</v>
      </c>
    </row>
    <row r="4909" spans="1:11" x14ac:dyDescent="0.2">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145.5</v>
      </c>
      <c r="H4909" s="50" t="s">
        <v>60</v>
      </c>
      <c r="I4909" s="187">
        <v>1739.7619999999999</v>
      </c>
      <c r="J4909" s="41" t="s">
        <v>941</v>
      </c>
      <c r="K4909" s="41" t="s">
        <v>116</v>
      </c>
    </row>
    <row r="4910" spans="1:11" x14ac:dyDescent="0.2">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146</v>
      </c>
      <c r="H4910" s="50" t="s">
        <v>60</v>
      </c>
      <c r="I4910" s="187">
        <v>1675.7349999999999</v>
      </c>
      <c r="J4910" s="41" t="s">
        <v>941</v>
      </c>
      <c r="K4910" s="41" t="s">
        <v>116</v>
      </c>
    </row>
    <row r="4911" spans="1:11" x14ac:dyDescent="0.2">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147</v>
      </c>
      <c r="H4911" s="50" t="s">
        <v>60</v>
      </c>
      <c r="I4911" s="187">
        <v>1269.8789999999999</v>
      </c>
      <c r="J4911" s="41" t="s">
        <v>941</v>
      </c>
      <c r="K4911" s="41" t="s">
        <v>116</v>
      </c>
    </row>
    <row r="4912" spans="1:11" x14ac:dyDescent="0.2">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148</v>
      </c>
      <c r="H4912" s="50" t="s">
        <v>60</v>
      </c>
      <c r="I4912" s="187">
        <v>1055.049</v>
      </c>
      <c r="J4912" s="41" t="s">
        <v>941</v>
      </c>
      <c r="K4912" s="41" t="s">
        <v>116</v>
      </c>
    </row>
    <row r="4913" spans="1:11" x14ac:dyDescent="0.2">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149</v>
      </c>
      <c r="H4913" s="50" t="s">
        <v>60</v>
      </c>
      <c r="I4913" s="187">
        <v>892.79190000000006</v>
      </c>
      <c r="J4913" s="41" t="s">
        <v>941</v>
      </c>
      <c r="K4913" s="41" t="s">
        <v>116</v>
      </c>
    </row>
    <row r="4914" spans="1:11" x14ac:dyDescent="0.2">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150</v>
      </c>
      <c r="H4914" s="50" t="s">
        <v>60</v>
      </c>
      <c r="I4914" s="187">
        <v>701.9271</v>
      </c>
      <c r="J4914" s="41" t="s">
        <v>941</v>
      </c>
      <c r="K4914" s="41" t="s">
        <v>116</v>
      </c>
    </row>
    <row r="4915" spans="1:11" x14ac:dyDescent="0.2">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152</v>
      </c>
      <c r="H4915" s="50" t="s">
        <v>60</v>
      </c>
      <c r="I4915" s="187">
        <v>458.4873</v>
      </c>
      <c r="J4915" s="41" t="s">
        <v>941</v>
      </c>
      <c r="K4915" s="41" t="s">
        <v>116</v>
      </c>
    </row>
    <row r="4916" spans="1:11" x14ac:dyDescent="0.2">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156</v>
      </c>
      <c r="H4916" s="50" t="s">
        <v>60</v>
      </c>
      <c r="I4916" s="187">
        <v>230.8184</v>
      </c>
      <c r="J4916" s="41" t="s">
        <v>941</v>
      </c>
      <c r="K4916" s="41" t="s">
        <v>116</v>
      </c>
    </row>
    <row r="4917" spans="1:11" x14ac:dyDescent="0.2">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312</v>
      </c>
      <c r="H4917" s="50" t="s">
        <v>60</v>
      </c>
      <c r="I4917" s="187">
        <v>292.66980000000001</v>
      </c>
      <c r="J4917" s="41" t="s">
        <v>941</v>
      </c>
      <c r="K4917" s="41" t="s">
        <v>116</v>
      </c>
    </row>
    <row r="4918" spans="1:11" x14ac:dyDescent="0.2">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312.25</v>
      </c>
      <c r="H4918" s="50" t="s">
        <v>60</v>
      </c>
      <c r="I4918" s="187">
        <v>277.22160000000002</v>
      </c>
      <c r="J4918" s="41" t="s">
        <v>941</v>
      </c>
      <c r="K4918" s="41" t="s">
        <v>116</v>
      </c>
    </row>
    <row r="4919" spans="1:11" x14ac:dyDescent="0.2">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312.5</v>
      </c>
      <c r="H4919" s="50" t="s">
        <v>60</v>
      </c>
      <c r="I4919" s="187">
        <v>617.74239999999998</v>
      </c>
      <c r="J4919" s="41" t="s">
        <v>941</v>
      </c>
      <c r="K4919" s="41" t="s">
        <v>116</v>
      </c>
    </row>
    <row r="4920" spans="1:11" x14ac:dyDescent="0.2">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312.75</v>
      </c>
      <c r="H4920" s="50" t="s">
        <v>60</v>
      </c>
      <c r="I4920" s="187">
        <v>1126.7560000000001</v>
      </c>
      <c r="J4920" s="41" t="s">
        <v>941</v>
      </c>
      <c r="K4920" s="41" t="s">
        <v>116</v>
      </c>
    </row>
    <row r="4921" spans="1:11" x14ac:dyDescent="0.2">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313</v>
      </c>
      <c r="H4921" s="50" t="s">
        <v>60</v>
      </c>
      <c r="I4921" s="187">
        <v>1428.2239999999999</v>
      </c>
      <c r="J4921" s="41" t="s">
        <v>941</v>
      </c>
      <c r="K4921" s="41" t="s">
        <v>116</v>
      </c>
    </row>
    <row r="4922" spans="1:11" x14ac:dyDescent="0.2">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313.5</v>
      </c>
      <c r="H4922" s="50" t="s">
        <v>60</v>
      </c>
      <c r="I4922" s="187">
        <v>1403.528</v>
      </c>
      <c r="J4922" s="41" t="s">
        <v>941</v>
      </c>
      <c r="K4922" s="41" t="s">
        <v>116</v>
      </c>
    </row>
    <row r="4923" spans="1:11" x14ac:dyDescent="0.2">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314</v>
      </c>
      <c r="H4923" s="50" t="s">
        <v>60</v>
      </c>
      <c r="I4923" s="187">
        <v>1305.9110000000001</v>
      </c>
      <c r="J4923" s="41" t="s">
        <v>941</v>
      </c>
      <c r="K4923" s="41" t="s">
        <v>116</v>
      </c>
    </row>
    <row r="4924" spans="1:11" x14ac:dyDescent="0.2">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315</v>
      </c>
      <c r="H4924" s="50" t="s">
        <v>60</v>
      </c>
      <c r="I4924" s="187">
        <v>1090.2380000000001</v>
      </c>
      <c r="J4924" s="41" t="s">
        <v>941</v>
      </c>
      <c r="K4924" s="41" t="s">
        <v>116</v>
      </c>
    </row>
    <row r="4925" spans="1:11" x14ac:dyDescent="0.2">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316</v>
      </c>
      <c r="H4925" s="50" t="s">
        <v>60</v>
      </c>
      <c r="I4925" s="187">
        <v>926.90210000000002</v>
      </c>
      <c r="J4925" s="41" t="s">
        <v>941</v>
      </c>
      <c r="K4925" s="41" t="s">
        <v>116</v>
      </c>
    </row>
    <row r="4926" spans="1:11" x14ac:dyDescent="0.2">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317</v>
      </c>
      <c r="H4926" s="50" t="s">
        <v>60</v>
      </c>
      <c r="I4926" s="187">
        <v>759.83540000000005</v>
      </c>
      <c r="J4926" s="41" t="s">
        <v>941</v>
      </c>
      <c r="K4926" s="41" t="s">
        <v>116</v>
      </c>
    </row>
    <row r="4927" spans="1:11" x14ac:dyDescent="0.2">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318</v>
      </c>
      <c r="H4927" s="50" t="s">
        <v>60</v>
      </c>
      <c r="I4927" s="187">
        <v>657.89120000000003</v>
      </c>
      <c r="J4927" s="41" t="s">
        <v>941</v>
      </c>
      <c r="K4927" s="41" t="s">
        <v>116</v>
      </c>
    </row>
    <row r="4928" spans="1:11" x14ac:dyDescent="0.2">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320</v>
      </c>
      <c r="H4928" s="50" t="s">
        <v>60</v>
      </c>
      <c r="I4928" s="187">
        <v>426.33199999999999</v>
      </c>
      <c r="J4928" s="41" t="s">
        <v>941</v>
      </c>
      <c r="K4928" s="41" t="s">
        <v>116</v>
      </c>
    </row>
    <row r="4929" spans="1:11" x14ac:dyDescent="0.2">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324</v>
      </c>
      <c r="H4929" s="50" t="s">
        <v>60</v>
      </c>
      <c r="I4929" s="187">
        <v>210.89510000000001</v>
      </c>
      <c r="J4929" s="41" t="s">
        <v>941</v>
      </c>
      <c r="K4929" s="41" t="s">
        <v>116</v>
      </c>
    </row>
    <row r="4930" spans="1:11" x14ac:dyDescent="0.2">
      <c r="A4930" s="30">
        <v>566</v>
      </c>
      <c r="B4930" s="249" t="str">
        <f>IF(AND(A4930&lt;&gt;"",ISNUMBER(A4930)),VLOOKUP(A4930,Studies!A:BR,2,FALSE),"")</f>
        <v>ClinPharmReview, AI424-014, p. 77</v>
      </c>
      <c r="C4930" s="250" t="str">
        <f>IF(AND(A4930&lt;&gt;"",ISNUMBER(A4930)),VLOOKUP(A4930,Studies!A:BR,3,FALSE),"")</f>
        <v>https://www.accessdata.fda.gov/drugsatfda_docs/nda/2003/21-567_Reyataz_BioPharmr_P2.pdf</v>
      </c>
      <c r="D4930" s="250" t="str">
        <f>IF(AND(A4930&lt;&gt;"",ISNUMBER(A4930)),VLOOKUP(A4930,Studies!A:BR,4,FALSE),"")</f>
        <v>Young Females</v>
      </c>
      <c r="E4930" s="250" t="str">
        <f>IF(AND(A4930&lt;&gt;"",ISNUMBER(A4930)),VLOOKUP(A4930,Studies!A:BR,5,FALSE),"")</f>
        <v>Atazanavir</v>
      </c>
      <c r="F4930" s="251" t="str">
        <f>IF(AND(A4930&lt;&gt;"",ISNUMBER(A4930)),VLOOKUP(A4930,Studies!A:BR,6,FALSE),"")</f>
        <v>Plasma</v>
      </c>
      <c r="G4930" s="194">
        <v>1</v>
      </c>
      <c r="H4930" s="50" t="s">
        <v>60</v>
      </c>
      <c r="I4930" s="187">
        <v>52.308540000000001</v>
      </c>
      <c r="J4930" s="41" t="s">
        <v>941</v>
      </c>
      <c r="K4930" s="41" t="s">
        <v>116</v>
      </c>
    </row>
    <row r="4931" spans="1:11" x14ac:dyDescent="0.2">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1.5</v>
      </c>
      <c r="H4931" s="50" t="s">
        <v>60</v>
      </c>
      <c r="I4931" s="187">
        <v>484.56130000000002</v>
      </c>
      <c r="J4931" s="41" t="s">
        <v>941</v>
      </c>
      <c r="K4931" s="41" t="s">
        <v>116</v>
      </c>
    </row>
    <row r="4932" spans="1:11" x14ac:dyDescent="0.2">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2</v>
      </c>
      <c r="H4932" s="50" t="s">
        <v>60</v>
      </c>
      <c r="I4932" s="187">
        <v>1774.3140000000001</v>
      </c>
      <c r="J4932" s="41" t="s">
        <v>941</v>
      </c>
      <c r="K4932" s="41" t="s">
        <v>116</v>
      </c>
    </row>
    <row r="4933" spans="1:11" x14ac:dyDescent="0.2">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2.5</v>
      </c>
      <c r="H4933" s="50" t="s">
        <v>60</v>
      </c>
      <c r="I4933" s="187">
        <v>2932.5520000000001</v>
      </c>
      <c r="J4933" s="41" t="s">
        <v>941</v>
      </c>
      <c r="K4933" s="41" t="s">
        <v>116</v>
      </c>
    </row>
    <row r="4934" spans="1:11" x14ac:dyDescent="0.2">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3</v>
      </c>
      <c r="H4934" s="50" t="s">
        <v>60</v>
      </c>
      <c r="I4934" s="187">
        <v>3006.748</v>
      </c>
      <c r="J4934" s="41" t="s">
        <v>941</v>
      </c>
      <c r="K4934" s="41" t="s">
        <v>116</v>
      </c>
    </row>
    <row r="4935" spans="1:11" x14ac:dyDescent="0.2">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4</v>
      </c>
      <c r="H4935" s="50" t="s">
        <v>60</v>
      </c>
      <c r="I4935" s="187">
        <v>2523.7979999999998</v>
      </c>
      <c r="J4935" s="41" t="s">
        <v>941</v>
      </c>
      <c r="K4935" s="41" t="s">
        <v>116</v>
      </c>
    </row>
    <row r="4936" spans="1:11" x14ac:dyDescent="0.2">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5</v>
      </c>
      <c r="H4936" s="50" t="s">
        <v>60</v>
      </c>
      <c r="I4936" s="187">
        <v>2035.8320000000001</v>
      </c>
      <c r="J4936" s="41" t="s">
        <v>941</v>
      </c>
      <c r="K4936" s="41" t="s">
        <v>116</v>
      </c>
    </row>
    <row r="4937" spans="1:11" x14ac:dyDescent="0.2">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6</v>
      </c>
      <c r="H4937" s="50" t="s">
        <v>60</v>
      </c>
      <c r="I4937" s="187">
        <v>1363.874</v>
      </c>
      <c r="J4937" s="41" t="s">
        <v>941</v>
      </c>
      <c r="K4937" s="41" t="s">
        <v>116</v>
      </c>
    </row>
    <row r="4938" spans="1:11" x14ac:dyDescent="0.2">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8</v>
      </c>
      <c r="H4938" s="50" t="s">
        <v>60</v>
      </c>
      <c r="I4938" s="187">
        <v>948.40309999999999</v>
      </c>
      <c r="J4938" s="41" t="s">
        <v>941</v>
      </c>
      <c r="K4938" s="41" t="s">
        <v>116</v>
      </c>
    </row>
    <row r="4939" spans="1:11" x14ac:dyDescent="0.2">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10</v>
      </c>
      <c r="H4939" s="50" t="s">
        <v>60</v>
      </c>
      <c r="I4939" s="187">
        <v>526.29129999999998</v>
      </c>
      <c r="J4939" s="41" t="s">
        <v>941</v>
      </c>
      <c r="K4939" s="41" t="s">
        <v>116</v>
      </c>
    </row>
    <row r="4940" spans="1:11" x14ac:dyDescent="0.2">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12</v>
      </c>
      <c r="H4940" s="50" t="s">
        <v>60</v>
      </c>
      <c r="I4940" s="187">
        <v>390.9384</v>
      </c>
      <c r="J4940" s="41" t="s">
        <v>941</v>
      </c>
      <c r="K4940" s="41" t="s">
        <v>116</v>
      </c>
    </row>
    <row r="4941" spans="1:11" x14ac:dyDescent="0.2">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16</v>
      </c>
      <c r="H4941" s="50" t="s">
        <v>60</v>
      </c>
      <c r="I4941" s="187">
        <v>243.11060000000001</v>
      </c>
      <c r="J4941" s="41" t="s">
        <v>941</v>
      </c>
      <c r="K4941" s="41" t="s">
        <v>116</v>
      </c>
    </row>
    <row r="4942" spans="1:11" x14ac:dyDescent="0.2">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20</v>
      </c>
      <c r="H4942" s="50" t="s">
        <v>60</v>
      </c>
      <c r="I4942" s="187">
        <v>168.09460000000001</v>
      </c>
      <c r="J4942" s="41" t="s">
        <v>941</v>
      </c>
      <c r="K4942" s="41" t="s">
        <v>116</v>
      </c>
    </row>
    <row r="4943" spans="1:11" x14ac:dyDescent="0.2">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24</v>
      </c>
      <c r="H4943" s="50" t="s">
        <v>60</v>
      </c>
      <c r="I4943" s="187">
        <v>108.74250000000001</v>
      </c>
      <c r="J4943" s="41" t="s">
        <v>941</v>
      </c>
      <c r="K4943" s="41" t="s">
        <v>116</v>
      </c>
    </row>
    <row r="4944" spans="1:11" x14ac:dyDescent="0.2">
      <c r="A4944" s="30">
        <v>567</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Males</v>
      </c>
      <c r="E4944" s="250" t="str">
        <f>IF(AND(A4944&lt;&gt;"",ISNUMBER(A4944)),VLOOKUP(A4944,Studies!A:BR,5,FALSE),"")</f>
        <v>Atazanavir</v>
      </c>
      <c r="F4944" s="251" t="str">
        <f>IF(AND(A4944&lt;&gt;"",ISNUMBER(A4944)),VLOOKUP(A4944,Studies!A:BR,6,FALSE),"")</f>
        <v>Plasma</v>
      </c>
      <c r="G4944" s="194">
        <v>0.5</v>
      </c>
      <c r="H4944" s="50" t="s">
        <v>60</v>
      </c>
      <c r="I4944" s="187">
        <v>25.942129999999999</v>
      </c>
      <c r="J4944" s="41" t="s">
        <v>941</v>
      </c>
      <c r="K4944" s="41" t="s">
        <v>116</v>
      </c>
    </row>
    <row r="4945" spans="1:11" x14ac:dyDescent="0.2">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1</v>
      </c>
      <c r="H4945" s="50" t="s">
        <v>60</v>
      </c>
      <c r="I4945" s="187">
        <v>553.93439999999998</v>
      </c>
      <c r="J4945" s="41" t="s">
        <v>941</v>
      </c>
      <c r="K4945" s="41" t="s">
        <v>116</v>
      </c>
    </row>
    <row r="4946" spans="1:11" x14ac:dyDescent="0.2">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1.5</v>
      </c>
      <c r="H4946" s="50" t="s">
        <v>60</v>
      </c>
      <c r="I4946" s="187">
        <v>1495.3209999999999</v>
      </c>
      <c r="J4946" s="41" t="s">
        <v>941</v>
      </c>
      <c r="K4946" s="41" t="s">
        <v>116</v>
      </c>
    </row>
    <row r="4947" spans="1:11" x14ac:dyDescent="0.2">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2</v>
      </c>
      <c r="H4947" s="50" t="s">
        <v>60</v>
      </c>
      <c r="I4947" s="187">
        <v>1947.0989999999999</v>
      </c>
      <c r="J4947" s="41" t="s">
        <v>941</v>
      </c>
      <c r="K4947" s="41" t="s">
        <v>116</v>
      </c>
    </row>
    <row r="4948" spans="1:11" x14ac:dyDescent="0.2">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2.5</v>
      </c>
      <c r="H4948" s="50" t="s">
        <v>60</v>
      </c>
      <c r="I4948" s="187">
        <v>2023.2809999999999</v>
      </c>
      <c r="J4948" s="41" t="s">
        <v>941</v>
      </c>
      <c r="K4948" s="41" t="s">
        <v>116</v>
      </c>
    </row>
    <row r="4949" spans="1:11" x14ac:dyDescent="0.2">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3</v>
      </c>
      <c r="H4949" s="50" t="s">
        <v>60</v>
      </c>
      <c r="I4949" s="187">
        <v>1993.596</v>
      </c>
      <c r="J4949" s="41" t="s">
        <v>941</v>
      </c>
      <c r="K4949" s="41" t="s">
        <v>116</v>
      </c>
    </row>
    <row r="4950" spans="1:11" x14ac:dyDescent="0.2">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4</v>
      </c>
      <c r="H4950" s="50" t="s">
        <v>60</v>
      </c>
      <c r="I4950" s="187">
        <v>1524.885</v>
      </c>
      <c r="J4950" s="41" t="s">
        <v>941</v>
      </c>
      <c r="K4950" s="41" t="s">
        <v>116</v>
      </c>
    </row>
    <row r="4951" spans="1:11" x14ac:dyDescent="0.2">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5</v>
      </c>
      <c r="H4951" s="50" t="s">
        <v>60</v>
      </c>
      <c r="I4951" s="187">
        <v>1246.6410000000001</v>
      </c>
      <c r="J4951" s="41" t="s">
        <v>941</v>
      </c>
      <c r="K4951" s="41" t="s">
        <v>116</v>
      </c>
    </row>
    <row r="4952" spans="1:11" x14ac:dyDescent="0.2">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6</v>
      </c>
      <c r="H4952" s="50" t="s">
        <v>60</v>
      </c>
      <c r="I4952" s="187">
        <v>904.30380000000002</v>
      </c>
      <c r="J4952" s="41" t="s">
        <v>941</v>
      </c>
      <c r="K4952" s="41" t="s">
        <v>116</v>
      </c>
    </row>
    <row r="4953" spans="1:11" x14ac:dyDescent="0.2">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8</v>
      </c>
      <c r="H4953" s="50" t="s">
        <v>60</v>
      </c>
      <c r="I4953" s="187">
        <v>637.22069999999997</v>
      </c>
      <c r="J4953" s="41" t="s">
        <v>941</v>
      </c>
      <c r="K4953" s="41" t="s">
        <v>116</v>
      </c>
    </row>
    <row r="4954" spans="1:11" x14ac:dyDescent="0.2">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10</v>
      </c>
      <c r="H4954" s="50" t="s">
        <v>60</v>
      </c>
      <c r="I4954" s="187">
        <v>414.46120000000002</v>
      </c>
      <c r="J4954" s="41" t="s">
        <v>941</v>
      </c>
      <c r="K4954" s="41" t="s">
        <v>116</v>
      </c>
    </row>
    <row r="4955" spans="1:11" x14ac:dyDescent="0.2">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12</v>
      </c>
      <c r="H4955" s="50" t="s">
        <v>60</v>
      </c>
      <c r="I4955" s="187">
        <v>280.6266</v>
      </c>
      <c r="J4955" s="41" t="s">
        <v>941</v>
      </c>
      <c r="K4955" s="41" t="s">
        <v>116</v>
      </c>
    </row>
    <row r="4956" spans="1:11" x14ac:dyDescent="0.2">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16</v>
      </c>
      <c r="H4956" s="50" t="s">
        <v>60</v>
      </c>
      <c r="I4956" s="187">
        <v>152.82579999999999</v>
      </c>
      <c r="J4956" s="41" t="s">
        <v>941</v>
      </c>
      <c r="K4956" s="41" t="s">
        <v>116</v>
      </c>
    </row>
    <row r="4957" spans="1:11" x14ac:dyDescent="0.2">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20</v>
      </c>
      <c r="H4957" s="50" t="s">
        <v>60</v>
      </c>
      <c r="I4957" s="187">
        <v>88.942300000000003</v>
      </c>
      <c r="J4957" s="41" t="s">
        <v>941</v>
      </c>
      <c r="K4957" s="41" t="s">
        <v>116</v>
      </c>
    </row>
    <row r="4958" spans="1:11" x14ac:dyDescent="0.2">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24</v>
      </c>
      <c r="H4958" s="50" t="s">
        <v>60</v>
      </c>
      <c r="I4958" s="187">
        <v>61.480550000000001</v>
      </c>
      <c r="J4958" s="41" t="s">
        <v>941</v>
      </c>
      <c r="K4958" s="41" t="s">
        <v>116</v>
      </c>
    </row>
    <row r="4959" spans="1:11" x14ac:dyDescent="0.2">
      <c r="A4959" s="30">
        <v>568</v>
      </c>
      <c r="B4959" s="249" t="str">
        <f>IF(AND(A4959&lt;&gt;"",ISNUMBER(A4959)),VLOOKUP(A4959,Studies!A:BR,2,FALSE),"")</f>
        <v>ClinPharmReview, AI424-015, p. 81</v>
      </c>
      <c r="C4959" s="250" t="str">
        <f>IF(AND(A4959&lt;&gt;"",ISNUMBER(A4959)),VLOOKUP(A4959,Studies!A:BR,3,FALSE),"")</f>
        <v>https://www.accessdata.fda.gov/drugsatfda_docs/nda/2003/21-567_Reyataz_BioPharmr_P2.pdf</v>
      </c>
      <c r="D4959" s="250" t="str">
        <f>IF(AND(A4959&lt;&gt;"",ISNUMBER(A4959)),VLOOKUP(A4959,Studies!A:BR,4,FALSE),"")</f>
        <v>Normal subjects</v>
      </c>
      <c r="E4959" s="250" t="str">
        <f>IF(AND(A4959&lt;&gt;"",ISNUMBER(A4959)),VLOOKUP(A4959,Studies!A:BR,5,FALSE),"")</f>
        <v>Atazanavir</v>
      </c>
      <c r="F4959" s="251" t="str">
        <f>IF(AND(A4959&lt;&gt;"",ISNUMBER(A4959)),VLOOKUP(A4959,Studies!A:BR,6,FALSE),"")</f>
        <v>Plasma</v>
      </c>
      <c r="G4959" s="194">
        <v>0.25</v>
      </c>
      <c r="H4959" s="50" t="s">
        <v>60</v>
      </c>
      <c r="I4959" s="187">
        <v>0.90100119999999995</v>
      </c>
      <c r="J4959" s="41" t="s">
        <v>941</v>
      </c>
      <c r="K4959" s="41" t="s">
        <v>116</v>
      </c>
    </row>
    <row r="4960" spans="1:11" x14ac:dyDescent="0.2">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0.5</v>
      </c>
      <c r="H4960" s="50" t="s">
        <v>60</v>
      </c>
      <c r="I4960" s="187">
        <v>13.71434</v>
      </c>
      <c r="J4960" s="41" t="s">
        <v>941</v>
      </c>
      <c r="K4960" s="41" t="s">
        <v>116</v>
      </c>
    </row>
    <row r="4961" spans="1:14" x14ac:dyDescent="0.2">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1</v>
      </c>
      <c r="H4961" s="50" t="s">
        <v>60</v>
      </c>
      <c r="I4961" s="187">
        <v>160.97620000000001</v>
      </c>
      <c r="J4961" s="41" t="s">
        <v>941</v>
      </c>
      <c r="K4961" s="41" t="s">
        <v>116</v>
      </c>
    </row>
    <row r="4962" spans="1:14" x14ac:dyDescent="0.2">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1.5</v>
      </c>
      <c r="H4962" s="50" t="s">
        <v>60</v>
      </c>
      <c r="I4962" s="187">
        <v>541.74390000000005</v>
      </c>
      <c r="J4962" s="41" t="s">
        <v>941</v>
      </c>
      <c r="K4962" s="41" t="s">
        <v>116</v>
      </c>
    </row>
    <row r="4963" spans="1:14" x14ac:dyDescent="0.2">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2</v>
      </c>
      <c r="H4963" s="50" t="s">
        <v>60</v>
      </c>
      <c r="I4963" s="187">
        <v>1161.0550000000001</v>
      </c>
      <c r="J4963" s="41" t="s">
        <v>941</v>
      </c>
      <c r="K4963" s="41" t="s">
        <v>116</v>
      </c>
      <c r="N4963" s="195"/>
    </row>
    <row r="4964" spans="1:14" x14ac:dyDescent="0.2">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3</v>
      </c>
      <c r="H4964" s="50" t="s">
        <v>60</v>
      </c>
      <c r="I4964" s="187">
        <v>1612.0419999999999</v>
      </c>
      <c r="J4964" s="41" t="s">
        <v>941</v>
      </c>
      <c r="K4964" s="41" t="s">
        <v>116</v>
      </c>
      <c r="L4964" s="195">
        <v>874.72529999999995</v>
      </c>
      <c r="M4964" s="52" t="s">
        <v>941</v>
      </c>
      <c r="N4964" s="195" t="s">
        <v>117</v>
      </c>
    </row>
    <row r="4965" spans="1:14" x14ac:dyDescent="0.2">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4</v>
      </c>
      <c r="H4965" s="50" t="s">
        <v>60</v>
      </c>
      <c r="I4965" s="187">
        <v>1306.9970000000001</v>
      </c>
      <c r="J4965" s="41" t="s">
        <v>941</v>
      </c>
      <c r="K4965" s="41" t="s">
        <v>116</v>
      </c>
      <c r="L4965" s="195">
        <v>675.38490000000002</v>
      </c>
      <c r="M4965" s="52" t="s">
        <v>941</v>
      </c>
      <c r="N4965" s="195" t="s">
        <v>117</v>
      </c>
    </row>
    <row r="4966" spans="1:14" x14ac:dyDescent="0.2">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5</v>
      </c>
      <c r="H4966" s="50" t="s">
        <v>60</v>
      </c>
      <c r="I4966" s="187">
        <v>1006.389</v>
      </c>
      <c r="J4966" s="41" t="s">
        <v>941</v>
      </c>
      <c r="K4966" s="41" t="s">
        <v>116</v>
      </c>
      <c r="L4966" s="195">
        <v>600.86829999999998</v>
      </c>
      <c r="M4966" s="52" t="s">
        <v>941</v>
      </c>
      <c r="N4966" s="195" t="s">
        <v>117</v>
      </c>
    </row>
    <row r="4967" spans="1:14" x14ac:dyDescent="0.2">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6</v>
      </c>
      <c r="H4967" s="50" t="s">
        <v>60</v>
      </c>
      <c r="I4967" s="187">
        <v>788.13990000000001</v>
      </c>
      <c r="J4967" s="41" t="s">
        <v>941</v>
      </c>
      <c r="K4967" s="41" t="s">
        <v>116</v>
      </c>
      <c r="L4967" s="195">
        <v>470.56180000000001</v>
      </c>
      <c r="M4967" s="52" t="s">
        <v>941</v>
      </c>
      <c r="N4967" s="195" t="s">
        <v>117</v>
      </c>
    </row>
    <row r="4968" spans="1:14" x14ac:dyDescent="0.2">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8</v>
      </c>
      <c r="H4968" s="50" t="s">
        <v>60</v>
      </c>
      <c r="I4968" s="187">
        <v>527.25670000000002</v>
      </c>
      <c r="J4968" s="41" t="s">
        <v>941</v>
      </c>
      <c r="K4968" s="41" t="s">
        <v>116</v>
      </c>
      <c r="L4968" s="195">
        <v>300.67720000000003</v>
      </c>
      <c r="M4968" s="52" t="s">
        <v>941</v>
      </c>
      <c r="N4968" s="52" t="s">
        <v>117</v>
      </c>
    </row>
    <row r="4969" spans="1:14" x14ac:dyDescent="0.2">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12</v>
      </c>
      <c r="H4969" s="50" t="s">
        <v>60</v>
      </c>
      <c r="I4969" s="187">
        <v>248.67670000000001</v>
      </c>
      <c r="J4969" s="41" t="s">
        <v>941</v>
      </c>
      <c r="K4969" s="41" t="s">
        <v>116</v>
      </c>
    </row>
    <row r="4970" spans="1:14" x14ac:dyDescent="0.2">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18</v>
      </c>
      <c r="H4970" s="50" t="s">
        <v>60</v>
      </c>
      <c r="I4970" s="187">
        <v>125.3634</v>
      </c>
      <c r="J4970" s="41" t="s">
        <v>941</v>
      </c>
      <c r="K4970" s="41" t="s">
        <v>116</v>
      </c>
    </row>
    <row r="4971" spans="1:14" x14ac:dyDescent="0.2">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24</v>
      </c>
      <c r="H4971" s="50" t="s">
        <v>60</v>
      </c>
      <c r="I4971" s="187">
        <v>73.856300000000005</v>
      </c>
      <c r="J4971" s="41" t="s">
        <v>941</v>
      </c>
      <c r="K4971" s="41" t="s">
        <v>116</v>
      </c>
    </row>
    <row r="4972" spans="1:14" x14ac:dyDescent="0.2">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36</v>
      </c>
      <c r="H4972" s="50" t="s">
        <v>60</v>
      </c>
      <c r="I4972" s="187">
        <v>21.93046</v>
      </c>
      <c r="J4972" s="41" t="s">
        <v>941</v>
      </c>
      <c r="K4972" s="41" t="s">
        <v>116</v>
      </c>
    </row>
    <row r="4973" spans="1:14" x14ac:dyDescent="0.2">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48</v>
      </c>
      <c r="H4973" s="50" t="s">
        <v>60</v>
      </c>
      <c r="I4973" s="187">
        <v>9.2131310000000006</v>
      </c>
      <c r="J4973" s="41" t="s">
        <v>941</v>
      </c>
      <c r="K4973" s="41" t="s">
        <v>116</v>
      </c>
      <c r="N4973" s="195"/>
    </row>
    <row r="4974" spans="1:14" x14ac:dyDescent="0.2">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60</v>
      </c>
      <c r="H4974" s="50" t="s">
        <v>60</v>
      </c>
      <c r="I4974" s="187">
        <v>2.0022630000000001</v>
      </c>
      <c r="J4974" s="41" t="s">
        <v>941</v>
      </c>
      <c r="K4974" s="41" t="s">
        <v>116</v>
      </c>
      <c r="L4974" s="195">
        <v>3.665797</v>
      </c>
      <c r="M4974" s="52" t="s">
        <v>941</v>
      </c>
      <c r="N4974" s="195" t="s">
        <v>117</v>
      </c>
    </row>
    <row r="4975" spans="1:14" x14ac:dyDescent="0.2">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72</v>
      </c>
      <c r="H4975" s="50" t="s">
        <v>60</v>
      </c>
      <c r="I4975" s="187">
        <v>0.8708458</v>
      </c>
      <c r="J4975" s="41" t="s">
        <v>941</v>
      </c>
      <c r="K4975" s="41" t="s">
        <v>116</v>
      </c>
      <c r="L4975" s="195">
        <v>2.3839570000000001</v>
      </c>
      <c r="M4975" s="52" t="s">
        <v>941</v>
      </c>
      <c r="N4975" s="52" t="s">
        <v>117</v>
      </c>
    </row>
    <row r="4976" spans="1:14" x14ac:dyDescent="0.2">
      <c r="A4976" s="30">
        <v>569</v>
      </c>
      <c r="B4976" s="249" t="str">
        <f>IF(AND(A4976&lt;&gt;"",ISNUMBER(A4976)),VLOOKUP(A4976,Studies!A:BR,2,FALSE),"")</f>
        <v>ClinPharmReview, AI424-004, p. 94</v>
      </c>
      <c r="C4976" s="250" t="str">
        <f>IF(AND(A4976&lt;&gt;"",ISNUMBER(A4976)),VLOOKUP(A4976,Studies!A:BR,3,FALSE),"")</f>
        <v>https://www.accessdata.fda.gov/drugsatfda_docs/nda/2003/21-567_Reyataz_BioPharmr_P2.pdf</v>
      </c>
      <c r="D4976" s="250" t="str">
        <f>IF(AND(A4976&lt;&gt;"",ISNUMBER(A4976)),VLOOKUP(A4976,Studies!A:BR,4,FALSE),"")</f>
        <v>Treatment A</v>
      </c>
      <c r="E4976" s="250" t="str">
        <f>IF(AND(A4976&lt;&gt;"",ISNUMBER(A4976)),VLOOKUP(A4976,Studies!A:BR,5,FALSE),"")</f>
        <v>Atazanavir</v>
      </c>
      <c r="F4976" s="251" t="str">
        <f>IF(AND(A4976&lt;&gt;"",ISNUMBER(A4976)),VLOOKUP(A4976,Studies!A:BR,6,FALSE),"")</f>
        <v>Plasma</v>
      </c>
      <c r="G4976" s="194">
        <v>0.25</v>
      </c>
      <c r="H4976" s="50" t="s">
        <v>60</v>
      </c>
      <c r="I4976" s="187">
        <v>8.1130089999999999</v>
      </c>
      <c r="J4976" s="41" t="s">
        <v>941</v>
      </c>
      <c r="K4976" s="41" t="s">
        <v>116</v>
      </c>
    </row>
    <row r="4977" spans="1:11" x14ac:dyDescent="0.2">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0.5</v>
      </c>
      <c r="H4977" s="50" t="s">
        <v>60</v>
      </c>
      <c r="I4977" s="187">
        <v>107.31359999999999</v>
      </c>
      <c r="J4977" s="41" t="s">
        <v>941</v>
      </c>
      <c r="K4977" s="41" t="s">
        <v>116</v>
      </c>
    </row>
    <row r="4978" spans="1:11" x14ac:dyDescent="0.2">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0.75</v>
      </c>
      <c r="H4978" s="50" t="s">
        <v>60</v>
      </c>
      <c r="I4978" s="187">
        <v>502.28550000000001</v>
      </c>
      <c r="J4978" s="41" t="s">
        <v>941</v>
      </c>
      <c r="K4978" s="41" t="s">
        <v>116</v>
      </c>
    </row>
    <row r="4979" spans="1:11" x14ac:dyDescent="0.2">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1</v>
      </c>
      <c r="H4979" s="50" t="s">
        <v>60</v>
      </c>
      <c r="I4979" s="187">
        <v>1014.487</v>
      </c>
      <c r="J4979" s="41" t="s">
        <v>941</v>
      </c>
      <c r="K4979" s="41" t="s">
        <v>116</v>
      </c>
    </row>
    <row r="4980" spans="1:11" x14ac:dyDescent="0.2">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1.5</v>
      </c>
      <c r="H4980" s="50" t="s">
        <v>60</v>
      </c>
      <c r="I4980" s="187">
        <v>1295.8589999999999</v>
      </c>
      <c r="J4980" s="41" t="s">
        <v>941</v>
      </c>
      <c r="K4980" s="41" t="s">
        <v>116</v>
      </c>
    </row>
    <row r="4981" spans="1:11" x14ac:dyDescent="0.2">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2</v>
      </c>
      <c r="H4981" s="50" t="s">
        <v>60</v>
      </c>
      <c r="I4981" s="187">
        <v>1147.174</v>
      </c>
      <c r="J4981" s="41" t="s">
        <v>941</v>
      </c>
      <c r="K4981" s="41" t="s">
        <v>116</v>
      </c>
    </row>
    <row r="4982" spans="1:11" x14ac:dyDescent="0.2">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3</v>
      </c>
      <c r="H4982" s="50" t="s">
        <v>60</v>
      </c>
      <c r="I4982" s="187">
        <v>926.77329999999995</v>
      </c>
      <c r="J4982" s="41" t="s">
        <v>941</v>
      </c>
      <c r="K4982" s="41" t="s">
        <v>116</v>
      </c>
    </row>
    <row r="4983" spans="1:11" x14ac:dyDescent="0.2">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4</v>
      </c>
      <c r="H4983" s="50" t="s">
        <v>60</v>
      </c>
      <c r="I4983" s="187">
        <v>693.75959999999998</v>
      </c>
      <c r="J4983" s="41" t="s">
        <v>941</v>
      </c>
      <c r="K4983" s="41" t="s">
        <v>116</v>
      </c>
    </row>
    <row r="4984" spans="1:11" x14ac:dyDescent="0.2">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5</v>
      </c>
      <c r="H4984" s="50" t="s">
        <v>60</v>
      </c>
      <c r="I4984" s="187">
        <v>543.64670000000001</v>
      </c>
      <c r="J4984" s="41" t="s">
        <v>941</v>
      </c>
      <c r="K4984" s="41" t="s">
        <v>116</v>
      </c>
    </row>
    <row r="4985" spans="1:11" x14ac:dyDescent="0.2">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6</v>
      </c>
      <c r="H4985" s="50" t="s">
        <v>60</v>
      </c>
      <c r="I4985" s="187">
        <v>413.19310000000002</v>
      </c>
      <c r="J4985" s="41" t="s">
        <v>941</v>
      </c>
      <c r="K4985" s="41" t="s">
        <v>116</v>
      </c>
    </row>
    <row r="4986" spans="1:11" x14ac:dyDescent="0.2">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8</v>
      </c>
      <c r="H4986" s="50" t="s">
        <v>60</v>
      </c>
      <c r="I4986" s="187">
        <v>282.37009999999998</v>
      </c>
      <c r="J4986" s="41" t="s">
        <v>941</v>
      </c>
      <c r="K4986" s="41" t="s">
        <v>116</v>
      </c>
    </row>
    <row r="4987" spans="1:11" x14ac:dyDescent="0.2">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10</v>
      </c>
      <c r="H4987" s="50" t="s">
        <v>60</v>
      </c>
      <c r="I4987" s="187">
        <v>195.93860000000001</v>
      </c>
      <c r="J4987" s="41" t="s">
        <v>941</v>
      </c>
      <c r="K4987" s="41" t="s">
        <v>116</v>
      </c>
    </row>
    <row r="4988" spans="1:11" x14ac:dyDescent="0.2">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12</v>
      </c>
      <c r="H4988" s="50" t="s">
        <v>60</v>
      </c>
      <c r="I4988" s="187">
        <v>131.86060000000001</v>
      </c>
      <c r="J4988" s="41" t="s">
        <v>941</v>
      </c>
      <c r="K4988" s="41" t="s">
        <v>116</v>
      </c>
    </row>
    <row r="4989" spans="1:11" x14ac:dyDescent="0.2">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18</v>
      </c>
      <c r="H4989" s="50" t="s">
        <v>60</v>
      </c>
      <c r="I4989" s="187">
        <v>53.733919999999998</v>
      </c>
      <c r="J4989" s="41" t="s">
        <v>941</v>
      </c>
      <c r="K4989" s="41" t="s">
        <v>116</v>
      </c>
    </row>
    <row r="4990" spans="1:11" x14ac:dyDescent="0.2">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24</v>
      </c>
      <c r="H4990" s="50" t="s">
        <v>60</v>
      </c>
      <c r="I4990" s="187">
        <v>34.106380000000001</v>
      </c>
      <c r="J4990" s="41" t="s">
        <v>941</v>
      </c>
      <c r="K4990" s="41" t="s">
        <v>116</v>
      </c>
    </row>
    <row r="4991" spans="1:11" x14ac:dyDescent="0.2">
      <c r="A4991" s="30">
        <v>570</v>
      </c>
      <c r="B4991" s="249" t="str">
        <f>IF(AND(A4991&lt;&gt;"",ISNUMBER(A4991)),VLOOKUP(A4991,Studies!A:BR,2,FALSE),"")</f>
        <v>Iwamoto 2008</v>
      </c>
      <c r="C4991" s="250" t="str">
        <f>IF(AND(A4991&lt;&gt;"",ISNUMBER(A4991)),VLOOKUP(A4991,Studies!A:BR,3,FALSE),"")</f>
        <v>https://www.ncbi.nlm.nih.gov/pubmed/18513146</v>
      </c>
      <c r="D4991" s="250" t="str">
        <f>IF(AND(A4991&lt;&gt;"",ISNUMBER(A4991)),VLOOKUP(A4991,Studies!A:BR,4,FALSE),"")</f>
        <v>Study I, Period 1 (control)</v>
      </c>
      <c r="E4991" s="250" t="str">
        <f>IF(AND(A4991&lt;&gt;"",ISNUMBER(A4991)),VLOOKUP(A4991,Studies!A:BR,5,FALSE),"")</f>
        <v>Raltegravir</v>
      </c>
      <c r="F4991" s="251" t="str">
        <f>IF(AND(A4991&lt;&gt;"",ISNUMBER(A4991)),VLOOKUP(A4991,Studies!A:BR,6,FALSE),"")</f>
        <v>Plasma</v>
      </c>
      <c r="G4991" s="194">
        <v>0.5</v>
      </c>
      <c r="H4991" s="50" t="s">
        <v>60</v>
      </c>
      <c r="I4991" s="187">
        <v>240.1831</v>
      </c>
      <c r="J4991" s="41" t="s">
        <v>964</v>
      </c>
      <c r="K4991" s="41" t="s">
        <v>116</v>
      </c>
    </row>
    <row r="4992" spans="1:11" x14ac:dyDescent="0.2">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1</v>
      </c>
      <c r="H4992" s="50" t="s">
        <v>60</v>
      </c>
      <c r="I4992" s="187">
        <v>647.77700000000004</v>
      </c>
      <c r="J4992" s="41" t="s">
        <v>964</v>
      </c>
      <c r="K4992" s="41" t="s">
        <v>116</v>
      </c>
    </row>
    <row r="4993" spans="1:11" x14ac:dyDescent="0.2">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1.5</v>
      </c>
      <c r="H4993" s="50" t="s">
        <v>60</v>
      </c>
      <c r="I4993" s="187">
        <v>1122.335</v>
      </c>
      <c r="J4993" s="41" t="s">
        <v>964</v>
      </c>
      <c r="K4993" s="41" t="s">
        <v>116</v>
      </c>
    </row>
    <row r="4994" spans="1:11" x14ac:dyDescent="0.2">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2</v>
      </c>
      <c r="H4994" s="50" t="s">
        <v>60</v>
      </c>
      <c r="I4994" s="187">
        <v>1557.8389999999999</v>
      </c>
      <c r="J4994" s="41" t="s">
        <v>964</v>
      </c>
      <c r="K4994" s="41" t="s">
        <v>116</v>
      </c>
    </row>
    <row r="4995" spans="1:11" x14ac:dyDescent="0.2">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3</v>
      </c>
      <c r="H4995" s="50" t="s">
        <v>60</v>
      </c>
      <c r="I4995" s="187">
        <v>1390.902</v>
      </c>
      <c r="J4995" s="41" t="s">
        <v>964</v>
      </c>
      <c r="K4995" s="41" t="s">
        <v>116</v>
      </c>
    </row>
    <row r="4996" spans="1:11" x14ac:dyDescent="0.2">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4</v>
      </c>
      <c r="H4996" s="50" t="s">
        <v>60</v>
      </c>
      <c r="I4996" s="187">
        <v>989.57169999999996</v>
      </c>
      <c r="J4996" s="41" t="s">
        <v>964</v>
      </c>
      <c r="K4996" s="41" t="s">
        <v>116</v>
      </c>
    </row>
    <row r="4997" spans="1:11" x14ac:dyDescent="0.2">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5</v>
      </c>
      <c r="H4997" s="50" t="s">
        <v>60</v>
      </c>
      <c r="I4997" s="187">
        <v>493.38420000000002</v>
      </c>
      <c r="J4997" s="41" t="s">
        <v>964</v>
      </c>
      <c r="K4997" s="41" t="s">
        <v>116</v>
      </c>
    </row>
    <row r="4998" spans="1:11" x14ac:dyDescent="0.2">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6</v>
      </c>
      <c r="H4998" s="50" t="s">
        <v>60</v>
      </c>
      <c r="I4998" s="187">
        <v>237.15199999999999</v>
      </c>
      <c r="J4998" s="41" t="s">
        <v>964</v>
      </c>
      <c r="K4998" s="41" t="s">
        <v>116</v>
      </c>
    </row>
    <row r="4999" spans="1:11" x14ac:dyDescent="0.2">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8</v>
      </c>
      <c r="H4999" s="50" t="s">
        <v>60</v>
      </c>
      <c r="I4999" s="187">
        <v>115.3128</v>
      </c>
      <c r="J4999" s="41" t="s">
        <v>964</v>
      </c>
      <c r="K4999" s="41" t="s">
        <v>116</v>
      </c>
    </row>
    <row r="5000" spans="1:11" x14ac:dyDescent="0.2">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10</v>
      </c>
      <c r="H5000" s="50" t="s">
        <v>60</v>
      </c>
      <c r="I5000" s="187">
        <v>71.607280000000003</v>
      </c>
      <c r="J5000" s="41" t="s">
        <v>964</v>
      </c>
      <c r="K5000" s="41" t="s">
        <v>116</v>
      </c>
    </row>
    <row r="5001" spans="1:11" x14ac:dyDescent="0.2">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12</v>
      </c>
      <c r="H5001" s="50" t="s">
        <v>60</v>
      </c>
      <c r="I5001" s="187">
        <v>35.772910000000003</v>
      </c>
      <c r="J5001" s="41" t="s">
        <v>964</v>
      </c>
      <c r="K5001" s="41" t="s">
        <v>116</v>
      </c>
    </row>
    <row r="5002" spans="1:11" x14ac:dyDescent="0.2">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16</v>
      </c>
      <c r="H5002" s="50" t="s">
        <v>60</v>
      </c>
      <c r="I5002" s="187">
        <v>10.03018</v>
      </c>
      <c r="J5002" s="41" t="s">
        <v>964</v>
      </c>
      <c r="K5002" s="41" t="s">
        <v>116</v>
      </c>
    </row>
    <row r="5003" spans="1:11" x14ac:dyDescent="0.2">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24</v>
      </c>
      <c r="H5003" s="50" t="s">
        <v>60</v>
      </c>
      <c r="I5003" s="187">
        <v>2.115189</v>
      </c>
      <c r="J5003" s="41" t="s">
        <v>964</v>
      </c>
      <c r="K5003" s="41" t="s">
        <v>116</v>
      </c>
    </row>
    <row r="5004" spans="1:11" x14ac:dyDescent="0.2">
      <c r="A5004" s="30">
        <v>571</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2 (ATV treatment)</v>
      </c>
      <c r="E5004" s="250" t="str">
        <f>IF(AND(A5004&lt;&gt;"",ISNUMBER(A5004)),VLOOKUP(A5004,Studies!A:BR,5,FALSE),"")</f>
        <v>Raltegravir</v>
      </c>
      <c r="F5004" s="251" t="str">
        <f>IF(AND(A5004&lt;&gt;"",ISNUMBER(A5004)),VLOOKUP(A5004,Studies!A:BR,6,FALSE),"")</f>
        <v>Plasma</v>
      </c>
      <c r="G5004" s="194">
        <v>144.5</v>
      </c>
      <c r="H5004" s="50" t="s">
        <v>60</v>
      </c>
      <c r="I5004" s="187">
        <v>362.95100000000002</v>
      </c>
      <c r="J5004" s="41" t="s">
        <v>964</v>
      </c>
      <c r="K5004" s="41" t="s">
        <v>116</v>
      </c>
    </row>
    <row r="5005" spans="1:11" x14ac:dyDescent="0.2">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145</v>
      </c>
      <c r="H5005" s="50" t="s">
        <v>60</v>
      </c>
      <c r="I5005" s="187">
        <v>731.48230000000001</v>
      </c>
      <c r="J5005" s="41" t="s">
        <v>964</v>
      </c>
      <c r="K5005" s="41" t="s">
        <v>116</v>
      </c>
    </row>
    <row r="5006" spans="1:11" x14ac:dyDescent="0.2">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145.5</v>
      </c>
      <c r="H5006" s="50" t="s">
        <v>60</v>
      </c>
      <c r="I5006" s="187">
        <v>1083.2809999999999</v>
      </c>
      <c r="J5006" s="41" t="s">
        <v>964</v>
      </c>
      <c r="K5006" s="41" t="s">
        <v>116</v>
      </c>
    </row>
    <row r="5007" spans="1:11" x14ac:dyDescent="0.2">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146</v>
      </c>
      <c r="H5007" s="50" t="s">
        <v>60</v>
      </c>
      <c r="I5007" s="187">
        <v>2087.982</v>
      </c>
      <c r="J5007" s="41" t="s">
        <v>964</v>
      </c>
      <c r="K5007" s="41" t="s">
        <v>116</v>
      </c>
    </row>
    <row r="5008" spans="1:11" x14ac:dyDescent="0.2">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147</v>
      </c>
      <c r="H5008" s="50" t="s">
        <v>60</v>
      </c>
      <c r="I5008" s="187">
        <v>2077.2860000000001</v>
      </c>
      <c r="J5008" s="41" t="s">
        <v>964</v>
      </c>
      <c r="K5008" s="41" t="s">
        <v>116</v>
      </c>
    </row>
    <row r="5009" spans="1:16" x14ac:dyDescent="0.2">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148</v>
      </c>
      <c r="H5009" s="50" t="s">
        <v>60</v>
      </c>
      <c r="I5009" s="187">
        <v>1966.134</v>
      </c>
      <c r="J5009" s="41" t="s">
        <v>964</v>
      </c>
      <c r="K5009" s="41" t="s">
        <v>116</v>
      </c>
    </row>
    <row r="5010" spans="1:16" x14ac:dyDescent="0.2">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149</v>
      </c>
      <c r="H5010" s="50" t="s">
        <v>60</v>
      </c>
      <c r="I5010" s="187">
        <v>1319.2860000000001</v>
      </c>
      <c r="J5010" s="41" t="s">
        <v>964</v>
      </c>
      <c r="K5010" s="41" t="s">
        <v>116</v>
      </c>
    </row>
    <row r="5011" spans="1:16" x14ac:dyDescent="0.2">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150</v>
      </c>
      <c r="H5011" s="50" t="s">
        <v>60</v>
      </c>
      <c r="I5011" s="187">
        <v>689.16089999999997</v>
      </c>
      <c r="J5011" s="41" t="s">
        <v>964</v>
      </c>
      <c r="K5011" s="41" t="s">
        <v>116</v>
      </c>
    </row>
    <row r="5012" spans="1:16" x14ac:dyDescent="0.2">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152</v>
      </c>
      <c r="H5012" s="50" t="s">
        <v>60</v>
      </c>
      <c r="I5012" s="187">
        <v>265.99119999999999</v>
      </c>
      <c r="J5012" s="41" t="s">
        <v>964</v>
      </c>
      <c r="K5012" s="41" t="s">
        <v>116</v>
      </c>
    </row>
    <row r="5013" spans="1:16" x14ac:dyDescent="0.2">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154</v>
      </c>
      <c r="H5013" s="50" t="s">
        <v>60</v>
      </c>
      <c r="I5013" s="187">
        <v>138.57159999999999</v>
      </c>
      <c r="J5013" s="41" t="s">
        <v>964</v>
      </c>
      <c r="K5013" s="41" t="s">
        <v>116</v>
      </c>
    </row>
    <row r="5014" spans="1:16" x14ac:dyDescent="0.2">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156</v>
      </c>
      <c r="H5014" s="50" t="s">
        <v>60</v>
      </c>
      <c r="I5014" s="187">
        <v>65.8429</v>
      </c>
      <c r="J5014" s="41" t="s">
        <v>964</v>
      </c>
      <c r="K5014" s="41" t="s">
        <v>116</v>
      </c>
    </row>
    <row r="5015" spans="1:16" x14ac:dyDescent="0.2">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160</v>
      </c>
      <c r="H5015" s="50" t="s">
        <v>60</v>
      </c>
      <c r="I5015" s="187">
        <v>16.8765</v>
      </c>
      <c r="J5015" s="41" t="s">
        <v>964</v>
      </c>
      <c r="K5015" s="41" t="s">
        <v>116</v>
      </c>
    </row>
    <row r="5016" spans="1:16" x14ac:dyDescent="0.2">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168</v>
      </c>
      <c r="H5016" s="50" t="s">
        <v>60</v>
      </c>
      <c r="I5016" s="187">
        <v>4.8280430000000001</v>
      </c>
      <c r="J5016" s="41" t="s">
        <v>964</v>
      </c>
      <c r="K5016" s="41" t="s">
        <v>116</v>
      </c>
    </row>
    <row r="5017" spans="1:16" x14ac:dyDescent="0.2">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176</v>
      </c>
      <c r="H5017" s="50" t="s">
        <v>60</v>
      </c>
      <c r="I5017" s="187">
        <v>1.4317390000000001</v>
      </c>
      <c r="J5017" s="41" t="s">
        <v>964</v>
      </c>
      <c r="K5017" s="41" t="s">
        <v>116</v>
      </c>
    </row>
    <row r="5018" spans="1:16" x14ac:dyDescent="0.2">
      <c r="A5018" s="30">
        <v>572</v>
      </c>
      <c r="B5018" s="249" t="str">
        <f>IF(AND(A5018&lt;&gt;"",ISNUMBER(A5018)),VLOOKUP(A5018,Studies!A:BR,2,FALSE),"")</f>
        <v>Neely 2010</v>
      </c>
      <c r="C5018" s="250" t="str">
        <f>IF(AND(A5018&lt;&gt;"",ISNUMBER(A5018)),VLOOKUP(A5018,Studies!A:BR,3,FALSE),"")</f>
        <v>https://www.ncbi.nlm.nih.gov/pubmed/20823282</v>
      </c>
      <c r="D5018" s="250" t="str">
        <f>IF(AND(A5018&lt;&gt;"",ISNUMBER(A5018)),VLOOKUP(A5018,Studies!A:BR,4,FALSE),"")</f>
        <v>Study arm A (Raltegravir 400mg BID)</v>
      </c>
      <c r="E5018" s="250" t="str">
        <f>IF(AND(A5018&lt;&gt;"",ISNUMBER(A5018)),VLOOKUP(A5018,Studies!A:BR,5,FALSE),"")</f>
        <v>Raltegravir</v>
      </c>
      <c r="F5018" s="251" t="str">
        <f>IF(AND(A5018&lt;&gt;"",ISNUMBER(A5018)),VLOOKUP(A5018,Studies!A:BR,6,FALSE),"")</f>
        <v>Plasma</v>
      </c>
      <c r="G5018" s="194">
        <v>168</v>
      </c>
      <c r="H5018" s="50" t="s">
        <v>60</v>
      </c>
      <c r="I5018" s="187">
        <v>263.80290000000002</v>
      </c>
      <c r="J5018" s="41" t="s">
        <v>941</v>
      </c>
      <c r="K5018" s="41" t="s">
        <v>970</v>
      </c>
      <c r="P5018" s="42" t="s">
        <v>1506</v>
      </c>
    </row>
    <row r="5019" spans="1:16" x14ac:dyDescent="0.2">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169</v>
      </c>
      <c r="H5019" s="50" t="s">
        <v>60</v>
      </c>
      <c r="I5019" s="187">
        <v>676.24760000000003</v>
      </c>
      <c r="J5019" s="41" t="s">
        <v>941</v>
      </c>
      <c r="K5019" s="41" t="s">
        <v>970</v>
      </c>
      <c r="P5019" s="42" t="s">
        <v>1506</v>
      </c>
    </row>
    <row r="5020" spans="1:16" x14ac:dyDescent="0.2">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170</v>
      </c>
      <c r="H5020" s="50" t="s">
        <v>60</v>
      </c>
      <c r="I5020" s="187">
        <v>637.20809999999994</v>
      </c>
      <c r="J5020" s="41" t="s">
        <v>941</v>
      </c>
      <c r="K5020" s="41" t="s">
        <v>970</v>
      </c>
      <c r="P5020" s="42" t="s">
        <v>1506</v>
      </c>
    </row>
    <row r="5021" spans="1:16" x14ac:dyDescent="0.2">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172</v>
      </c>
      <c r="H5021" s="50" t="s">
        <v>60</v>
      </c>
      <c r="I5021" s="187">
        <v>282.4502</v>
      </c>
      <c r="J5021" s="41" t="s">
        <v>941</v>
      </c>
      <c r="K5021" s="41" t="s">
        <v>970</v>
      </c>
      <c r="P5021" s="42" t="s">
        <v>1506</v>
      </c>
    </row>
    <row r="5022" spans="1:16" x14ac:dyDescent="0.2">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176</v>
      </c>
      <c r="H5022" s="50" t="s">
        <v>60</v>
      </c>
      <c r="I5022" s="187">
        <v>106.0531</v>
      </c>
      <c r="J5022" s="41" t="s">
        <v>941</v>
      </c>
      <c r="K5022" s="41" t="s">
        <v>970</v>
      </c>
      <c r="P5022" s="42" t="s">
        <v>1506</v>
      </c>
    </row>
    <row r="5023" spans="1:16" x14ac:dyDescent="0.2">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180</v>
      </c>
      <c r="H5023" s="50" t="s">
        <v>60</v>
      </c>
      <c r="I5023" s="187">
        <v>46.404029999999999</v>
      </c>
      <c r="J5023" s="41" t="s">
        <v>941</v>
      </c>
      <c r="K5023" s="41" t="s">
        <v>970</v>
      </c>
      <c r="P5023" s="42" t="s">
        <v>1506</v>
      </c>
    </row>
    <row r="5024" spans="1:16" x14ac:dyDescent="0.2">
      <c r="A5024" s="30">
        <v>573</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B (Raltegravir 400mg OD + Atazanavir 400 mg OD)</v>
      </c>
      <c r="E5024" s="250" t="str">
        <f>IF(AND(A5024&lt;&gt;"",ISNUMBER(A5024)),VLOOKUP(A5024,Studies!A:BR,5,FALSE),"")</f>
        <v>Raltegravir</v>
      </c>
      <c r="F5024" s="251" t="str">
        <f>IF(AND(A5024&lt;&gt;"",ISNUMBER(A5024)),VLOOKUP(A5024,Studies!A:BR,6,FALSE),"")</f>
        <v>Plasma</v>
      </c>
      <c r="G5024" s="194">
        <v>168</v>
      </c>
      <c r="H5024" s="50" t="s">
        <v>60</v>
      </c>
      <c r="I5024" s="187">
        <v>23.057770000000001</v>
      </c>
      <c r="J5024" s="41" t="s">
        <v>941</v>
      </c>
      <c r="K5024" s="41" t="s">
        <v>970</v>
      </c>
      <c r="P5024" s="42" t="s">
        <v>1506</v>
      </c>
    </row>
    <row r="5025" spans="1:16" x14ac:dyDescent="0.2">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169</v>
      </c>
      <c r="H5025" s="50" t="s">
        <v>60</v>
      </c>
      <c r="I5025" s="187">
        <v>962.81500000000005</v>
      </c>
      <c r="J5025" s="41" t="s">
        <v>941</v>
      </c>
      <c r="K5025" s="41" t="s">
        <v>970</v>
      </c>
      <c r="P5025" s="42" t="s">
        <v>1506</v>
      </c>
    </row>
    <row r="5026" spans="1:16" x14ac:dyDescent="0.2">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170</v>
      </c>
      <c r="H5026" s="50" t="s">
        <v>60</v>
      </c>
      <c r="I5026" s="187">
        <v>797.0018</v>
      </c>
      <c r="J5026" s="41" t="s">
        <v>941</v>
      </c>
      <c r="K5026" s="41" t="s">
        <v>970</v>
      </c>
      <c r="P5026" s="42" t="s">
        <v>1506</v>
      </c>
    </row>
    <row r="5027" spans="1:16" x14ac:dyDescent="0.2">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172</v>
      </c>
      <c r="H5027" s="50" t="s">
        <v>60</v>
      </c>
      <c r="I5027" s="187">
        <v>388.11180000000002</v>
      </c>
      <c r="J5027" s="41" t="s">
        <v>941</v>
      </c>
      <c r="K5027" s="41" t="s">
        <v>970</v>
      </c>
      <c r="P5027" s="42" t="s">
        <v>1506</v>
      </c>
    </row>
    <row r="5028" spans="1:16" x14ac:dyDescent="0.2">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176</v>
      </c>
      <c r="H5028" s="50" t="s">
        <v>60</v>
      </c>
      <c r="I5028" s="187">
        <v>125.0545</v>
      </c>
      <c r="J5028" s="41" t="s">
        <v>941</v>
      </c>
      <c r="K5028" s="41" t="s">
        <v>970</v>
      </c>
      <c r="P5028" s="42" t="s">
        <v>1506</v>
      </c>
    </row>
    <row r="5029" spans="1:16" x14ac:dyDescent="0.2">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180</v>
      </c>
      <c r="H5029" s="50" t="s">
        <v>60</v>
      </c>
      <c r="I5029" s="187">
        <v>68.430719999999994</v>
      </c>
      <c r="J5029" s="41" t="s">
        <v>941</v>
      </c>
      <c r="K5029" s="41" t="s">
        <v>970</v>
      </c>
      <c r="P5029" s="42" t="s">
        <v>1506</v>
      </c>
    </row>
    <row r="5030" spans="1:16" x14ac:dyDescent="0.2">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192</v>
      </c>
      <c r="H5030" s="50" t="s">
        <v>60</v>
      </c>
      <c r="I5030" s="187">
        <v>17.341609999999999</v>
      </c>
      <c r="J5030" s="41" t="s">
        <v>941</v>
      </c>
      <c r="K5030" s="41" t="s">
        <v>970</v>
      </c>
      <c r="P5030" s="42" t="s">
        <v>1506</v>
      </c>
    </row>
    <row r="5031" spans="1:16" x14ac:dyDescent="0.2">
      <c r="A5031" s="30">
        <v>574</v>
      </c>
      <c r="B5031" s="249" t="str">
        <f>IF(AND(A5031&lt;&gt;"",ISNUMBER(A5031)),VLOOKUP(A5031,Studies!A:BR,2,FALSE),"")</f>
        <v>Krishna 2016</v>
      </c>
      <c r="C5031" s="250" t="str">
        <f>IF(AND(A5031&lt;&gt;"",ISNUMBER(A5031)),VLOOKUP(A5031,Studies!A:BR,3,FALSE),"")</f>
        <v>https://www.ncbi.nlm.nih.gov/pubmed/27696440</v>
      </c>
      <c r="D5031" s="250" t="str">
        <f>IF(AND(A5031&lt;&gt;"",ISNUMBER(A5031)),VLOOKUP(A5031,Studies!A:BR,4,FALSE),"")</f>
        <v>Period 1, Day 1 (1200 mg raltegravir SD)</v>
      </c>
      <c r="E5031" s="250" t="str">
        <f>IF(AND(A5031&lt;&gt;"",ISNUMBER(A5031)),VLOOKUP(A5031,Studies!A:BR,5,FALSE),"")</f>
        <v>Raltegravir</v>
      </c>
      <c r="F5031" s="251" t="str">
        <f>IF(AND(A5031&lt;&gt;"",ISNUMBER(A5031)),VLOOKUP(A5031,Studies!A:BR,6,FALSE),"")</f>
        <v>Plasma</v>
      </c>
      <c r="G5031" s="194">
        <v>0.5</v>
      </c>
      <c r="H5031" s="50" t="s">
        <v>60</v>
      </c>
      <c r="I5031" s="187">
        <v>4438.5110000000004</v>
      </c>
      <c r="J5031" s="41" t="s">
        <v>964</v>
      </c>
      <c r="K5031" s="41" t="s">
        <v>116</v>
      </c>
    </row>
    <row r="5032" spans="1:16" x14ac:dyDescent="0.2">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1</v>
      </c>
      <c r="H5032" s="50" t="s">
        <v>60</v>
      </c>
      <c r="I5032" s="187">
        <v>6503.3549999999996</v>
      </c>
      <c r="J5032" s="41" t="s">
        <v>964</v>
      </c>
      <c r="K5032" s="41" t="s">
        <v>116</v>
      </c>
    </row>
    <row r="5033" spans="1:16" x14ac:dyDescent="0.2">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1.5</v>
      </c>
      <c r="H5033" s="50" t="s">
        <v>60</v>
      </c>
      <c r="I5033" s="187">
        <v>9900.6890000000003</v>
      </c>
      <c r="J5033" s="41" t="s">
        <v>964</v>
      </c>
      <c r="K5033" s="41" t="s">
        <v>116</v>
      </c>
    </row>
    <row r="5034" spans="1:16" x14ac:dyDescent="0.2">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2</v>
      </c>
      <c r="H5034" s="50" t="s">
        <v>60</v>
      </c>
      <c r="I5034" s="187">
        <v>12214.1</v>
      </c>
      <c r="J5034" s="41" t="s">
        <v>964</v>
      </c>
      <c r="K5034" s="41" t="s">
        <v>116</v>
      </c>
      <c r="N5034" s="195"/>
    </row>
    <row r="5035" spans="1:16" x14ac:dyDescent="0.2">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3</v>
      </c>
      <c r="H5035" s="50" t="s">
        <v>60</v>
      </c>
      <c r="I5035" s="187">
        <v>12445.84</v>
      </c>
      <c r="J5035" s="41" t="s">
        <v>964</v>
      </c>
      <c r="K5035" s="41" t="s">
        <v>116</v>
      </c>
      <c r="L5035" s="195">
        <v>8094.8220000000001</v>
      </c>
      <c r="M5035" s="52" t="s">
        <v>964</v>
      </c>
      <c r="N5035" s="195" t="s">
        <v>117</v>
      </c>
    </row>
    <row r="5036" spans="1:16" x14ac:dyDescent="0.2">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4</v>
      </c>
      <c r="H5036" s="50" t="s">
        <v>60</v>
      </c>
      <c r="I5036" s="187">
        <v>7286.5519999999997</v>
      </c>
      <c r="J5036" s="41" t="s">
        <v>964</v>
      </c>
      <c r="K5036" s="41" t="s">
        <v>116</v>
      </c>
      <c r="L5036" s="195">
        <v>4690.1459999999997</v>
      </c>
      <c r="M5036" s="52" t="s">
        <v>964</v>
      </c>
      <c r="N5036" s="195" t="s">
        <v>117</v>
      </c>
    </row>
    <row r="5037" spans="1:16" x14ac:dyDescent="0.2">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6</v>
      </c>
      <c r="H5037" s="50" t="s">
        <v>60</v>
      </c>
      <c r="I5037" s="187">
        <v>2695.9580000000001</v>
      </c>
      <c r="J5037" s="41" t="s">
        <v>964</v>
      </c>
      <c r="K5037" s="41" t="s">
        <v>116</v>
      </c>
      <c r="L5037" s="195">
        <v>2423.7860000000001</v>
      </c>
      <c r="M5037" s="52" t="s">
        <v>964</v>
      </c>
      <c r="N5037" s="195" t="s">
        <v>117</v>
      </c>
    </row>
    <row r="5038" spans="1:16" x14ac:dyDescent="0.2">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8</v>
      </c>
      <c r="H5038" s="50" t="s">
        <v>60</v>
      </c>
      <c r="I5038" s="187">
        <v>763.34529999999995</v>
      </c>
      <c r="J5038" s="41" t="s">
        <v>964</v>
      </c>
      <c r="K5038" s="41" t="s">
        <v>116</v>
      </c>
      <c r="L5038" s="195">
        <v>581.25070000000005</v>
      </c>
      <c r="M5038" s="52" t="s">
        <v>964</v>
      </c>
      <c r="N5038" s="195" t="s">
        <v>117</v>
      </c>
    </row>
    <row r="5039" spans="1:16" x14ac:dyDescent="0.2">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12</v>
      </c>
      <c r="H5039" s="50" t="s">
        <v>60</v>
      </c>
      <c r="I5039" s="187">
        <v>211.91329999999999</v>
      </c>
      <c r="J5039" s="41" t="s">
        <v>964</v>
      </c>
      <c r="K5039" s="41" t="s">
        <v>116</v>
      </c>
      <c r="L5039" s="195">
        <v>101.25879999999999</v>
      </c>
      <c r="M5039" s="52" t="s">
        <v>964</v>
      </c>
      <c r="N5039" s="195" t="s">
        <v>117</v>
      </c>
    </row>
    <row r="5040" spans="1:16" x14ac:dyDescent="0.2">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16</v>
      </c>
      <c r="H5040" s="50" t="s">
        <v>60</v>
      </c>
      <c r="I5040" s="187">
        <v>136.3725</v>
      </c>
      <c r="J5040" s="41" t="s">
        <v>964</v>
      </c>
      <c r="K5040" s="41" t="s">
        <v>116</v>
      </c>
      <c r="L5040" s="195">
        <v>81.87773</v>
      </c>
      <c r="M5040" s="52" t="s">
        <v>964</v>
      </c>
      <c r="N5040" s="195" t="s">
        <v>117</v>
      </c>
    </row>
    <row r="5041" spans="1:14" x14ac:dyDescent="0.2">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24</v>
      </c>
      <c r="H5041" s="50" t="s">
        <v>60</v>
      </c>
      <c r="I5041" s="187">
        <v>100.19070000000001</v>
      </c>
      <c r="J5041" s="41" t="s">
        <v>964</v>
      </c>
      <c r="K5041" s="41" t="s">
        <v>116</v>
      </c>
      <c r="L5041" s="195">
        <v>56.971069999999997</v>
      </c>
      <c r="M5041" s="52" t="s">
        <v>964</v>
      </c>
      <c r="N5041" s="52" t="s">
        <v>117</v>
      </c>
    </row>
    <row r="5042" spans="1:14" x14ac:dyDescent="0.2">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48</v>
      </c>
      <c r="H5042" s="50" t="s">
        <v>60</v>
      </c>
      <c r="I5042" s="187">
        <v>45.422069999999998</v>
      </c>
      <c r="J5042" s="41" t="s">
        <v>964</v>
      </c>
      <c r="K5042" s="41" t="s">
        <v>116</v>
      </c>
    </row>
    <row r="5043" spans="1:14" x14ac:dyDescent="0.2">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72</v>
      </c>
      <c r="H5043" s="50" t="s">
        <v>60</v>
      </c>
      <c r="I5043" s="187">
        <v>29.6052</v>
      </c>
      <c r="J5043" s="41" t="s">
        <v>964</v>
      </c>
      <c r="K5043" s="41" t="s">
        <v>116</v>
      </c>
    </row>
    <row r="5044" spans="1:14" x14ac:dyDescent="0.2">
      <c r="A5044" s="30">
        <v>575</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2, Day 7 (1200 mg raltegravir SD with OD doses of 400 mg ATV)</v>
      </c>
      <c r="E5044" s="250" t="str">
        <f>IF(AND(A5044&lt;&gt;"",ISNUMBER(A5044)),VLOOKUP(A5044,Studies!A:BR,5,FALSE),"")</f>
        <v>Raltegravir</v>
      </c>
      <c r="F5044" s="251" t="str">
        <f>IF(AND(A5044&lt;&gt;"",ISNUMBER(A5044)),VLOOKUP(A5044,Studies!A:BR,6,FALSE),"")</f>
        <v>Plasma</v>
      </c>
      <c r="G5044" s="194">
        <v>144.5</v>
      </c>
      <c r="H5044" s="50" t="s">
        <v>60</v>
      </c>
      <c r="I5044" s="187">
        <v>4272.3810000000003</v>
      </c>
      <c r="J5044" s="41" t="s">
        <v>964</v>
      </c>
      <c r="K5044" s="41" t="s">
        <v>116</v>
      </c>
    </row>
    <row r="5045" spans="1:14" x14ac:dyDescent="0.2">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145</v>
      </c>
      <c r="H5045" s="50" t="s">
        <v>60</v>
      </c>
      <c r="I5045" s="187">
        <v>7434.3689999999997</v>
      </c>
      <c r="J5045" s="41" t="s">
        <v>964</v>
      </c>
      <c r="K5045" s="41" t="s">
        <v>116</v>
      </c>
    </row>
    <row r="5046" spans="1:14" x14ac:dyDescent="0.2">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145.5</v>
      </c>
      <c r="H5046" s="50" t="s">
        <v>60</v>
      </c>
      <c r="I5046" s="187">
        <v>11317.27</v>
      </c>
      <c r="J5046" s="41" t="s">
        <v>964</v>
      </c>
      <c r="K5046" s="41" t="s">
        <v>116</v>
      </c>
    </row>
    <row r="5047" spans="1:14" x14ac:dyDescent="0.2">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146</v>
      </c>
      <c r="H5047" s="50" t="s">
        <v>60</v>
      </c>
      <c r="I5047" s="187">
        <v>12935.19</v>
      </c>
      <c r="J5047" s="41" t="s">
        <v>964</v>
      </c>
      <c r="K5047" s="41" t="s">
        <v>116</v>
      </c>
      <c r="N5047" s="195"/>
    </row>
    <row r="5048" spans="1:14" x14ac:dyDescent="0.2">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147</v>
      </c>
      <c r="H5048" s="50" t="s">
        <v>60</v>
      </c>
      <c r="I5048" s="187">
        <v>14780.8</v>
      </c>
      <c r="J5048" s="41" t="s">
        <v>964</v>
      </c>
      <c r="K5048" s="41" t="s">
        <v>116</v>
      </c>
      <c r="L5048" s="195">
        <v>8155.9</v>
      </c>
      <c r="M5048" s="52" t="s">
        <v>964</v>
      </c>
      <c r="N5048" s="195" t="s">
        <v>117</v>
      </c>
    </row>
    <row r="5049" spans="1:14" x14ac:dyDescent="0.2">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148</v>
      </c>
      <c r="H5049" s="50" t="s">
        <v>60</v>
      </c>
      <c r="I5049" s="187">
        <v>14776.69</v>
      </c>
      <c r="J5049" s="41" t="s">
        <v>964</v>
      </c>
      <c r="K5049" s="41" t="s">
        <v>116</v>
      </c>
      <c r="L5049" s="195">
        <v>7295.817</v>
      </c>
      <c r="M5049" s="52" t="s">
        <v>964</v>
      </c>
      <c r="N5049" s="195" t="s">
        <v>117</v>
      </c>
    </row>
    <row r="5050" spans="1:14" x14ac:dyDescent="0.2">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150</v>
      </c>
      <c r="H5050" s="50" t="s">
        <v>60</v>
      </c>
      <c r="I5050" s="187">
        <v>8648.4650000000001</v>
      </c>
      <c r="J5050" s="41" t="s">
        <v>964</v>
      </c>
      <c r="K5050" s="41" t="s">
        <v>116</v>
      </c>
      <c r="L5050" s="195">
        <v>6463.6670000000004</v>
      </c>
      <c r="M5050" s="52" t="s">
        <v>964</v>
      </c>
      <c r="N5050" s="195" t="s">
        <v>117</v>
      </c>
    </row>
    <row r="5051" spans="1:14" x14ac:dyDescent="0.2">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152</v>
      </c>
      <c r="H5051" s="50" t="s">
        <v>60</v>
      </c>
      <c r="I5051" s="187">
        <v>2799.23</v>
      </c>
      <c r="J5051" s="41" t="s">
        <v>964</v>
      </c>
      <c r="K5051" s="41" t="s">
        <v>116</v>
      </c>
      <c r="L5051" s="195">
        <v>2035.8579999999999</v>
      </c>
      <c r="M5051" s="52" t="s">
        <v>964</v>
      </c>
      <c r="N5051" s="195" t="s">
        <v>117</v>
      </c>
    </row>
    <row r="5052" spans="1:14" x14ac:dyDescent="0.2">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156</v>
      </c>
      <c r="H5052" s="50" t="s">
        <v>60</v>
      </c>
      <c r="I5052" s="187">
        <v>491.23540000000003</v>
      </c>
      <c r="J5052" s="41" t="s">
        <v>964</v>
      </c>
      <c r="K5052" s="41" t="s">
        <v>116</v>
      </c>
      <c r="L5052" s="195">
        <v>234.72749999999999</v>
      </c>
      <c r="M5052" s="52" t="s">
        <v>964</v>
      </c>
      <c r="N5052" s="195" t="s">
        <v>117</v>
      </c>
    </row>
    <row r="5053" spans="1:14" x14ac:dyDescent="0.2">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160</v>
      </c>
      <c r="H5053" s="50" t="s">
        <v>60</v>
      </c>
      <c r="I5053" s="187">
        <v>237.34299999999999</v>
      </c>
      <c r="J5053" s="41" t="s">
        <v>964</v>
      </c>
      <c r="K5053" s="41" t="s">
        <v>116</v>
      </c>
      <c r="L5053" s="195">
        <v>103.88</v>
      </c>
      <c r="M5053" s="52" t="s">
        <v>964</v>
      </c>
      <c r="N5053" s="195" t="s">
        <v>117</v>
      </c>
    </row>
    <row r="5054" spans="1:14" x14ac:dyDescent="0.2">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168</v>
      </c>
      <c r="H5054" s="50" t="s">
        <v>60</v>
      </c>
      <c r="I5054" s="187">
        <v>136.0264</v>
      </c>
      <c r="J5054" s="41" t="s">
        <v>964</v>
      </c>
      <c r="K5054" s="41" t="s">
        <v>116</v>
      </c>
      <c r="L5054" s="195">
        <v>71.469830000000002</v>
      </c>
      <c r="M5054" s="52" t="s">
        <v>964</v>
      </c>
      <c r="N5054" s="52" t="s">
        <v>117</v>
      </c>
    </row>
    <row r="5055" spans="1:14" x14ac:dyDescent="0.2">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192</v>
      </c>
      <c r="H5055" s="50" t="s">
        <v>60</v>
      </c>
      <c r="I5055" s="187">
        <v>54.98442</v>
      </c>
      <c r="J5055" s="41" t="s">
        <v>964</v>
      </c>
      <c r="K5055" s="41" t="s">
        <v>116</v>
      </c>
    </row>
    <row r="5056" spans="1:14" x14ac:dyDescent="0.2">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216</v>
      </c>
      <c r="H5056" s="50" t="s">
        <v>60</v>
      </c>
      <c r="I5056" s="187">
        <v>20.988910000000001</v>
      </c>
      <c r="J5056" s="41" t="s">
        <v>964</v>
      </c>
      <c r="K5056" s="41" t="s">
        <v>116</v>
      </c>
      <c r="N5056" s="195"/>
    </row>
    <row r="5057" spans="1:16" x14ac:dyDescent="0.2">
      <c r="A5057" s="30">
        <v>576</v>
      </c>
      <c r="B5057" s="249" t="str">
        <f>IF(AND(A5057&lt;&gt;"",ISNUMBER(A5057)),VLOOKUP(A5057,Studies!A:BR,2,FALSE),"")</f>
        <v>Zhu 2010</v>
      </c>
      <c r="C5057" s="250" t="str">
        <f>IF(AND(A5057&lt;&gt;"",ISNUMBER(A5057)),VLOOKUP(A5057,Studies!A:BR,3,FALSE),"")</f>
        <v>https://www.ncbi.nlm.nih.gov/pubmed/21149917</v>
      </c>
      <c r="D5057" s="250" t="str">
        <f>IF(AND(A5057&lt;&gt;"",ISNUMBER(A5057)),VLOOKUP(A5057,Studies!A:BR,4,FALSE),"")</f>
        <v>Atazanvir 300 mg twice daily</v>
      </c>
      <c r="E5057" s="250" t="str">
        <f>IF(AND(A5057&lt;&gt;"",ISNUMBER(A5057)),VLOOKUP(A5057,Studies!A:BR,5,FALSE),"")</f>
        <v>Atazanavir</v>
      </c>
      <c r="F5057" s="251" t="str">
        <f>IF(AND(A5057&lt;&gt;"",ISNUMBER(A5057)),VLOOKUP(A5057,Studies!A:BR,6,FALSE),"")</f>
        <v>Plasma</v>
      </c>
      <c r="G5057" s="194">
        <v>264</v>
      </c>
      <c r="H5057" s="50" t="s">
        <v>60</v>
      </c>
      <c r="I5057" s="187">
        <v>1587.1120000000001</v>
      </c>
      <c r="J5057" s="41" t="s">
        <v>941</v>
      </c>
      <c r="K5057" s="41" t="s">
        <v>116</v>
      </c>
      <c r="L5057" s="195">
        <v>534.60619999999994</v>
      </c>
      <c r="M5057" s="52" t="s">
        <v>941</v>
      </c>
      <c r="N5057" s="195" t="s">
        <v>117</v>
      </c>
      <c r="P5057" s="188"/>
    </row>
    <row r="5058" spans="1:16" x14ac:dyDescent="0.2">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265</v>
      </c>
      <c r="H5058" s="50" t="s">
        <v>60</v>
      </c>
      <c r="I5058" s="187">
        <v>2455.8470000000002</v>
      </c>
      <c r="J5058" s="41" t="s">
        <v>941</v>
      </c>
      <c r="K5058" s="41" t="s">
        <v>116</v>
      </c>
      <c r="L5058" s="195">
        <v>1219.5709999999999</v>
      </c>
      <c r="M5058" s="52" t="s">
        <v>941</v>
      </c>
      <c r="N5058" s="195" t="s">
        <v>117</v>
      </c>
      <c r="P5058" s="188"/>
    </row>
    <row r="5059" spans="1:16" x14ac:dyDescent="0.2">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266</v>
      </c>
      <c r="H5059" s="50" t="s">
        <v>60</v>
      </c>
      <c r="I5059" s="187">
        <v>5229.1170000000002</v>
      </c>
      <c r="J5059" s="41" t="s">
        <v>941</v>
      </c>
      <c r="K5059" s="41" t="s">
        <v>116</v>
      </c>
      <c r="L5059" s="195">
        <v>1436.7539999999999</v>
      </c>
      <c r="M5059" s="52" t="s">
        <v>941</v>
      </c>
      <c r="N5059" s="195" t="s">
        <v>117</v>
      </c>
      <c r="P5059" s="188"/>
    </row>
    <row r="5060" spans="1:16" x14ac:dyDescent="0.2">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267</v>
      </c>
      <c r="H5060" s="50" t="s">
        <v>60</v>
      </c>
      <c r="I5060" s="187">
        <v>4560.8590000000004</v>
      </c>
      <c r="J5060" s="41" t="s">
        <v>941</v>
      </c>
      <c r="K5060" s="41" t="s">
        <v>116</v>
      </c>
      <c r="L5060" s="195">
        <v>852.02880000000005</v>
      </c>
      <c r="M5060" s="52" t="s">
        <v>941</v>
      </c>
      <c r="N5060" s="195" t="s">
        <v>117</v>
      </c>
      <c r="P5060" s="188"/>
    </row>
    <row r="5061" spans="1:16" x14ac:dyDescent="0.2">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268</v>
      </c>
      <c r="H5061" s="50" t="s">
        <v>60</v>
      </c>
      <c r="I5061" s="187">
        <v>3976.134</v>
      </c>
      <c r="J5061" s="41" t="s">
        <v>941</v>
      </c>
      <c r="K5061" s="41" t="s">
        <v>116</v>
      </c>
      <c r="L5061" s="195">
        <v>701.67020000000002</v>
      </c>
      <c r="M5061" s="52" t="s">
        <v>941</v>
      </c>
      <c r="N5061" s="195" t="s">
        <v>117</v>
      </c>
      <c r="P5061" s="188"/>
    </row>
    <row r="5062" spans="1:16" x14ac:dyDescent="0.2">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270</v>
      </c>
      <c r="H5062" s="50" t="s">
        <v>60</v>
      </c>
      <c r="I5062" s="187">
        <v>2522.6729999999998</v>
      </c>
      <c r="J5062" s="41" t="s">
        <v>941</v>
      </c>
      <c r="K5062" s="41" t="s">
        <v>116</v>
      </c>
      <c r="L5062" s="195">
        <v>467.78030000000001</v>
      </c>
      <c r="M5062" s="52" t="s">
        <v>941</v>
      </c>
      <c r="N5062" s="195" t="s">
        <v>117</v>
      </c>
      <c r="P5062" s="188"/>
    </row>
    <row r="5063" spans="1:16" x14ac:dyDescent="0.2">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272</v>
      </c>
      <c r="H5063" s="50" t="s">
        <v>60</v>
      </c>
      <c r="I5063" s="187">
        <v>1937.9480000000001</v>
      </c>
      <c r="J5063" s="41" t="s">
        <v>941</v>
      </c>
      <c r="K5063" s="41" t="s">
        <v>116</v>
      </c>
      <c r="L5063" s="195">
        <v>467.78</v>
      </c>
      <c r="M5063" s="52" t="s">
        <v>941</v>
      </c>
      <c r="N5063" s="195" t="s">
        <v>117</v>
      </c>
      <c r="P5063" s="188"/>
    </row>
    <row r="5064" spans="1:16" x14ac:dyDescent="0.2">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276</v>
      </c>
      <c r="H5064" s="50" t="s">
        <v>60</v>
      </c>
      <c r="I5064" s="187">
        <v>1269.69</v>
      </c>
      <c r="J5064" s="41" t="s">
        <v>941</v>
      </c>
      <c r="K5064" s="41" t="s">
        <v>116</v>
      </c>
      <c r="L5064" s="195">
        <v>400.9545</v>
      </c>
      <c r="M5064" s="52" t="s">
        <v>941</v>
      </c>
      <c r="N5064" s="195" t="s">
        <v>117</v>
      </c>
      <c r="P5064" s="188"/>
    </row>
    <row r="5065" spans="1:16" x14ac:dyDescent="0.2">
      <c r="A5065" s="30">
        <v>577</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 plus raltegravir 400 mg twice daily</v>
      </c>
      <c r="E5065" s="250" t="str">
        <f>IF(AND(A5065&lt;&gt;"",ISNUMBER(A5065)),VLOOKUP(A5065,Studies!A:BR,5,FALSE),"")</f>
        <v>Atazanavir</v>
      </c>
      <c r="F5065" s="251" t="str">
        <f>IF(AND(A5065&lt;&gt;"",ISNUMBER(A5065)),VLOOKUP(A5065,Studies!A:BR,6,FALSE),"")</f>
        <v>Plasma</v>
      </c>
      <c r="G5065" s="194">
        <v>600</v>
      </c>
      <c r="H5065" s="50" t="s">
        <v>60</v>
      </c>
      <c r="I5065" s="187">
        <v>1286.396</v>
      </c>
      <c r="J5065" s="41" t="s">
        <v>941</v>
      </c>
      <c r="K5065" s="41" t="s">
        <v>116</v>
      </c>
      <c r="L5065" s="195">
        <v>467.78059999999999</v>
      </c>
      <c r="M5065" s="52" t="s">
        <v>941</v>
      </c>
      <c r="N5065" s="195" t="s">
        <v>117</v>
      </c>
      <c r="P5065" s="188"/>
    </row>
    <row r="5066" spans="1:16" x14ac:dyDescent="0.2">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601</v>
      </c>
      <c r="H5066" s="50" t="s">
        <v>60</v>
      </c>
      <c r="I5066" s="187">
        <v>2505.9670000000001</v>
      </c>
      <c r="J5066" s="41" t="s">
        <v>941</v>
      </c>
      <c r="K5066" s="41" t="s">
        <v>116</v>
      </c>
      <c r="L5066" s="195">
        <v>1603.818</v>
      </c>
      <c r="M5066" s="52" t="s">
        <v>941</v>
      </c>
      <c r="N5066" s="195" t="s">
        <v>117</v>
      </c>
      <c r="P5066" s="188"/>
    </row>
    <row r="5067" spans="1:16" x14ac:dyDescent="0.2">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602</v>
      </c>
      <c r="H5067" s="50" t="s">
        <v>60</v>
      </c>
      <c r="I5067" s="187">
        <v>4343.6750000000002</v>
      </c>
      <c r="J5067" s="41" t="s">
        <v>941</v>
      </c>
      <c r="K5067" s="41" t="s">
        <v>116</v>
      </c>
      <c r="L5067" s="195">
        <v>1620.5260000000001</v>
      </c>
      <c r="M5067" s="52" t="s">
        <v>941</v>
      </c>
      <c r="N5067" s="195" t="s">
        <v>117</v>
      </c>
      <c r="P5067" s="188"/>
    </row>
    <row r="5068" spans="1:16" x14ac:dyDescent="0.2">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603</v>
      </c>
      <c r="H5068" s="50" t="s">
        <v>60</v>
      </c>
      <c r="I5068" s="187">
        <v>4042.9589999999998</v>
      </c>
      <c r="J5068" s="41" t="s">
        <v>941</v>
      </c>
      <c r="K5068" s="41" t="s">
        <v>116</v>
      </c>
      <c r="L5068" s="195">
        <v>1035.8</v>
      </c>
      <c r="M5068" s="52" t="s">
        <v>941</v>
      </c>
      <c r="N5068" s="195" t="s">
        <v>117</v>
      </c>
      <c r="P5068" s="188"/>
    </row>
    <row r="5069" spans="1:16" x14ac:dyDescent="0.2">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604</v>
      </c>
      <c r="H5069" s="50" t="s">
        <v>60</v>
      </c>
      <c r="I5069" s="187">
        <v>3458.2339999999999</v>
      </c>
      <c r="J5069" s="41" t="s">
        <v>941</v>
      </c>
      <c r="K5069" s="41" t="s">
        <v>116</v>
      </c>
      <c r="L5069" s="195">
        <v>835.32230000000004</v>
      </c>
      <c r="M5069" s="52" t="s">
        <v>941</v>
      </c>
      <c r="N5069" s="52" t="s">
        <v>117</v>
      </c>
      <c r="P5069" s="188"/>
    </row>
    <row r="5070" spans="1:16" x14ac:dyDescent="0.2">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606</v>
      </c>
      <c r="H5070" s="50" t="s">
        <v>60</v>
      </c>
      <c r="I5070" s="187">
        <v>2038.1859999999999</v>
      </c>
      <c r="J5070" s="41" t="s">
        <v>941</v>
      </c>
      <c r="K5070" s="41" t="s">
        <v>116</v>
      </c>
      <c r="P5070" s="188"/>
    </row>
    <row r="5071" spans="1:16" x14ac:dyDescent="0.2">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608</v>
      </c>
      <c r="H5071" s="50" t="s">
        <v>60</v>
      </c>
      <c r="I5071" s="187">
        <v>1536.9929999999999</v>
      </c>
      <c r="J5071" s="41" t="s">
        <v>941</v>
      </c>
      <c r="K5071" s="41" t="s">
        <v>116</v>
      </c>
      <c r="P5071" s="188"/>
    </row>
    <row r="5072" spans="1:16" x14ac:dyDescent="0.2">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612</v>
      </c>
      <c r="H5072" s="50" t="s">
        <v>60</v>
      </c>
      <c r="I5072" s="187">
        <v>902.14790000000005</v>
      </c>
      <c r="J5072" s="41" t="s">
        <v>941</v>
      </c>
      <c r="K5072" s="41" t="s">
        <v>116</v>
      </c>
    </row>
    <row r="5073" spans="1:14" x14ac:dyDescent="0.2">
      <c r="A5073" s="30">
        <v>578</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Raltegravir 400 mg twice daily</v>
      </c>
      <c r="E5073" s="250" t="str">
        <f>IF(AND(A5073&lt;&gt;"",ISNUMBER(A5073)),VLOOKUP(A5073,Studies!A:BR,5,FALSE),"")</f>
        <v>Raltegravir</v>
      </c>
      <c r="F5073" s="251" t="str">
        <f>IF(AND(A5073&lt;&gt;"",ISNUMBER(A5073)),VLOOKUP(A5073,Studies!A:BR,6,FALSE),"")</f>
        <v>Plasma</v>
      </c>
      <c r="G5073" s="194">
        <v>96</v>
      </c>
      <c r="H5073" s="50" t="s">
        <v>60</v>
      </c>
      <c r="I5073" s="187">
        <v>165.8905</v>
      </c>
      <c r="J5073" s="41" t="s">
        <v>941</v>
      </c>
      <c r="K5073" s="41" t="s">
        <v>116</v>
      </c>
      <c r="N5073" s="195"/>
    </row>
    <row r="5074" spans="1:14" x14ac:dyDescent="0.2">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97</v>
      </c>
      <c r="H5074" s="50" t="s">
        <v>60</v>
      </c>
      <c r="I5074" s="187">
        <v>365.64060000000001</v>
      </c>
      <c r="J5074" s="41" t="s">
        <v>941</v>
      </c>
      <c r="K5074" s="41" t="s">
        <v>116</v>
      </c>
      <c r="L5074" s="195">
        <v>373.2364</v>
      </c>
      <c r="M5074" s="52" t="s">
        <v>941</v>
      </c>
      <c r="N5074" s="52" t="s">
        <v>117</v>
      </c>
    </row>
    <row r="5075" spans="1:14" x14ac:dyDescent="0.2">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98</v>
      </c>
      <c r="H5075" s="50" t="s">
        <v>60</v>
      </c>
      <c r="I5075" s="187">
        <v>424.3954</v>
      </c>
      <c r="J5075" s="41" t="s">
        <v>941</v>
      </c>
      <c r="K5075" s="41" t="s">
        <v>116</v>
      </c>
    </row>
    <row r="5076" spans="1:14" x14ac:dyDescent="0.2">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99</v>
      </c>
      <c r="H5076" s="50" t="s">
        <v>60</v>
      </c>
      <c r="I5076" s="187">
        <v>342.14139999999998</v>
      </c>
      <c r="J5076" s="41" t="s">
        <v>941</v>
      </c>
      <c r="K5076" s="41" t="s">
        <v>116</v>
      </c>
    </row>
    <row r="5077" spans="1:14" x14ac:dyDescent="0.2">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100</v>
      </c>
      <c r="H5077" s="50" t="s">
        <v>60</v>
      </c>
      <c r="I5077" s="187">
        <v>293.06270000000001</v>
      </c>
      <c r="J5077" s="41" t="s">
        <v>941</v>
      </c>
      <c r="K5077" s="41" t="s">
        <v>116</v>
      </c>
      <c r="N5077" s="195"/>
    </row>
    <row r="5078" spans="1:14" x14ac:dyDescent="0.2">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102</v>
      </c>
      <c r="H5078" s="50" t="s">
        <v>60</v>
      </c>
      <c r="I5078" s="187">
        <v>1057.492</v>
      </c>
      <c r="J5078" s="41" t="s">
        <v>941</v>
      </c>
      <c r="K5078" s="41" t="s">
        <v>116</v>
      </c>
      <c r="L5078" s="195">
        <v>2272.5120000000002</v>
      </c>
      <c r="M5078" s="52" t="s">
        <v>941</v>
      </c>
      <c r="N5078" s="195" t="s">
        <v>117</v>
      </c>
    </row>
    <row r="5079" spans="1:14" x14ac:dyDescent="0.2">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104</v>
      </c>
      <c r="H5079" s="50" t="s">
        <v>60</v>
      </c>
      <c r="I5079" s="187">
        <v>353.88420000000002</v>
      </c>
      <c r="J5079" s="41" t="s">
        <v>941</v>
      </c>
      <c r="K5079" s="41" t="s">
        <v>116</v>
      </c>
      <c r="L5079" s="195">
        <v>613.74400000000003</v>
      </c>
      <c r="M5079" s="52" t="s">
        <v>941</v>
      </c>
      <c r="N5079" s="195" t="s">
        <v>117</v>
      </c>
    </row>
    <row r="5080" spans="1:14" x14ac:dyDescent="0.2">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108</v>
      </c>
      <c r="H5080" s="50" t="s">
        <v>60</v>
      </c>
      <c r="I5080" s="187">
        <v>116.12739999999999</v>
      </c>
      <c r="J5080" s="41" t="s">
        <v>941</v>
      </c>
      <c r="K5080" s="41" t="s">
        <v>116</v>
      </c>
      <c r="L5080" s="195">
        <v>157.6103</v>
      </c>
      <c r="M5080" s="52" t="s">
        <v>941</v>
      </c>
      <c r="N5080" s="195" t="s">
        <v>117</v>
      </c>
    </row>
    <row r="5081" spans="1:14" x14ac:dyDescent="0.2">
      <c r="A5081" s="30">
        <v>579</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 plus atazanavir 300 mg twice daily</v>
      </c>
      <c r="E5081" s="250" t="str">
        <f>IF(AND(A5081&lt;&gt;"",ISNUMBER(A5081)),VLOOKUP(A5081,Studies!A:BR,5,FALSE),"")</f>
        <v>Raltegravir</v>
      </c>
      <c r="F5081" s="251" t="str">
        <f>IF(AND(A5081&lt;&gt;"",ISNUMBER(A5081)),VLOOKUP(A5081,Studies!A:BR,6,FALSE),"")</f>
        <v>Plasma</v>
      </c>
      <c r="G5081" s="194">
        <v>600</v>
      </c>
      <c r="H5081" s="50" t="s">
        <v>60</v>
      </c>
      <c r="I5081" s="187">
        <v>273.71039999999999</v>
      </c>
      <c r="J5081" s="41" t="s">
        <v>941</v>
      </c>
      <c r="K5081" s="41" t="s">
        <v>116</v>
      </c>
      <c r="L5081" s="195">
        <v>273.69670000000002</v>
      </c>
      <c r="M5081" s="52" t="s">
        <v>941</v>
      </c>
      <c r="N5081" s="195" t="s">
        <v>117</v>
      </c>
    </row>
    <row r="5082" spans="1:14" x14ac:dyDescent="0.2">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601</v>
      </c>
      <c r="H5082" s="50" t="s">
        <v>60</v>
      </c>
      <c r="I5082" s="187">
        <v>340.75909999999999</v>
      </c>
      <c r="J5082" s="41" t="s">
        <v>941</v>
      </c>
      <c r="K5082" s="41" t="s">
        <v>116</v>
      </c>
      <c r="L5082" s="195">
        <v>248.8289</v>
      </c>
      <c r="M5082" s="52" t="s">
        <v>941</v>
      </c>
      <c r="N5082" s="195" t="s">
        <v>117</v>
      </c>
    </row>
    <row r="5083" spans="1:14" x14ac:dyDescent="0.2">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602</v>
      </c>
      <c r="H5083" s="50" t="s">
        <v>60</v>
      </c>
      <c r="I5083" s="187">
        <v>673.2106</v>
      </c>
      <c r="J5083" s="41" t="s">
        <v>941</v>
      </c>
      <c r="K5083" s="41" t="s">
        <v>116</v>
      </c>
      <c r="L5083" s="195">
        <v>895.70730000000003</v>
      </c>
      <c r="M5083" s="52" t="s">
        <v>941</v>
      </c>
      <c r="N5083" s="195" t="s">
        <v>117</v>
      </c>
    </row>
    <row r="5084" spans="1:14" x14ac:dyDescent="0.2">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603</v>
      </c>
      <c r="H5084" s="50" t="s">
        <v>60</v>
      </c>
      <c r="I5084" s="187">
        <v>491.44420000000002</v>
      </c>
      <c r="J5084" s="41" t="s">
        <v>941</v>
      </c>
      <c r="K5084" s="41" t="s">
        <v>116</v>
      </c>
      <c r="L5084" s="195">
        <v>199.0384</v>
      </c>
      <c r="M5084" s="52" t="s">
        <v>941</v>
      </c>
      <c r="N5084" s="195" t="s">
        <v>117</v>
      </c>
    </row>
    <row r="5085" spans="1:14" x14ac:dyDescent="0.2">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604</v>
      </c>
      <c r="H5085" s="50" t="s">
        <v>60</v>
      </c>
      <c r="I5085" s="187">
        <v>475.54079999999999</v>
      </c>
      <c r="J5085" s="41" t="s">
        <v>941</v>
      </c>
      <c r="K5085" s="41" t="s">
        <v>116</v>
      </c>
      <c r="L5085" s="195">
        <v>323.4597</v>
      </c>
      <c r="M5085" s="52" t="s">
        <v>941</v>
      </c>
      <c r="N5085" s="195" t="s">
        <v>117</v>
      </c>
    </row>
    <row r="5086" spans="1:14" x14ac:dyDescent="0.2">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606</v>
      </c>
      <c r="H5086" s="50" t="s">
        <v>60</v>
      </c>
      <c r="I5086" s="187">
        <v>1248.25</v>
      </c>
      <c r="J5086" s="41" t="s">
        <v>941</v>
      </c>
      <c r="K5086" s="41" t="s">
        <v>116</v>
      </c>
      <c r="L5086" s="195">
        <v>2015.4169999999999</v>
      </c>
      <c r="M5086" s="52" t="s">
        <v>941</v>
      </c>
      <c r="N5086" s="195" t="s">
        <v>117</v>
      </c>
    </row>
    <row r="5087" spans="1:14" x14ac:dyDescent="0.2">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608</v>
      </c>
      <c r="H5087" s="50" t="s">
        <v>60</v>
      </c>
      <c r="I5087" s="187">
        <v>760.28219999999999</v>
      </c>
      <c r="J5087" s="41" t="s">
        <v>941</v>
      </c>
      <c r="K5087" s="41" t="s">
        <v>116</v>
      </c>
      <c r="L5087" s="195">
        <v>1252.383</v>
      </c>
      <c r="M5087" s="52" t="s">
        <v>941</v>
      </c>
      <c r="N5087" s="195" t="s">
        <v>117</v>
      </c>
    </row>
    <row r="5088" spans="1:14" x14ac:dyDescent="0.2">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612</v>
      </c>
      <c r="H5088" s="50" t="s">
        <v>60</v>
      </c>
      <c r="I5088" s="187">
        <v>199.0795</v>
      </c>
      <c r="J5088" s="41" t="s">
        <v>941</v>
      </c>
      <c r="K5088" s="41" t="s">
        <v>116</v>
      </c>
      <c r="L5088" s="195">
        <v>265.38920000000002</v>
      </c>
      <c r="M5088" s="52" t="s">
        <v>941</v>
      </c>
      <c r="N5088" s="195" t="s">
        <v>117</v>
      </c>
    </row>
    <row r="5089" spans="1:14" x14ac:dyDescent="0.2">
      <c r="A5089" s="30">
        <v>580</v>
      </c>
      <c r="B5089" s="249" t="str">
        <f>IF(AND(A5089&lt;&gt;"",ISNUMBER(A5089)),VLOOKUP(A5089,Studies!A:BR,2,FALSE),"")</f>
        <v>Acosta 2007</v>
      </c>
      <c r="C5089" s="250" t="str">
        <f>IF(AND(A5089&lt;&gt;"",ISNUMBER(A5089)),VLOOKUP(A5089,Studies!A:BR,3,FALSE),"")</f>
        <v>https://www.ncbi.nlm.nih.gov/pubmed/17576825</v>
      </c>
      <c r="D5089" s="250" t="str">
        <f>IF(AND(A5089&lt;&gt;"",ISNUMBER(A5089)),VLOOKUP(A5089,Studies!A:BR,4,FALSE),"")</f>
        <v>Period 1</v>
      </c>
      <c r="E5089" s="250" t="str">
        <f>IF(AND(A5089&lt;&gt;"",ISNUMBER(A5089)),VLOOKUP(A5089,Studies!A:BR,5,FALSE),"")</f>
        <v>Atazanavir</v>
      </c>
      <c r="F5089" s="251" t="str">
        <f>IF(AND(A5089&lt;&gt;"",ISNUMBER(A5089)),VLOOKUP(A5089,Studies!A:BR,6,FALSE),"")</f>
        <v>Plasma</v>
      </c>
      <c r="G5089" s="194">
        <v>168.02364322</v>
      </c>
      <c r="H5089" s="50" t="s">
        <v>60</v>
      </c>
      <c r="I5089" s="187">
        <v>1188.2729999999999</v>
      </c>
      <c r="J5089" s="41" t="s">
        <v>941</v>
      </c>
      <c r="K5089" s="41" t="s">
        <v>116</v>
      </c>
      <c r="L5089" s="195">
        <v>999.40650000000005</v>
      </c>
      <c r="M5089" s="52" t="s">
        <v>941</v>
      </c>
      <c r="N5089" s="195" t="s">
        <v>117</v>
      </c>
    </row>
    <row r="5090" spans="1:14" x14ac:dyDescent="0.2">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169.05402900000001</v>
      </c>
      <c r="H5090" s="50" t="s">
        <v>60</v>
      </c>
      <c r="I5090" s="187">
        <v>1440.1669999999999</v>
      </c>
      <c r="J5090" s="41" t="s">
        <v>941</v>
      </c>
      <c r="K5090" s="41" t="s">
        <v>116</v>
      </c>
      <c r="L5090" s="195">
        <v>879.05830000000003</v>
      </c>
      <c r="M5090" s="52" t="s">
        <v>941</v>
      </c>
      <c r="N5090" s="195" t="s">
        <v>117</v>
      </c>
    </row>
    <row r="5091" spans="1:14" x14ac:dyDescent="0.2">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170.05411600000002</v>
      </c>
      <c r="H5091" s="50" t="s">
        <v>60</v>
      </c>
      <c r="I5091" s="187">
        <v>2609.1239999999998</v>
      </c>
      <c r="J5091" s="41" t="s">
        <v>941</v>
      </c>
      <c r="K5091" s="41" t="s">
        <v>116</v>
      </c>
      <c r="L5091" s="195">
        <v>1469.1510000000001</v>
      </c>
      <c r="M5091" s="52" t="s">
        <v>941</v>
      </c>
      <c r="N5091" s="195" t="s">
        <v>117</v>
      </c>
    </row>
    <row r="5092" spans="1:14" x14ac:dyDescent="0.2">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171.05219199999999</v>
      </c>
      <c r="H5092" s="50" t="s">
        <v>60</v>
      </c>
      <c r="I5092" s="187">
        <v>3069.5709999999999</v>
      </c>
      <c r="J5092" s="41" t="s">
        <v>941</v>
      </c>
      <c r="K5092" s="41" t="s">
        <v>116</v>
      </c>
      <c r="L5092" s="195">
        <v>1189.5329999999999</v>
      </c>
      <c r="M5092" s="52" t="s">
        <v>941</v>
      </c>
      <c r="N5092" s="195" t="s">
        <v>117</v>
      </c>
    </row>
    <row r="5093" spans="1:14" x14ac:dyDescent="0.2">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172.04999099999998</v>
      </c>
      <c r="H5093" s="50" t="s">
        <v>60</v>
      </c>
      <c r="I5093" s="187">
        <v>3402.5050000000001</v>
      </c>
      <c r="J5093" s="41" t="s">
        <v>941</v>
      </c>
      <c r="K5093" s="41" t="s">
        <v>116</v>
      </c>
      <c r="L5093" s="195">
        <v>1318.9290000000001</v>
      </c>
      <c r="M5093" s="52" t="s">
        <v>941</v>
      </c>
      <c r="N5093" s="195" t="s">
        <v>117</v>
      </c>
    </row>
    <row r="5094" spans="1:14" x14ac:dyDescent="0.2">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173.04647199999999</v>
      </c>
      <c r="H5094" s="50" t="s">
        <v>60</v>
      </c>
      <c r="I5094" s="187">
        <v>2842.337</v>
      </c>
      <c r="J5094" s="41" t="s">
        <v>941</v>
      </c>
      <c r="K5094" s="41" t="s">
        <v>116</v>
      </c>
      <c r="L5094" s="195">
        <v>1534.817</v>
      </c>
      <c r="M5094" s="52" t="s">
        <v>941</v>
      </c>
      <c r="N5094" s="195" t="s">
        <v>117</v>
      </c>
    </row>
    <row r="5095" spans="1:14" x14ac:dyDescent="0.2">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174.04267600000003</v>
      </c>
      <c r="H5095" s="50" t="s">
        <v>60</v>
      </c>
      <c r="I5095" s="187">
        <v>2207.127</v>
      </c>
      <c r="J5095" s="41" t="s">
        <v>941</v>
      </c>
      <c r="K5095" s="41" t="s">
        <v>116</v>
      </c>
      <c r="L5095" s="195">
        <v>1008.717</v>
      </c>
      <c r="M5095" s="52" t="s">
        <v>941</v>
      </c>
      <c r="N5095" s="195" t="s">
        <v>117</v>
      </c>
    </row>
    <row r="5096" spans="1:14" x14ac:dyDescent="0.2">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176.003398</v>
      </c>
      <c r="H5096" s="50" t="s">
        <v>60</v>
      </c>
      <c r="I5096" s="187">
        <v>1538.1410000000001</v>
      </c>
      <c r="J5096" s="41" t="s">
        <v>941</v>
      </c>
      <c r="K5096" s="41" t="s">
        <v>116</v>
      </c>
      <c r="L5096" s="195">
        <v>795.47640000000001</v>
      </c>
      <c r="M5096" s="52" t="s">
        <v>941</v>
      </c>
      <c r="N5096" s="195" t="s">
        <v>117</v>
      </c>
    </row>
    <row r="5097" spans="1:14" x14ac:dyDescent="0.2">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178.0607</v>
      </c>
      <c r="H5097" s="50" t="s">
        <v>60</v>
      </c>
      <c r="I5097" s="187">
        <v>1073.2860000000001</v>
      </c>
      <c r="J5097" s="41" t="s">
        <v>941</v>
      </c>
      <c r="K5097" s="41" t="s">
        <v>116</v>
      </c>
      <c r="L5097" s="195">
        <v>655.11839999999995</v>
      </c>
      <c r="M5097" s="52" t="s">
        <v>941</v>
      </c>
      <c r="N5097" s="195" t="s">
        <v>117</v>
      </c>
    </row>
    <row r="5098" spans="1:14" x14ac:dyDescent="0.2">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180.0224</v>
      </c>
      <c r="H5098" s="50" t="s">
        <v>60</v>
      </c>
      <c r="I5098" s="187">
        <v>908.9452</v>
      </c>
      <c r="J5098" s="41" t="s">
        <v>941</v>
      </c>
      <c r="K5098" s="41" t="s">
        <v>116</v>
      </c>
      <c r="L5098" s="195">
        <v>621.54139999999995</v>
      </c>
      <c r="M5098" s="52" t="s">
        <v>941</v>
      </c>
      <c r="N5098" s="52" t="s">
        <v>117</v>
      </c>
    </row>
    <row r="5099" spans="1:14" x14ac:dyDescent="0.2">
      <c r="A5099" s="30">
        <v>581</v>
      </c>
      <c r="B5099" s="249" t="str">
        <f>IF(AND(A5099&lt;&gt;"",ISNUMBER(A5099)),VLOOKUP(A5099,Studies!A:BR,2,FALSE),"")</f>
        <v>ClinPharmReview, AI424-028, p. 128</v>
      </c>
      <c r="C5099" s="250" t="str">
        <f>IF(AND(A5099&lt;&gt;"",ISNUMBER(A5099)),VLOOKUP(A5099,Studies!A:BR,3,FALSE),"")</f>
        <v>https://www.accessdata.fda.gov/drugsatfda_docs/nda/2003/21-567_Reyataz_BioPharmr_P3.pdf</v>
      </c>
      <c r="D5099" s="250" t="str">
        <f>IF(AND(A5099&lt;&gt;"",ISNUMBER(A5099)),VLOOKUP(A5099,Studies!A:BR,4,FALSE),"")</f>
        <v>A-Day 6</v>
      </c>
      <c r="E5099" s="250" t="str">
        <f>IF(AND(A5099&lt;&gt;"",ISNUMBER(A5099)),VLOOKUP(A5099,Studies!A:BR,5,FALSE),"")</f>
        <v>Atazanavir</v>
      </c>
      <c r="F5099" s="251" t="str">
        <f>IF(AND(A5099&lt;&gt;"",ISNUMBER(A5099)),VLOOKUP(A5099,Studies!A:BR,6,FALSE),"")</f>
        <v>Plasma</v>
      </c>
      <c r="G5099" s="194">
        <v>120</v>
      </c>
      <c r="H5099" s="50" t="s">
        <v>60</v>
      </c>
      <c r="I5099" s="187">
        <v>53.140650000000001</v>
      </c>
      <c r="J5099" s="41" t="s">
        <v>941</v>
      </c>
      <c r="K5099" s="41" t="s">
        <v>116</v>
      </c>
    </row>
    <row r="5100" spans="1:14" x14ac:dyDescent="0.2">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120.5</v>
      </c>
      <c r="H5100" s="50" t="s">
        <v>60</v>
      </c>
      <c r="I5100" s="187">
        <v>42.317889999999998</v>
      </c>
      <c r="J5100" s="41" t="s">
        <v>941</v>
      </c>
      <c r="K5100" s="41" t="s">
        <v>116</v>
      </c>
    </row>
    <row r="5101" spans="1:14" x14ac:dyDescent="0.2">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121</v>
      </c>
      <c r="H5101" s="50" t="s">
        <v>60</v>
      </c>
      <c r="I5101" s="187">
        <v>155.44630000000001</v>
      </c>
      <c r="J5101" s="41" t="s">
        <v>941</v>
      </c>
      <c r="K5101" s="41" t="s">
        <v>116</v>
      </c>
    </row>
    <row r="5102" spans="1:14" x14ac:dyDescent="0.2">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121.5</v>
      </c>
      <c r="H5102" s="50" t="s">
        <v>60</v>
      </c>
      <c r="I5102" s="187">
        <v>532.12570000000005</v>
      </c>
      <c r="J5102" s="41" t="s">
        <v>941</v>
      </c>
      <c r="K5102" s="41" t="s">
        <v>116</v>
      </c>
    </row>
    <row r="5103" spans="1:14" x14ac:dyDescent="0.2">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122</v>
      </c>
      <c r="H5103" s="50" t="s">
        <v>60</v>
      </c>
      <c r="I5103" s="187">
        <v>1157.5250000000001</v>
      </c>
      <c r="J5103" s="41" t="s">
        <v>941</v>
      </c>
      <c r="K5103" s="41" t="s">
        <v>116</v>
      </c>
    </row>
    <row r="5104" spans="1:14" x14ac:dyDescent="0.2">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122.5</v>
      </c>
      <c r="H5104" s="50" t="s">
        <v>60</v>
      </c>
      <c r="I5104" s="187">
        <v>1534.8879999999999</v>
      </c>
      <c r="J5104" s="41" t="s">
        <v>941</v>
      </c>
      <c r="K5104" s="41" t="s">
        <v>116</v>
      </c>
    </row>
    <row r="5105" spans="1:11" x14ac:dyDescent="0.2">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123</v>
      </c>
      <c r="H5105" s="50" t="s">
        <v>60</v>
      </c>
      <c r="I5105" s="187">
        <v>1368.999</v>
      </c>
      <c r="J5105" s="41" t="s">
        <v>941</v>
      </c>
      <c r="K5105" s="41" t="s">
        <v>116</v>
      </c>
    </row>
    <row r="5106" spans="1:11" x14ac:dyDescent="0.2">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124</v>
      </c>
      <c r="H5106" s="50" t="s">
        <v>60</v>
      </c>
      <c r="I5106" s="187">
        <v>1014.276</v>
      </c>
      <c r="J5106" s="41" t="s">
        <v>941</v>
      </c>
      <c r="K5106" s="41" t="s">
        <v>116</v>
      </c>
    </row>
    <row r="5107" spans="1:11" x14ac:dyDescent="0.2">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125</v>
      </c>
      <c r="H5107" s="50" t="s">
        <v>60</v>
      </c>
      <c r="I5107" s="187">
        <v>830.04669999999999</v>
      </c>
      <c r="J5107" s="41" t="s">
        <v>941</v>
      </c>
      <c r="K5107" s="41" t="s">
        <v>116</v>
      </c>
    </row>
    <row r="5108" spans="1:11" x14ac:dyDescent="0.2">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126</v>
      </c>
      <c r="H5108" s="50" t="s">
        <v>60</v>
      </c>
      <c r="I5108" s="187">
        <v>660.32169999999996</v>
      </c>
      <c r="J5108" s="41" t="s">
        <v>941</v>
      </c>
      <c r="K5108" s="41" t="s">
        <v>116</v>
      </c>
    </row>
    <row r="5109" spans="1:11" x14ac:dyDescent="0.2">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128</v>
      </c>
      <c r="H5109" s="50" t="s">
        <v>60</v>
      </c>
      <c r="I5109" s="187">
        <v>411.91160000000002</v>
      </c>
      <c r="J5109" s="41" t="s">
        <v>941</v>
      </c>
      <c r="K5109" s="41" t="s">
        <v>116</v>
      </c>
    </row>
    <row r="5110" spans="1:11" x14ac:dyDescent="0.2">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130</v>
      </c>
      <c r="H5110" s="50" t="s">
        <v>60</v>
      </c>
      <c r="I5110" s="187">
        <v>260.6814</v>
      </c>
      <c r="J5110" s="41" t="s">
        <v>941</v>
      </c>
      <c r="K5110" s="41" t="s">
        <v>116</v>
      </c>
    </row>
    <row r="5111" spans="1:11" x14ac:dyDescent="0.2">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132</v>
      </c>
      <c r="H5111" s="50" t="s">
        <v>60</v>
      </c>
      <c r="I5111" s="187">
        <v>174.51660000000001</v>
      </c>
      <c r="J5111" s="41" t="s">
        <v>941</v>
      </c>
      <c r="K5111" s="41" t="s">
        <v>116</v>
      </c>
    </row>
    <row r="5112" spans="1:11" x14ac:dyDescent="0.2">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136</v>
      </c>
      <c r="H5112" s="50" t="s">
        <v>60</v>
      </c>
      <c r="I5112" s="187">
        <v>79.360280000000003</v>
      </c>
      <c r="J5112" s="41" t="s">
        <v>941</v>
      </c>
      <c r="K5112" s="41" t="s">
        <v>116</v>
      </c>
    </row>
    <row r="5113" spans="1:11" x14ac:dyDescent="0.2">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144</v>
      </c>
      <c r="H5113" s="50" t="s">
        <v>60</v>
      </c>
      <c r="I5113" s="187">
        <v>35.237479999999998</v>
      </c>
      <c r="J5113" s="41" t="s">
        <v>941</v>
      </c>
      <c r="K5113" s="41" t="s">
        <v>116</v>
      </c>
    </row>
    <row r="5114" spans="1:11" x14ac:dyDescent="0.2">
      <c r="A5114" s="30">
        <v>582</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B-Day 6</v>
      </c>
      <c r="E5114" s="250" t="str">
        <f>IF(AND(A5114&lt;&gt;"",ISNUMBER(A5114)),VLOOKUP(A5114,Studies!A:BR,5,FALSE),"")</f>
        <v>Atazanavir</v>
      </c>
      <c r="F5114" s="251" t="str">
        <f>IF(AND(A5114&lt;&gt;"",ISNUMBER(A5114)),VLOOKUP(A5114,Studies!A:BR,6,FALSE),"")</f>
        <v>Plasma</v>
      </c>
      <c r="G5114" s="194">
        <v>120</v>
      </c>
      <c r="H5114" s="50" t="s">
        <v>60</v>
      </c>
      <c r="I5114" s="187">
        <v>36.258450000000003</v>
      </c>
      <c r="J5114" s="41" t="s">
        <v>941</v>
      </c>
      <c r="K5114" s="41" t="s">
        <v>116</v>
      </c>
    </row>
    <row r="5115" spans="1:11" x14ac:dyDescent="0.2">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120.5</v>
      </c>
      <c r="H5115" s="50" t="s">
        <v>60</v>
      </c>
      <c r="I5115" s="187">
        <v>37.787660000000002</v>
      </c>
      <c r="J5115" s="41" t="s">
        <v>941</v>
      </c>
      <c r="K5115" s="41" t="s">
        <v>116</v>
      </c>
    </row>
    <row r="5116" spans="1:11" x14ac:dyDescent="0.2">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121</v>
      </c>
      <c r="H5116" s="50" t="s">
        <v>60</v>
      </c>
      <c r="I5116" s="187">
        <v>97.44014</v>
      </c>
      <c r="J5116" s="41" t="s">
        <v>941</v>
      </c>
      <c r="K5116" s="41" t="s">
        <v>116</v>
      </c>
    </row>
    <row r="5117" spans="1:11" x14ac:dyDescent="0.2">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121.5</v>
      </c>
      <c r="H5117" s="50" t="s">
        <v>60</v>
      </c>
      <c r="I5117" s="187">
        <v>517.34029999999996</v>
      </c>
      <c r="J5117" s="41" t="s">
        <v>941</v>
      </c>
      <c r="K5117" s="41" t="s">
        <v>116</v>
      </c>
    </row>
    <row r="5118" spans="1:11" x14ac:dyDescent="0.2">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122</v>
      </c>
      <c r="H5118" s="50" t="s">
        <v>60</v>
      </c>
      <c r="I5118" s="187">
        <v>1125.0740000000001</v>
      </c>
      <c r="J5118" s="41" t="s">
        <v>941</v>
      </c>
      <c r="K5118" s="41" t="s">
        <v>116</v>
      </c>
    </row>
    <row r="5119" spans="1:11" x14ac:dyDescent="0.2">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122.5</v>
      </c>
      <c r="H5119" s="50" t="s">
        <v>60</v>
      </c>
      <c r="I5119" s="187">
        <v>1241.1379999999999</v>
      </c>
      <c r="J5119" s="41" t="s">
        <v>941</v>
      </c>
      <c r="K5119" s="41" t="s">
        <v>116</v>
      </c>
    </row>
    <row r="5120" spans="1:11" x14ac:dyDescent="0.2">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123</v>
      </c>
      <c r="H5120" s="50" t="s">
        <v>60</v>
      </c>
      <c r="I5120" s="187">
        <v>1204.9570000000001</v>
      </c>
      <c r="J5120" s="41" t="s">
        <v>941</v>
      </c>
      <c r="K5120" s="41" t="s">
        <v>116</v>
      </c>
    </row>
    <row r="5121" spans="1:11" x14ac:dyDescent="0.2">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124</v>
      </c>
      <c r="H5121" s="50" t="s">
        <v>60</v>
      </c>
      <c r="I5121" s="187">
        <v>892.96669999999995</v>
      </c>
      <c r="J5121" s="41" t="s">
        <v>941</v>
      </c>
      <c r="K5121" s="41" t="s">
        <v>116</v>
      </c>
    </row>
    <row r="5122" spans="1:11" x14ac:dyDescent="0.2">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125</v>
      </c>
      <c r="H5122" s="50" t="s">
        <v>60</v>
      </c>
      <c r="I5122" s="187">
        <v>762.56619999999998</v>
      </c>
      <c r="J5122" s="41" t="s">
        <v>941</v>
      </c>
      <c r="K5122" s="41" t="s">
        <v>116</v>
      </c>
    </row>
    <row r="5123" spans="1:11" x14ac:dyDescent="0.2">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126</v>
      </c>
      <c r="H5123" s="50" t="s">
        <v>60</v>
      </c>
      <c r="I5123" s="187">
        <v>581.49490000000003</v>
      </c>
      <c r="J5123" s="41" t="s">
        <v>941</v>
      </c>
      <c r="K5123" s="41" t="s">
        <v>116</v>
      </c>
    </row>
    <row r="5124" spans="1:11" x14ac:dyDescent="0.2">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128</v>
      </c>
      <c r="H5124" s="50" t="s">
        <v>60</v>
      </c>
      <c r="I5124" s="187">
        <v>394.73739999999998</v>
      </c>
      <c r="J5124" s="41" t="s">
        <v>941</v>
      </c>
      <c r="K5124" s="41" t="s">
        <v>116</v>
      </c>
    </row>
    <row r="5125" spans="1:11" x14ac:dyDescent="0.2">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130</v>
      </c>
      <c r="H5125" s="50" t="s">
        <v>60</v>
      </c>
      <c r="I5125" s="187">
        <v>249.87649999999999</v>
      </c>
      <c r="J5125" s="41" t="s">
        <v>941</v>
      </c>
      <c r="K5125" s="41" t="s">
        <v>116</v>
      </c>
    </row>
    <row r="5126" spans="1:11" x14ac:dyDescent="0.2">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132</v>
      </c>
      <c r="H5126" s="50" t="s">
        <v>60</v>
      </c>
      <c r="I5126" s="187">
        <v>162.28309999999999</v>
      </c>
      <c r="J5126" s="41" t="s">
        <v>941</v>
      </c>
      <c r="K5126" s="41" t="s">
        <v>116</v>
      </c>
    </row>
    <row r="5127" spans="1:11" x14ac:dyDescent="0.2">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136</v>
      </c>
      <c r="H5127" s="50" t="s">
        <v>60</v>
      </c>
      <c r="I5127" s="187">
        <v>82.823650000000001</v>
      </c>
      <c r="J5127" s="41" t="s">
        <v>941</v>
      </c>
      <c r="K5127" s="41" t="s">
        <v>116</v>
      </c>
    </row>
    <row r="5128" spans="1:11" x14ac:dyDescent="0.2">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144</v>
      </c>
      <c r="H5128" s="50" t="s">
        <v>60</v>
      </c>
      <c r="I5128" s="187">
        <v>31.469249999999999</v>
      </c>
      <c r="J5128" s="41" t="s">
        <v>941</v>
      </c>
      <c r="K5128" s="41" t="s">
        <v>116</v>
      </c>
    </row>
    <row r="5129" spans="1:11" x14ac:dyDescent="0.2">
      <c r="A5129" s="30">
        <v>583</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C-Day 6</v>
      </c>
      <c r="E5129" s="250" t="str">
        <f>IF(AND(A5129&lt;&gt;"",ISNUMBER(A5129)),VLOOKUP(A5129,Studies!A:BR,5,FALSE),"")</f>
        <v>Atazanavir</v>
      </c>
      <c r="F5129" s="251" t="str">
        <f>IF(AND(A5129&lt;&gt;"",ISNUMBER(A5129)),VLOOKUP(A5129,Studies!A:BR,6,FALSE),"")</f>
        <v>Plasma</v>
      </c>
      <c r="G5129" s="194">
        <v>120</v>
      </c>
      <c r="H5129" s="50" t="s">
        <v>60</v>
      </c>
      <c r="I5129" s="187">
        <v>184.2253</v>
      </c>
      <c r="J5129" s="41" t="s">
        <v>941</v>
      </c>
      <c r="K5129" s="41" t="s">
        <v>116</v>
      </c>
    </row>
    <row r="5130" spans="1:11" x14ac:dyDescent="0.2">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120.5</v>
      </c>
      <c r="H5130" s="50" t="s">
        <v>60</v>
      </c>
      <c r="I5130" s="187">
        <v>159.6593</v>
      </c>
      <c r="J5130" s="41" t="s">
        <v>941</v>
      </c>
      <c r="K5130" s="41" t="s">
        <v>116</v>
      </c>
    </row>
    <row r="5131" spans="1:11" x14ac:dyDescent="0.2">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121</v>
      </c>
      <c r="H5131" s="50" t="s">
        <v>60</v>
      </c>
      <c r="I5131" s="187">
        <v>1200.078</v>
      </c>
      <c r="J5131" s="41" t="s">
        <v>941</v>
      </c>
      <c r="K5131" s="41" t="s">
        <v>116</v>
      </c>
    </row>
    <row r="5132" spans="1:11" x14ac:dyDescent="0.2">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121.5</v>
      </c>
      <c r="H5132" s="50" t="s">
        <v>60</v>
      </c>
      <c r="I5132" s="187">
        <v>4758.576</v>
      </c>
      <c r="J5132" s="41" t="s">
        <v>941</v>
      </c>
      <c r="K5132" s="41" t="s">
        <v>116</v>
      </c>
    </row>
    <row r="5133" spans="1:11" x14ac:dyDescent="0.2">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122</v>
      </c>
      <c r="H5133" s="50" t="s">
        <v>60</v>
      </c>
      <c r="I5133" s="187">
        <v>5401.8090000000002</v>
      </c>
      <c r="J5133" s="41" t="s">
        <v>941</v>
      </c>
      <c r="K5133" s="41" t="s">
        <v>116</v>
      </c>
    </row>
    <row r="5134" spans="1:11" x14ac:dyDescent="0.2">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122.5</v>
      </c>
      <c r="H5134" s="50" t="s">
        <v>60</v>
      </c>
      <c r="I5134" s="187">
        <v>4955.9539999999997</v>
      </c>
      <c r="J5134" s="41" t="s">
        <v>941</v>
      </c>
      <c r="K5134" s="41" t="s">
        <v>116</v>
      </c>
    </row>
    <row r="5135" spans="1:11" x14ac:dyDescent="0.2">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123</v>
      </c>
      <c r="H5135" s="50" t="s">
        <v>60</v>
      </c>
      <c r="I5135" s="187">
        <v>4354.9390000000003</v>
      </c>
      <c r="J5135" s="41" t="s">
        <v>941</v>
      </c>
      <c r="K5135" s="41" t="s">
        <v>116</v>
      </c>
    </row>
    <row r="5136" spans="1:11" x14ac:dyDescent="0.2">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124</v>
      </c>
      <c r="H5136" s="50" t="s">
        <v>60</v>
      </c>
      <c r="I5136" s="187">
        <v>3663.4259999999999</v>
      </c>
      <c r="J5136" s="41" t="s">
        <v>941</v>
      </c>
      <c r="K5136" s="41" t="s">
        <v>116</v>
      </c>
    </row>
    <row r="5137" spans="1:11" x14ac:dyDescent="0.2">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125</v>
      </c>
      <c r="H5137" s="50" t="s">
        <v>60</v>
      </c>
      <c r="I5137" s="187">
        <v>3125.826</v>
      </c>
      <c r="J5137" s="41" t="s">
        <v>941</v>
      </c>
      <c r="K5137" s="41" t="s">
        <v>116</v>
      </c>
    </row>
    <row r="5138" spans="1:11" x14ac:dyDescent="0.2">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126</v>
      </c>
      <c r="H5138" s="50" t="s">
        <v>60</v>
      </c>
      <c r="I5138" s="187">
        <v>2280.5520000000001</v>
      </c>
      <c r="J5138" s="41" t="s">
        <v>941</v>
      </c>
      <c r="K5138" s="41" t="s">
        <v>116</v>
      </c>
    </row>
    <row r="5139" spans="1:11" x14ac:dyDescent="0.2">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128</v>
      </c>
      <c r="H5139" s="50" t="s">
        <v>60</v>
      </c>
      <c r="I5139" s="187">
        <v>1503.2940000000001</v>
      </c>
      <c r="J5139" s="41" t="s">
        <v>941</v>
      </c>
      <c r="K5139" s="41" t="s">
        <v>116</v>
      </c>
    </row>
    <row r="5140" spans="1:11" x14ac:dyDescent="0.2">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130</v>
      </c>
      <c r="H5140" s="50" t="s">
        <v>60</v>
      </c>
      <c r="I5140" s="187">
        <v>922.73820000000001</v>
      </c>
      <c r="J5140" s="41" t="s">
        <v>941</v>
      </c>
      <c r="K5140" s="41" t="s">
        <v>116</v>
      </c>
    </row>
    <row r="5141" spans="1:11" x14ac:dyDescent="0.2">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132</v>
      </c>
      <c r="H5141" s="50" t="s">
        <v>60</v>
      </c>
      <c r="I5141" s="187">
        <v>681.40530000000001</v>
      </c>
      <c r="J5141" s="41" t="s">
        <v>941</v>
      </c>
      <c r="K5141" s="41" t="s">
        <v>116</v>
      </c>
    </row>
    <row r="5142" spans="1:11" x14ac:dyDescent="0.2">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136</v>
      </c>
      <c r="H5142" s="50" t="s">
        <v>60</v>
      </c>
      <c r="I5142" s="187">
        <v>287.67779999999999</v>
      </c>
      <c r="J5142" s="41" t="s">
        <v>941</v>
      </c>
      <c r="K5142" s="41" t="s">
        <v>116</v>
      </c>
    </row>
    <row r="5143" spans="1:11" x14ac:dyDescent="0.2">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144</v>
      </c>
      <c r="H5143" s="50" t="s">
        <v>60</v>
      </c>
      <c r="I5143" s="187">
        <v>144.68459999999999</v>
      </c>
      <c r="J5143" s="41" t="s">
        <v>941</v>
      </c>
      <c r="K5143" s="41" t="s">
        <v>116</v>
      </c>
    </row>
    <row r="5144" spans="1:11" x14ac:dyDescent="0.2">
      <c r="A5144" s="30">
        <v>584</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D-Day 6</v>
      </c>
      <c r="E5144" s="250" t="str">
        <f>IF(AND(A5144&lt;&gt;"",ISNUMBER(A5144)),VLOOKUP(A5144,Studies!A:BR,5,FALSE),"")</f>
        <v>Atazanavir</v>
      </c>
      <c r="F5144" s="251" t="str">
        <f>IF(AND(A5144&lt;&gt;"",ISNUMBER(A5144)),VLOOKUP(A5144,Studies!A:BR,6,FALSE),"")</f>
        <v>Plasma</v>
      </c>
      <c r="G5144" s="194">
        <v>120</v>
      </c>
      <c r="H5144" s="50" t="s">
        <v>60</v>
      </c>
      <c r="I5144" s="187">
        <v>224.809</v>
      </c>
      <c r="J5144" s="41" t="s">
        <v>941</v>
      </c>
      <c r="K5144" s="41" t="s">
        <v>116</v>
      </c>
    </row>
    <row r="5145" spans="1:11" x14ac:dyDescent="0.2">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120.5</v>
      </c>
      <c r="H5145" s="50" t="s">
        <v>60</v>
      </c>
      <c r="I5145" s="187">
        <v>294.1696</v>
      </c>
      <c r="J5145" s="41" t="s">
        <v>941</v>
      </c>
      <c r="K5145" s="41" t="s">
        <v>116</v>
      </c>
    </row>
    <row r="5146" spans="1:11" x14ac:dyDescent="0.2">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121</v>
      </c>
      <c r="H5146" s="50" t="s">
        <v>60</v>
      </c>
      <c r="I5146" s="187">
        <v>772.45320000000004</v>
      </c>
      <c r="J5146" s="41" t="s">
        <v>941</v>
      </c>
      <c r="K5146" s="41" t="s">
        <v>116</v>
      </c>
    </row>
    <row r="5147" spans="1:11" x14ac:dyDescent="0.2">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121.5</v>
      </c>
      <c r="H5147" s="50" t="s">
        <v>60</v>
      </c>
      <c r="I5147" s="187">
        <v>2733.431</v>
      </c>
      <c r="J5147" s="41" t="s">
        <v>941</v>
      </c>
      <c r="K5147" s="41" t="s">
        <v>116</v>
      </c>
    </row>
    <row r="5148" spans="1:11" x14ac:dyDescent="0.2">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122</v>
      </c>
      <c r="H5148" s="50" t="s">
        <v>60</v>
      </c>
      <c r="I5148" s="187">
        <v>4303.13</v>
      </c>
      <c r="J5148" s="41" t="s">
        <v>941</v>
      </c>
      <c r="K5148" s="41" t="s">
        <v>116</v>
      </c>
    </row>
    <row r="5149" spans="1:11" x14ac:dyDescent="0.2">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122.5</v>
      </c>
      <c r="H5149" s="50" t="s">
        <v>60</v>
      </c>
      <c r="I5149" s="187">
        <v>4816.4690000000001</v>
      </c>
      <c r="J5149" s="41" t="s">
        <v>941</v>
      </c>
      <c r="K5149" s="41" t="s">
        <v>116</v>
      </c>
    </row>
    <row r="5150" spans="1:11" x14ac:dyDescent="0.2">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123</v>
      </c>
      <c r="H5150" s="50" t="s">
        <v>60</v>
      </c>
      <c r="I5150" s="187">
        <v>4292.95</v>
      </c>
      <c r="J5150" s="41" t="s">
        <v>941</v>
      </c>
      <c r="K5150" s="41" t="s">
        <v>116</v>
      </c>
    </row>
    <row r="5151" spans="1:11" x14ac:dyDescent="0.2">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124</v>
      </c>
      <c r="H5151" s="50" t="s">
        <v>60</v>
      </c>
      <c r="I5151" s="187">
        <v>3460.5450000000001</v>
      </c>
      <c r="J5151" s="41" t="s">
        <v>941</v>
      </c>
      <c r="K5151" s="41" t="s">
        <v>116</v>
      </c>
    </row>
    <row r="5152" spans="1:11" x14ac:dyDescent="0.2">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125</v>
      </c>
      <c r="H5152" s="50" t="s">
        <v>60</v>
      </c>
      <c r="I5152" s="187">
        <v>2788.8490000000002</v>
      </c>
      <c r="J5152" s="41" t="s">
        <v>941</v>
      </c>
      <c r="K5152" s="41" t="s">
        <v>116</v>
      </c>
    </row>
    <row r="5153" spans="1:14" x14ac:dyDescent="0.2">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126</v>
      </c>
      <c r="H5153" s="50" t="s">
        <v>60</v>
      </c>
      <c r="I5153" s="187">
        <v>2064.8519999999999</v>
      </c>
      <c r="J5153" s="41" t="s">
        <v>941</v>
      </c>
      <c r="K5153" s="41" t="s">
        <v>116</v>
      </c>
    </row>
    <row r="5154" spans="1:14" x14ac:dyDescent="0.2">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128</v>
      </c>
      <c r="H5154" s="50" t="s">
        <v>60</v>
      </c>
      <c r="I5154" s="187">
        <v>1380.4190000000001</v>
      </c>
      <c r="J5154" s="41" t="s">
        <v>941</v>
      </c>
      <c r="K5154" s="41" t="s">
        <v>116</v>
      </c>
    </row>
    <row r="5155" spans="1:14" x14ac:dyDescent="0.2">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130</v>
      </c>
      <c r="H5155" s="50" t="s">
        <v>60</v>
      </c>
      <c r="I5155" s="187">
        <v>949.4606</v>
      </c>
      <c r="J5155" s="41" t="s">
        <v>941</v>
      </c>
      <c r="K5155" s="41" t="s">
        <v>116</v>
      </c>
    </row>
    <row r="5156" spans="1:14" x14ac:dyDescent="0.2">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132</v>
      </c>
      <c r="H5156" s="50" t="s">
        <v>60</v>
      </c>
      <c r="I5156" s="187">
        <v>691.07240000000002</v>
      </c>
      <c r="J5156" s="41" t="s">
        <v>941</v>
      </c>
      <c r="K5156" s="41" t="s">
        <v>116</v>
      </c>
    </row>
    <row r="5157" spans="1:14" x14ac:dyDescent="0.2">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136</v>
      </c>
      <c r="H5157" s="50" t="s">
        <v>60</v>
      </c>
      <c r="I5157" s="187">
        <v>366.3426</v>
      </c>
      <c r="J5157" s="41" t="s">
        <v>941</v>
      </c>
      <c r="K5157" s="41" t="s">
        <v>116</v>
      </c>
    </row>
    <row r="5158" spans="1:14" x14ac:dyDescent="0.2">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144</v>
      </c>
      <c r="H5158" s="50" t="s">
        <v>60</v>
      </c>
      <c r="I5158" s="187">
        <v>171.61</v>
      </c>
      <c r="J5158" s="41" t="s">
        <v>941</v>
      </c>
      <c r="K5158" s="41" t="s">
        <v>116</v>
      </c>
      <c r="N5158" s="195"/>
    </row>
    <row r="5159" spans="1:14" x14ac:dyDescent="0.2">
      <c r="A5159" s="30">
        <v>585</v>
      </c>
      <c r="B5159" s="249" t="str">
        <f>IF(AND(A5159&lt;&gt;"",ISNUMBER(A5159)),VLOOKUP(A5159,Studies!A:BR,2,FALSE),"")</f>
        <v>ClinPharmReview, AI424-056, p. 134</v>
      </c>
      <c r="C5159" s="250" t="str">
        <f>IF(AND(A5159&lt;&gt;"",ISNUMBER(A5159)),VLOOKUP(A5159,Studies!A:BR,3,FALSE),"")</f>
        <v>https://www.accessdata.fda.gov/drugsatfda_docs/nda/2003/21-567_Reyataz_BioPharmr_P3.pdf</v>
      </c>
      <c r="D5159" s="250" t="str">
        <f>IF(AND(A5159&lt;&gt;"",ISNUMBER(A5159)),VLOOKUP(A5159,Studies!A:BR,4,FALSE),"")</f>
        <v>Atazanavir without ritonavir, Day 10</v>
      </c>
      <c r="E5159" s="250" t="str">
        <f>IF(AND(A5159&lt;&gt;"",ISNUMBER(A5159)),VLOOKUP(A5159,Studies!A:BR,5,FALSE),"")</f>
        <v>Atazanavir</v>
      </c>
      <c r="F5159" s="251" t="str">
        <f>IF(AND(A5159&lt;&gt;"",ISNUMBER(A5159)),VLOOKUP(A5159,Studies!A:BR,6,FALSE),"")</f>
        <v>Plasma</v>
      </c>
      <c r="G5159" s="194">
        <v>216</v>
      </c>
      <c r="H5159" s="50" t="s">
        <v>60</v>
      </c>
      <c r="I5159" s="187">
        <v>153.1764</v>
      </c>
      <c r="J5159" s="41" t="s">
        <v>941</v>
      </c>
      <c r="K5159" s="41" t="s">
        <v>116</v>
      </c>
      <c r="L5159" s="195">
        <v>125.0763</v>
      </c>
      <c r="M5159" s="52" t="s">
        <v>941</v>
      </c>
      <c r="N5159" s="195" t="s">
        <v>117</v>
      </c>
    </row>
    <row r="5160" spans="1:14" x14ac:dyDescent="0.2">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216.5</v>
      </c>
      <c r="H5160" s="50" t="s">
        <v>60</v>
      </c>
      <c r="I5160" s="187">
        <v>197.75739999999999</v>
      </c>
      <c r="J5160" s="41" t="s">
        <v>941</v>
      </c>
      <c r="K5160" s="41" t="s">
        <v>116</v>
      </c>
      <c r="L5160" s="195">
        <v>196.84909999999999</v>
      </c>
      <c r="M5160" s="52" t="s">
        <v>941</v>
      </c>
      <c r="N5160" s="195" t="s">
        <v>117</v>
      </c>
    </row>
    <row r="5161" spans="1:14" x14ac:dyDescent="0.2">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217</v>
      </c>
      <c r="H5161" s="50" t="s">
        <v>60</v>
      </c>
      <c r="I5161" s="187">
        <v>669.31920000000002</v>
      </c>
      <c r="J5161" s="41" t="s">
        <v>941</v>
      </c>
      <c r="K5161" s="41" t="s">
        <v>116</v>
      </c>
      <c r="L5161" s="195">
        <v>1193.08</v>
      </c>
      <c r="M5161" s="52" t="s">
        <v>941</v>
      </c>
      <c r="N5161" s="195" t="s">
        <v>117</v>
      </c>
    </row>
    <row r="5162" spans="1:14" x14ac:dyDescent="0.2">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217.5</v>
      </c>
      <c r="H5162" s="50" t="s">
        <v>60</v>
      </c>
      <c r="I5162" s="187">
        <v>1404.998</v>
      </c>
      <c r="J5162" s="41" t="s">
        <v>941</v>
      </c>
      <c r="K5162" s="41" t="s">
        <v>116</v>
      </c>
      <c r="L5162" s="195">
        <v>1446.5730000000001</v>
      </c>
      <c r="M5162" s="52" t="s">
        <v>941</v>
      </c>
      <c r="N5162" s="195" t="s">
        <v>117</v>
      </c>
    </row>
    <row r="5163" spans="1:14" x14ac:dyDescent="0.2">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218</v>
      </c>
      <c r="H5163" s="50" t="s">
        <v>60</v>
      </c>
      <c r="I5163" s="187">
        <v>2188.4639999999999</v>
      </c>
      <c r="J5163" s="41" t="s">
        <v>941</v>
      </c>
      <c r="K5163" s="41" t="s">
        <v>116</v>
      </c>
      <c r="L5163" s="195">
        <v>1556.7550000000001</v>
      </c>
      <c r="M5163" s="52" t="s">
        <v>941</v>
      </c>
      <c r="N5163" s="195" t="s">
        <v>117</v>
      </c>
    </row>
    <row r="5164" spans="1:14" x14ac:dyDescent="0.2">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218.5</v>
      </c>
      <c r="H5164" s="50" t="s">
        <v>60</v>
      </c>
      <c r="I5164" s="187">
        <v>2948.6819999999998</v>
      </c>
      <c r="J5164" s="41" t="s">
        <v>941</v>
      </c>
      <c r="K5164" s="41" t="s">
        <v>116</v>
      </c>
      <c r="L5164" s="195">
        <v>1684.885</v>
      </c>
      <c r="M5164" s="52" t="s">
        <v>941</v>
      </c>
      <c r="N5164" s="195" t="s">
        <v>117</v>
      </c>
    </row>
    <row r="5165" spans="1:14" x14ac:dyDescent="0.2">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219</v>
      </c>
      <c r="H5165" s="50" t="s">
        <v>60</v>
      </c>
      <c r="I5165" s="187">
        <v>3155.9929999999999</v>
      </c>
      <c r="J5165" s="41" t="s">
        <v>941</v>
      </c>
      <c r="K5165" s="41" t="s">
        <v>116</v>
      </c>
      <c r="L5165" s="195">
        <v>1761.0609999999999</v>
      </c>
      <c r="M5165" s="52" t="s">
        <v>941</v>
      </c>
      <c r="N5165" s="195" t="s">
        <v>117</v>
      </c>
    </row>
    <row r="5166" spans="1:14" x14ac:dyDescent="0.2">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220</v>
      </c>
      <c r="H5166" s="50" t="s">
        <v>60</v>
      </c>
      <c r="I5166" s="187">
        <v>2400.3649999999998</v>
      </c>
      <c r="J5166" s="41" t="s">
        <v>941</v>
      </c>
      <c r="K5166" s="41" t="s">
        <v>116</v>
      </c>
      <c r="L5166" s="195">
        <v>1004.558</v>
      </c>
      <c r="M5166" s="52" t="s">
        <v>941</v>
      </c>
      <c r="N5166" s="195" t="s">
        <v>117</v>
      </c>
    </row>
    <row r="5167" spans="1:14" x14ac:dyDescent="0.2">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221</v>
      </c>
      <c r="H5167" s="50" t="s">
        <v>60</v>
      </c>
      <c r="I5167" s="187">
        <v>1889.2</v>
      </c>
      <c r="J5167" s="41" t="s">
        <v>941</v>
      </c>
      <c r="K5167" s="41" t="s">
        <v>116</v>
      </c>
      <c r="L5167" s="195">
        <v>700.67409999999995</v>
      </c>
      <c r="M5167" s="52" t="s">
        <v>941</v>
      </c>
      <c r="N5167" s="195" t="s">
        <v>117</v>
      </c>
    </row>
    <row r="5168" spans="1:14" x14ac:dyDescent="0.2">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222</v>
      </c>
      <c r="H5168" s="50" t="s">
        <v>60</v>
      </c>
      <c r="I5168" s="187">
        <v>1297.154</v>
      </c>
      <c r="J5168" s="41" t="s">
        <v>941</v>
      </c>
      <c r="K5168" s="41" t="s">
        <v>116</v>
      </c>
      <c r="L5168" s="195">
        <v>527.23779999999999</v>
      </c>
      <c r="M5168" s="52" t="s">
        <v>941</v>
      </c>
      <c r="N5168" s="195" t="s">
        <v>117</v>
      </c>
    </row>
    <row r="5169" spans="1:16" x14ac:dyDescent="0.2">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224</v>
      </c>
      <c r="H5169" s="50" t="s">
        <v>60</v>
      </c>
      <c r="I5169" s="187">
        <v>913.06269999999995</v>
      </c>
      <c r="J5169" s="41" t="s">
        <v>941</v>
      </c>
      <c r="K5169" s="41" t="s">
        <v>116</v>
      </c>
      <c r="L5169" s="195">
        <v>438.58440000000002</v>
      </c>
      <c r="M5169" s="52" t="s">
        <v>941</v>
      </c>
      <c r="N5169" s="195" t="s">
        <v>117</v>
      </c>
    </row>
    <row r="5170" spans="1:16" x14ac:dyDescent="0.2">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226</v>
      </c>
      <c r="H5170" s="50" t="s">
        <v>60</v>
      </c>
      <c r="I5170" s="187">
        <v>626.46810000000005</v>
      </c>
      <c r="J5170" s="41" t="s">
        <v>941</v>
      </c>
      <c r="K5170" s="41" t="s">
        <v>116</v>
      </c>
      <c r="L5170" s="195">
        <v>293.04539999999997</v>
      </c>
      <c r="M5170" s="52" t="s">
        <v>941</v>
      </c>
      <c r="N5170" s="195" t="s">
        <v>117</v>
      </c>
    </row>
    <row r="5171" spans="1:16" x14ac:dyDescent="0.2">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228</v>
      </c>
      <c r="H5171" s="50" t="s">
        <v>60</v>
      </c>
      <c r="I5171" s="187">
        <v>419.03160000000003</v>
      </c>
      <c r="J5171" s="41" t="s">
        <v>941</v>
      </c>
      <c r="K5171" s="41" t="s">
        <v>116</v>
      </c>
      <c r="L5171" s="195">
        <v>228.25569999999999</v>
      </c>
      <c r="M5171" s="52" t="s">
        <v>941</v>
      </c>
      <c r="N5171" s="195" t="s">
        <v>117</v>
      </c>
    </row>
    <row r="5172" spans="1:16" x14ac:dyDescent="0.2">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234.06273999999999</v>
      </c>
      <c r="H5172" s="50" t="s">
        <v>60</v>
      </c>
      <c r="I5172" s="187">
        <v>221.95349999999999</v>
      </c>
      <c r="J5172" s="41" t="s">
        <v>941</v>
      </c>
      <c r="K5172" s="41" t="s">
        <v>116</v>
      </c>
      <c r="L5172" s="195">
        <v>135.8998</v>
      </c>
      <c r="M5172" s="52" t="s">
        <v>941</v>
      </c>
      <c r="N5172" s="195" t="s">
        <v>117</v>
      </c>
      <c r="P5172" s="42" t="s">
        <v>1507</v>
      </c>
    </row>
    <row r="5173" spans="1:16" x14ac:dyDescent="0.2">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240</v>
      </c>
      <c r="H5173" s="50" t="s">
        <v>60</v>
      </c>
      <c r="I5173" s="187">
        <v>133.63040000000001</v>
      </c>
      <c r="J5173" s="41" t="s">
        <v>941</v>
      </c>
      <c r="K5173" s="41" t="s">
        <v>116</v>
      </c>
      <c r="L5173" s="195">
        <v>107.063</v>
      </c>
      <c r="M5173" s="52" t="s">
        <v>941</v>
      </c>
      <c r="N5173" s="195" t="s">
        <v>117</v>
      </c>
    </row>
    <row r="5174" spans="1:16" x14ac:dyDescent="0.2">
      <c r="A5174" s="30">
        <v>586</v>
      </c>
      <c r="B5174" s="249" t="str">
        <f>IF(AND(A5174&lt;&gt;"",ISNUMBER(A5174)),VLOOKUP(A5174,Studies!A:BR,2,FALSE),"")</f>
        <v>ClinPharmReview, AI424-076, p. 178</v>
      </c>
      <c r="C5174" s="250" t="str">
        <f>IF(AND(A5174&lt;&gt;"",ISNUMBER(A5174)),VLOOKUP(A5174,Studies!A:BR,3,FALSE),"")</f>
        <v>https://www.accessdata.fda.gov/drugsatfda_docs/nda/2003/21-567_Reyataz_BioPharmr_P4.pdf</v>
      </c>
      <c r="D5174" s="250" t="str">
        <f>IF(AND(A5174&lt;&gt;"",ISNUMBER(A5174)),VLOOKUP(A5174,Studies!A:BR,4,FALSE),"")</f>
        <v>400 mg</v>
      </c>
      <c r="E5174" s="250" t="str">
        <f>IF(AND(A5174&lt;&gt;"",ISNUMBER(A5174)),VLOOKUP(A5174,Studies!A:BR,5,FALSE),"")</f>
        <v>Atazanavir</v>
      </c>
      <c r="F5174" s="251" t="str">
        <f>IF(AND(A5174&lt;&gt;"",ISNUMBER(A5174)),VLOOKUP(A5174,Studies!A:BR,6,FALSE),"")</f>
        <v>Plasma</v>
      </c>
      <c r="G5174" s="194">
        <v>120</v>
      </c>
      <c r="H5174" s="50" t="s">
        <v>60</v>
      </c>
      <c r="I5174" s="187">
        <v>369.26740000000001</v>
      </c>
      <c r="J5174" s="41" t="s">
        <v>941</v>
      </c>
      <c r="K5174" s="41" t="s">
        <v>116</v>
      </c>
      <c r="L5174" s="195">
        <v>275.92360000000002</v>
      </c>
      <c r="M5174" s="52" t="s">
        <v>941</v>
      </c>
      <c r="N5174" s="52" t="s">
        <v>117</v>
      </c>
    </row>
    <row r="5175" spans="1:16" x14ac:dyDescent="0.2">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121</v>
      </c>
      <c r="H5175" s="50" t="s">
        <v>60</v>
      </c>
      <c r="I5175" s="187">
        <v>1174.7249999999999</v>
      </c>
      <c r="J5175" s="41" t="s">
        <v>941</v>
      </c>
      <c r="K5175" s="41" t="s">
        <v>116</v>
      </c>
    </row>
    <row r="5176" spans="1:16" x14ac:dyDescent="0.2">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121.5</v>
      </c>
      <c r="H5176" s="50" t="s">
        <v>60</v>
      </c>
      <c r="I5176" s="187">
        <v>3039.2510000000002</v>
      </c>
      <c r="J5176" s="41" t="s">
        <v>941</v>
      </c>
      <c r="K5176" s="41" t="s">
        <v>116</v>
      </c>
      <c r="N5176" s="195"/>
    </row>
    <row r="5177" spans="1:16" x14ac:dyDescent="0.2">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122</v>
      </c>
      <c r="H5177" s="50" t="s">
        <v>60</v>
      </c>
      <c r="I5177" s="187">
        <v>5309.8090000000002</v>
      </c>
      <c r="J5177" s="41" t="s">
        <v>941</v>
      </c>
      <c r="K5177" s="41" t="s">
        <v>116</v>
      </c>
      <c r="L5177" s="195">
        <v>1781.0219999999999</v>
      </c>
      <c r="M5177" s="52" t="s">
        <v>941</v>
      </c>
      <c r="N5177" s="195" t="s">
        <v>117</v>
      </c>
    </row>
    <row r="5178" spans="1:16" x14ac:dyDescent="0.2">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123</v>
      </c>
      <c r="H5178" s="50" t="s">
        <v>60</v>
      </c>
      <c r="I5178" s="187">
        <v>4689.1899999999996</v>
      </c>
      <c r="J5178" s="41" t="s">
        <v>941</v>
      </c>
      <c r="K5178" s="41" t="s">
        <v>116</v>
      </c>
      <c r="L5178" s="195">
        <v>1445.491</v>
      </c>
      <c r="M5178" s="52" t="s">
        <v>941</v>
      </c>
      <c r="N5178" s="195" t="s">
        <v>117</v>
      </c>
    </row>
    <row r="5179" spans="1:16" x14ac:dyDescent="0.2">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124</v>
      </c>
      <c r="H5179" s="50" t="s">
        <v>60</v>
      </c>
      <c r="I5179" s="187">
        <v>3734.5169999999998</v>
      </c>
      <c r="J5179" s="41" t="s">
        <v>941</v>
      </c>
      <c r="K5179" s="41" t="s">
        <v>116</v>
      </c>
      <c r="L5179" s="195">
        <v>1464.1610000000001</v>
      </c>
      <c r="M5179" s="52" t="s">
        <v>941</v>
      </c>
      <c r="N5179" s="195" t="s">
        <v>117</v>
      </c>
    </row>
    <row r="5180" spans="1:16" x14ac:dyDescent="0.2">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125</v>
      </c>
      <c r="H5180" s="50" t="s">
        <v>60</v>
      </c>
      <c r="I5180" s="187">
        <v>2974.3249999999998</v>
      </c>
      <c r="J5180" s="41" t="s">
        <v>941</v>
      </c>
      <c r="K5180" s="41" t="s">
        <v>116</v>
      </c>
      <c r="L5180" s="195">
        <v>1340.5170000000001</v>
      </c>
      <c r="M5180" s="52" t="s">
        <v>941</v>
      </c>
      <c r="N5180" s="195" t="s">
        <v>117</v>
      </c>
    </row>
    <row r="5181" spans="1:16" x14ac:dyDescent="0.2">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126</v>
      </c>
      <c r="H5181" s="50" t="s">
        <v>60</v>
      </c>
      <c r="I5181" s="187">
        <v>2272.674</v>
      </c>
      <c r="J5181" s="41" t="s">
        <v>941</v>
      </c>
      <c r="K5181" s="41" t="s">
        <v>116</v>
      </c>
      <c r="L5181" s="195">
        <v>700.69410000000005</v>
      </c>
      <c r="M5181" s="52" t="s">
        <v>941</v>
      </c>
      <c r="N5181" s="195" t="s">
        <v>117</v>
      </c>
    </row>
    <row r="5182" spans="1:16" x14ac:dyDescent="0.2">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128</v>
      </c>
      <c r="H5182" s="50" t="s">
        <v>60</v>
      </c>
      <c r="I5182" s="187">
        <v>1598.3620000000001</v>
      </c>
      <c r="J5182" s="41" t="s">
        <v>941</v>
      </c>
      <c r="K5182" s="41" t="s">
        <v>116</v>
      </c>
      <c r="L5182" s="195">
        <v>673.12400000000002</v>
      </c>
      <c r="M5182" s="52" t="s">
        <v>941</v>
      </c>
      <c r="N5182" s="195" t="s">
        <v>117</v>
      </c>
    </row>
    <row r="5183" spans="1:16" x14ac:dyDescent="0.2">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130</v>
      </c>
      <c r="H5183" s="50" t="s">
        <v>60</v>
      </c>
      <c r="I5183" s="187">
        <v>1171.6110000000001</v>
      </c>
      <c r="J5183" s="41" t="s">
        <v>941</v>
      </c>
      <c r="K5183" s="41" t="s">
        <v>116</v>
      </c>
      <c r="L5183" s="195">
        <v>493.47230000000002</v>
      </c>
      <c r="M5183" s="52" t="s">
        <v>941</v>
      </c>
      <c r="N5183" s="195" t="s">
        <v>117</v>
      </c>
    </row>
    <row r="5184" spans="1:16" x14ac:dyDescent="0.2">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132</v>
      </c>
      <c r="H5184" s="50" t="s">
        <v>60</v>
      </c>
      <c r="I5184" s="187">
        <v>876.7704</v>
      </c>
      <c r="J5184" s="41" t="s">
        <v>941</v>
      </c>
      <c r="K5184" s="41" t="s">
        <v>116</v>
      </c>
      <c r="L5184" s="195">
        <v>421.61579999999998</v>
      </c>
      <c r="M5184" s="52" t="s">
        <v>941</v>
      </c>
      <c r="N5184" s="195" t="s">
        <v>117</v>
      </c>
    </row>
    <row r="5185" spans="1:14" x14ac:dyDescent="0.2">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136</v>
      </c>
      <c r="H5185" s="50" t="s">
        <v>60</v>
      </c>
      <c r="I5185" s="187">
        <v>579.22860000000003</v>
      </c>
      <c r="J5185" s="41" t="s">
        <v>941</v>
      </c>
      <c r="K5185" s="41" t="s">
        <v>116</v>
      </c>
      <c r="L5185" s="195">
        <v>352.4667</v>
      </c>
      <c r="M5185" s="52" t="s">
        <v>941</v>
      </c>
      <c r="N5185" s="195" t="s">
        <v>117</v>
      </c>
    </row>
    <row r="5186" spans="1:14" x14ac:dyDescent="0.2">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140</v>
      </c>
      <c r="H5186" s="50" t="s">
        <v>60</v>
      </c>
      <c r="I5186" s="187">
        <v>442.21339999999998</v>
      </c>
      <c r="J5186" s="41" t="s">
        <v>941</v>
      </c>
      <c r="K5186" s="41" t="s">
        <v>116</v>
      </c>
      <c r="L5186" s="195">
        <v>314.68509999999998</v>
      </c>
      <c r="M5186" s="52" t="s">
        <v>941</v>
      </c>
      <c r="N5186" s="195" t="s">
        <v>117</v>
      </c>
    </row>
    <row r="5187" spans="1:14" x14ac:dyDescent="0.2">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144</v>
      </c>
      <c r="H5187" s="50" t="s">
        <v>60</v>
      </c>
      <c r="I5187" s="187">
        <v>374.411</v>
      </c>
      <c r="J5187" s="41" t="s">
        <v>941</v>
      </c>
      <c r="K5187" s="41" t="s">
        <v>116</v>
      </c>
      <c r="L5187" s="195">
        <v>266.41019999999997</v>
      </c>
      <c r="M5187" s="52" t="s">
        <v>941</v>
      </c>
      <c r="N5187" s="195" t="s">
        <v>117</v>
      </c>
    </row>
    <row r="5188" spans="1:14" x14ac:dyDescent="0.2">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156</v>
      </c>
      <c r="H5188" s="50" t="s">
        <v>60</v>
      </c>
      <c r="I5188" s="187">
        <v>132.73580000000001</v>
      </c>
      <c r="J5188" s="41" t="s">
        <v>941</v>
      </c>
      <c r="K5188" s="41" t="s">
        <v>116</v>
      </c>
      <c r="L5188" s="195">
        <v>129.8246</v>
      </c>
      <c r="M5188" s="52" t="s">
        <v>941</v>
      </c>
      <c r="N5188" s="195" t="s">
        <v>117</v>
      </c>
    </row>
    <row r="5189" spans="1:14" x14ac:dyDescent="0.2">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168</v>
      </c>
      <c r="H5189" s="50" t="s">
        <v>60</v>
      </c>
      <c r="I5189" s="187">
        <v>45.153579999999998</v>
      </c>
      <c r="J5189" s="41" t="s">
        <v>941</v>
      </c>
      <c r="K5189" s="41" t="s">
        <v>116</v>
      </c>
      <c r="L5189" s="195">
        <v>64.67944</v>
      </c>
      <c r="M5189" s="52" t="s">
        <v>941</v>
      </c>
      <c r="N5189" s="195" t="s">
        <v>117</v>
      </c>
    </row>
    <row r="5190" spans="1:14" x14ac:dyDescent="0.2">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180</v>
      </c>
      <c r="H5190" s="50" t="s">
        <v>60</v>
      </c>
      <c r="I5190" s="187">
        <v>13.56922</v>
      </c>
      <c r="J5190" s="41" t="s">
        <v>941</v>
      </c>
      <c r="K5190" s="41" t="s">
        <v>116</v>
      </c>
      <c r="L5190" s="195">
        <v>23.027570000000001</v>
      </c>
      <c r="M5190" s="52" t="s">
        <v>941</v>
      </c>
      <c r="N5190" s="195" t="s">
        <v>117</v>
      </c>
    </row>
    <row r="5191" spans="1:14" x14ac:dyDescent="0.2">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192</v>
      </c>
      <c r="H5191" s="50" t="s">
        <v>60</v>
      </c>
      <c r="I5191" s="187">
        <v>4.429182</v>
      </c>
      <c r="J5191" s="41" t="s">
        <v>941</v>
      </c>
      <c r="K5191" s="41" t="s">
        <v>116</v>
      </c>
      <c r="L5191" s="195">
        <v>7.2716750000000001</v>
      </c>
      <c r="M5191" s="52" t="s">
        <v>941</v>
      </c>
      <c r="N5191" s="195" t="s">
        <v>117</v>
      </c>
    </row>
    <row r="5192" spans="1:14" x14ac:dyDescent="0.2">
      <c r="A5192" s="30">
        <v>587</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800 mg</v>
      </c>
      <c r="E5192" s="250" t="str">
        <f>IF(AND(A5192&lt;&gt;"",ISNUMBER(A5192)),VLOOKUP(A5192,Studies!A:BR,5,FALSE),"")</f>
        <v>Atazanavir</v>
      </c>
      <c r="F5192" s="251" t="str">
        <f>IF(AND(A5192&lt;&gt;"",ISNUMBER(A5192)),VLOOKUP(A5192,Studies!A:BR,6,FALSE),"")</f>
        <v>Plasma</v>
      </c>
      <c r="G5192" s="194">
        <v>120</v>
      </c>
      <c r="H5192" s="50" t="s">
        <v>60</v>
      </c>
      <c r="I5192" s="187">
        <v>1602.03</v>
      </c>
      <c r="J5192" s="41" t="s">
        <v>941</v>
      </c>
      <c r="K5192" s="41" t="s">
        <v>116</v>
      </c>
      <c r="L5192" s="195">
        <v>870.89750000000004</v>
      </c>
      <c r="M5192" s="52" t="s">
        <v>941</v>
      </c>
      <c r="N5192" s="52" t="s">
        <v>117</v>
      </c>
    </row>
    <row r="5193" spans="1:14" x14ac:dyDescent="0.2">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121</v>
      </c>
      <c r="H5193" s="50" t="s">
        <v>60</v>
      </c>
      <c r="I5193" s="187">
        <v>4059.6590000000001</v>
      </c>
      <c r="J5193" s="41" t="s">
        <v>941</v>
      </c>
      <c r="K5193" s="41" t="s">
        <v>116</v>
      </c>
    </row>
    <row r="5194" spans="1:14" x14ac:dyDescent="0.2">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121.5</v>
      </c>
      <c r="H5194" s="50" t="s">
        <v>60</v>
      </c>
      <c r="I5194" s="187">
        <v>7546.5559999999996</v>
      </c>
      <c r="J5194" s="41" t="s">
        <v>941</v>
      </c>
      <c r="K5194" s="41" t="s">
        <v>116</v>
      </c>
      <c r="N5194" s="195"/>
    </row>
    <row r="5195" spans="1:14" x14ac:dyDescent="0.2">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122</v>
      </c>
      <c r="H5195" s="50" t="s">
        <v>60</v>
      </c>
      <c r="I5195" s="187">
        <v>10501.89</v>
      </c>
      <c r="J5195" s="41" t="s">
        <v>941</v>
      </c>
      <c r="K5195" s="41" t="s">
        <v>116</v>
      </c>
      <c r="L5195" s="195">
        <v>3236.7669999999998</v>
      </c>
      <c r="M5195" s="52" t="s">
        <v>941</v>
      </c>
      <c r="N5195" s="195" t="s">
        <v>117</v>
      </c>
    </row>
    <row r="5196" spans="1:14" x14ac:dyDescent="0.2">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124</v>
      </c>
      <c r="H5196" s="50" t="s">
        <v>60</v>
      </c>
      <c r="I5196" s="187">
        <v>8715.7489999999998</v>
      </c>
      <c r="J5196" s="41" t="s">
        <v>941</v>
      </c>
      <c r="K5196" s="41" t="s">
        <v>116</v>
      </c>
      <c r="L5196" s="195">
        <v>2685.8020000000001</v>
      </c>
      <c r="M5196" s="52" t="s">
        <v>941</v>
      </c>
      <c r="N5196" s="195" t="s">
        <v>117</v>
      </c>
    </row>
    <row r="5197" spans="1:14" x14ac:dyDescent="0.2">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125</v>
      </c>
      <c r="H5197" s="50" t="s">
        <v>60</v>
      </c>
      <c r="I5197" s="187">
        <v>6523.1809999999996</v>
      </c>
      <c r="J5197" s="41" t="s">
        <v>941</v>
      </c>
      <c r="K5197" s="41" t="s">
        <v>116</v>
      </c>
      <c r="L5197" s="195">
        <v>2189.0630000000001</v>
      </c>
      <c r="M5197" s="52" t="s">
        <v>941</v>
      </c>
      <c r="N5197" s="195" t="s">
        <v>117</v>
      </c>
    </row>
    <row r="5198" spans="1:14" x14ac:dyDescent="0.2">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126</v>
      </c>
      <c r="H5198" s="50" t="s">
        <v>60</v>
      </c>
      <c r="I5198" s="187">
        <v>5414.6</v>
      </c>
      <c r="J5198" s="41" t="s">
        <v>941</v>
      </c>
      <c r="K5198" s="41" t="s">
        <v>116</v>
      </c>
      <c r="L5198" s="195">
        <v>1669.106</v>
      </c>
      <c r="M5198" s="52" t="s">
        <v>941</v>
      </c>
      <c r="N5198" s="195" t="s">
        <v>117</v>
      </c>
    </row>
    <row r="5199" spans="1:14" x14ac:dyDescent="0.2">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128</v>
      </c>
      <c r="H5199" s="50" t="s">
        <v>60</v>
      </c>
      <c r="I5199" s="187">
        <v>4051.9940000000001</v>
      </c>
      <c r="J5199" s="41" t="s">
        <v>941</v>
      </c>
      <c r="K5199" s="41" t="s">
        <v>116</v>
      </c>
      <c r="L5199" s="195">
        <v>1588.1769999999999</v>
      </c>
      <c r="M5199" s="52" t="s">
        <v>941</v>
      </c>
      <c r="N5199" s="195" t="s">
        <v>117</v>
      </c>
    </row>
    <row r="5200" spans="1:14" x14ac:dyDescent="0.2">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130</v>
      </c>
      <c r="H5200" s="50" t="s">
        <v>60</v>
      </c>
      <c r="I5200" s="187">
        <v>3362.2959999999998</v>
      </c>
      <c r="J5200" s="41" t="s">
        <v>941</v>
      </c>
      <c r="K5200" s="41" t="s">
        <v>116</v>
      </c>
      <c r="L5200" s="195">
        <v>1221.742</v>
      </c>
      <c r="M5200" s="52" t="s">
        <v>941</v>
      </c>
      <c r="N5200" s="195" t="s">
        <v>117</v>
      </c>
    </row>
    <row r="5201" spans="1:14" x14ac:dyDescent="0.2">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132</v>
      </c>
      <c r="H5201" s="50" t="s">
        <v>60</v>
      </c>
      <c r="I5201" s="187">
        <v>2848.0309999999999</v>
      </c>
      <c r="J5201" s="41" t="s">
        <v>941</v>
      </c>
      <c r="K5201" s="41" t="s">
        <v>116</v>
      </c>
      <c r="L5201" s="195">
        <v>1198.752</v>
      </c>
      <c r="M5201" s="52" t="s">
        <v>941</v>
      </c>
      <c r="N5201" s="195" t="s">
        <v>117</v>
      </c>
    </row>
    <row r="5202" spans="1:14" x14ac:dyDescent="0.2">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136</v>
      </c>
      <c r="H5202" s="50" t="s">
        <v>60</v>
      </c>
      <c r="I5202" s="187">
        <v>2086.2860000000001</v>
      </c>
      <c r="J5202" s="41" t="s">
        <v>941</v>
      </c>
      <c r="K5202" s="41" t="s">
        <v>116</v>
      </c>
      <c r="L5202" s="195">
        <v>1068.143</v>
      </c>
      <c r="M5202" s="52" t="s">
        <v>941</v>
      </c>
      <c r="N5202" s="195" t="s">
        <v>117</v>
      </c>
    </row>
    <row r="5203" spans="1:14" x14ac:dyDescent="0.2">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140</v>
      </c>
      <c r="H5203" s="50" t="s">
        <v>60</v>
      </c>
      <c r="I5203" s="187">
        <v>1766.335</v>
      </c>
      <c r="J5203" s="41" t="s">
        <v>941</v>
      </c>
      <c r="K5203" s="41" t="s">
        <v>116</v>
      </c>
      <c r="L5203" s="195">
        <v>1016.824</v>
      </c>
      <c r="M5203" s="52" t="s">
        <v>941</v>
      </c>
      <c r="N5203" s="195" t="s">
        <v>117</v>
      </c>
    </row>
    <row r="5204" spans="1:14" x14ac:dyDescent="0.2">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144</v>
      </c>
      <c r="H5204" s="50" t="s">
        <v>60</v>
      </c>
      <c r="I5204" s="187">
        <v>1591.0509999999999</v>
      </c>
      <c r="J5204" s="41" t="s">
        <v>941</v>
      </c>
      <c r="K5204" s="41" t="s">
        <v>116</v>
      </c>
      <c r="L5204" s="195">
        <v>864.93020000000001</v>
      </c>
      <c r="M5204" s="52" t="s">
        <v>941</v>
      </c>
      <c r="N5204" s="195" t="s">
        <v>117</v>
      </c>
    </row>
    <row r="5205" spans="1:14" x14ac:dyDescent="0.2">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156</v>
      </c>
      <c r="H5205" s="50" t="s">
        <v>60</v>
      </c>
      <c r="I5205" s="187">
        <v>508.71710000000002</v>
      </c>
      <c r="J5205" s="41" t="s">
        <v>941</v>
      </c>
      <c r="K5205" s="41" t="s">
        <v>116</v>
      </c>
      <c r="L5205" s="195">
        <v>344.16329999999999</v>
      </c>
      <c r="M5205" s="52" t="s">
        <v>941</v>
      </c>
      <c r="N5205" s="195" t="s">
        <v>117</v>
      </c>
    </row>
    <row r="5206" spans="1:14" x14ac:dyDescent="0.2">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168</v>
      </c>
      <c r="H5206" s="50" t="s">
        <v>60</v>
      </c>
      <c r="I5206" s="187">
        <v>235.96360000000001</v>
      </c>
      <c r="J5206" s="41" t="s">
        <v>941</v>
      </c>
      <c r="K5206" s="41" t="s">
        <v>116</v>
      </c>
      <c r="L5206" s="195">
        <v>260.62639999999999</v>
      </c>
      <c r="M5206" s="52" t="s">
        <v>941</v>
      </c>
      <c r="N5206" s="195" t="s">
        <v>117</v>
      </c>
    </row>
    <row r="5207" spans="1:14" x14ac:dyDescent="0.2">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180</v>
      </c>
      <c r="H5207" s="50" t="s">
        <v>60</v>
      </c>
      <c r="I5207" s="187">
        <v>87.187629999999999</v>
      </c>
      <c r="J5207" s="41" t="s">
        <v>941</v>
      </c>
      <c r="K5207" s="41" t="s">
        <v>116</v>
      </c>
      <c r="L5207" s="195">
        <v>120.52679999999999</v>
      </c>
      <c r="M5207" s="52" t="s">
        <v>941</v>
      </c>
      <c r="N5207" s="195" t="s">
        <v>117</v>
      </c>
    </row>
    <row r="5208" spans="1:14" x14ac:dyDescent="0.2">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192</v>
      </c>
      <c r="H5208" s="50" t="s">
        <v>60</v>
      </c>
      <c r="I5208" s="187">
        <v>26.748169999999998</v>
      </c>
      <c r="J5208" s="41" t="s">
        <v>941</v>
      </c>
      <c r="K5208" s="41" t="s">
        <v>116</v>
      </c>
      <c r="L5208" s="195">
        <v>41.058160000000001</v>
      </c>
      <c r="M5208" s="52" t="s">
        <v>941</v>
      </c>
      <c r="N5208" s="52" t="s">
        <v>117</v>
      </c>
    </row>
    <row r="5209" spans="1:14" x14ac:dyDescent="0.2">
      <c r="A5209" s="30">
        <v>588</v>
      </c>
      <c r="B5209" s="249" t="str">
        <f>IF(AND(A5209&lt;&gt;"",ISNUMBER(A5209)),VLOOKUP(A5209,Studies!A:BR,2,FALSE),"")</f>
        <v>Hamaguchi 1987</v>
      </c>
      <c r="C5209" s="250" t="str">
        <f>IF(AND(A5209&lt;&gt;"",ISNUMBER(A5209)),VLOOKUP(A5209,Studies!A:BR,3,FALSE),"")</f>
        <v>https://www.ncbi.nlm.nih.gov/pubmed/3783459</v>
      </c>
      <c r="D5209" s="250" t="str">
        <f>IF(AND(A5209&lt;&gt;"",ISNUMBER(A5209)),VLOOKUP(A5209,Studies!A:BR,4,FALSE),"")</f>
        <v>Treatment 1 - fasted with 50 mL of water</v>
      </c>
      <c r="E5209" s="250" t="str">
        <f>IF(AND(A5209&lt;&gt;"",ISNUMBER(A5209)),VLOOKUP(A5209,Studies!A:BR,5,FALSE),"")</f>
        <v>Mefenamic acid</v>
      </c>
      <c r="F5209" s="251" t="str">
        <f>IF(AND(A5209&lt;&gt;"",ISNUMBER(A5209)),VLOOKUP(A5209,Studies!A:BR,6,FALSE),"")</f>
        <v>Plasma</v>
      </c>
      <c r="G5209" s="194">
        <v>0.5</v>
      </c>
      <c r="H5209" s="50" t="s">
        <v>60</v>
      </c>
      <c r="I5209" s="187">
        <v>0.05</v>
      </c>
      <c r="J5209" s="41" t="s">
        <v>959</v>
      </c>
      <c r="K5209" s="41" t="s">
        <v>116</v>
      </c>
      <c r="L5209" s="195">
        <v>7.0000000000000007E-2</v>
      </c>
      <c r="M5209" s="52" t="s">
        <v>959</v>
      </c>
    </row>
    <row r="5210" spans="1:14" x14ac:dyDescent="0.2">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1</v>
      </c>
      <c r="H5210" s="50" t="s">
        <v>60</v>
      </c>
      <c r="I5210" s="187">
        <v>0.44</v>
      </c>
      <c r="J5210" s="41" t="s">
        <v>959</v>
      </c>
      <c r="K5210" s="41" t="s">
        <v>116</v>
      </c>
      <c r="L5210" s="195">
        <v>0.28999999999999998</v>
      </c>
      <c r="M5210" s="52" t="s">
        <v>959</v>
      </c>
    </row>
    <row r="5211" spans="1:14" x14ac:dyDescent="0.2">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2</v>
      </c>
      <c r="H5211" s="50" t="s">
        <v>60</v>
      </c>
      <c r="I5211" s="187">
        <v>2.2799999999999998</v>
      </c>
      <c r="J5211" s="41" t="s">
        <v>959</v>
      </c>
      <c r="K5211" s="41" t="s">
        <v>116</v>
      </c>
      <c r="L5211" s="195">
        <v>1.78</v>
      </c>
      <c r="M5211" s="52" t="s">
        <v>959</v>
      </c>
    </row>
    <row r="5212" spans="1:14" x14ac:dyDescent="0.2">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3</v>
      </c>
      <c r="H5212" s="50" t="s">
        <v>60</v>
      </c>
      <c r="I5212" s="187">
        <v>2.68</v>
      </c>
      <c r="J5212" s="41" t="s">
        <v>959</v>
      </c>
      <c r="K5212" s="41" t="s">
        <v>116</v>
      </c>
      <c r="L5212" s="195">
        <v>1.03</v>
      </c>
      <c r="M5212" s="52" t="s">
        <v>959</v>
      </c>
    </row>
    <row r="5213" spans="1:14" x14ac:dyDescent="0.2">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5</v>
      </c>
      <c r="H5213" s="50" t="s">
        <v>60</v>
      </c>
      <c r="I5213" s="187">
        <v>1.17</v>
      </c>
      <c r="J5213" s="41" t="s">
        <v>959</v>
      </c>
      <c r="K5213" s="41" t="s">
        <v>116</v>
      </c>
      <c r="L5213" s="195">
        <v>0.42</v>
      </c>
      <c r="M5213" s="52" t="s">
        <v>959</v>
      </c>
    </row>
    <row r="5214" spans="1:14" x14ac:dyDescent="0.2">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7</v>
      </c>
      <c r="H5214" s="50" t="s">
        <v>60</v>
      </c>
      <c r="I5214" s="187">
        <v>0.3</v>
      </c>
      <c r="J5214" s="41" t="s">
        <v>959</v>
      </c>
      <c r="K5214" s="41" t="s">
        <v>116</v>
      </c>
      <c r="L5214" s="195">
        <v>0.06</v>
      </c>
      <c r="M5214" s="52" t="s">
        <v>959</v>
      </c>
    </row>
    <row r="5215" spans="1:14" x14ac:dyDescent="0.2">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9</v>
      </c>
      <c r="H5215" s="50" t="s">
        <v>60</v>
      </c>
      <c r="I5215" s="187">
        <v>0.12</v>
      </c>
      <c r="J5215" s="41" t="s">
        <v>959</v>
      </c>
      <c r="K5215" s="41" t="s">
        <v>116</v>
      </c>
      <c r="L5215" s="195">
        <v>0.05</v>
      </c>
      <c r="M5215" s="52" t="s">
        <v>959</v>
      </c>
    </row>
    <row r="5216" spans="1:14" x14ac:dyDescent="0.2">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24</v>
      </c>
      <c r="H5216" s="50" t="s">
        <v>60</v>
      </c>
      <c r="I5216" s="187">
        <v>0.01</v>
      </c>
      <c r="J5216" s="41" t="s">
        <v>959</v>
      </c>
      <c r="K5216" s="41" t="s">
        <v>116</v>
      </c>
      <c r="L5216" s="195">
        <v>0.02</v>
      </c>
      <c r="M5216" s="52" t="s">
        <v>959</v>
      </c>
    </row>
    <row r="5217" spans="1:13" x14ac:dyDescent="0.2">
      <c r="A5217" s="30">
        <v>589</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2 - fasted with 200 mL of water</v>
      </c>
      <c r="E5217" s="250" t="str">
        <f>IF(AND(A5217&lt;&gt;"",ISNUMBER(A5217)),VLOOKUP(A5217,Studies!A:BR,5,FALSE),"")</f>
        <v>Mefenamic acid</v>
      </c>
      <c r="F5217" s="251" t="str">
        <f>IF(AND(A5217&lt;&gt;"",ISNUMBER(A5217)),VLOOKUP(A5217,Studies!A:BR,6,FALSE),"")</f>
        <v>Plasma</v>
      </c>
      <c r="G5217" s="194">
        <v>0.5</v>
      </c>
      <c r="H5217" s="50" t="s">
        <v>60</v>
      </c>
      <c r="I5217" s="187">
        <v>1.51</v>
      </c>
      <c r="J5217" s="41" t="s">
        <v>959</v>
      </c>
      <c r="K5217" s="41" t="s">
        <v>116</v>
      </c>
      <c r="L5217" s="195">
        <v>0.91</v>
      </c>
      <c r="M5217" s="52" t="s">
        <v>959</v>
      </c>
    </row>
    <row r="5218" spans="1:13" x14ac:dyDescent="0.2">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1</v>
      </c>
      <c r="H5218" s="50" t="s">
        <v>60</v>
      </c>
      <c r="I5218" s="187">
        <v>2.13</v>
      </c>
      <c r="J5218" s="41" t="s">
        <v>959</v>
      </c>
      <c r="K5218" s="41" t="s">
        <v>116</v>
      </c>
      <c r="L5218" s="195">
        <v>1.1399999999999999</v>
      </c>
      <c r="M5218" s="52" t="s">
        <v>959</v>
      </c>
    </row>
    <row r="5219" spans="1:13" x14ac:dyDescent="0.2">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2</v>
      </c>
      <c r="H5219" s="50" t="s">
        <v>60</v>
      </c>
      <c r="I5219" s="187">
        <v>2.13</v>
      </c>
      <c r="J5219" s="41" t="s">
        <v>959</v>
      </c>
      <c r="K5219" s="41" t="s">
        <v>116</v>
      </c>
      <c r="L5219" s="195">
        <v>0.82</v>
      </c>
      <c r="M5219" s="52" t="s">
        <v>959</v>
      </c>
    </row>
    <row r="5220" spans="1:13" x14ac:dyDescent="0.2">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3</v>
      </c>
      <c r="H5220" s="50" t="s">
        <v>60</v>
      </c>
      <c r="I5220" s="187">
        <v>1.39</v>
      </c>
      <c r="J5220" s="41" t="s">
        <v>959</v>
      </c>
      <c r="K5220" s="41" t="s">
        <v>116</v>
      </c>
      <c r="L5220" s="195">
        <v>0.33</v>
      </c>
      <c r="M5220" s="52" t="s">
        <v>959</v>
      </c>
    </row>
    <row r="5221" spans="1:13" x14ac:dyDescent="0.2">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5</v>
      </c>
      <c r="H5221" s="50" t="s">
        <v>60</v>
      </c>
      <c r="I5221" s="187">
        <v>0.7</v>
      </c>
      <c r="J5221" s="41" t="s">
        <v>959</v>
      </c>
      <c r="K5221" s="41" t="s">
        <v>116</v>
      </c>
      <c r="L5221" s="195">
        <v>0.13</v>
      </c>
      <c r="M5221" s="52" t="s">
        <v>959</v>
      </c>
    </row>
    <row r="5222" spans="1:13" x14ac:dyDescent="0.2">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7</v>
      </c>
      <c r="H5222" s="50" t="s">
        <v>60</v>
      </c>
      <c r="I5222" s="187">
        <v>0.17</v>
      </c>
      <c r="J5222" s="41" t="s">
        <v>959</v>
      </c>
      <c r="K5222" s="41" t="s">
        <v>116</v>
      </c>
      <c r="L5222" s="195">
        <v>0.06</v>
      </c>
      <c r="M5222" s="52" t="s">
        <v>959</v>
      </c>
    </row>
    <row r="5223" spans="1:13" x14ac:dyDescent="0.2">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9</v>
      </c>
      <c r="H5223" s="50" t="s">
        <v>60</v>
      </c>
      <c r="I5223" s="187">
        <v>0.08</v>
      </c>
      <c r="J5223" s="41" t="s">
        <v>959</v>
      </c>
      <c r="K5223" s="41" t="s">
        <v>116</v>
      </c>
      <c r="L5223" s="195">
        <v>0.02</v>
      </c>
      <c r="M5223" s="52" t="s">
        <v>959</v>
      </c>
    </row>
    <row r="5224" spans="1:13" x14ac:dyDescent="0.2">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24</v>
      </c>
      <c r="H5224" s="50" t="s">
        <v>60</v>
      </c>
      <c r="I5224" s="187">
        <v>0.03</v>
      </c>
      <c r="J5224" s="41" t="s">
        <v>959</v>
      </c>
      <c r="K5224" s="41" t="s">
        <v>116</v>
      </c>
      <c r="L5224" s="195">
        <v>0.03</v>
      </c>
      <c r="M5224" s="52" t="s">
        <v>959</v>
      </c>
    </row>
    <row r="5225" spans="1:13" x14ac:dyDescent="0.2">
      <c r="A5225" s="30">
        <v>590</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3 - fasted with 500 mL of water</v>
      </c>
      <c r="E5225" s="250" t="str">
        <f>IF(AND(A5225&lt;&gt;"",ISNUMBER(A5225)),VLOOKUP(A5225,Studies!A:BR,5,FALSE),"")</f>
        <v>Mefenamic acid</v>
      </c>
      <c r="F5225" s="251" t="str">
        <f>IF(AND(A5225&lt;&gt;"",ISNUMBER(A5225)),VLOOKUP(A5225,Studies!A:BR,6,FALSE),"")</f>
        <v>Plasma</v>
      </c>
      <c r="G5225" s="194">
        <v>0.5</v>
      </c>
      <c r="H5225" s="50" t="s">
        <v>60</v>
      </c>
      <c r="I5225" s="187">
        <v>0.01</v>
      </c>
      <c r="J5225" s="41" t="s">
        <v>959</v>
      </c>
      <c r="K5225" s="41" t="s">
        <v>116</v>
      </c>
      <c r="L5225" s="195">
        <v>0.02</v>
      </c>
      <c r="M5225" s="52" t="s">
        <v>959</v>
      </c>
    </row>
    <row r="5226" spans="1:13" x14ac:dyDescent="0.2">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1</v>
      </c>
      <c r="H5226" s="50" t="s">
        <v>60</v>
      </c>
      <c r="I5226" s="187">
        <v>1.06</v>
      </c>
      <c r="J5226" s="41" t="s">
        <v>959</v>
      </c>
      <c r="K5226" s="41" t="s">
        <v>116</v>
      </c>
      <c r="L5226" s="195">
        <v>0.53</v>
      </c>
      <c r="M5226" s="52" t="s">
        <v>959</v>
      </c>
    </row>
    <row r="5227" spans="1:13" x14ac:dyDescent="0.2">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2</v>
      </c>
      <c r="H5227" s="50" t="s">
        <v>60</v>
      </c>
      <c r="I5227" s="187">
        <v>1.08</v>
      </c>
      <c r="J5227" s="41" t="s">
        <v>959</v>
      </c>
      <c r="K5227" s="41" t="s">
        <v>116</v>
      </c>
      <c r="L5227" s="195">
        <v>0.39</v>
      </c>
      <c r="M5227" s="52" t="s">
        <v>959</v>
      </c>
    </row>
    <row r="5228" spans="1:13" x14ac:dyDescent="0.2">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3</v>
      </c>
      <c r="H5228" s="50" t="s">
        <v>60</v>
      </c>
      <c r="I5228" s="187">
        <v>0.64</v>
      </c>
      <c r="J5228" s="41" t="s">
        <v>959</v>
      </c>
      <c r="K5228" s="41" t="s">
        <v>116</v>
      </c>
      <c r="L5228" s="195">
        <v>0.12</v>
      </c>
      <c r="M5228" s="52" t="s">
        <v>959</v>
      </c>
    </row>
    <row r="5229" spans="1:13" x14ac:dyDescent="0.2">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5</v>
      </c>
      <c r="H5229" s="50" t="s">
        <v>60</v>
      </c>
      <c r="I5229" s="187">
        <v>0.42</v>
      </c>
      <c r="J5229" s="41" t="s">
        <v>959</v>
      </c>
      <c r="K5229" s="41" t="s">
        <v>116</v>
      </c>
      <c r="L5229" s="195">
        <v>0.23</v>
      </c>
      <c r="M5229" s="52" t="s">
        <v>959</v>
      </c>
    </row>
    <row r="5230" spans="1:13" x14ac:dyDescent="0.2">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7</v>
      </c>
      <c r="H5230" s="50" t="s">
        <v>60</v>
      </c>
      <c r="I5230" s="187">
        <v>0.16</v>
      </c>
      <c r="J5230" s="41" t="s">
        <v>959</v>
      </c>
      <c r="K5230" s="41" t="s">
        <v>116</v>
      </c>
      <c r="L5230" s="195">
        <v>0.08</v>
      </c>
      <c r="M5230" s="52" t="s">
        <v>959</v>
      </c>
    </row>
    <row r="5231" spans="1:13" x14ac:dyDescent="0.2">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9</v>
      </c>
      <c r="H5231" s="50" t="s">
        <v>60</v>
      </c>
      <c r="I5231" s="187">
        <v>0.12</v>
      </c>
      <c r="J5231" s="41" t="s">
        <v>959</v>
      </c>
      <c r="K5231" s="41" t="s">
        <v>116</v>
      </c>
      <c r="L5231" s="195">
        <v>7.0000000000000007E-2</v>
      </c>
      <c r="M5231" s="52" t="s">
        <v>959</v>
      </c>
    </row>
    <row r="5232" spans="1:13" x14ac:dyDescent="0.2">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24</v>
      </c>
      <c r="H5232" s="50" t="s">
        <v>60</v>
      </c>
      <c r="I5232" s="187">
        <v>0.04</v>
      </c>
      <c r="J5232" s="41" t="s">
        <v>959</v>
      </c>
      <c r="K5232" s="41" t="s">
        <v>116</v>
      </c>
      <c r="L5232" s="195">
        <v>0.04</v>
      </c>
      <c r="M5232" s="52" t="s">
        <v>959</v>
      </c>
    </row>
    <row r="5233" spans="1:17" x14ac:dyDescent="0.2">
      <c r="A5233" s="30">
        <v>591</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4 - fed with 50 mL of water</v>
      </c>
      <c r="E5233" s="250" t="str">
        <f>IF(AND(A5233&lt;&gt;"",ISNUMBER(A5233)),VLOOKUP(A5233,Studies!A:BR,5,FALSE),"")</f>
        <v>Mefenamic acid</v>
      </c>
      <c r="F5233" s="251" t="str">
        <f>IF(AND(A5233&lt;&gt;"",ISNUMBER(A5233)),VLOOKUP(A5233,Studies!A:BR,6,FALSE),"")</f>
        <v>Plasma</v>
      </c>
      <c r="G5233" s="194">
        <v>0.5</v>
      </c>
      <c r="H5233" s="50" t="s">
        <v>60</v>
      </c>
      <c r="I5233" s="187">
        <v>7.0000000000000007E-2</v>
      </c>
      <c r="J5233" s="41" t="s">
        <v>959</v>
      </c>
      <c r="K5233" s="41" t="s">
        <v>116</v>
      </c>
      <c r="L5233" s="195">
        <v>0.02</v>
      </c>
      <c r="M5233" s="52" t="s">
        <v>959</v>
      </c>
    </row>
    <row r="5234" spans="1:17" x14ac:dyDescent="0.2">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1</v>
      </c>
      <c r="H5234" s="50" t="s">
        <v>60</v>
      </c>
      <c r="I5234" s="187">
        <v>1.01</v>
      </c>
      <c r="J5234" s="41" t="s">
        <v>959</v>
      </c>
      <c r="K5234" s="41" t="s">
        <v>116</v>
      </c>
      <c r="L5234" s="195">
        <v>0.8</v>
      </c>
      <c r="M5234" s="52" t="s">
        <v>959</v>
      </c>
    </row>
    <row r="5235" spans="1:17" x14ac:dyDescent="0.2">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2</v>
      </c>
      <c r="H5235" s="50" t="s">
        <v>60</v>
      </c>
      <c r="I5235" s="187">
        <v>2.86</v>
      </c>
      <c r="J5235" s="41" t="s">
        <v>959</v>
      </c>
      <c r="K5235" s="41" t="s">
        <v>116</v>
      </c>
      <c r="L5235" s="195">
        <v>1.76</v>
      </c>
      <c r="M5235" s="52" t="s">
        <v>959</v>
      </c>
    </row>
    <row r="5236" spans="1:17" x14ac:dyDescent="0.2">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3</v>
      </c>
      <c r="H5236" s="50" t="s">
        <v>60</v>
      </c>
      <c r="I5236" s="187">
        <v>2.25</v>
      </c>
      <c r="J5236" s="41" t="s">
        <v>959</v>
      </c>
      <c r="K5236" s="41" t="s">
        <v>116</v>
      </c>
      <c r="L5236" s="195">
        <v>1.26</v>
      </c>
      <c r="M5236" s="52" t="s">
        <v>959</v>
      </c>
    </row>
    <row r="5237" spans="1:17" x14ac:dyDescent="0.2">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5</v>
      </c>
      <c r="H5237" s="50" t="s">
        <v>60</v>
      </c>
      <c r="I5237" s="187">
        <v>0.71</v>
      </c>
      <c r="J5237" s="41" t="s">
        <v>959</v>
      </c>
      <c r="K5237" s="41" t="s">
        <v>116</v>
      </c>
      <c r="L5237" s="195">
        <v>0.36</v>
      </c>
      <c r="M5237" s="52" t="s">
        <v>959</v>
      </c>
    </row>
    <row r="5238" spans="1:17" x14ac:dyDescent="0.2">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7</v>
      </c>
      <c r="H5238" s="50" t="s">
        <v>60</v>
      </c>
      <c r="I5238" s="187">
        <v>0.24</v>
      </c>
      <c r="J5238" s="41" t="s">
        <v>959</v>
      </c>
      <c r="K5238" s="41" t="s">
        <v>116</v>
      </c>
      <c r="L5238" s="195">
        <v>0.11</v>
      </c>
      <c r="M5238" s="52" t="s">
        <v>959</v>
      </c>
    </row>
    <row r="5239" spans="1:17" x14ac:dyDescent="0.2">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9</v>
      </c>
      <c r="H5239" s="50" t="s">
        <v>60</v>
      </c>
      <c r="I5239" s="187">
        <v>16</v>
      </c>
      <c r="J5239" s="41" t="s">
        <v>959</v>
      </c>
      <c r="K5239" s="41" t="s">
        <v>116</v>
      </c>
      <c r="L5239" s="195">
        <v>0.08</v>
      </c>
      <c r="M5239" s="52" t="s">
        <v>959</v>
      </c>
    </row>
    <row r="5240" spans="1:17" x14ac:dyDescent="0.2">
      <c r="A5240" s="183">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24</v>
      </c>
      <c r="H5240" s="194" t="s">
        <v>60</v>
      </c>
      <c r="I5240" s="187">
        <v>0.03</v>
      </c>
      <c r="J5240" s="187" t="s">
        <v>959</v>
      </c>
      <c r="K5240" s="187" t="s">
        <v>116</v>
      </c>
      <c r="L5240" s="195">
        <v>0.02</v>
      </c>
      <c r="M5240" s="195" t="s">
        <v>959</v>
      </c>
      <c r="N5240" s="195"/>
      <c r="O5240" s="199"/>
      <c r="P5240" s="188"/>
      <c r="Q5240" s="183"/>
    </row>
    <row r="5241" spans="1:17" x14ac:dyDescent="0.2">
      <c r="A5241" s="183">
        <v>592</v>
      </c>
      <c r="B5241" s="249" t="str">
        <f>IF(AND(A5241&lt;&gt;"",ISNUMBER(A5241)),VLOOKUP(A5241,Studies!A:BR,2,FALSE),"")</f>
        <v>Austin 1980</v>
      </c>
      <c r="C5241" s="250" t="str">
        <f>IF(AND(A5241&lt;&gt;"",ISNUMBER(A5241)),VLOOKUP(A5241,Studies!A:BR,3,FALSE),"")</f>
        <v>https://www.ncbi.nlm.nih.gov/pubmed/7437245</v>
      </c>
      <c r="D5241" s="250" t="str">
        <f>IF(AND(A5241&lt;&gt;"",ISNUMBER(A5241)),VLOOKUP(A5241,Studies!A:BR,4,FALSE),"")</f>
        <v>250 mg over 3 min (Regimen 1)</v>
      </c>
      <c r="E5241" s="250" t="str">
        <f>IF(AND(A5241&lt;&gt;"",ISNUMBER(A5241)),VLOOKUP(A5241,Studies!A:BR,5,FALSE),"")</f>
        <v>Erythromycin</v>
      </c>
      <c r="F5241" s="251" t="str">
        <f>IF(AND(A5241&lt;&gt;"",ISNUMBER(A5241)),VLOOKUP(A5241,Studies!A:BR,6,FALSE),"")</f>
        <v>Serum</v>
      </c>
      <c r="G5241" s="194">
        <v>0.13333333333333333</v>
      </c>
      <c r="H5241" s="194" t="s">
        <v>60</v>
      </c>
      <c r="I5241" s="187">
        <v>11.0899240924468</v>
      </c>
      <c r="J5241" s="187" t="s">
        <v>962</v>
      </c>
      <c r="K5241" s="187" t="s">
        <v>116</v>
      </c>
      <c r="L5241" s="195">
        <v>5.7580555580433987</v>
      </c>
      <c r="M5241" s="195" t="s">
        <v>962</v>
      </c>
      <c r="N5241" s="195" t="s">
        <v>117</v>
      </c>
      <c r="O5241" s="199"/>
      <c r="P5241" s="188"/>
      <c r="Q5241" s="183"/>
    </row>
    <row r="5242" spans="1:17" x14ac:dyDescent="0.2">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0.25</v>
      </c>
      <c r="H5242" s="194" t="s">
        <v>60</v>
      </c>
      <c r="I5242" s="187">
        <v>6.0040957573492202</v>
      </c>
      <c r="J5242" s="187" t="s">
        <v>962</v>
      </c>
      <c r="K5242" s="187" t="s">
        <v>116</v>
      </c>
      <c r="L5242" s="195">
        <v>2.3853675075020595</v>
      </c>
      <c r="M5242" s="195" t="s">
        <v>962</v>
      </c>
      <c r="N5242" s="195" t="s">
        <v>117</v>
      </c>
      <c r="O5242" s="199"/>
      <c r="P5242" s="188"/>
      <c r="Q5242" s="183"/>
    </row>
    <row r="5243" spans="1:17" x14ac:dyDescent="0.2">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0.5</v>
      </c>
      <c r="H5243" s="194" t="s">
        <v>60</v>
      </c>
      <c r="I5243" s="187">
        <v>3.8957293992088502</v>
      </c>
      <c r="J5243" s="187" t="s">
        <v>962</v>
      </c>
      <c r="K5243" s="187" t="s">
        <v>116</v>
      </c>
      <c r="L5243" s="195">
        <v>1.2525184732856296</v>
      </c>
      <c r="M5243" s="195" t="s">
        <v>962</v>
      </c>
      <c r="N5243" s="195" t="s">
        <v>117</v>
      </c>
      <c r="O5243" s="199"/>
      <c r="P5243" s="188"/>
      <c r="Q5243" s="183"/>
    </row>
    <row r="5244" spans="1:17" x14ac:dyDescent="0.2">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0.75</v>
      </c>
      <c r="H5244" s="194" t="s">
        <v>60</v>
      </c>
      <c r="I5244" s="187">
        <v>3.38710049921495</v>
      </c>
      <c r="J5244" s="187" t="s">
        <v>962</v>
      </c>
      <c r="K5244" s="187" t="s">
        <v>116</v>
      </c>
      <c r="L5244" s="195">
        <v>1.0890799570267196</v>
      </c>
      <c r="M5244" s="195" t="s">
        <v>962</v>
      </c>
      <c r="N5244" s="195" t="s">
        <v>117</v>
      </c>
      <c r="O5244" s="199"/>
      <c r="P5244" s="188"/>
      <c r="Q5244" s="183"/>
    </row>
    <row r="5245" spans="1:17" x14ac:dyDescent="0.2">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1</v>
      </c>
      <c r="H5245" s="194" t="s">
        <v>60</v>
      </c>
      <c r="I5245" s="187">
        <v>2.67125944259864</v>
      </c>
      <c r="J5245" s="187" t="s">
        <v>962</v>
      </c>
      <c r="K5245" s="187" t="s">
        <v>116</v>
      </c>
      <c r="L5245" s="195">
        <v>0.66745805678388015</v>
      </c>
      <c r="M5245" s="195" t="s">
        <v>962</v>
      </c>
      <c r="N5245" s="195" t="s">
        <v>117</v>
      </c>
      <c r="O5245" s="199"/>
      <c r="P5245" s="188"/>
      <c r="Q5245" s="183"/>
    </row>
    <row r="5246" spans="1:17" x14ac:dyDescent="0.2">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1.25</v>
      </c>
      <c r="H5246" s="194" t="s">
        <v>60</v>
      </c>
      <c r="I5246" s="187">
        <v>2.3226399096481298</v>
      </c>
      <c r="J5246" s="187" t="s">
        <v>962</v>
      </c>
      <c r="K5246" s="187" t="s">
        <v>116</v>
      </c>
      <c r="L5246" s="195">
        <v>0.83353091182829031</v>
      </c>
      <c r="M5246" s="195" t="s">
        <v>962</v>
      </c>
      <c r="N5246" s="195" t="s">
        <v>117</v>
      </c>
      <c r="O5246" s="199"/>
      <c r="P5246" s="188"/>
      <c r="Q5246" s="183"/>
    </row>
    <row r="5247" spans="1:17" x14ac:dyDescent="0.2">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1.5</v>
      </c>
      <c r="H5247" s="194" t="s">
        <v>60</v>
      </c>
      <c r="I5247" s="187">
        <v>2.1652534341636498</v>
      </c>
      <c r="J5247" s="187" t="s">
        <v>962</v>
      </c>
      <c r="K5247" s="187" t="s">
        <v>116</v>
      </c>
      <c r="L5247" s="195">
        <v>0.77710915657957003</v>
      </c>
      <c r="M5247" s="195" t="s">
        <v>962</v>
      </c>
      <c r="N5247" s="195" t="s">
        <v>117</v>
      </c>
      <c r="O5247" s="199"/>
      <c r="P5247" s="188"/>
      <c r="Q5247" s="183"/>
    </row>
    <row r="5248" spans="1:17" x14ac:dyDescent="0.2">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1.75</v>
      </c>
      <c r="H5248" s="194" t="s">
        <v>60</v>
      </c>
      <c r="I5248" s="187">
        <v>1.9630331677417401</v>
      </c>
      <c r="J5248" s="187" t="s">
        <v>962</v>
      </c>
      <c r="K5248" s="187" t="s">
        <v>116</v>
      </c>
      <c r="L5248" s="195">
        <v>0.85749858053584993</v>
      </c>
      <c r="M5248" s="195" t="s">
        <v>962</v>
      </c>
      <c r="N5248" s="195" t="s">
        <v>117</v>
      </c>
      <c r="O5248" s="199"/>
      <c r="P5248" s="188"/>
      <c r="Q5248" s="183"/>
    </row>
    <row r="5249" spans="1:17" x14ac:dyDescent="0.2">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2</v>
      </c>
      <c r="H5249" s="194" t="s">
        <v>60</v>
      </c>
      <c r="I5249" s="187">
        <v>1.65984611080419</v>
      </c>
      <c r="J5249" s="187" t="s">
        <v>962</v>
      </c>
      <c r="K5249" s="187" t="s">
        <v>116</v>
      </c>
      <c r="L5249" s="195">
        <v>0.75843887511016006</v>
      </c>
      <c r="M5249" s="195" t="s">
        <v>962</v>
      </c>
      <c r="N5249" s="195" t="s">
        <v>117</v>
      </c>
      <c r="O5249" s="199"/>
      <c r="P5249" s="188"/>
      <c r="Q5249" s="183"/>
    </row>
    <row r="5250" spans="1:17" x14ac:dyDescent="0.2">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2.5</v>
      </c>
      <c r="H5250" s="194" t="s">
        <v>60</v>
      </c>
      <c r="I5250" s="187">
        <v>1.3454554705180599</v>
      </c>
      <c r="J5250" s="187" t="s">
        <v>962</v>
      </c>
      <c r="K5250" s="187" t="s">
        <v>116</v>
      </c>
      <c r="L5250" s="195">
        <v>0.45757392751510007</v>
      </c>
      <c r="M5250" s="195" t="s">
        <v>962</v>
      </c>
      <c r="N5250" s="195" t="s">
        <v>117</v>
      </c>
      <c r="O5250" s="199"/>
      <c r="P5250" s="188"/>
      <c r="Q5250" s="183"/>
    </row>
    <row r="5251" spans="1:17" x14ac:dyDescent="0.2">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3</v>
      </c>
      <c r="H5251" s="194" t="s">
        <v>60</v>
      </c>
      <c r="I5251" s="187">
        <v>1.30723851256816</v>
      </c>
      <c r="J5251" s="187" t="s">
        <v>962</v>
      </c>
      <c r="K5251" s="187" t="s">
        <v>116</v>
      </c>
      <c r="L5251" s="195">
        <v>0.39641142932780005</v>
      </c>
      <c r="M5251" s="195" t="s">
        <v>962</v>
      </c>
      <c r="N5251" s="195" t="s">
        <v>117</v>
      </c>
      <c r="O5251" s="199"/>
      <c r="P5251" s="188"/>
      <c r="Q5251" s="183"/>
    </row>
    <row r="5252" spans="1:17" x14ac:dyDescent="0.2">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3.5</v>
      </c>
      <c r="H5252" s="194" t="s">
        <v>60</v>
      </c>
      <c r="I5252" s="187">
        <v>0.73745463054830895</v>
      </c>
      <c r="J5252" s="187" t="s">
        <v>962</v>
      </c>
      <c r="K5252" s="187" t="s">
        <v>116</v>
      </c>
      <c r="L5252" s="195">
        <v>0.27876030670546115</v>
      </c>
      <c r="M5252" s="195" t="s">
        <v>962</v>
      </c>
      <c r="N5252" s="195" t="s">
        <v>117</v>
      </c>
      <c r="O5252" s="199"/>
      <c r="P5252" s="188"/>
      <c r="Q5252" s="183"/>
    </row>
    <row r="5253" spans="1:17" x14ac:dyDescent="0.2">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4</v>
      </c>
      <c r="H5253" s="194" t="s">
        <v>60</v>
      </c>
      <c r="I5253" s="187">
        <v>0.606140230707923</v>
      </c>
      <c r="J5253" s="187" t="s">
        <v>962</v>
      </c>
      <c r="K5253" s="187" t="s">
        <v>116</v>
      </c>
      <c r="L5253" s="195">
        <v>0.32760557720559103</v>
      </c>
      <c r="M5253" s="195" t="s">
        <v>962</v>
      </c>
      <c r="N5253" s="195" t="s">
        <v>117</v>
      </c>
      <c r="O5253" s="199"/>
      <c r="P5253" s="188" t="s">
        <v>1956</v>
      </c>
      <c r="Q5253" s="183"/>
    </row>
    <row r="5254" spans="1:17" x14ac:dyDescent="0.2">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4.5</v>
      </c>
      <c r="H5254" s="194" t="s">
        <v>60</v>
      </c>
      <c r="I5254" s="187">
        <v>0.44563481383314901</v>
      </c>
      <c r="J5254" s="187" t="s">
        <v>962</v>
      </c>
      <c r="K5254" s="187" t="s">
        <v>116</v>
      </c>
      <c r="L5254" s="195">
        <v>0.19466365957477999</v>
      </c>
      <c r="M5254" s="195" t="s">
        <v>962</v>
      </c>
      <c r="N5254" s="195" t="s">
        <v>117</v>
      </c>
      <c r="O5254" s="199"/>
      <c r="P5254" s="188"/>
      <c r="Q5254" s="183"/>
    </row>
    <row r="5255" spans="1:17" x14ac:dyDescent="0.2">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5</v>
      </c>
      <c r="H5255" s="194" t="s">
        <v>60</v>
      </c>
      <c r="I5255" s="187">
        <v>0.31863599764857897</v>
      </c>
      <c r="J5255" s="187" t="s">
        <v>962</v>
      </c>
      <c r="K5255" s="187" t="s">
        <v>116</v>
      </c>
      <c r="L5255" s="195">
        <v>0.19319901955712204</v>
      </c>
      <c r="M5255" s="195" t="s">
        <v>962</v>
      </c>
      <c r="N5255" s="195" t="s">
        <v>117</v>
      </c>
      <c r="O5255" s="199"/>
      <c r="P5255" s="188"/>
      <c r="Q5255" s="183"/>
    </row>
    <row r="5256" spans="1:17" x14ac:dyDescent="0.2">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6</v>
      </c>
      <c r="H5256" s="194" t="s">
        <v>60</v>
      </c>
      <c r="I5256" s="187">
        <v>0.1746504280316</v>
      </c>
      <c r="J5256" s="187" t="s">
        <v>962</v>
      </c>
      <c r="K5256" s="187" t="s">
        <v>116</v>
      </c>
      <c r="L5256" s="195">
        <v>0.10589033439867199</v>
      </c>
      <c r="M5256" s="195" t="s">
        <v>962</v>
      </c>
      <c r="N5256" s="195" t="s">
        <v>117</v>
      </c>
      <c r="O5256" s="199"/>
      <c r="P5256" s="188"/>
      <c r="Q5256" s="183"/>
    </row>
    <row r="5257" spans="1:17" x14ac:dyDescent="0.2">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7</v>
      </c>
      <c r="H5257" s="194" t="s">
        <v>60</v>
      </c>
      <c r="I5257" s="187">
        <v>9.9811339083214101E-2</v>
      </c>
      <c r="J5257" s="187" t="s">
        <v>962</v>
      </c>
      <c r="K5257" s="187" t="s">
        <v>116</v>
      </c>
      <c r="L5257" s="195">
        <v>7.4501771132032907E-2</v>
      </c>
      <c r="M5257" s="195" t="s">
        <v>962</v>
      </c>
      <c r="N5257" s="195" t="s">
        <v>117</v>
      </c>
      <c r="O5257" s="199"/>
      <c r="P5257" s="188"/>
      <c r="Q5257" s="183"/>
    </row>
    <row r="5258" spans="1:17" x14ac:dyDescent="0.2">
      <c r="A5258" s="183">
        <v>593</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125 mg over 15 min (Regimen 2)</v>
      </c>
      <c r="E5258" s="250" t="str">
        <f>IF(AND(A5258&lt;&gt;"",ISNUMBER(A5258)),VLOOKUP(A5258,Studies!A:BR,5,FALSE),"")</f>
        <v>Erythromycin</v>
      </c>
      <c r="F5258" s="251" t="str">
        <f>IF(AND(A5258&lt;&gt;"",ISNUMBER(A5258)),VLOOKUP(A5258,Studies!A:BR,6,FALSE),"")</f>
        <v>Serum</v>
      </c>
      <c r="G5258" s="194">
        <v>0.25</v>
      </c>
      <c r="H5258" s="194" t="s">
        <v>60</v>
      </c>
      <c r="I5258" s="187">
        <v>9.9503670831563493</v>
      </c>
      <c r="J5258" s="187" t="s">
        <v>962</v>
      </c>
      <c r="K5258" s="187" t="s">
        <v>116</v>
      </c>
      <c r="M5258" s="195"/>
      <c r="N5258" s="195"/>
      <c r="O5258" s="199"/>
      <c r="P5258" s="188"/>
      <c r="Q5258" s="183"/>
    </row>
    <row r="5259" spans="1:17" x14ac:dyDescent="0.2">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0.5</v>
      </c>
      <c r="H5259" s="194" t="s">
        <v>60</v>
      </c>
      <c r="I5259" s="187">
        <v>2.3338406024314202</v>
      </c>
      <c r="J5259" s="187" t="s">
        <v>962</v>
      </c>
      <c r="K5259" s="187" t="s">
        <v>116</v>
      </c>
      <c r="M5259" s="195"/>
      <c r="N5259" s="195"/>
      <c r="O5259" s="199"/>
      <c r="P5259" s="188"/>
      <c r="Q5259" s="183"/>
    </row>
    <row r="5260" spans="1:17" x14ac:dyDescent="0.2">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0.75</v>
      </c>
      <c r="H5260" s="194" t="s">
        <v>60</v>
      </c>
      <c r="I5260" s="187">
        <v>1.5021415011019399</v>
      </c>
      <c r="J5260" s="187" t="s">
        <v>962</v>
      </c>
      <c r="K5260" s="187" t="s">
        <v>116</v>
      </c>
      <c r="M5260" s="195"/>
      <c r="N5260" s="195"/>
      <c r="O5260" s="199"/>
      <c r="P5260" s="188"/>
      <c r="Q5260" s="183"/>
    </row>
    <row r="5261" spans="1:17" x14ac:dyDescent="0.2">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1</v>
      </c>
      <c r="H5261" s="194" t="s">
        <v>60</v>
      </c>
      <c r="I5261" s="187">
        <v>1.02189395829462</v>
      </c>
      <c r="J5261" s="187" t="s">
        <v>962</v>
      </c>
      <c r="K5261" s="187" t="s">
        <v>116</v>
      </c>
      <c r="L5261" s="195">
        <v>0.23553194837860003</v>
      </c>
      <c r="M5261" s="195" t="s">
        <v>962</v>
      </c>
      <c r="N5261" s="195" t="s">
        <v>117</v>
      </c>
      <c r="O5261" s="199"/>
      <c r="P5261" s="188"/>
      <c r="Q5261" s="183"/>
    </row>
    <row r="5262" spans="1:17" x14ac:dyDescent="0.2">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1.25</v>
      </c>
      <c r="H5262" s="194" t="s">
        <v>60</v>
      </c>
      <c r="I5262" s="187">
        <v>0.89150314185345203</v>
      </c>
      <c r="J5262" s="187" t="s">
        <v>962</v>
      </c>
      <c r="K5262" s="187" t="s">
        <v>116</v>
      </c>
      <c r="M5262" s="195"/>
      <c r="N5262" s="195"/>
      <c r="O5262" s="199"/>
      <c r="P5262" s="188"/>
      <c r="Q5262" s="183"/>
    </row>
    <row r="5263" spans="1:17" x14ac:dyDescent="0.2">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1.5</v>
      </c>
      <c r="H5263" s="194" t="s">
        <v>60</v>
      </c>
      <c r="I5263" s="187">
        <v>0.686742588683939</v>
      </c>
      <c r="J5263" s="187" t="s">
        <v>962</v>
      </c>
      <c r="K5263" s="187" t="s">
        <v>116</v>
      </c>
      <c r="L5263" s="195">
        <v>0.21877330542389795</v>
      </c>
      <c r="M5263" s="195" t="s">
        <v>962</v>
      </c>
      <c r="N5263" s="195" t="s">
        <v>117</v>
      </c>
      <c r="O5263" s="199"/>
      <c r="P5263" s="188"/>
      <c r="Q5263" s="183"/>
    </row>
    <row r="5264" spans="1:17" x14ac:dyDescent="0.2">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1.75</v>
      </c>
      <c r="H5264" s="194" t="s">
        <v>60</v>
      </c>
      <c r="I5264" s="187">
        <v>0.64210548342740603</v>
      </c>
      <c r="J5264" s="187" t="s">
        <v>962</v>
      </c>
      <c r="K5264" s="187" t="s">
        <v>116</v>
      </c>
      <c r="M5264" s="195"/>
      <c r="N5264" s="195"/>
      <c r="O5264" s="199"/>
      <c r="P5264" s="188"/>
      <c r="Q5264" s="183"/>
    </row>
    <row r="5265" spans="1:17" x14ac:dyDescent="0.2">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2</v>
      </c>
      <c r="H5265" s="194" t="s">
        <v>60</v>
      </c>
      <c r="I5265" s="187">
        <v>0.64334554852194104</v>
      </c>
      <c r="J5265" s="187" t="s">
        <v>962</v>
      </c>
      <c r="K5265" s="187" t="s">
        <v>116</v>
      </c>
      <c r="M5265" s="195"/>
      <c r="N5265" s="195"/>
      <c r="O5265" s="199"/>
      <c r="P5265" s="188"/>
      <c r="Q5265" s="183"/>
    </row>
    <row r="5266" spans="1:17" x14ac:dyDescent="0.2">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2.5</v>
      </c>
      <c r="H5266" s="194" t="s">
        <v>60</v>
      </c>
      <c r="I5266" s="187">
        <v>0.51752785054671402</v>
      </c>
      <c r="J5266" s="187" t="s">
        <v>962</v>
      </c>
      <c r="K5266" s="187" t="s">
        <v>116</v>
      </c>
      <c r="L5266" s="195">
        <v>0.15555051458733393</v>
      </c>
      <c r="M5266" s="195" t="s">
        <v>962</v>
      </c>
      <c r="N5266" s="195" t="s">
        <v>117</v>
      </c>
      <c r="O5266" s="199"/>
      <c r="P5266" s="188"/>
      <c r="Q5266" s="183"/>
    </row>
    <row r="5267" spans="1:17" x14ac:dyDescent="0.2">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3</v>
      </c>
      <c r="H5267" s="194" t="s">
        <v>60</v>
      </c>
      <c r="I5267" s="187">
        <v>0.377969925454334</v>
      </c>
      <c r="J5267" s="187" t="s">
        <v>962</v>
      </c>
      <c r="K5267" s="187" t="s">
        <v>116</v>
      </c>
      <c r="M5267" s="195"/>
      <c r="N5267" s="195"/>
      <c r="O5267" s="199"/>
      <c r="P5267" s="188"/>
      <c r="Q5267" s="183"/>
    </row>
    <row r="5268" spans="1:17" x14ac:dyDescent="0.2">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3.5</v>
      </c>
      <c r="H5268" s="194" t="s">
        <v>60</v>
      </c>
      <c r="I5268" s="187">
        <v>0.29167314396592497</v>
      </c>
      <c r="J5268" s="187" t="s">
        <v>962</v>
      </c>
      <c r="K5268" s="187" t="s">
        <v>116</v>
      </c>
      <c r="L5268" s="195">
        <v>0.13793676657759901</v>
      </c>
      <c r="M5268" s="195" t="s">
        <v>962</v>
      </c>
      <c r="N5268" s="195" t="s">
        <v>117</v>
      </c>
      <c r="O5268" s="199"/>
      <c r="P5268" s="188"/>
      <c r="Q5268" s="183"/>
    </row>
    <row r="5269" spans="1:17" x14ac:dyDescent="0.2">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4</v>
      </c>
      <c r="H5269" s="194" t="s">
        <v>60</v>
      </c>
      <c r="I5269" s="187">
        <v>0.21596837136383901</v>
      </c>
      <c r="J5269" s="187" t="s">
        <v>962</v>
      </c>
      <c r="K5269" s="187" t="s">
        <v>116</v>
      </c>
      <c r="M5269" s="195"/>
      <c r="N5269" s="195"/>
      <c r="O5269" s="199"/>
      <c r="P5269" s="188" t="s">
        <v>1956</v>
      </c>
      <c r="Q5269" s="183"/>
    </row>
    <row r="5270" spans="1:17" x14ac:dyDescent="0.2">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4.5</v>
      </c>
      <c r="H5270" s="194" t="s">
        <v>60</v>
      </c>
      <c r="I5270" s="187">
        <v>0.141201048012769</v>
      </c>
      <c r="J5270" s="187" t="s">
        <v>962</v>
      </c>
      <c r="K5270" s="187" t="s">
        <v>116</v>
      </c>
      <c r="L5270" s="195">
        <v>7.8585584247145984E-2</v>
      </c>
      <c r="M5270" s="195" t="s">
        <v>962</v>
      </c>
      <c r="N5270" s="195" t="s">
        <v>117</v>
      </c>
      <c r="O5270" s="199"/>
      <c r="P5270" s="188"/>
      <c r="Q5270" s="183"/>
    </row>
    <row r="5271" spans="1:17" x14ac:dyDescent="0.2">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5</v>
      </c>
      <c r="H5271" s="194" t="s">
        <v>60</v>
      </c>
      <c r="I5271" s="187">
        <v>0.11050628094272</v>
      </c>
      <c r="J5271" s="187" t="s">
        <v>962</v>
      </c>
      <c r="K5271" s="187" t="s">
        <v>116</v>
      </c>
      <c r="M5271" s="195"/>
      <c r="N5271" s="195"/>
      <c r="O5271" s="199"/>
      <c r="P5271" s="188"/>
      <c r="Q5271" s="183"/>
    </row>
    <row r="5272" spans="1:17" x14ac:dyDescent="0.2">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6</v>
      </c>
      <c r="H5272" s="194" t="s">
        <v>60</v>
      </c>
      <c r="I5272" s="187">
        <v>5.1314877796148302E-2</v>
      </c>
      <c r="J5272" s="187" t="s">
        <v>962</v>
      </c>
      <c r="K5272" s="187" t="s">
        <v>116</v>
      </c>
      <c r="L5272" s="195">
        <v>6.4717554733027705E-2</v>
      </c>
      <c r="M5272" s="195" t="s">
        <v>962</v>
      </c>
      <c r="N5272" s="195" t="s">
        <v>117</v>
      </c>
      <c r="O5272" s="199"/>
      <c r="P5272" s="188"/>
      <c r="Q5272" s="183"/>
    </row>
    <row r="5273" spans="1:17" x14ac:dyDescent="0.2">
      <c r="A5273" s="30">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7</v>
      </c>
      <c r="H5273" s="194" t="s">
        <v>60</v>
      </c>
      <c r="I5273" s="187">
        <v>2.0469786294055398E-2</v>
      </c>
      <c r="J5273" s="41" t="s">
        <v>962</v>
      </c>
      <c r="K5273" s="41" t="s">
        <v>116</v>
      </c>
    </row>
    <row r="5274" spans="1:17" x14ac:dyDescent="0.2">
      <c r="A5274" s="30">
        <v>594</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250 mg over 15 min (Regimen 2)</v>
      </c>
      <c r="E5274" s="250" t="str">
        <f>IF(AND(A5274&lt;&gt;"",ISNUMBER(A5274)),VLOOKUP(A5274,Studies!A:BR,5,FALSE),"")</f>
        <v>Erythromycin</v>
      </c>
      <c r="F5274" s="251" t="str">
        <f>IF(AND(A5274&lt;&gt;"",ISNUMBER(A5274)),VLOOKUP(A5274,Studies!A:BR,6,FALSE),"")</f>
        <v>Serum</v>
      </c>
      <c r="G5274" s="194">
        <v>0.25</v>
      </c>
      <c r="H5274" s="194" t="s">
        <v>60</v>
      </c>
      <c r="I5274" s="187">
        <v>10.229380009212299</v>
      </c>
      <c r="J5274" s="187" t="s">
        <v>962</v>
      </c>
      <c r="K5274" s="187" t="s">
        <v>116</v>
      </c>
    </row>
    <row r="5275" spans="1:17" x14ac:dyDescent="0.2">
      <c r="A5275" s="183">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0.5</v>
      </c>
      <c r="H5275" s="194" t="s">
        <v>60</v>
      </c>
      <c r="I5275" s="187">
        <v>5.2768211625977104</v>
      </c>
      <c r="J5275" s="187" t="s">
        <v>962</v>
      </c>
      <c r="K5275" s="187" t="s">
        <v>116</v>
      </c>
      <c r="L5275" s="195">
        <v>1.7911287764473802</v>
      </c>
      <c r="M5275" s="52" t="s">
        <v>962</v>
      </c>
      <c r="N5275" s="52" t="s">
        <v>117</v>
      </c>
    </row>
    <row r="5276" spans="1:17" x14ac:dyDescent="0.2">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0.75</v>
      </c>
      <c r="H5276" s="194" t="s">
        <v>60</v>
      </c>
      <c r="I5276" s="187">
        <v>3.3499770988844002</v>
      </c>
      <c r="J5276" s="187" t="s">
        <v>962</v>
      </c>
      <c r="K5276" s="187" t="s">
        <v>116</v>
      </c>
    </row>
    <row r="5277" spans="1:17" x14ac:dyDescent="0.2">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1</v>
      </c>
      <c r="H5277" s="194" t="s">
        <v>60</v>
      </c>
      <c r="I5277" s="187">
        <v>2.61648377564843</v>
      </c>
      <c r="J5277" s="187" t="s">
        <v>962</v>
      </c>
      <c r="K5277" s="187" t="s">
        <v>116</v>
      </c>
    </row>
    <row r="5278" spans="1:17" x14ac:dyDescent="0.2">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1.25</v>
      </c>
      <c r="H5278" s="194" t="s">
        <v>60</v>
      </c>
      <c r="I5278" s="187">
        <v>2.5855376299428898</v>
      </c>
      <c r="J5278" s="187" t="s">
        <v>962</v>
      </c>
      <c r="K5278" s="187" t="s">
        <v>116</v>
      </c>
      <c r="L5278" s="195">
        <v>1.1389776019963798</v>
      </c>
      <c r="M5278" s="52" t="s">
        <v>962</v>
      </c>
      <c r="N5278" s="52" t="s">
        <v>117</v>
      </c>
    </row>
    <row r="5279" spans="1:17" x14ac:dyDescent="0.2">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1.5</v>
      </c>
      <c r="H5279" s="194" t="s">
        <v>60</v>
      </c>
      <c r="I5279" s="187">
        <v>2.5194674275565299</v>
      </c>
      <c r="J5279" s="187" t="s">
        <v>962</v>
      </c>
      <c r="K5279" s="187" t="s">
        <v>116</v>
      </c>
      <c r="L5279" s="195">
        <v>0.66418279999999996</v>
      </c>
      <c r="M5279" s="52" t="s">
        <v>962</v>
      </c>
      <c r="N5279" s="52" t="s">
        <v>117</v>
      </c>
    </row>
    <row r="5280" spans="1:17" x14ac:dyDescent="0.2">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1.75</v>
      </c>
      <c r="H5280" s="194" t="s">
        <v>60</v>
      </c>
      <c r="I5280" s="187">
        <v>1.9409518624834301</v>
      </c>
      <c r="J5280" s="187" t="s">
        <v>962</v>
      </c>
      <c r="K5280" s="187" t="s">
        <v>116</v>
      </c>
      <c r="L5280" s="195">
        <v>0.20311566308522</v>
      </c>
      <c r="M5280" s="52" t="s">
        <v>962</v>
      </c>
      <c r="N5280" s="52" t="s">
        <v>117</v>
      </c>
    </row>
    <row r="5281" spans="1:16" x14ac:dyDescent="0.2">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2</v>
      </c>
      <c r="H5281" s="194" t="s">
        <v>60</v>
      </c>
      <c r="I5281" s="187">
        <v>1.7898723423935301</v>
      </c>
      <c r="J5281" s="187" t="s">
        <v>962</v>
      </c>
      <c r="K5281" s="187" t="s">
        <v>116</v>
      </c>
      <c r="L5281" s="195">
        <v>0.55786186784105007</v>
      </c>
      <c r="M5281" s="52" t="s">
        <v>962</v>
      </c>
      <c r="N5281" s="52" t="s">
        <v>117</v>
      </c>
    </row>
    <row r="5282" spans="1:16" x14ac:dyDescent="0.2">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2.5</v>
      </c>
      <c r="H5282" s="194" t="s">
        <v>60</v>
      </c>
      <c r="I5282" s="187">
        <v>1.0476808012532799</v>
      </c>
      <c r="J5282" s="187" t="s">
        <v>962</v>
      </c>
      <c r="K5282" s="187" t="s">
        <v>116</v>
      </c>
      <c r="L5282" s="195">
        <v>0.13529622010496289</v>
      </c>
      <c r="M5282" s="52" t="s">
        <v>962</v>
      </c>
      <c r="N5282" s="52" t="s">
        <v>117</v>
      </c>
    </row>
    <row r="5283" spans="1:16" x14ac:dyDescent="0.2">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3</v>
      </c>
      <c r="H5283" s="194" t="s">
        <v>60</v>
      </c>
      <c r="I5283" s="187">
        <v>1.0809616791755601</v>
      </c>
      <c r="J5283" s="187" t="s">
        <v>962</v>
      </c>
      <c r="K5283" s="187" t="s">
        <v>116</v>
      </c>
      <c r="L5283" s="195">
        <v>0.68152977482684207</v>
      </c>
      <c r="M5283" s="52" t="s">
        <v>962</v>
      </c>
      <c r="N5283" s="52" t="s">
        <v>117</v>
      </c>
    </row>
    <row r="5284" spans="1:16" x14ac:dyDescent="0.2">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4</v>
      </c>
      <c r="H5284" s="194" t="s">
        <v>60</v>
      </c>
      <c r="I5284" s="187">
        <v>0.83731799716316202</v>
      </c>
      <c r="J5284" s="187" t="s">
        <v>962</v>
      </c>
      <c r="K5284" s="187" t="s">
        <v>116</v>
      </c>
      <c r="L5284" s="195">
        <v>0.31405881033987904</v>
      </c>
      <c r="M5284" s="52" t="s">
        <v>962</v>
      </c>
      <c r="N5284" s="52" t="s">
        <v>117</v>
      </c>
      <c r="P5284" s="42" t="s">
        <v>1956</v>
      </c>
    </row>
    <row r="5285" spans="1:16" x14ac:dyDescent="0.2">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4.5</v>
      </c>
      <c r="H5285" s="194" t="s">
        <v>60</v>
      </c>
      <c r="I5285" s="187">
        <v>0.57862011266888902</v>
      </c>
      <c r="J5285" s="187" t="s">
        <v>962</v>
      </c>
      <c r="K5285" s="187" t="s">
        <v>116</v>
      </c>
      <c r="L5285" s="195">
        <v>6.0592765789508007E-2</v>
      </c>
      <c r="M5285" s="52" t="s">
        <v>962</v>
      </c>
      <c r="N5285" s="52" t="s">
        <v>117</v>
      </c>
    </row>
    <row r="5286" spans="1:16" x14ac:dyDescent="0.2">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5</v>
      </c>
      <c r="H5286" s="194" t="s">
        <v>60</v>
      </c>
      <c r="I5286" s="187">
        <v>0.29903332992030701</v>
      </c>
      <c r="J5286" s="187" t="s">
        <v>962</v>
      </c>
      <c r="K5286" s="187" t="s">
        <v>116</v>
      </c>
      <c r="L5286" s="195">
        <v>5.2648924608130004E-2</v>
      </c>
      <c r="M5286" s="52" t="s">
        <v>962</v>
      </c>
      <c r="N5286" s="52" t="s">
        <v>117</v>
      </c>
    </row>
    <row r="5287" spans="1:16" x14ac:dyDescent="0.2">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6</v>
      </c>
      <c r="H5287" s="194" t="s">
        <v>60</v>
      </c>
      <c r="I5287" s="187">
        <v>0.170864761710246</v>
      </c>
      <c r="J5287" s="187" t="s">
        <v>962</v>
      </c>
      <c r="K5287" s="187" t="s">
        <v>116</v>
      </c>
      <c r="L5287" s="195">
        <v>1.5762985450300998E-2</v>
      </c>
      <c r="M5287" s="52" t="s">
        <v>962</v>
      </c>
      <c r="N5287" s="52" t="s">
        <v>117</v>
      </c>
    </row>
    <row r="5288" spans="1:16" x14ac:dyDescent="0.2">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7</v>
      </c>
      <c r="H5288" s="194" t="s">
        <v>60</v>
      </c>
      <c r="I5288" s="187">
        <v>9.5005723771690795E-2</v>
      </c>
      <c r="J5288" s="187" t="s">
        <v>962</v>
      </c>
      <c r="K5288" s="187" t="s">
        <v>116</v>
      </c>
      <c r="L5288" s="195">
        <v>6.5269483841205789E-2</v>
      </c>
      <c r="M5288" s="52" t="s">
        <v>962</v>
      </c>
      <c r="N5288" s="52" t="s">
        <v>117</v>
      </c>
    </row>
    <row r="5289" spans="1:16" x14ac:dyDescent="0.2">
      <c r="A5289" s="183">
        <v>595</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500 mg over 15 min (Regimen 2)</v>
      </c>
      <c r="E5289" s="250" t="str">
        <f>IF(AND(A5289&lt;&gt;"",ISNUMBER(A5289)),VLOOKUP(A5289,Studies!A:BR,5,FALSE),"")</f>
        <v>Erythromycin</v>
      </c>
      <c r="F5289" s="251" t="str">
        <f>IF(AND(A5289&lt;&gt;"",ISNUMBER(A5289)),VLOOKUP(A5289,Studies!A:BR,6,FALSE),"")</f>
        <v>Serum</v>
      </c>
      <c r="G5289" s="194">
        <v>0.13333333333333333</v>
      </c>
      <c r="H5289" s="194" t="s">
        <v>60</v>
      </c>
      <c r="I5289" s="187">
        <v>20.498809999999999</v>
      </c>
      <c r="J5289" s="187" t="s">
        <v>962</v>
      </c>
      <c r="K5289" s="187" t="s">
        <v>116</v>
      </c>
    </row>
    <row r="5290" spans="1:16" x14ac:dyDescent="0.2">
      <c r="A5290" s="30">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0.25</v>
      </c>
      <c r="H5290" s="194" t="s">
        <v>60</v>
      </c>
      <c r="I5290" s="187">
        <v>18.2807448965908</v>
      </c>
      <c r="J5290" s="187" t="s">
        <v>962</v>
      </c>
      <c r="K5290" s="187" t="s">
        <v>116</v>
      </c>
    </row>
    <row r="5291" spans="1:16" x14ac:dyDescent="0.2">
      <c r="A5291" s="183">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0.5</v>
      </c>
      <c r="H5291" s="194" t="s">
        <v>60</v>
      </c>
      <c r="I5291" s="187">
        <v>7.6643493564167198</v>
      </c>
      <c r="J5291" s="187" t="s">
        <v>962</v>
      </c>
      <c r="K5291" s="187" t="s">
        <v>116</v>
      </c>
      <c r="M5291" s="195"/>
      <c r="N5291" s="195"/>
    </row>
    <row r="5292" spans="1:16" x14ac:dyDescent="0.2">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0.75</v>
      </c>
      <c r="H5292" s="194" t="s">
        <v>60</v>
      </c>
      <c r="I5292" s="187">
        <v>5.4343884699506599</v>
      </c>
      <c r="J5292" s="187" t="s">
        <v>962</v>
      </c>
      <c r="K5292" s="187" t="s">
        <v>116</v>
      </c>
      <c r="M5292" s="195"/>
      <c r="N5292" s="195"/>
    </row>
    <row r="5293" spans="1:16" x14ac:dyDescent="0.2">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1</v>
      </c>
      <c r="H5293" s="194" t="s">
        <v>60</v>
      </c>
      <c r="I5293" s="187">
        <v>3.5958415272774702</v>
      </c>
      <c r="J5293" s="187" t="s">
        <v>962</v>
      </c>
      <c r="K5293" s="187" t="s">
        <v>116</v>
      </c>
      <c r="L5293" s="195">
        <v>0.95322448549792016</v>
      </c>
      <c r="M5293" s="195" t="s">
        <v>962</v>
      </c>
      <c r="N5293" s="195" t="s">
        <v>117</v>
      </c>
    </row>
    <row r="5294" spans="1:16" x14ac:dyDescent="0.2">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1.25</v>
      </c>
      <c r="H5294" s="194" t="s">
        <v>60</v>
      </c>
      <c r="I5294" s="187">
        <v>3.4569490404916299</v>
      </c>
      <c r="J5294" s="187" t="s">
        <v>962</v>
      </c>
      <c r="K5294" s="187" t="s">
        <v>116</v>
      </c>
      <c r="M5294" s="195"/>
      <c r="N5294" s="195"/>
    </row>
    <row r="5295" spans="1:16" x14ac:dyDescent="0.2">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1.5</v>
      </c>
      <c r="H5295" s="194" t="s">
        <v>60</v>
      </c>
      <c r="I5295" s="187">
        <v>3.0999194353995501</v>
      </c>
      <c r="J5295" s="187" t="s">
        <v>962</v>
      </c>
      <c r="K5295" s="187" t="s">
        <v>116</v>
      </c>
      <c r="L5295" s="195">
        <v>1.3411046896365697</v>
      </c>
      <c r="M5295" s="195" t="s">
        <v>962</v>
      </c>
      <c r="N5295" s="195" t="s">
        <v>117</v>
      </c>
    </row>
    <row r="5296" spans="1:16" x14ac:dyDescent="0.2">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1.75</v>
      </c>
      <c r="H5296" s="194" t="s">
        <v>60</v>
      </c>
      <c r="I5296" s="187">
        <v>3.7175317923675801</v>
      </c>
      <c r="J5296" s="187" t="s">
        <v>962</v>
      </c>
      <c r="K5296" s="187" t="s">
        <v>116</v>
      </c>
      <c r="M5296" s="195"/>
      <c r="N5296" s="195"/>
    </row>
    <row r="5297" spans="1:16" x14ac:dyDescent="0.2">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2</v>
      </c>
      <c r="H5297" s="194" t="s">
        <v>60</v>
      </c>
      <c r="I5297" s="187">
        <v>2.4942763737598899</v>
      </c>
      <c r="J5297" s="187" t="s">
        <v>962</v>
      </c>
      <c r="K5297" s="187" t="s">
        <v>116</v>
      </c>
      <c r="M5297" s="195"/>
      <c r="N5297" s="195"/>
    </row>
    <row r="5298" spans="1:16" x14ac:dyDescent="0.2">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2.5</v>
      </c>
      <c r="H5298" s="194" t="s">
        <v>60</v>
      </c>
      <c r="I5298" s="187">
        <v>2.5031147687267898</v>
      </c>
      <c r="J5298" s="187" t="s">
        <v>962</v>
      </c>
      <c r="K5298" s="187" t="s">
        <v>116</v>
      </c>
      <c r="L5298" s="195">
        <v>1.18346552847441</v>
      </c>
      <c r="M5298" s="195" t="s">
        <v>962</v>
      </c>
      <c r="N5298" s="195" t="s">
        <v>117</v>
      </c>
    </row>
    <row r="5299" spans="1:16" x14ac:dyDescent="0.2">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3</v>
      </c>
      <c r="H5299" s="194" t="s">
        <v>60</v>
      </c>
      <c r="I5299" s="187">
        <v>2.1582435554381099</v>
      </c>
      <c r="J5299" s="187" t="s">
        <v>962</v>
      </c>
      <c r="K5299" s="187" t="s">
        <v>116</v>
      </c>
      <c r="M5299" s="195"/>
      <c r="N5299" s="195"/>
    </row>
    <row r="5300" spans="1:16" x14ac:dyDescent="0.2">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3.5</v>
      </c>
      <c r="H5300" s="194" t="s">
        <v>60</v>
      </c>
      <c r="I5300" s="187">
        <v>2.2894274648262098</v>
      </c>
      <c r="J5300" s="187" t="s">
        <v>962</v>
      </c>
      <c r="K5300" s="187" t="s">
        <v>116</v>
      </c>
      <c r="L5300" s="195">
        <v>0.72933530301089</v>
      </c>
      <c r="M5300" s="195" t="s">
        <v>962</v>
      </c>
      <c r="N5300" s="195" t="s">
        <v>117</v>
      </c>
    </row>
    <row r="5301" spans="1:16" x14ac:dyDescent="0.2">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4</v>
      </c>
      <c r="H5301" s="194" t="s">
        <v>60</v>
      </c>
      <c r="I5301" s="187">
        <v>2.1740902689958301</v>
      </c>
      <c r="J5301" s="187" t="s">
        <v>962</v>
      </c>
      <c r="K5301" s="187" t="s">
        <v>116</v>
      </c>
      <c r="M5301" s="195"/>
      <c r="N5301" s="195"/>
      <c r="P5301" s="42" t="s">
        <v>1956</v>
      </c>
    </row>
    <row r="5302" spans="1:16" x14ac:dyDescent="0.2">
      <c r="A5302" s="30">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4.5</v>
      </c>
      <c r="H5302" s="194" t="s">
        <v>60</v>
      </c>
      <c r="I5302" s="187">
        <v>1.7980928788430199</v>
      </c>
      <c r="J5302" s="187" t="s">
        <v>962</v>
      </c>
      <c r="K5302" s="187" t="s">
        <v>116</v>
      </c>
      <c r="L5302" s="195">
        <v>0.63929376602742027</v>
      </c>
      <c r="M5302" s="52" t="s">
        <v>962</v>
      </c>
      <c r="N5302" s="52" t="s">
        <v>117</v>
      </c>
    </row>
    <row r="5303" spans="1:16" x14ac:dyDescent="0.2">
      <c r="A5303" s="183">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5</v>
      </c>
      <c r="H5303" s="194" t="s">
        <v>60</v>
      </c>
      <c r="I5303" s="187">
        <v>1.20866239730512</v>
      </c>
      <c r="J5303" s="187" t="s">
        <v>962</v>
      </c>
      <c r="K5303" s="187" t="s">
        <v>116</v>
      </c>
    </row>
    <row r="5304" spans="1:16" x14ac:dyDescent="0.2">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6</v>
      </c>
      <c r="H5304" s="194" t="s">
        <v>60</v>
      </c>
      <c r="I5304" s="187">
        <v>0.70012114963570304</v>
      </c>
      <c r="J5304" s="187" t="s">
        <v>962</v>
      </c>
      <c r="K5304" s="187" t="s">
        <v>116</v>
      </c>
      <c r="L5304" s="195">
        <v>0.35992882983332686</v>
      </c>
      <c r="M5304" s="52" t="s">
        <v>962</v>
      </c>
      <c r="N5304" s="52" t="s">
        <v>117</v>
      </c>
    </row>
    <row r="5305" spans="1:16" x14ac:dyDescent="0.2">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7</v>
      </c>
      <c r="H5305" s="194" t="s">
        <v>60</v>
      </c>
      <c r="I5305" s="187">
        <v>0.42878182638944001</v>
      </c>
      <c r="J5305" s="187" t="s">
        <v>962</v>
      </c>
      <c r="K5305" s="187" t="s">
        <v>116</v>
      </c>
    </row>
    <row r="5306" spans="1:16" x14ac:dyDescent="0.2">
      <c r="A5306" s="183">
        <v>596</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900 mg over 15 min (Regimen 2)</v>
      </c>
      <c r="E5306" s="250" t="str">
        <f>IF(AND(A5306&lt;&gt;"",ISNUMBER(A5306)),VLOOKUP(A5306,Studies!A:BR,5,FALSE),"")</f>
        <v>Erythromycin</v>
      </c>
      <c r="F5306" s="251" t="str">
        <f>IF(AND(A5306&lt;&gt;"",ISNUMBER(A5306)),VLOOKUP(A5306,Studies!A:BR,6,FALSE),"")</f>
        <v>Serum</v>
      </c>
      <c r="G5306" s="194">
        <v>0.13333333333333333</v>
      </c>
      <c r="H5306" s="194" t="s">
        <v>60</v>
      </c>
      <c r="I5306" s="187">
        <v>20.865029712976799</v>
      </c>
      <c r="J5306" s="187" t="s">
        <v>962</v>
      </c>
      <c r="K5306" s="187" t="s">
        <v>116</v>
      </c>
    </row>
    <row r="5307" spans="1:16" x14ac:dyDescent="0.2">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0.25</v>
      </c>
      <c r="H5307" s="194" t="s">
        <v>60</v>
      </c>
      <c r="I5307" s="187">
        <v>29.259856537098099</v>
      </c>
      <c r="J5307" s="187" t="s">
        <v>962</v>
      </c>
      <c r="K5307" s="187" t="s">
        <v>116</v>
      </c>
    </row>
    <row r="5308" spans="1:16" x14ac:dyDescent="0.2">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0.5</v>
      </c>
      <c r="H5308" s="194" t="s">
        <v>60</v>
      </c>
      <c r="I5308" s="187">
        <v>14.680813874269599</v>
      </c>
      <c r="J5308" s="187" t="s">
        <v>962</v>
      </c>
      <c r="K5308" s="187" t="s">
        <v>116</v>
      </c>
      <c r="L5308" s="195">
        <v>4.1488262367156992</v>
      </c>
      <c r="M5308" s="52" t="s">
        <v>962</v>
      </c>
      <c r="N5308" s="52" t="s">
        <v>117</v>
      </c>
    </row>
    <row r="5309" spans="1:16" x14ac:dyDescent="0.2">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0.75</v>
      </c>
      <c r="H5309" s="194" t="s">
        <v>60</v>
      </c>
      <c r="I5309" s="187">
        <v>8.1158429320625807</v>
      </c>
      <c r="J5309" s="187" t="s">
        <v>962</v>
      </c>
      <c r="K5309" s="187" t="s">
        <v>116</v>
      </c>
    </row>
    <row r="5310" spans="1:16" x14ac:dyDescent="0.2">
      <c r="A5310" s="30">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1</v>
      </c>
      <c r="H5310" s="194" t="s">
        <v>60</v>
      </c>
      <c r="I5310" s="187">
        <v>9.0841065685648097</v>
      </c>
      <c r="J5310" s="187" t="s">
        <v>962</v>
      </c>
      <c r="K5310" s="187" t="s">
        <v>116</v>
      </c>
    </row>
    <row r="5311" spans="1:16" x14ac:dyDescent="0.2">
      <c r="A5311" s="183">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1.25</v>
      </c>
      <c r="H5311" s="194" t="s">
        <v>60</v>
      </c>
      <c r="I5311" s="187">
        <v>9.0994554238693794</v>
      </c>
      <c r="J5311" s="187" t="s">
        <v>962</v>
      </c>
      <c r="K5311" s="187" t="s">
        <v>116</v>
      </c>
      <c r="L5311" s="195">
        <v>4.4898842775118197</v>
      </c>
      <c r="M5311" s="52" t="s">
        <v>962</v>
      </c>
      <c r="N5311" s="52" t="s">
        <v>117</v>
      </c>
    </row>
    <row r="5312" spans="1:16" x14ac:dyDescent="0.2">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1.5</v>
      </c>
      <c r="H5312" s="194" t="s">
        <v>60</v>
      </c>
      <c r="I5312" s="187">
        <v>7.4092926896525899</v>
      </c>
      <c r="J5312" s="187" t="s">
        <v>962</v>
      </c>
      <c r="K5312" s="187" t="s">
        <v>116</v>
      </c>
    </row>
    <row r="5313" spans="1:16" x14ac:dyDescent="0.2">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1.75</v>
      </c>
      <c r="H5313" s="194" t="s">
        <v>60</v>
      </c>
      <c r="I5313" s="187">
        <v>7.6299227713130602</v>
      </c>
      <c r="J5313" s="187" t="s">
        <v>962</v>
      </c>
      <c r="K5313" s="187" t="s">
        <v>116</v>
      </c>
    </row>
    <row r="5314" spans="1:16" x14ac:dyDescent="0.2">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2</v>
      </c>
      <c r="H5314" s="194" t="s">
        <v>60</v>
      </c>
      <c r="I5314" s="187">
        <v>9.4066424379135807</v>
      </c>
      <c r="J5314" s="187" t="s">
        <v>962</v>
      </c>
      <c r="K5314" s="187" t="s">
        <v>116</v>
      </c>
      <c r="L5314" s="195">
        <v>7.4065056684728194</v>
      </c>
      <c r="M5314" s="52" t="s">
        <v>962</v>
      </c>
      <c r="N5314" s="52" t="s">
        <v>117</v>
      </c>
    </row>
    <row r="5315" spans="1:16" x14ac:dyDescent="0.2">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2.5</v>
      </c>
      <c r="H5315" s="194" t="s">
        <v>60</v>
      </c>
      <c r="I5315" s="187">
        <v>6.2362342654022296</v>
      </c>
      <c r="J5315" s="187" t="s">
        <v>962</v>
      </c>
      <c r="K5315" s="187" t="s">
        <v>116</v>
      </c>
    </row>
    <row r="5316" spans="1:16" x14ac:dyDescent="0.2">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3</v>
      </c>
      <c r="H5316" s="194" t="s">
        <v>60</v>
      </c>
      <c r="I5316" s="187">
        <v>6.0876321384397203</v>
      </c>
      <c r="J5316" s="187" t="s">
        <v>962</v>
      </c>
      <c r="K5316" s="187" t="s">
        <v>116</v>
      </c>
      <c r="L5316" s="195">
        <v>4.0663706799975801</v>
      </c>
      <c r="M5316" s="52" t="s">
        <v>962</v>
      </c>
      <c r="N5316" s="52" t="s">
        <v>117</v>
      </c>
    </row>
    <row r="5317" spans="1:16" x14ac:dyDescent="0.2">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3.5</v>
      </c>
      <c r="H5317" s="194" t="s">
        <v>60</v>
      </c>
      <c r="I5317" s="187">
        <v>4.5714287624529701</v>
      </c>
      <c r="J5317" s="187" t="s">
        <v>962</v>
      </c>
      <c r="K5317" s="187" t="s">
        <v>116</v>
      </c>
    </row>
    <row r="5318" spans="1:16" x14ac:dyDescent="0.2">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4</v>
      </c>
      <c r="H5318" s="194" t="s">
        <v>60</v>
      </c>
      <c r="I5318" s="187">
        <v>3.5765256647003798</v>
      </c>
      <c r="J5318" s="187" t="s">
        <v>962</v>
      </c>
      <c r="K5318" s="187" t="s">
        <v>116</v>
      </c>
      <c r="L5318" s="195">
        <v>2.64168653922408</v>
      </c>
      <c r="M5318" s="52" t="s">
        <v>962</v>
      </c>
      <c r="N5318" s="52" t="s">
        <v>117</v>
      </c>
      <c r="P5318" s="42" t="s">
        <v>1956</v>
      </c>
    </row>
    <row r="5319" spans="1:16" x14ac:dyDescent="0.2">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4.5</v>
      </c>
      <c r="H5319" s="194" t="s">
        <v>60</v>
      </c>
      <c r="I5319" s="187">
        <v>3.59035332203845</v>
      </c>
      <c r="J5319" s="187" t="s">
        <v>962</v>
      </c>
      <c r="K5319" s="187" t="s">
        <v>116</v>
      </c>
    </row>
    <row r="5320" spans="1:16" x14ac:dyDescent="0.2">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5</v>
      </c>
      <c r="H5320" s="194" t="s">
        <v>60</v>
      </c>
      <c r="I5320" s="187">
        <v>2.5855376299428898</v>
      </c>
      <c r="J5320" s="187" t="s">
        <v>962</v>
      </c>
      <c r="K5320" s="187" t="s">
        <v>116</v>
      </c>
      <c r="L5320" s="195">
        <v>1.9100862477405305</v>
      </c>
      <c r="M5320" s="52" t="s">
        <v>962</v>
      </c>
      <c r="N5320" s="52" t="s">
        <v>117</v>
      </c>
    </row>
    <row r="5321" spans="1:16" x14ac:dyDescent="0.2">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6</v>
      </c>
      <c r="H5321" s="194" t="s">
        <v>60</v>
      </c>
      <c r="I5321" s="187">
        <v>2.0027696000703101</v>
      </c>
      <c r="J5321" s="187" t="s">
        <v>962</v>
      </c>
      <c r="K5321" s="187" t="s">
        <v>116</v>
      </c>
    </row>
    <row r="5322" spans="1:16" x14ac:dyDescent="0.2">
      <c r="A5322" s="30">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7</v>
      </c>
      <c r="H5322" s="194" t="s">
        <v>60</v>
      </c>
      <c r="I5322" s="187">
        <v>1.5301743827185701</v>
      </c>
      <c r="J5322" s="187" t="s">
        <v>962</v>
      </c>
      <c r="K5322" s="187" t="s">
        <v>116</v>
      </c>
      <c r="L5322" s="195">
        <v>1.3206511779194001</v>
      </c>
      <c r="M5322" s="52" t="s">
        <v>962</v>
      </c>
      <c r="N5322" s="52" t="s">
        <v>117</v>
      </c>
    </row>
    <row r="5323" spans="1:16" x14ac:dyDescent="0.2">
      <c r="A5323" s="183">
        <v>597</v>
      </c>
      <c r="B5323" s="249" t="str">
        <f>IF(AND(A5323&lt;&gt;"",ISNUMBER(A5323)),VLOOKUP(A5323,Studies!A:BR,2,FALSE),"")</f>
        <v>Barre 1987</v>
      </c>
      <c r="C5323" s="250" t="str">
        <f>IF(AND(A5323&lt;&gt;"",ISNUMBER(A5323)),VLOOKUP(A5323,Studies!A:BR,3,FALSE),"")</f>
        <v>https://www.ncbi.nlm.nih.gov/pubmed/3606934</v>
      </c>
      <c r="D5323" s="250" t="str">
        <f>IF(AND(A5323&lt;&gt;"",ISNUMBER(A5323)),VLOOKUP(A5323,Studies!A:BR,4,FALSE),"")</f>
        <v>500 mg over 30 min, total concentrations</v>
      </c>
      <c r="E5323" s="250" t="str">
        <f>IF(AND(A5323&lt;&gt;"",ISNUMBER(A5323)),VLOOKUP(A5323,Studies!A:BR,5,FALSE),"")</f>
        <v>Erythromycin</v>
      </c>
      <c r="F5323" s="251" t="str">
        <f>IF(AND(A5323&lt;&gt;"",ISNUMBER(A5323)),VLOOKUP(A5323,Studies!A:BR,6,FALSE),"")</f>
        <v>Serum</v>
      </c>
      <c r="G5323" s="194">
        <v>0.5</v>
      </c>
      <c r="H5323" s="194" t="s">
        <v>60</v>
      </c>
      <c r="I5323" s="187">
        <v>11.4437305606283</v>
      </c>
      <c r="J5323" s="187" t="s">
        <v>962</v>
      </c>
      <c r="K5323" s="187" t="s">
        <v>116</v>
      </c>
      <c r="L5323" s="195">
        <v>5.1902928555915695</v>
      </c>
      <c r="M5323" s="195" t="s">
        <v>962</v>
      </c>
      <c r="N5323" s="195" t="s">
        <v>117</v>
      </c>
      <c r="O5323" s="59" t="s">
        <v>1957</v>
      </c>
      <c r="P5323" s="42" t="s">
        <v>1969</v>
      </c>
    </row>
    <row r="5324" spans="1:16" x14ac:dyDescent="0.2">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0.58333330000000005</v>
      </c>
      <c r="H5324" s="194" t="s">
        <v>60</v>
      </c>
      <c r="I5324" s="187">
        <v>7.9354468619323404</v>
      </c>
      <c r="J5324" s="187" t="s">
        <v>962</v>
      </c>
      <c r="K5324" s="187" t="s">
        <v>116</v>
      </c>
      <c r="L5324" s="195">
        <v>2.5762284840626837</v>
      </c>
      <c r="M5324" s="195" t="s">
        <v>962</v>
      </c>
      <c r="N5324" s="195" t="s">
        <v>117</v>
      </c>
      <c r="O5324" s="59" t="s">
        <v>1957</v>
      </c>
      <c r="P5324" s="42" t="s">
        <v>1969</v>
      </c>
    </row>
    <row r="5325" spans="1:16" x14ac:dyDescent="0.2">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0.66666669999999995</v>
      </c>
      <c r="H5325" s="194" t="s">
        <v>60</v>
      </c>
      <c r="I5325" s="187">
        <v>6.8648218068202498</v>
      </c>
      <c r="J5325" s="187" t="s">
        <v>962</v>
      </c>
      <c r="K5325" s="187" t="s">
        <v>116</v>
      </c>
      <c r="L5325" s="195">
        <v>4.3602531483979021</v>
      </c>
      <c r="M5325" s="195" t="s">
        <v>962</v>
      </c>
      <c r="N5325" s="195" t="s">
        <v>117</v>
      </c>
      <c r="O5325" s="59" t="s">
        <v>1957</v>
      </c>
      <c r="P5325" s="42" t="s">
        <v>1969</v>
      </c>
    </row>
    <row r="5326" spans="1:16" x14ac:dyDescent="0.2">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0.75</v>
      </c>
      <c r="H5326" s="194" t="s">
        <v>60</v>
      </c>
      <c r="I5326" s="187">
        <v>5.3120531222525598</v>
      </c>
      <c r="J5326" s="187" t="s">
        <v>962</v>
      </c>
      <c r="K5326" s="187" t="s">
        <v>116</v>
      </c>
      <c r="L5326" s="195">
        <v>1.7279931548688612</v>
      </c>
      <c r="M5326" s="195" t="s">
        <v>962</v>
      </c>
      <c r="N5326" s="195" t="s">
        <v>117</v>
      </c>
      <c r="O5326" s="59" t="s">
        <v>1957</v>
      </c>
      <c r="P5326" s="42" t="s">
        <v>1969</v>
      </c>
    </row>
    <row r="5327" spans="1:16" x14ac:dyDescent="0.2">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1</v>
      </c>
      <c r="H5327" s="194" t="s">
        <v>60</v>
      </c>
      <c r="I5327" s="187">
        <v>4.5425431398328202</v>
      </c>
      <c r="J5327" s="187" t="s">
        <v>962</v>
      </c>
      <c r="K5327" s="187" t="s">
        <v>116</v>
      </c>
      <c r="L5327" s="195">
        <v>2.0630330252012459</v>
      </c>
      <c r="M5327" s="195" t="s">
        <v>962</v>
      </c>
      <c r="N5327" s="195" t="s">
        <v>117</v>
      </c>
      <c r="O5327" s="59" t="s">
        <v>1957</v>
      </c>
      <c r="P5327" s="42" t="s">
        <v>1969</v>
      </c>
    </row>
    <row r="5328" spans="1:16" x14ac:dyDescent="0.2">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1.25</v>
      </c>
      <c r="H5328" s="194" t="s">
        <v>60</v>
      </c>
      <c r="I5328" s="187">
        <v>3.7935359045597199</v>
      </c>
      <c r="J5328" s="187" t="s">
        <v>962</v>
      </c>
      <c r="K5328" s="187" t="s">
        <v>116</v>
      </c>
      <c r="L5328" s="195">
        <v>1.5999869507163034</v>
      </c>
      <c r="M5328" s="195" t="s">
        <v>962</v>
      </c>
      <c r="N5328" s="195" t="s">
        <v>117</v>
      </c>
      <c r="O5328" s="59" t="s">
        <v>1957</v>
      </c>
      <c r="P5328" s="42" t="s">
        <v>1969</v>
      </c>
    </row>
    <row r="5329" spans="1:16" x14ac:dyDescent="0.2">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1.5</v>
      </c>
      <c r="H5329" s="194" t="s">
        <v>60</v>
      </c>
      <c r="I5329" s="187">
        <v>3.0900647720842298</v>
      </c>
      <c r="J5329" s="187" t="s">
        <v>962</v>
      </c>
      <c r="K5329" s="187" t="s">
        <v>116</v>
      </c>
      <c r="L5329" s="195">
        <v>1.2093391113947891</v>
      </c>
      <c r="M5329" s="195" t="s">
        <v>962</v>
      </c>
      <c r="N5329" s="195" t="s">
        <v>117</v>
      </c>
      <c r="O5329" s="59" t="s">
        <v>1957</v>
      </c>
      <c r="P5329" s="42" t="s">
        <v>1969</v>
      </c>
    </row>
    <row r="5330" spans="1:16" x14ac:dyDescent="0.2">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2</v>
      </c>
      <c r="H5330" s="194" t="s">
        <v>60</v>
      </c>
      <c r="I5330" s="187">
        <v>2.38374091725291</v>
      </c>
      <c r="J5330" s="187" t="s">
        <v>962</v>
      </c>
      <c r="K5330" s="187" t="s">
        <v>116</v>
      </c>
      <c r="L5330" s="195">
        <v>0.81526234490513128</v>
      </c>
      <c r="M5330" s="195" t="s">
        <v>962</v>
      </c>
      <c r="N5330" s="195" t="s">
        <v>117</v>
      </c>
      <c r="O5330" s="59" t="s">
        <v>1957</v>
      </c>
      <c r="P5330" s="42" t="s">
        <v>1969</v>
      </c>
    </row>
    <row r="5331" spans="1:16" x14ac:dyDescent="0.2">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2.5</v>
      </c>
      <c r="H5331" s="194" t="s">
        <v>60</v>
      </c>
      <c r="I5331" s="187">
        <v>1.89731733987531</v>
      </c>
      <c r="J5331" s="187" t="s">
        <v>962</v>
      </c>
      <c r="K5331" s="187" t="s">
        <v>116</v>
      </c>
      <c r="L5331" s="195">
        <v>0.68036110667056471</v>
      </c>
      <c r="M5331" s="195" t="s">
        <v>962</v>
      </c>
      <c r="N5331" s="195" t="s">
        <v>117</v>
      </c>
      <c r="O5331" s="59" t="s">
        <v>1957</v>
      </c>
      <c r="P5331" s="42" t="s">
        <v>1969</v>
      </c>
    </row>
    <row r="5332" spans="1:16" x14ac:dyDescent="0.2">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3.5</v>
      </c>
      <c r="H5332" s="194" t="s">
        <v>60</v>
      </c>
      <c r="I5332" s="187">
        <v>1.18495980499989</v>
      </c>
      <c r="J5332" s="187" t="s">
        <v>962</v>
      </c>
      <c r="K5332" s="187" t="s">
        <v>116</v>
      </c>
      <c r="L5332" s="195">
        <v>0.50124288975905551</v>
      </c>
      <c r="M5332" s="195" t="s">
        <v>962</v>
      </c>
      <c r="N5332" s="195" t="s">
        <v>117</v>
      </c>
      <c r="O5332" s="59" t="s">
        <v>1957</v>
      </c>
      <c r="P5332" s="42" t="s">
        <v>1969</v>
      </c>
    </row>
    <row r="5333" spans="1:16" x14ac:dyDescent="0.2">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4.5</v>
      </c>
      <c r="H5333" s="194" t="s">
        <v>60</v>
      </c>
      <c r="I5333" s="187">
        <v>0.71682424314385895</v>
      </c>
      <c r="J5333" s="187" t="s">
        <v>962</v>
      </c>
      <c r="K5333" s="187" t="s">
        <v>116</v>
      </c>
      <c r="L5333" s="195">
        <v>0.24469961110156715</v>
      </c>
      <c r="M5333" s="195" t="s">
        <v>962</v>
      </c>
      <c r="N5333" s="195" t="s">
        <v>117</v>
      </c>
      <c r="O5333" s="59" t="s">
        <v>1957</v>
      </c>
      <c r="P5333" s="42" t="s">
        <v>1969</v>
      </c>
    </row>
    <row r="5334" spans="1:16" x14ac:dyDescent="0.2">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6.5</v>
      </c>
      <c r="H5334" s="194" t="s">
        <v>60</v>
      </c>
      <c r="I5334" s="187">
        <v>0.32467917168058702</v>
      </c>
      <c r="J5334" s="187" t="s">
        <v>962</v>
      </c>
      <c r="K5334" s="187" t="s">
        <v>116</v>
      </c>
      <c r="L5334" s="195">
        <v>0.11104340280034257</v>
      </c>
      <c r="M5334" s="195" t="s">
        <v>962</v>
      </c>
      <c r="N5334" s="195" t="s">
        <v>117</v>
      </c>
      <c r="O5334" s="59" t="s">
        <v>1957</v>
      </c>
      <c r="P5334" s="42" t="s">
        <v>1969</v>
      </c>
    </row>
    <row r="5335" spans="1:16" x14ac:dyDescent="0.2">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9.5</v>
      </c>
      <c r="H5335" s="194" t="s">
        <v>60</v>
      </c>
      <c r="I5335" s="187">
        <v>0.120910679148983</v>
      </c>
      <c r="J5335" s="187" t="s">
        <v>962</v>
      </c>
      <c r="K5335" s="187" t="s">
        <v>116</v>
      </c>
      <c r="L5335" s="195">
        <v>4.5346595583201067E-2</v>
      </c>
      <c r="M5335" s="195" t="s">
        <v>962</v>
      </c>
      <c r="N5335" s="195" t="s">
        <v>117</v>
      </c>
      <c r="O5335" s="59" t="s">
        <v>1957</v>
      </c>
      <c r="P5335" s="42" t="s">
        <v>1969</v>
      </c>
    </row>
    <row r="5336" spans="1:16" x14ac:dyDescent="0.2">
      <c r="A5336" s="183">
        <v>598</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unbound concentrations</v>
      </c>
      <c r="E5336" s="250" t="str">
        <f>IF(AND(A5336&lt;&gt;"",ISNUMBER(A5336)),VLOOKUP(A5336,Studies!A:BR,5,FALSE),"")</f>
        <v>Erythromycin</v>
      </c>
      <c r="F5336" s="251" t="str">
        <f>IF(AND(A5336&lt;&gt;"",ISNUMBER(A5336)),VLOOKUP(A5336,Studies!A:BR,6,FALSE),"")</f>
        <v>Serum</v>
      </c>
      <c r="G5336" s="194">
        <v>0.5</v>
      </c>
      <c r="H5336" s="194" t="s">
        <v>60</v>
      </c>
      <c r="I5336" s="187">
        <v>4.4409143188766498</v>
      </c>
      <c r="J5336" s="187" t="s">
        <v>962</v>
      </c>
      <c r="K5336" s="187" t="s">
        <v>116</v>
      </c>
      <c r="L5336" s="195">
        <v>1.5761911930190393</v>
      </c>
      <c r="M5336" s="195" t="s">
        <v>962</v>
      </c>
      <c r="N5336" s="195" t="s">
        <v>117</v>
      </c>
      <c r="O5336" s="59" t="s">
        <v>1957</v>
      </c>
      <c r="P5336" s="42" t="s">
        <v>1969</v>
      </c>
    </row>
    <row r="5337" spans="1:16" x14ac:dyDescent="0.2">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0.58333330000000005</v>
      </c>
      <c r="H5337" s="194" t="s">
        <v>60</v>
      </c>
      <c r="I5337" s="187">
        <v>2.66280284957727</v>
      </c>
      <c r="J5337" s="187" t="s">
        <v>962</v>
      </c>
      <c r="K5337" s="187" t="s">
        <v>116</v>
      </c>
      <c r="L5337" s="195">
        <v>0.72989483278638745</v>
      </c>
      <c r="M5337" s="195" t="s">
        <v>962</v>
      </c>
      <c r="N5337" s="195" t="s">
        <v>117</v>
      </c>
      <c r="O5337" s="59" t="s">
        <v>1957</v>
      </c>
      <c r="P5337" s="42" t="s">
        <v>1969</v>
      </c>
    </row>
    <row r="5338" spans="1:16" x14ac:dyDescent="0.2">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0.66666669999999995</v>
      </c>
      <c r="H5338" s="194" t="s">
        <v>60</v>
      </c>
      <c r="I5338" s="187">
        <v>2.1624280369239099</v>
      </c>
      <c r="J5338" s="187" t="s">
        <v>962</v>
      </c>
      <c r="K5338" s="187" t="s">
        <v>116</v>
      </c>
      <c r="L5338" s="195">
        <v>0.66558453358839498</v>
      </c>
      <c r="M5338" s="195" t="s">
        <v>962</v>
      </c>
      <c r="N5338" s="195" t="s">
        <v>117</v>
      </c>
      <c r="O5338" s="59" t="s">
        <v>1957</v>
      </c>
      <c r="P5338" s="42" t="s">
        <v>1969</v>
      </c>
    </row>
    <row r="5339" spans="1:16" x14ac:dyDescent="0.2">
      <c r="A5339" s="30">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0.75</v>
      </c>
      <c r="H5339" s="194" t="s">
        <v>60</v>
      </c>
      <c r="I5339" s="187">
        <v>1.65746807478629</v>
      </c>
      <c r="J5339" s="187" t="s">
        <v>962</v>
      </c>
      <c r="K5339" s="187" t="s">
        <v>116</v>
      </c>
      <c r="L5339" s="195">
        <v>0.45432480421411064</v>
      </c>
      <c r="M5339" s="195" t="s">
        <v>962</v>
      </c>
      <c r="N5339" s="195" t="s">
        <v>117</v>
      </c>
      <c r="O5339" s="59" t="s">
        <v>1957</v>
      </c>
      <c r="P5339" s="42" t="s">
        <v>1969</v>
      </c>
    </row>
    <row r="5340" spans="1:16" x14ac:dyDescent="0.2">
      <c r="A5340" s="183">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1</v>
      </c>
      <c r="H5340" s="194" t="s">
        <v>60</v>
      </c>
      <c r="I5340" s="187">
        <v>1.36274642158749</v>
      </c>
      <c r="J5340" s="187" t="s">
        <v>962</v>
      </c>
      <c r="K5340" s="187" t="s">
        <v>116</v>
      </c>
      <c r="L5340" s="195">
        <v>0.48146709750268707</v>
      </c>
      <c r="M5340" s="195" t="s">
        <v>962</v>
      </c>
      <c r="N5340" s="195" t="s">
        <v>117</v>
      </c>
      <c r="O5340" s="59" t="s">
        <v>1957</v>
      </c>
      <c r="P5340" s="42" t="s">
        <v>1969</v>
      </c>
    </row>
    <row r="5341" spans="1:16" x14ac:dyDescent="0.2">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1.25</v>
      </c>
      <c r="H5341" s="194" t="s">
        <v>60</v>
      </c>
      <c r="I5341" s="187">
        <v>1.0813083422646399</v>
      </c>
      <c r="J5341" s="187" t="s">
        <v>962</v>
      </c>
      <c r="K5341" s="187" t="s">
        <v>116</v>
      </c>
      <c r="L5341" s="195">
        <v>0.29821116797833919</v>
      </c>
      <c r="M5341" s="195" t="s">
        <v>962</v>
      </c>
      <c r="N5341" s="195" t="s">
        <v>117</v>
      </c>
      <c r="O5341" s="59" t="s">
        <v>1957</v>
      </c>
      <c r="P5341" s="42" t="s">
        <v>1969</v>
      </c>
    </row>
    <row r="5342" spans="1:16" x14ac:dyDescent="0.2">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1.5</v>
      </c>
      <c r="H5342" s="194" t="s">
        <v>60</v>
      </c>
      <c r="I5342" s="187">
        <v>0.88766383922081804</v>
      </c>
      <c r="J5342" s="187" t="s">
        <v>962</v>
      </c>
      <c r="K5342" s="187" t="s">
        <v>116</v>
      </c>
      <c r="L5342" s="195">
        <v>0.27321848973596713</v>
      </c>
      <c r="M5342" s="195" t="s">
        <v>962</v>
      </c>
      <c r="N5342" s="195" t="s">
        <v>117</v>
      </c>
      <c r="O5342" s="59" t="s">
        <v>1957</v>
      </c>
      <c r="P5342" s="42" t="s">
        <v>1969</v>
      </c>
    </row>
    <row r="5343" spans="1:16" x14ac:dyDescent="0.2">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2</v>
      </c>
      <c r="H5343" s="194" t="s">
        <v>60</v>
      </c>
      <c r="I5343" s="187">
        <v>0.70804729075434503</v>
      </c>
      <c r="J5343" s="187" t="s">
        <v>962</v>
      </c>
      <c r="K5343" s="187" t="s">
        <v>116</v>
      </c>
      <c r="L5343" s="195">
        <v>0.21793341453601878</v>
      </c>
      <c r="M5343" s="195" t="s">
        <v>962</v>
      </c>
      <c r="N5343" s="195" t="s">
        <v>117</v>
      </c>
      <c r="O5343" s="59" t="s">
        <v>1957</v>
      </c>
      <c r="P5343" s="42" t="s">
        <v>1969</v>
      </c>
    </row>
    <row r="5344" spans="1:16" x14ac:dyDescent="0.2">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2.5</v>
      </c>
      <c r="H5344" s="194" t="s">
        <v>60</v>
      </c>
      <c r="I5344" s="187">
        <v>0.65155780872714897</v>
      </c>
      <c r="J5344" s="187" t="s">
        <v>962</v>
      </c>
      <c r="K5344" s="187" t="s">
        <v>116</v>
      </c>
      <c r="L5344" s="195">
        <v>0.19838887887569273</v>
      </c>
      <c r="M5344" s="195" t="s">
        <v>962</v>
      </c>
      <c r="N5344" s="195" t="s">
        <v>117</v>
      </c>
      <c r="O5344" s="59" t="s">
        <v>1957</v>
      </c>
      <c r="P5344" s="42" t="s">
        <v>1969</v>
      </c>
    </row>
    <row r="5345" spans="1:16" x14ac:dyDescent="0.2">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3.5</v>
      </c>
      <c r="H5345" s="194" t="s">
        <v>60</v>
      </c>
      <c r="I5345" s="187">
        <v>0.431748366871955</v>
      </c>
      <c r="J5345" s="187" t="s">
        <v>962</v>
      </c>
      <c r="K5345" s="187" t="s">
        <v>116</v>
      </c>
      <c r="L5345" s="195">
        <v>0.11135328387177154</v>
      </c>
      <c r="M5345" s="195" t="s">
        <v>962</v>
      </c>
      <c r="N5345" s="195" t="s">
        <v>117</v>
      </c>
      <c r="O5345" s="59" t="s">
        <v>1957</v>
      </c>
      <c r="P5345" s="42" t="s">
        <v>1969</v>
      </c>
    </row>
    <row r="5346" spans="1:16" x14ac:dyDescent="0.2">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4.5</v>
      </c>
      <c r="H5346" s="194" t="s">
        <v>60</v>
      </c>
      <c r="I5346" s="187">
        <v>0.31296730704021197</v>
      </c>
      <c r="J5346" s="187" t="s">
        <v>962</v>
      </c>
      <c r="K5346" s="187" t="s">
        <v>116</v>
      </c>
      <c r="L5346" s="195">
        <v>0.10128299375644786</v>
      </c>
      <c r="M5346" s="195" t="s">
        <v>962</v>
      </c>
      <c r="N5346" s="195" t="s">
        <v>117</v>
      </c>
      <c r="O5346" s="59" t="s">
        <v>1957</v>
      </c>
      <c r="P5346" s="42" t="s">
        <v>1969</v>
      </c>
    </row>
    <row r="5347" spans="1:16" x14ac:dyDescent="0.2">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6.5</v>
      </c>
      <c r="H5347" s="194" t="s">
        <v>60</v>
      </c>
      <c r="I5347" s="187">
        <v>0.17180175436768699</v>
      </c>
      <c r="J5347" s="187" t="s">
        <v>962</v>
      </c>
      <c r="K5347" s="187" t="s">
        <v>116</v>
      </c>
      <c r="L5347" s="195">
        <v>5.259540641192622E-2</v>
      </c>
      <c r="M5347" s="195" t="s">
        <v>962</v>
      </c>
      <c r="N5347" s="195" t="s">
        <v>117</v>
      </c>
      <c r="O5347" s="59" t="s">
        <v>1957</v>
      </c>
      <c r="P5347" s="42" t="s">
        <v>1969</v>
      </c>
    </row>
    <row r="5348" spans="1:16" x14ac:dyDescent="0.2">
      <c r="A5348" s="183">
        <v>599</v>
      </c>
      <c r="B5348" s="249" t="str">
        <f>IF(AND(A5348&lt;&gt;"",ISNUMBER(A5348)),VLOOKUP(A5348,Studies!A:BR,2,FALSE),"")</f>
        <v>Birkett 1990</v>
      </c>
      <c r="C5348" s="250" t="str">
        <f>IF(AND(A5348&lt;&gt;"",ISNUMBER(A5348)),VLOOKUP(A5348,Studies!A:BR,3,FALSE),"")</f>
        <v>https://www.ncbi.nlm.nih.gov/pubmed/2305423</v>
      </c>
      <c r="D5348" s="250" t="str">
        <f>IF(AND(A5348&lt;&gt;"",ISNUMBER(A5348)),VLOOKUP(A5348,Studies!A:BR,4,FALSE),"")</f>
        <v>250 mg erythromycin, single dose</v>
      </c>
      <c r="E5348" s="250" t="str">
        <f>IF(AND(A5348&lt;&gt;"",ISNUMBER(A5348)),VLOOKUP(A5348,Studies!A:BR,5,FALSE),"")</f>
        <v>Erythromycin</v>
      </c>
      <c r="F5348" s="251" t="str">
        <f>IF(AND(A5348&lt;&gt;"",ISNUMBER(A5348)),VLOOKUP(A5348,Studies!A:BR,6,FALSE),"")</f>
        <v>Plasma</v>
      </c>
      <c r="G5348" s="194">
        <v>2</v>
      </c>
      <c r="H5348" s="194" t="s">
        <v>60</v>
      </c>
      <c r="I5348" s="187">
        <v>0.44253725970192198</v>
      </c>
      <c r="J5348" s="187" t="s">
        <v>962</v>
      </c>
      <c r="K5348" s="187" t="s">
        <v>116</v>
      </c>
      <c r="M5348" s="195"/>
      <c r="N5348" s="195"/>
      <c r="O5348" s="59" t="s">
        <v>1959</v>
      </c>
    </row>
    <row r="5349" spans="1:16" x14ac:dyDescent="0.2">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2.5</v>
      </c>
      <c r="H5349" s="194" t="s">
        <v>60</v>
      </c>
      <c r="I5349" s="187">
        <v>1.3164446684426501</v>
      </c>
      <c r="J5349" s="187" t="s">
        <v>962</v>
      </c>
      <c r="K5349" s="187" t="s">
        <v>116</v>
      </c>
      <c r="M5349" s="195"/>
      <c r="N5349" s="195"/>
      <c r="O5349" s="59" t="s">
        <v>1959</v>
      </c>
    </row>
    <row r="5350" spans="1:16" x14ac:dyDescent="0.2">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3</v>
      </c>
      <c r="H5350" s="194" t="s">
        <v>60</v>
      </c>
      <c r="I5350" s="187">
        <v>1.3142846857225099</v>
      </c>
      <c r="J5350" s="187" t="s">
        <v>962</v>
      </c>
      <c r="K5350" s="187" t="s">
        <v>116</v>
      </c>
      <c r="M5350" s="195"/>
      <c r="N5350" s="195"/>
      <c r="O5350" s="59" t="s">
        <v>1959</v>
      </c>
    </row>
    <row r="5351" spans="1:16" x14ac:dyDescent="0.2">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4</v>
      </c>
      <c r="H5351" s="194" t="s">
        <v>60</v>
      </c>
      <c r="I5351" s="187">
        <v>0.91313269493843996</v>
      </c>
      <c r="J5351" s="187" t="s">
        <v>962</v>
      </c>
      <c r="K5351" s="187" t="s">
        <v>116</v>
      </c>
      <c r="M5351" s="195"/>
      <c r="N5351" s="195"/>
      <c r="O5351" s="59" t="s">
        <v>1959</v>
      </c>
    </row>
    <row r="5352" spans="1:16" x14ac:dyDescent="0.2">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6</v>
      </c>
      <c r="H5352" s="194" t="s">
        <v>60</v>
      </c>
      <c r="I5352" s="187">
        <v>0.37538339693282402</v>
      </c>
      <c r="J5352" s="187" t="s">
        <v>962</v>
      </c>
      <c r="K5352" s="187" t="s">
        <v>116</v>
      </c>
      <c r="M5352" s="195"/>
      <c r="N5352" s="195"/>
      <c r="O5352" s="59" t="s">
        <v>1959</v>
      </c>
    </row>
    <row r="5353" spans="1:16" x14ac:dyDescent="0.2">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8</v>
      </c>
      <c r="H5353" s="194" t="s">
        <v>60</v>
      </c>
      <c r="I5353" s="187">
        <v>0.121801425588595</v>
      </c>
      <c r="J5353" s="187" t="s">
        <v>962</v>
      </c>
      <c r="K5353" s="187" t="s">
        <v>116</v>
      </c>
      <c r="M5353" s="195"/>
      <c r="N5353" s="195"/>
      <c r="O5353" s="59" t="s">
        <v>1959</v>
      </c>
      <c r="P5353" s="42" t="s">
        <v>1961</v>
      </c>
    </row>
    <row r="5354" spans="1:16" x14ac:dyDescent="0.2">
      <c r="A5354" s="183">
        <v>600</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multiple dose</v>
      </c>
      <c r="E5354" s="250" t="str">
        <f>IF(AND(A5354&lt;&gt;"",ISNUMBER(A5354)),VLOOKUP(A5354,Studies!A:BR,5,FALSE),"")</f>
        <v>Erythromycin</v>
      </c>
      <c r="F5354" s="251" t="str">
        <f>IF(AND(A5354&lt;&gt;"",ISNUMBER(A5354)),VLOOKUP(A5354,Studies!A:BR,6,FALSE),"")</f>
        <v>Plasma</v>
      </c>
      <c r="G5354" s="194">
        <v>96</v>
      </c>
      <c r="H5354" s="194" t="s">
        <v>60</v>
      </c>
      <c r="I5354" s="187">
        <v>0.83945727067890097</v>
      </c>
      <c r="J5354" s="187" t="s">
        <v>962</v>
      </c>
      <c r="K5354" s="187" t="s">
        <v>116</v>
      </c>
      <c r="M5354" s="195"/>
      <c r="N5354" s="195"/>
      <c r="O5354" s="59" t="s">
        <v>1959</v>
      </c>
    </row>
    <row r="5355" spans="1:16" x14ac:dyDescent="0.2">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96.25</v>
      </c>
      <c r="H5355" s="194" t="s">
        <v>60</v>
      </c>
      <c r="I5355" s="187">
        <v>0.80957123730529301</v>
      </c>
      <c r="J5355" s="187" t="s">
        <v>962</v>
      </c>
      <c r="K5355" s="187" t="s">
        <v>116</v>
      </c>
      <c r="M5355" s="195"/>
      <c r="N5355" s="195"/>
      <c r="O5355" s="59" t="s">
        <v>1959</v>
      </c>
    </row>
    <row r="5356" spans="1:16" x14ac:dyDescent="0.2">
      <c r="A5356" s="30">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96.5</v>
      </c>
      <c r="H5356" s="194" t="s">
        <v>60</v>
      </c>
      <c r="I5356" s="187">
        <v>0.80481664108676398</v>
      </c>
      <c r="J5356" s="187" t="s">
        <v>962</v>
      </c>
      <c r="K5356" s="187" t="s">
        <v>116</v>
      </c>
      <c r="O5356" s="59" t="s">
        <v>1959</v>
      </c>
    </row>
    <row r="5357" spans="1:16" x14ac:dyDescent="0.2">
      <c r="A5357" s="183">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96.75</v>
      </c>
      <c r="H5357" s="194" t="s">
        <v>60</v>
      </c>
      <c r="I5357" s="187">
        <v>0.78339483394833898</v>
      </c>
      <c r="J5357" s="187" t="s">
        <v>962</v>
      </c>
      <c r="K5357" s="187" t="s">
        <v>116</v>
      </c>
      <c r="O5357" s="59" t="s">
        <v>1959</v>
      </c>
    </row>
    <row r="5358" spans="1:16" x14ac:dyDescent="0.2">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97</v>
      </c>
      <c r="H5358" s="194" t="s">
        <v>60</v>
      </c>
      <c r="I5358" s="187">
        <v>0.77864023772980995</v>
      </c>
      <c r="J5358" s="187" t="s">
        <v>962</v>
      </c>
      <c r="K5358" s="187" t="s">
        <v>116</v>
      </c>
      <c r="O5358" s="59" t="s">
        <v>1959</v>
      </c>
    </row>
    <row r="5359" spans="1:16" x14ac:dyDescent="0.2">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97.5</v>
      </c>
      <c r="H5359" s="194" t="s">
        <v>60</v>
      </c>
      <c r="I5359" s="187">
        <v>1.0921039741370799</v>
      </c>
      <c r="J5359" s="187" t="s">
        <v>962</v>
      </c>
      <c r="K5359" s="187" t="s">
        <v>116</v>
      </c>
      <c r="O5359" s="59" t="s">
        <v>1959</v>
      </c>
    </row>
    <row r="5360" spans="1:16" x14ac:dyDescent="0.2">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98</v>
      </c>
      <c r="H5360" s="194" t="s">
        <v>60</v>
      </c>
      <c r="I5360" s="187">
        <v>2.01345067432975</v>
      </c>
      <c r="J5360" s="187" t="s">
        <v>962</v>
      </c>
      <c r="K5360" s="187" t="s">
        <v>116</v>
      </c>
      <c r="O5360" s="59" t="s">
        <v>1959</v>
      </c>
    </row>
    <row r="5361" spans="1:15" x14ac:dyDescent="0.2">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98.5</v>
      </c>
      <c r="H5361" s="194" t="s">
        <v>60</v>
      </c>
      <c r="I5361" s="187">
        <v>2.4904254971753201</v>
      </c>
      <c r="J5361" s="187" t="s">
        <v>962</v>
      </c>
      <c r="K5361" s="187" t="s">
        <v>116</v>
      </c>
      <c r="O5361" s="59" t="s">
        <v>1959</v>
      </c>
    </row>
    <row r="5362" spans="1:15" x14ac:dyDescent="0.2">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99</v>
      </c>
      <c r="H5362" s="194" t="s">
        <v>60</v>
      </c>
      <c r="I5362" s="187">
        <v>2.5690069555562798</v>
      </c>
      <c r="J5362" s="187" t="s">
        <v>962</v>
      </c>
      <c r="K5362" s="187" t="s">
        <v>116</v>
      </c>
      <c r="O5362" s="59" t="s">
        <v>1959</v>
      </c>
    </row>
    <row r="5363" spans="1:15" x14ac:dyDescent="0.2">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100</v>
      </c>
      <c r="H5363" s="194" t="s">
        <v>60</v>
      </c>
      <c r="I5363" s="187">
        <v>2.2607941743134199</v>
      </c>
      <c r="J5363" s="187" t="s">
        <v>962</v>
      </c>
      <c r="K5363" s="187" t="s">
        <v>116</v>
      </c>
      <c r="O5363" s="59" t="s">
        <v>1959</v>
      </c>
    </row>
    <row r="5364" spans="1:15" x14ac:dyDescent="0.2">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101</v>
      </c>
      <c r="H5364" s="194" t="s">
        <v>60</v>
      </c>
      <c r="I5364" s="187">
        <v>1.88115795317245</v>
      </c>
      <c r="J5364" s="187" t="s">
        <v>962</v>
      </c>
      <c r="K5364" s="187" t="s">
        <v>116</v>
      </c>
      <c r="O5364" s="59" t="s">
        <v>1959</v>
      </c>
    </row>
    <row r="5365" spans="1:15" x14ac:dyDescent="0.2">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102</v>
      </c>
      <c r="H5365" s="194" t="s">
        <v>60</v>
      </c>
      <c r="I5365" s="187">
        <v>1.3677660581915501</v>
      </c>
      <c r="J5365" s="187" t="s">
        <v>962</v>
      </c>
      <c r="K5365" s="187" t="s">
        <v>116</v>
      </c>
      <c r="O5365" s="59" t="s">
        <v>1959</v>
      </c>
    </row>
    <row r="5366" spans="1:15" x14ac:dyDescent="0.2">
      <c r="A5366" s="183">
        <v>601</v>
      </c>
      <c r="B5366" s="249" t="str">
        <f>IF(AND(A5366&lt;&gt;"",ISNUMBER(A5366)),VLOOKUP(A5366,Studies!A:BR,2,FALSE),"")</f>
        <v>DiSanto 1981</v>
      </c>
      <c r="C5366" s="250" t="str">
        <f>IF(AND(A5366&lt;&gt;"",ISNUMBER(A5366)),VLOOKUP(A5366,Studies!A:BR,3,FALSE),"")</f>
        <v>https://www.ncbi.nlm.nih.gov/pubmed/7283417</v>
      </c>
      <c r="D5366" s="250" t="str">
        <f>IF(AND(A5366&lt;&gt;"",ISNUMBER(A5366)),VLOOKUP(A5366,Studies!A:BR,4,FALSE),"")</f>
        <v xml:space="preserve">Overnight fast, enteric-coated erythromycin tablets (study 1) </v>
      </c>
      <c r="E5366" s="250" t="str">
        <f>IF(AND(A5366&lt;&gt;"",ISNUMBER(A5366)),VLOOKUP(A5366,Studies!A:BR,5,FALSE),"")</f>
        <v>Erythromycin</v>
      </c>
      <c r="F5366" s="251" t="str">
        <f>IF(AND(A5366&lt;&gt;"",ISNUMBER(A5366)),VLOOKUP(A5366,Studies!A:BR,6,FALSE),"")</f>
        <v>Serum</v>
      </c>
      <c r="G5366" s="194">
        <v>1.5</v>
      </c>
      <c r="H5366" s="194" t="s">
        <v>60</v>
      </c>
      <c r="I5366" s="187">
        <v>3.9790399999999997E-3</v>
      </c>
      <c r="J5366" s="187" t="s">
        <v>959</v>
      </c>
      <c r="K5366" s="187" t="s">
        <v>116</v>
      </c>
    </row>
    <row r="5367" spans="1:15" x14ac:dyDescent="0.2">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3</v>
      </c>
      <c r="H5367" s="194" t="s">
        <v>60</v>
      </c>
      <c r="I5367" s="187">
        <v>0.30327229999999999</v>
      </c>
      <c r="J5367" s="187" t="s">
        <v>959</v>
      </c>
      <c r="K5367" s="187" t="s">
        <v>116</v>
      </c>
    </row>
    <row r="5368" spans="1:15" x14ac:dyDescent="0.2">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4.5</v>
      </c>
      <c r="H5368" s="194" t="s">
        <v>60</v>
      </c>
      <c r="I5368" s="187">
        <v>1.014211</v>
      </c>
      <c r="J5368" s="187" t="s">
        <v>959</v>
      </c>
      <c r="K5368" s="187" t="s">
        <v>116</v>
      </c>
    </row>
    <row r="5369" spans="1:15" x14ac:dyDescent="0.2">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6</v>
      </c>
      <c r="H5369" s="194" t="s">
        <v>60</v>
      </c>
      <c r="I5369" s="187">
        <v>0.66921310000000001</v>
      </c>
      <c r="J5369" s="187" t="s">
        <v>959</v>
      </c>
      <c r="K5369" s="187" t="s">
        <v>116</v>
      </c>
    </row>
    <row r="5370" spans="1:15" x14ac:dyDescent="0.2">
      <c r="A5370" s="30">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8</v>
      </c>
      <c r="H5370" s="194" t="s">
        <v>60</v>
      </c>
      <c r="I5370" s="187">
        <v>0.40011839999999999</v>
      </c>
      <c r="J5370" s="187" t="s">
        <v>959</v>
      </c>
      <c r="K5370" s="187" t="s">
        <v>116</v>
      </c>
    </row>
    <row r="5371" spans="1:15" x14ac:dyDescent="0.2">
      <c r="A5371" s="183">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10</v>
      </c>
      <c r="H5371" s="194" t="s">
        <v>60</v>
      </c>
      <c r="I5371" s="187">
        <v>0.229458</v>
      </c>
      <c r="J5371" s="187" t="s">
        <v>959</v>
      </c>
      <c r="K5371" s="187" t="s">
        <v>116</v>
      </c>
    </row>
    <row r="5372" spans="1:15" x14ac:dyDescent="0.2">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12</v>
      </c>
      <c r="H5372" s="194" t="s">
        <v>60</v>
      </c>
      <c r="I5372" s="187">
        <v>0.16171179999999999</v>
      </c>
      <c r="J5372" s="187" t="s">
        <v>959</v>
      </c>
      <c r="K5372" s="187" t="s">
        <v>116</v>
      </c>
    </row>
    <row r="5373" spans="1:15" x14ac:dyDescent="0.2">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14</v>
      </c>
      <c r="H5373" s="194" t="s">
        <v>60</v>
      </c>
      <c r="I5373" s="187">
        <v>0.1163314</v>
      </c>
      <c r="J5373" s="187" t="s">
        <v>959</v>
      </c>
      <c r="K5373" s="187" t="s">
        <v>116</v>
      </c>
    </row>
    <row r="5374" spans="1:15" x14ac:dyDescent="0.2">
      <c r="A5374" s="183">
        <v>602</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2h fast, enteric-coated erythromycin tablets (study 2)</v>
      </c>
      <c r="E5374" s="250" t="str">
        <f>IF(AND(A5374&lt;&gt;"",ISNUMBER(A5374)),VLOOKUP(A5374,Studies!A:BR,5,FALSE),"")</f>
        <v>Erythromycin</v>
      </c>
      <c r="F5374" s="251" t="str">
        <f>IF(AND(A5374&lt;&gt;"",ISNUMBER(A5374)),VLOOKUP(A5374,Studies!A:BR,6,FALSE),"")</f>
        <v>Serum</v>
      </c>
      <c r="G5374" s="194">
        <v>1.5</v>
      </c>
      <c r="H5374" s="194" t="s">
        <v>60</v>
      </c>
      <c r="I5374" s="187">
        <v>2.7736759999999999E-2</v>
      </c>
      <c r="J5374" s="187" t="s">
        <v>959</v>
      </c>
      <c r="K5374" s="187" t="s">
        <v>116</v>
      </c>
    </row>
    <row r="5375" spans="1:15" x14ac:dyDescent="0.2">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3</v>
      </c>
      <c r="H5375" s="194" t="s">
        <v>60</v>
      </c>
      <c r="I5375" s="187">
        <v>0.48376970000000002</v>
      </c>
      <c r="J5375" s="187" t="s">
        <v>959</v>
      </c>
      <c r="K5375" s="187" t="s">
        <v>116</v>
      </c>
    </row>
    <row r="5376" spans="1:15" x14ac:dyDescent="0.2">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4.5</v>
      </c>
      <c r="H5376" s="194" t="s">
        <v>60</v>
      </c>
      <c r="I5376" s="187">
        <v>0.78299609999999997</v>
      </c>
      <c r="J5376" s="187" t="s">
        <v>959</v>
      </c>
      <c r="K5376" s="187" t="s">
        <v>116</v>
      </c>
    </row>
    <row r="5377" spans="1:14" x14ac:dyDescent="0.2">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6</v>
      </c>
      <c r="H5377" s="194" t="s">
        <v>60</v>
      </c>
      <c r="I5377" s="187">
        <v>0.72275959999999995</v>
      </c>
      <c r="J5377" s="187" t="s">
        <v>959</v>
      </c>
      <c r="K5377" s="187" t="s">
        <v>116</v>
      </c>
    </row>
    <row r="5378" spans="1:14" x14ac:dyDescent="0.2">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8</v>
      </c>
      <c r="H5378" s="194" t="s">
        <v>60</v>
      </c>
      <c r="I5378" s="187">
        <v>0.51369719999999996</v>
      </c>
      <c r="J5378" s="187" t="s">
        <v>959</v>
      </c>
      <c r="K5378" s="187" t="s">
        <v>116</v>
      </c>
    </row>
    <row r="5379" spans="1:14" x14ac:dyDescent="0.2">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10</v>
      </c>
      <c r="H5379" s="194" t="s">
        <v>60</v>
      </c>
      <c r="I5379" s="187">
        <v>0.2816806</v>
      </c>
      <c r="J5379" s="187" t="s">
        <v>959</v>
      </c>
      <c r="K5379" s="187" t="s">
        <v>116</v>
      </c>
    </row>
    <row r="5380" spans="1:14" x14ac:dyDescent="0.2">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12</v>
      </c>
      <c r="H5380" s="194" t="s">
        <v>60</v>
      </c>
      <c r="I5380" s="187">
        <v>0.17589759999999999</v>
      </c>
      <c r="J5380" s="187" t="s">
        <v>959</v>
      </c>
      <c r="K5380" s="187" t="s">
        <v>116</v>
      </c>
    </row>
    <row r="5381" spans="1:14" x14ac:dyDescent="0.2">
      <c r="A5381" s="183">
        <v>603</v>
      </c>
      <c r="B5381" s="249" t="str">
        <f>IF(AND(A5381&lt;&gt;"",ISNUMBER(A5381)),VLOOKUP(A5381,Studies!A:BR,2,FALSE),"")</f>
        <v>Huppertz 2011</v>
      </c>
      <c r="C5381" s="250" t="str">
        <f>IF(AND(A5381&lt;&gt;"",ISNUMBER(A5381)),VLOOKUP(A5381,Studies!A:BR,3,FALSE),"")</f>
        <v>https://www.ncbi.nlm.nih.gov/pubmed/21274983</v>
      </c>
      <c r="D5381" s="250" t="str">
        <f>IF(AND(A5381&lt;&gt;"",ISNUMBER(A5381)),VLOOKUP(A5381,Studies!A:BR,4,FALSE),"")</f>
        <v>Treatment group, erythromycin</v>
      </c>
      <c r="E5381" s="250" t="str">
        <f>IF(AND(A5381&lt;&gt;"",ISNUMBER(A5381)),VLOOKUP(A5381,Studies!A:BR,5,FALSE),"")</f>
        <v>Erythromycin</v>
      </c>
      <c r="F5381" s="251" t="str">
        <f>IF(AND(A5381&lt;&gt;"",ISNUMBER(A5381)),VLOOKUP(A5381,Studies!A:BR,6,FALSE),"")</f>
        <v>Plasma</v>
      </c>
      <c r="G5381" s="194">
        <v>1</v>
      </c>
      <c r="H5381" s="194" t="s">
        <v>60</v>
      </c>
      <c r="I5381" s="187">
        <v>13.9</v>
      </c>
      <c r="J5381" s="187" t="s">
        <v>962</v>
      </c>
      <c r="K5381" s="187" t="s">
        <v>970</v>
      </c>
      <c r="L5381" s="195">
        <v>14.9</v>
      </c>
      <c r="M5381" s="52" t="s">
        <v>447</v>
      </c>
      <c r="N5381" s="52" t="s">
        <v>2933</v>
      </c>
    </row>
    <row r="5382" spans="1:14" x14ac:dyDescent="0.2">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1.33</v>
      </c>
      <c r="H5382" s="194" t="s">
        <v>60</v>
      </c>
      <c r="I5382" s="187">
        <v>7.98</v>
      </c>
      <c r="J5382" s="187" t="s">
        <v>962</v>
      </c>
      <c r="K5382" s="187" t="s">
        <v>970</v>
      </c>
      <c r="L5382" s="195">
        <v>15.9</v>
      </c>
      <c r="M5382" s="52" t="s">
        <v>447</v>
      </c>
      <c r="N5382" s="195" t="s">
        <v>2933</v>
      </c>
    </row>
    <row r="5383" spans="1:14" x14ac:dyDescent="0.2">
      <c r="A5383" s="30">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1.67</v>
      </c>
      <c r="H5383" s="194" t="s">
        <v>60</v>
      </c>
      <c r="I5383" s="187">
        <v>6.8</v>
      </c>
      <c r="J5383" s="187" t="s">
        <v>962</v>
      </c>
      <c r="K5383" s="187" t="s">
        <v>970</v>
      </c>
      <c r="L5383" s="195">
        <v>18.399999999999999</v>
      </c>
      <c r="M5383" s="52" t="s">
        <v>447</v>
      </c>
      <c r="N5383" s="195" t="s">
        <v>2933</v>
      </c>
    </row>
    <row r="5384" spans="1:14" x14ac:dyDescent="0.2">
      <c r="A5384" s="183">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4.25</v>
      </c>
      <c r="H5384" s="194" t="s">
        <v>60</v>
      </c>
      <c r="I5384" s="187">
        <v>2.97</v>
      </c>
      <c r="J5384" s="187" t="s">
        <v>962</v>
      </c>
      <c r="K5384" s="187" t="s">
        <v>970</v>
      </c>
      <c r="L5384" s="195">
        <v>23.7</v>
      </c>
      <c r="M5384" s="52" t="s">
        <v>447</v>
      </c>
      <c r="N5384" s="195" t="s">
        <v>2933</v>
      </c>
    </row>
    <row r="5385" spans="1:14" x14ac:dyDescent="0.2">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7.25</v>
      </c>
      <c r="H5385" s="194" t="s">
        <v>60</v>
      </c>
      <c r="I5385" s="187">
        <v>1.1399999999999999</v>
      </c>
      <c r="J5385" s="187" t="s">
        <v>962</v>
      </c>
      <c r="K5385" s="187" t="s">
        <v>970</v>
      </c>
      <c r="L5385" s="195">
        <v>27.4</v>
      </c>
      <c r="M5385" s="52" t="s">
        <v>447</v>
      </c>
      <c r="N5385" s="195" t="s">
        <v>2933</v>
      </c>
    </row>
    <row r="5386" spans="1:14" x14ac:dyDescent="0.2">
      <c r="A5386" s="183">
        <v>604</v>
      </c>
      <c r="B5386" s="249" t="str">
        <f>IF(AND(A5386&lt;&gt;"",ISNUMBER(A5386)),VLOOKUP(A5386,Studies!A:BR,2,FALSE),"")</f>
        <v>Iliopoulou 1982</v>
      </c>
      <c r="C5386" s="250" t="str">
        <f>IF(AND(A5386&lt;&gt;"",ISNUMBER(A5386)),VLOOKUP(A5386,Studies!A:BR,3,FALSE),"")</f>
        <v>https://www.ncbi.nlm.nih.gov/pubmed/7138734</v>
      </c>
      <c r="D5386" s="250" t="str">
        <f>IF(AND(A5386&lt;&gt;"",ISNUMBER(A5386)),VLOOKUP(A5386,Studies!A:BR,4,FALSE),"")</f>
        <v>fourth day, before theophylline administration</v>
      </c>
      <c r="E5386" s="250" t="str">
        <f>IF(AND(A5386&lt;&gt;"",ISNUMBER(A5386)),VLOOKUP(A5386,Studies!A:BR,5,FALSE),"")</f>
        <v>Erythromycin</v>
      </c>
      <c r="F5386" s="251" t="str">
        <f>IF(AND(A5386&lt;&gt;"",ISNUMBER(A5386)),VLOOKUP(A5386,Studies!A:BR,6,FALSE),"")</f>
        <v>Serum</v>
      </c>
      <c r="G5386" s="194">
        <v>72</v>
      </c>
      <c r="H5386" s="194" t="s">
        <v>60</v>
      </c>
      <c r="I5386" s="187">
        <v>0.244621709092985</v>
      </c>
      <c r="J5386" s="187" t="s">
        <v>959</v>
      </c>
      <c r="K5386" s="187" t="s">
        <v>116</v>
      </c>
    </row>
    <row r="5387" spans="1:14" x14ac:dyDescent="0.2">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72.166666699999993</v>
      </c>
      <c r="H5387" s="194" t="s">
        <v>60</v>
      </c>
      <c r="I5387" s="187">
        <v>0.40123297262698498</v>
      </c>
      <c r="J5387" s="187" t="s">
        <v>959</v>
      </c>
      <c r="K5387" s="187" t="s">
        <v>116</v>
      </c>
      <c r="L5387" s="195">
        <v>0.12924125454889701</v>
      </c>
      <c r="M5387" s="52" t="s">
        <v>959</v>
      </c>
      <c r="N5387" s="52" t="s">
        <v>949</v>
      </c>
    </row>
    <row r="5388" spans="1:14" x14ac:dyDescent="0.2">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72.333333300000007</v>
      </c>
      <c r="H5388" s="194" t="s">
        <v>60</v>
      </c>
      <c r="I5388" s="187">
        <v>0.55147352699888397</v>
      </c>
      <c r="J5388" s="187" t="s">
        <v>959</v>
      </c>
      <c r="K5388" s="187" t="s">
        <v>116</v>
      </c>
      <c r="L5388" s="195">
        <v>0.17847601818657199</v>
      </c>
      <c r="M5388" s="52" t="s">
        <v>959</v>
      </c>
      <c r="N5388" s="52" t="s">
        <v>949</v>
      </c>
    </row>
    <row r="5389" spans="1:14" x14ac:dyDescent="0.2">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72.5</v>
      </c>
      <c r="H5389" s="194" t="s">
        <v>60</v>
      </c>
      <c r="I5389" s="187">
        <v>0.80625681771057101</v>
      </c>
      <c r="J5389" s="187" t="s">
        <v>959</v>
      </c>
      <c r="K5389" s="187" t="s">
        <v>116</v>
      </c>
      <c r="L5389" s="195">
        <v>0.23999242727023906</v>
      </c>
      <c r="M5389" s="52" t="s">
        <v>959</v>
      </c>
      <c r="N5389" s="52" t="s">
        <v>949</v>
      </c>
    </row>
    <row r="5390" spans="1:14" x14ac:dyDescent="0.2">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72.75</v>
      </c>
      <c r="H5390" s="194" t="s">
        <v>60</v>
      </c>
      <c r="I5390" s="187">
        <v>0.92237801744732795</v>
      </c>
      <c r="J5390" s="187" t="s">
        <v>959</v>
      </c>
      <c r="K5390" s="187" t="s">
        <v>116</v>
      </c>
      <c r="L5390" s="195">
        <v>0.24620086365179206</v>
      </c>
      <c r="M5390" s="52" t="s">
        <v>959</v>
      </c>
      <c r="N5390" s="52" t="s">
        <v>949</v>
      </c>
    </row>
    <row r="5391" spans="1:14" x14ac:dyDescent="0.2">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73</v>
      </c>
      <c r="H5391" s="194" t="s">
        <v>60</v>
      </c>
      <c r="I5391" s="187">
        <v>1.1676322898792799</v>
      </c>
      <c r="J5391" s="187" t="s">
        <v>959</v>
      </c>
      <c r="K5391" s="187" t="s">
        <v>116</v>
      </c>
      <c r="L5391" s="195">
        <v>0.35390190910921016</v>
      </c>
      <c r="M5391" s="52" t="s">
        <v>959</v>
      </c>
      <c r="N5391" s="52" t="s">
        <v>949</v>
      </c>
    </row>
    <row r="5392" spans="1:14" x14ac:dyDescent="0.2">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73.5</v>
      </c>
      <c r="H5392" s="194" t="s">
        <v>60</v>
      </c>
      <c r="I5392" s="187">
        <v>1.3721801348066001</v>
      </c>
      <c r="J5392" s="187" t="s">
        <v>959</v>
      </c>
      <c r="K5392" s="187" t="s">
        <v>116</v>
      </c>
      <c r="L5392" s="195">
        <v>0.36000216363708004</v>
      </c>
      <c r="M5392" s="52" t="s">
        <v>959</v>
      </c>
      <c r="N5392" s="52" t="s">
        <v>949</v>
      </c>
    </row>
    <row r="5393" spans="1:16" x14ac:dyDescent="0.2">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74</v>
      </c>
      <c r="H5393" s="194" t="s">
        <v>60</v>
      </c>
      <c r="I5393" s="187">
        <v>1.28426134331811</v>
      </c>
      <c r="J5393" s="187" t="s">
        <v>959</v>
      </c>
      <c r="K5393" s="187" t="s">
        <v>116</v>
      </c>
      <c r="L5393" s="195">
        <v>0.32310313637223986</v>
      </c>
      <c r="M5393" s="52" t="s">
        <v>959</v>
      </c>
      <c r="N5393" s="52" t="s">
        <v>949</v>
      </c>
    </row>
    <row r="5394" spans="1:16" x14ac:dyDescent="0.2">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74.5</v>
      </c>
      <c r="H5394" s="194" t="s">
        <v>60</v>
      </c>
      <c r="I5394" s="187">
        <v>1.22104107003873</v>
      </c>
      <c r="J5394" s="187" t="s">
        <v>959</v>
      </c>
      <c r="K5394" s="187" t="s">
        <v>116</v>
      </c>
      <c r="L5394" s="195">
        <v>0.28617706364398998</v>
      </c>
      <c r="M5394" s="52" t="s">
        <v>959</v>
      </c>
      <c r="N5394" s="52" t="s">
        <v>949</v>
      </c>
    </row>
    <row r="5395" spans="1:16" x14ac:dyDescent="0.2">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75</v>
      </c>
      <c r="H5395" s="194" t="s">
        <v>60</v>
      </c>
      <c r="I5395" s="187">
        <v>1.0253941876293999</v>
      </c>
      <c r="J5395" s="187" t="s">
        <v>959</v>
      </c>
      <c r="K5395" s="187" t="s">
        <v>116</v>
      </c>
      <c r="L5395" s="195">
        <v>0.25537829090701014</v>
      </c>
      <c r="M5395" s="52" t="s">
        <v>959</v>
      </c>
      <c r="N5395" s="52" t="s">
        <v>949</v>
      </c>
    </row>
    <row r="5396" spans="1:16" x14ac:dyDescent="0.2">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76</v>
      </c>
      <c r="H5396" s="194" t="s">
        <v>60</v>
      </c>
      <c r="I5396" s="187">
        <v>0.80040297740501698</v>
      </c>
      <c r="J5396" s="187" t="s">
        <v>959</v>
      </c>
      <c r="K5396" s="187" t="s">
        <v>116</v>
      </c>
      <c r="L5396" s="195">
        <v>0.18158023637735099</v>
      </c>
      <c r="M5396" s="52" t="s">
        <v>959</v>
      </c>
      <c r="N5396" s="52" t="s">
        <v>949</v>
      </c>
    </row>
    <row r="5397" spans="1:16" x14ac:dyDescent="0.2">
      <c r="A5397" s="30">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77</v>
      </c>
      <c r="H5397" s="194" t="s">
        <v>60</v>
      </c>
      <c r="I5397" s="187">
        <v>0.56302193988093896</v>
      </c>
      <c r="J5397" s="187" t="s">
        <v>959</v>
      </c>
      <c r="K5397" s="187" t="s">
        <v>116</v>
      </c>
      <c r="L5397" s="195">
        <v>0.11687847271263008</v>
      </c>
      <c r="M5397" s="52" t="s">
        <v>959</v>
      </c>
      <c r="N5397" s="52" t="s">
        <v>949</v>
      </c>
      <c r="P5397" s="42" t="s">
        <v>1970</v>
      </c>
    </row>
    <row r="5398" spans="1:16" x14ac:dyDescent="0.2">
      <c r="A5398" s="183">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78</v>
      </c>
      <c r="H5398" s="194" t="s">
        <v>60</v>
      </c>
      <c r="I5398" s="187">
        <v>0.457986375096536</v>
      </c>
      <c r="J5398" s="187" t="s">
        <v>959</v>
      </c>
      <c r="K5398" s="187" t="s">
        <v>116</v>
      </c>
      <c r="L5398" s="195">
        <v>8.9238009093285997E-2</v>
      </c>
      <c r="M5398" s="52" t="s">
        <v>959</v>
      </c>
      <c r="N5398" s="52" t="s">
        <v>949</v>
      </c>
    </row>
    <row r="5399" spans="1:16" x14ac:dyDescent="0.2">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80</v>
      </c>
      <c r="H5399" s="194" t="s">
        <v>60</v>
      </c>
      <c r="I5399" s="187">
        <v>0.26346338194504898</v>
      </c>
      <c r="J5399" s="187" t="s">
        <v>959</v>
      </c>
      <c r="K5399" s="187" t="s">
        <v>116</v>
      </c>
      <c r="L5399" s="195">
        <v>4.3053372719541017E-2</v>
      </c>
      <c r="M5399" s="52" t="s">
        <v>959</v>
      </c>
      <c r="N5399" s="52" t="s">
        <v>949</v>
      </c>
    </row>
    <row r="5400" spans="1:16" x14ac:dyDescent="0.2">
      <c r="A5400" s="183">
        <v>605</v>
      </c>
      <c r="B5400" s="249" t="str">
        <f>IF(AND(A5400&lt;&gt;"",ISNUMBER(A5400)),VLOOKUP(A5400,Studies!A:BR,2,FALSE),"")</f>
        <v>Josefsson 1982a</v>
      </c>
      <c r="C5400" s="250" t="str">
        <f>IF(AND(A5400&lt;&gt;"",ISNUMBER(A5400)),VLOOKUP(A5400,Studies!A:BR,3,FALSE),"")</f>
        <v>https://www.ncbi.nlm.nih.gov/pubmed/7082537</v>
      </c>
      <c r="D5400" s="250" t="str">
        <f>IF(AND(A5400&lt;&gt;"",ISNUMBER(A5400)),VLOOKUP(A5400,Studies!A:BR,4,FALSE),"")</f>
        <v>erythromycin base 250 mg</v>
      </c>
      <c r="E5400" s="250" t="str">
        <f>IF(AND(A5400&lt;&gt;"",ISNUMBER(A5400)),VLOOKUP(A5400,Studies!A:BR,5,FALSE),"")</f>
        <v>Erythromycin</v>
      </c>
      <c r="F5400" s="251" t="str">
        <f>IF(AND(A5400&lt;&gt;"",ISNUMBER(A5400)),VLOOKUP(A5400,Studies!A:BR,6,FALSE),"")</f>
        <v>Serum</v>
      </c>
      <c r="G5400" s="194">
        <v>1</v>
      </c>
      <c r="H5400" s="194" t="s">
        <v>60</v>
      </c>
      <c r="I5400" s="187">
        <v>7.6784246094611305E-2</v>
      </c>
      <c r="J5400" s="187" t="s">
        <v>962</v>
      </c>
      <c r="K5400" s="187" t="s">
        <v>116</v>
      </c>
      <c r="O5400" s="59" t="s">
        <v>1962</v>
      </c>
    </row>
    <row r="5401" spans="1:16" x14ac:dyDescent="0.2">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1.5</v>
      </c>
      <c r="H5401" s="194" t="s">
        <v>60</v>
      </c>
      <c r="I5401" s="187">
        <v>0.55702969899933796</v>
      </c>
      <c r="J5401" s="187" t="s">
        <v>962</v>
      </c>
      <c r="K5401" s="187" t="s">
        <v>116</v>
      </c>
      <c r="L5401" s="195">
        <v>0.15523893556861301</v>
      </c>
      <c r="M5401" s="52" t="s">
        <v>962</v>
      </c>
      <c r="N5401" s="52" t="s">
        <v>949</v>
      </c>
      <c r="O5401" s="59" t="s">
        <v>1962</v>
      </c>
    </row>
    <row r="5402" spans="1:16" x14ac:dyDescent="0.2">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2</v>
      </c>
      <c r="H5402" s="194" t="s">
        <v>60</v>
      </c>
      <c r="I5402" s="187">
        <v>1.70618244530451</v>
      </c>
      <c r="J5402" s="187" t="s">
        <v>962</v>
      </c>
      <c r="K5402" s="187" t="s">
        <v>116</v>
      </c>
      <c r="L5402" s="195">
        <v>0.16718471133214008</v>
      </c>
      <c r="M5402" s="52" t="s">
        <v>962</v>
      </c>
      <c r="N5402" s="52" t="s">
        <v>949</v>
      </c>
      <c r="O5402" s="59" t="s">
        <v>1962</v>
      </c>
    </row>
    <row r="5403" spans="1:16" x14ac:dyDescent="0.2">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2.5</v>
      </c>
      <c r="H5403" s="194" t="s">
        <v>60</v>
      </c>
      <c r="I5403" s="187">
        <v>1.2785489401808801</v>
      </c>
      <c r="J5403" s="187" t="s">
        <v>962</v>
      </c>
      <c r="K5403" s="187" t="s">
        <v>116</v>
      </c>
      <c r="L5403" s="195">
        <v>0.14329315980507995</v>
      </c>
      <c r="M5403" s="52" t="s">
        <v>962</v>
      </c>
      <c r="N5403" s="52" t="s">
        <v>949</v>
      </c>
      <c r="O5403" s="59" t="s">
        <v>1962</v>
      </c>
    </row>
    <row r="5404" spans="1:16" x14ac:dyDescent="0.2">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3</v>
      </c>
      <c r="H5404" s="194" t="s">
        <v>60</v>
      </c>
      <c r="I5404" s="187">
        <v>0.94636934245091897</v>
      </c>
      <c r="J5404" s="187" t="s">
        <v>962</v>
      </c>
      <c r="K5404" s="187" t="s">
        <v>116</v>
      </c>
      <c r="L5404" s="195">
        <v>0.15518278621132109</v>
      </c>
      <c r="M5404" s="52" t="s">
        <v>962</v>
      </c>
      <c r="N5404" s="52" t="s">
        <v>949</v>
      </c>
      <c r="O5404" s="59" t="s">
        <v>1962</v>
      </c>
    </row>
    <row r="5405" spans="1:16" x14ac:dyDescent="0.2">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3.5</v>
      </c>
      <c r="H5405" s="194" t="s">
        <v>60</v>
      </c>
      <c r="I5405" s="187">
        <v>0.72187017466460801</v>
      </c>
      <c r="J5405" s="187" t="s">
        <v>962</v>
      </c>
      <c r="K5405" s="187" t="s">
        <v>116</v>
      </c>
      <c r="L5405" s="195">
        <v>0.11945775763530897</v>
      </c>
      <c r="M5405" s="52" t="s">
        <v>962</v>
      </c>
      <c r="N5405" s="52" t="s">
        <v>949</v>
      </c>
      <c r="O5405" s="59" t="s">
        <v>1962</v>
      </c>
    </row>
    <row r="5406" spans="1:16" x14ac:dyDescent="0.2">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4</v>
      </c>
      <c r="H5406" s="194" t="s">
        <v>60</v>
      </c>
      <c r="I5406" s="187">
        <v>0.604770690035493</v>
      </c>
      <c r="J5406" s="187" t="s">
        <v>962</v>
      </c>
      <c r="K5406" s="187" t="s">
        <v>116</v>
      </c>
      <c r="L5406" s="195">
        <v>9.5510056750958028E-2</v>
      </c>
      <c r="M5406" s="52" t="s">
        <v>962</v>
      </c>
      <c r="N5406" s="52" t="s">
        <v>949</v>
      </c>
      <c r="O5406" s="59" t="s">
        <v>1962</v>
      </c>
    </row>
    <row r="5407" spans="1:16" x14ac:dyDescent="0.2">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5</v>
      </c>
      <c r="H5407" s="194" t="s">
        <v>60</v>
      </c>
      <c r="I5407" s="187">
        <v>0.34673631860749499</v>
      </c>
      <c r="J5407" s="187" t="s">
        <v>962</v>
      </c>
      <c r="K5407" s="187" t="s">
        <v>116</v>
      </c>
      <c r="O5407" s="59" t="s">
        <v>1962</v>
      </c>
    </row>
    <row r="5408" spans="1:16" x14ac:dyDescent="0.2">
      <c r="A5408" s="30">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6</v>
      </c>
      <c r="H5408" s="194" t="s">
        <v>60</v>
      </c>
      <c r="I5408" s="187">
        <v>0.26783243427517101</v>
      </c>
      <c r="J5408" s="187" t="s">
        <v>962</v>
      </c>
      <c r="K5408" s="187" t="s">
        <v>116</v>
      </c>
      <c r="O5408" s="59" t="s">
        <v>1962</v>
      </c>
    </row>
    <row r="5409" spans="1:15" x14ac:dyDescent="0.2">
      <c r="A5409" s="183">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7</v>
      </c>
      <c r="H5409" s="194" t="s">
        <v>60</v>
      </c>
      <c r="I5409" s="187">
        <v>0.201042773778249</v>
      </c>
      <c r="J5409" s="187" t="s">
        <v>962</v>
      </c>
      <c r="K5409" s="187" t="s">
        <v>116</v>
      </c>
      <c r="M5409" s="195"/>
      <c r="N5409" s="195"/>
      <c r="O5409" s="59" t="s">
        <v>1962</v>
      </c>
    </row>
    <row r="5410" spans="1:15" x14ac:dyDescent="0.2">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9</v>
      </c>
      <c r="H5410" s="194" t="s">
        <v>60</v>
      </c>
      <c r="I5410" s="187">
        <v>0.115078107766658</v>
      </c>
      <c r="J5410" s="187" t="s">
        <v>962</v>
      </c>
      <c r="K5410" s="187" t="s">
        <v>116</v>
      </c>
      <c r="M5410" s="195"/>
      <c r="N5410" s="195"/>
      <c r="O5410" s="59" t="s">
        <v>1962</v>
      </c>
    </row>
    <row r="5411" spans="1:15" x14ac:dyDescent="0.2">
      <c r="A5411" s="183">
        <v>606</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500 mg</v>
      </c>
      <c r="E5411" s="250" t="str">
        <f>IF(AND(A5411&lt;&gt;"",ISNUMBER(A5411)),VLOOKUP(A5411,Studies!A:BR,5,FALSE),"")</f>
        <v>Erythromycin</v>
      </c>
      <c r="F5411" s="251" t="str">
        <f>IF(AND(A5411&lt;&gt;"",ISNUMBER(A5411)),VLOOKUP(A5411,Studies!A:BR,6,FALSE),"")</f>
        <v>Serum</v>
      </c>
      <c r="G5411" s="194">
        <v>1</v>
      </c>
      <c r="H5411" s="194" t="s">
        <v>60</v>
      </c>
      <c r="I5411" s="187">
        <v>8.8730021858142799E-2</v>
      </c>
      <c r="J5411" s="187" t="s">
        <v>962</v>
      </c>
      <c r="K5411" s="187" t="s">
        <v>116</v>
      </c>
      <c r="M5411" s="195"/>
      <c r="N5411" s="195"/>
      <c r="O5411" s="59" t="s">
        <v>1962</v>
      </c>
    </row>
    <row r="5412" spans="1:15" x14ac:dyDescent="0.2">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1.5</v>
      </c>
      <c r="H5412" s="194" t="s">
        <v>60</v>
      </c>
      <c r="I5412" s="187">
        <v>1.52458138648805</v>
      </c>
      <c r="J5412" s="187" t="s">
        <v>962</v>
      </c>
      <c r="K5412" s="187" t="s">
        <v>116</v>
      </c>
      <c r="L5412" s="195">
        <v>0.41815830108088003</v>
      </c>
      <c r="M5412" s="195" t="s">
        <v>962</v>
      </c>
      <c r="N5412" s="195" t="s">
        <v>949</v>
      </c>
      <c r="O5412" s="59" t="s">
        <v>1962</v>
      </c>
    </row>
    <row r="5413" spans="1:15" x14ac:dyDescent="0.2">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2</v>
      </c>
      <c r="H5413" s="194" t="s">
        <v>60</v>
      </c>
      <c r="I5413" s="187">
        <v>3.4382637816592099</v>
      </c>
      <c r="J5413" s="187" t="s">
        <v>962</v>
      </c>
      <c r="K5413" s="187" t="s">
        <v>116</v>
      </c>
      <c r="L5413" s="195">
        <v>0.35842942226322005</v>
      </c>
      <c r="M5413" s="195" t="s">
        <v>962</v>
      </c>
      <c r="N5413" s="195" t="s">
        <v>949</v>
      </c>
      <c r="O5413" s="59" t="s">
        <v>1962</v>
      </c>
    </row>
    <row r="5414" spans="1:15" x14ac:dyDescent="0.2">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2.5</v>
      </c>
      <c r="H5414" s="194" t="s">
        <v>60</v>
      </c>
      <c r="I5414" s="187">
        <v>2.7119297330900101</v>
      </c>
      <c r="J5414" s="187" t="s">
        <v>962</v>
      </c>
      <c r="K5414" s="187" t="s">
        <v>116</v>
      </c>
      <c r="L5414" s="195">
        <v>0.28664246896746004</v>
      </c>
      <c r="M5414" s="195" t="s">
        <v>962</v>
      </c>
      <c r="N5414" s="195" t="s">
        <v>949</v>
      </c>
      <c r="O5414" s="59" t="s">
        <v>1962</v>
      </c>
    </row>
    <row r="5415" spans="1:15" x14ac:dyDescent="0.2">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3</v>
      </c>
      <c r="H5415" s="194" t="s">
        <v>60</v>
      </c>
      <c r="I5415" s="187">
        <v>2.33202318166322</v>
      </c>
      <c r="J5415" s="187" t="s">
        <v>962</v>
      </c>
      <c r="K5415" s="187" t="s">
        <v>116</v>
      </c>
      <c r="L5415" s="195">
        <v>0.27480899191849995</v>
      </c>
      <c r="M5415" s="195" t="s">
        <v>962</v>
      </c>
      <c r="N5415" s="195" t="s">
        <v>949</v>
      </c>
      <c r="O5415" s="59" t="s">
        <v>1962</v>
      </c>
    </row>
    <row r="5416" spans="1:15" x14ac:dyDescent="0.2">
      <c r="A5416" s="30">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3.5</v>
      </c>
      <c r="H5416" s="194" t="s">
        <v>60</v>
      </c>
      <c r="I5416" s="187">
        <v>1.7969338440250999</v>
      </c>
      <c r="J5416" s="187" t="s">
        <v>962</v>
      </c>
      <c r="K5416" s="187" t="s">
        <v>116</v>
      </c>
      <c r="L5416" s="195">
        <v>0.19113241221650012</v>
      </c>
      <c r="M5416" s="195" t="s">
        <v>962</v>
      </c>
      <c r="N5416" s="195" t="s">
        <v>949</v>
      </c>
      <c r="O5416" s="59" t="s">
        <v>1962</v>
      </c>
    </row>
    <row r="5417" spans="1:15" x14ac:dyDescent="0.2">
      <c r="A5417" s="183">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4</v>
      </c>
      <c r="H5417" s="194" t="s">
        <v>60</v>
      </c>
      <c r="I5417" s="187">
        <v>1.50059157358573</v>
      </c>
      <c r="J5417" s="187" t="s">
        <v>962</v>
      </c>
      <c r="K5417" s="187" t="s">
        <v>116</v>
      </c>
      <c r="L5417" s="195">
        <v>0.16735315940402007</v>
      </c>
      <c r="M5417" s="195" t="s">
        <v>962</v>
      </c>
      <c r="N5417" s="195" t="s">
        <v>949</v>
      </c>
      <c r="O5417" s="59" t="s">
        <v>1962</v>
      </c>
    </row>
    <row r="5418" spans="1:15" x14ac:dyDescent="0.2">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5</v>
      </c>
      <c r="H5418" s="194" t="s">
        <v>60</v>
      </c>
      <c r="I5418" s="187">
        <v>1.1351013696432499</v>
      </c>
      <c r="J5418" s="187" t="s">
        <v>962</v>
      </c>
      <c r="K5418" s="187" t="s">
        <v>116</v>
      </c>
      <c r="L5418" s="195">
        <v>0.13145968275613007</v>
      </c>
      <c r="M5418" s="195" t="s">
        <v>962</v>
      </c>
      <c r="N5418" s="195" t="s">
        <v>949</v>
      </c>
      <c r="O5418" s="59" t="s">
        <v>1962</v>
      </c>
    </row>
    <row r="5419" spans="1:15" x14ac:dyDescent="0.2">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6</v>
      </c>
      <c r="H5419" s="194" t="s">
        <v>60</v>
      </c>
      <c r="I5419" s="187">
        <v>0.79344656787053502</v>
      </c>
      <c r="J5419" s="187" t="s">
        <v>962</v>
      </c>
      <c r="K5419" s="187" t="s">
        <v>116</v>
      </c>
      <c r="L5419" s="195">
        <v>0.11951390699259902</v>
      </c>
      <c r="M5419" s="195" t="s">
        <v>962</v>
      </c>
      <c r="N5419" s="195" t="s">
        <v>949</v>
      </c>
      <c r="O5419" s="59" t="s">
        <v>1962</v>
      </c>
    </row>
    <row r="5420" spans="1:15" x14ac:dyDescent="0.2">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7</v>
      </c>
      <c r="H5420" s="194" t="s">
        <v>60</v>
      </c>
      <c r="I5420" s="187">
        <v>0.64292417831431603</v>
      </c>
      <c r="J5420" s="187" t="s">
        <v>962</v>
      </c>
      <c r="K5420" s="187" t="s">
        <v>116</v>
      </c>
      <c r="L5420" s="195">
        <v>0.13145968275613096</v>
      </c>
      <c r="M5420" s="195" t="s">
        <v>962</v>
      </c>
      <c r="N5420" s="195" t="s">
        <v>949</v>
      </c>
      <c r="O5420" s="59" t="s">
        <v>1962</v>
      </c>
    </row>
    <row r="5421" spans="1:15" x14ac:dyDescent="0.2">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9</v>
      </c>
      <c r="H5421" s="194" t="s">
        <v>60</v>
      </c>
      <c r="I5421" s="187">
        <v>0.30615437062586398</v>
      </c>
      <c r="J5421" s="187" t="s">
        <v>962</v>
      </c>
      <c r="K5421" s="187" t="s">
        <v>116</v>
      </c>
      <c r="L5421" s="195">
        <v>9.5622355465538045E-2</v>
      </c>
      <c r="M5421" s="195" t="s">
        <v>962</v>
      </c>
      <c r="N5421" s="195" t="s">
        <v>949</v>
      </c>
      <c r="O5421" s="59" t="s">
        <v>1962</v>
      </c>
    </row>
    <row r="5422" spans="1:15" x14ac:dyDescent="0.2">
      <c r="A5422" s="183">
        <v>607</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1000 mg</v>
      </c>
      <c r="E5422" s="250" t="str">
        <f>IF(AND(A5422&lt;&gt;"",ISNUMBER(A5422)),VLOOKUP(A5422,Studies!A:BR,5,FALSE),"")</f>
        <v>Erythromycin</v>
      </c>
      <c r="F5422" s="251" t="str">
        <f>IF(AND(A5422&lt;&gt;"",ISNUMBER(A5422)),VLOOKUP(A5422,Studies!A:BR,6,FALSE),"")</f>
        <v>Serum</v>
      </c>
      <c r="G5422" s="194">
        <v>1</v>
      </c>
      <c r="H5422" s="194" t="s">
        <v>60</v>
      </c>
      <c r="I5422" s="187">
        <v>0.30381013495899001</v>
      </c>
      <c r="J5422" s="187" t="s">
        <v>962</v>
      </c>
      <c r="K5422" s="187" t="s">
        <v>116</v>
      </c>
      <c r="L5422" s="195">
        <v>7.1674654581185993E-2</v>
      </c>
      <c r="M5422" s="195" t="s">
        <v>962</v>
      </c>
      <c r="N5422" s="195" t="s">
        <v>949</v>
      </c>
      <c r="O5422" s="59" t="s">
        <v>1962</v>
      </c>
    </row>
    <row r="5423" spans="1:15" x14ac:dyDescent="0.2">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1.5</v>
      </c>
      <c r="H5423" s="194" t="s">
        <v>60</v>
      </c>
      <c r="I5423" s="187">
        <v>3.5433613411675</v>
      </c>
      <c r="J5423" s="187" t="s">
        <v>962</v>
      </c>
      <c r="K5423" s="187" t="s">
        <v>116</v>
      </c>
      <c r="L5423" s="195">
        <v>0.40610022660276002</v>
      </c>
      <c r="M5423" s="195" t="s">
        <v>962</v>
      </c>
      <c r="N5423" s="195" t="s">
        <v>949</v>
      </c>
      <c r="O5423" s="59" t="s">
        <v>1962</v>
      </c>
    </row>
    <row r="5424" spans="1:15" x14ac:dyDescent="0.2">
      <c r="A5424" s="30">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2</v>
      </c>
      <c r="H5424" s="194" t="s">
        <v>60</v>
      </c>
      <c r="I5424" s="187">
        <v>6.3289730683618401</v>
      </c>
      <c r="J5424" s="187" t="s">
        <v>962</v>
      </c>
      <c r="K5424" s="187" t="s">
        <v>116</v>
      </c>
      <c r="L5424" s="195">
        <v>0.63312611546713971</v>
      </c>
      <c r="M5424" s="195" t="s">
        <v>962</v>
      </c>
      <c r="N5424" s="195" t="s">
        <v>949</v>
      </c>
      <c r="O5424" s="59" t="s">
        <v>1962</v>
      </c>
    </row>
    <row r="5425" spans="1:15" x14ac:dyDescent="0.2">
      <c r="A5425" s="183">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2.5</v>
      </c>
      <c r="H5425" s="194" t="s">
        <v>60</v>
      </c>
      <c r="I5425" s="187">
        <v>5.1487556901357596</v>
      </c>
      <c r="J5425" s="187" t="s">
        <v>962</v>
      </c>
      <c r="K5425" s="187" t="s">
        <v>116</v>
      </c>
      <c r="L5425" s="195">
        <v>0.47777488118394995</v>
      </c>
      <c r="M5425" s="195" t="s">
        <v>962</v>
      </c>
      <c r="N5425" s="195" t="s">
        <v>949</v>
      </c>
      <c r="O5425" s="59" t="s">
        <v>1962</v>
      </c>
    </row>
    <row r="5426" spans="1:15" x14ac:dyDescent="0.2">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3</v>
      </c>
      <c r="H5426" s="194" t="s">
        <v>60</v>
      </c>
      <c r="I5426" s="187">
        <v>4.3866966129905496</v>
      </c>
      <c r="J5426" s="187" t="s">
        <v>962</v>
      </c>
      <c r="K5426" s="187" t="s">
        <v>116</v>
      </c>
      <c r="L5426" s="195">
        <v>0.43010407684440993</v>
      </c>
      <c r="M5426" s="195" t="s">
        <v>962</v>
      </c>
      <c r="N5426" s="195" t="s">
        <v>949</v>
      </c>
      <c r="O5426" s="59" t="s">
        <v>1962</v>
      </c>
    </row>
    <row r="5427" spans="1:15" x14ac:dyDescent="0.2">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3.5</v>
      </c>
      <c r="H5427" s="194" t="s">
        <v>60</v>
      </c>
      <c r="I5427" s="187">
        <v>3.8157137987045502</v>
      </c>
      <c r="J5427" s="187" t="s">
        <v>962</v>
      </c>
      <c r="K5427" s="187" t="s">
        <v>116</v>
      </c>
      <c r="L5427" s="195">
        <v>0.38220867507569967</v>
      </c>
      <c r="M5427" s="195" t="s">
        <v>962</v>
      </c>
      <c r="N5427" s="195" t="s">
        <v>949</v>
      </c>
      <c r="O5427" s="59" t="s">
        <v>1962</v>
      </c>
    </row>
    <row r="5428" spans="1:15" x14ac:dyDescent="0.2">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4</v>
      </c>
      <c r="H5428" s="194" t="s">
        <v>60</v>
      </c>
      <c r="I5428" s="187">
        <v>3.5792127057974201</v>
      </c>
      <c r="J5428" s="187" t="s">
        <v>962</v>
      </c>
      <c r="K5428" s="187" t="s">
        <v>116</v>
      </c>
      <c r="L5428" s="195">
        <v>0.28669861832473975</v>
      </c>
      <c r="M5428" s="195" t="s">
        <v>962</v>
      </c>
      <c r="N5428" s="195" t="s">
        <v>949</v>
      </c>
      <c r="O5428" s="59" t="s">
        <v>1962</v>
      </c>
    </row>
    <row r="5429" spans="1:15" x14ac:dyDescent="0.2">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5</v>
      </c>
      <c r="H5429" s="194" t="s">
        <v>60</v>
      </c>
      <c r="I5429" s="187">
        <v>2.8672388553552399</v>
      </c>
      <c r="J5429" s="187" t="s">
        <v>962</v>
      </c>
      <c r="K5429" s="187" t="s">
        <v>116</v>
      </c>
      <c r="L5429" s="195">
        <v>0.25091744039144004</v>
      </c>
      <c r="M5429" s="195" t="s">
        <v>962</v>
      </c>
      <c r="N5429" s="195" t="s">
        <v>949</v>
      </c>
      <c r="O5429" s="59" t="s">
        <v>1962</v>
      </c>
    </row>
    <row r="5430" spans="1:15" x14ac:dyDescent="0.2">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6</v>
      </c>
      <c r="H5430" s="194" t="s">
        <v>60</v>
      </c>
      <c r="I5430" s="187">
        <v>2.03580724727775</v>
      </c>
      <c r="J5430" s="187" t="s">
        <v>962</v>
      </c>
      <c r="K5430" s="187" t="s">
        <v>116</v>
      </c>
      <c r="L5430" s="195">
        <v>0.22702588886438013</v>
      </c>
      <c r="M5430" s="195" t="s">
        <v>962</v>
      </c>
      <c r="N5430" s="195" t="s">
        <v>949</v>
      </c>
      <c r="O5430" s="59" t="s">
        <v>1962</v>
      </c>
    </row>
    <row r="5431" spans="1:15" x14ac:dyDescent="0.2">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7</v>
      </c>
      <c r="H5431" s="194" t="s">
        <v>60</v>
      </c>
      <c r="I5431" s="187">
        <v>1.7538813243226901</v>
      </c>
      <c r="J5431" s="187" t="s">
        <v>962</v>
      </c>
      <c r="K5431" s="187" t="s">
        <v>116</v>
      </c>
      <c r="L5431" s="195">
        <v>0.20307818798002986</v>
      </c>
      <c r="M5431" s="195" t="s">
        <v>962</v>
      </c>
      <c r="N5431" s="195" t="s">
        <v>949</v>
      </c>
      <c r="O5431" s="59" t="s">
        <v>1962</v>
      </c>
    </row>
    <row r="5432" spans="1:15" x14ac:dyDescent="0.2">
      <c r="A5432" s="30">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9</v>
      </c>
      <c r="H5432" s="194" t="s">
        <v>60</v>
      </c>
      <c r="I5432" s="187">
        <v>1.10646519742515</v>
      </c>
      <c r="J5432" s="187" t="s">
        <v>962</v>
      </c>
      <c r="K5432" s="187" t="s">
        <v>116</v>
      </c>
      <c r="L5432" s="195">
        <v>0.16729701004671993</v>
      </c>
      <c r="M5432" s="52" t="s">
        <v>962</v>
      </c>
      <c r="N5432" s="52" t="s">
        <v>949</v>
      </c>
      <c r="O5432" s="59" t="s">
        <v>1962</v>
      </c>
    </row>
    <row r="5433" spans="1:15" x14ac:dyDescent="0.2">
      <c r="A5433" s="183">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11</v>
      </c>
      <c r="H5433" s="194" t="s">
        <v>60</v>
      </c>
      <c r="I5433" s="187">
        <v>0.62623378185974499</v>
      </c>
      <c r="J5433" s="187" t="s">
        <v>962</v>
      </c>
      <c r="K5433" s="187" t="s">
        <v>116</v>
      </c>
      <c r="O5433" s="59" t="s">
        <v>1962</v>
      </c>
    </row>
    <row r="5434" spans="1:15" x14ac:dyDescent="0.2">
      <c r="A5434" s="183">
        <v>608</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stearate 500 mg (base equivalent)</v>
      </c>
      <c r="E5434" s="250" t="str">
        <f>IF(AND(A5434&lt;&gt;"",ISNUMBER(A5434)),VLOOKUP(A5434,Studies!A:BR,5,FALSE),"")</f>
        <v>Erythromycin</v>
      </c>
      <c r="F5434" s="251" t="str">
        <f>IF(AND(A5434&lt;&gt;"",ISNUMBER(A5434)),VLOOKUP(A5434,Studies!A:BR,6,FALSE),"")</f>
        <v>Serum</v>
      </c>
      <c r="G5434" s="194">
        <v>1</v>
      </c>
      <c r="H5434" s="194" t="s">
        <v>60</v>
      </c>
      <c r="I5434" s="187">
        <v>0.44710329476407201</v>
      </c>
      <c r="J5434" s="187" t="s">
        <v>962</v>
      </c>
      <c r="K5434" s="187" t="s">
        <v>116</v>
      </c>
      <c r="O5434" s="59" t="s">
        <v>1962</v>
      </c>
    </row>
    <row r="5435" spans="1:15" x14ac:dyDescent="0.2">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1.5</v>
      </c>
      <c r="H5435" s="194" t="s">
        <v>60</v>
      </c>
      <c r="I5435" s="187">
        <v>2.0979786231375401</v>
      </c>
      <c r="J5435" s="187" t="s">
        <v>962</v>
      </c>
      <c r="K5435" s="187" t="s">
        <v>116</v>
      </c>
      <c r="L5435" s="195">
        <v>0.4180460023662898</v>
      </c>
      <c r="M5435" s="52" t="s">
        <v>962</v>
      </c>
      <c r="N5435" s="52" t="s">
        <v>949</v>
      </c>
      <c r="O5435" s="59" t="s">
        <v>1962</v>
      </c>
    </row>
    <row r="5436" spans="1:15" x14ac:dyDescent="0.2">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2</v>
      </c>
      <c r="H5436" s="194" t="s">
        <v>60</v>
      </c>
      <c r="I5436" s="187">
        <v>2.4348747668798998</v>
      </c>
      <c r="J5436" s="187" t="s">
        <v>962</v>
      </c>
      <c r="K5436" s="187" t="s">
        <v>116</v>
      </c>
      <c r="L5436" s="195">
        <v>0.32253594561533028</v>
      </c>
      <c r="M5436" s="52" t="s">
        <v>962</v>
      </c>
      <c r="N5436" s="52" t="s">
        <v>949</v>
      </c>
      <c r="O5436" s="59" t="s">
        <v>1962</v>
      </c>
    </row>
    <row r="5437" spans="1:15" x14ac:dyDescent="0.2">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2.5</v>
      </c>
      <c r="H5437" s="194" t="s">
        <v>60</v>
      </c>
      <c r="I5437" s="187">
        <v>1.9354543084605</v>
      </c>
      <c r="J5437" s="187" t="s">
        <v>962</v>
      </c>
      <c r="K5437" s="187" t="s">
        <v>116</v>
      </c>
      <c r="L5437" s="195">
        <v>0.25086129103414989</v>
      </c>
      <c r="M5437" s="52" t="s">
        <v>962</v>
      </c>
      <c r="N5437" s="52" t="s">
        <v>949</v>
      </c>
      <c r="O5437" s="59" t="s">
        <v>1962</v>
      </c>
    </row>
    <row r="5438" spans="1:15" x14ac:dyDescent="0.2">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3</v>
      </c>
      <c r="H5438" s="194" t="s">
        <v>60</v>
      </c>
      <c r="I5438" s="187">
        <v>1.6631158882627699</v>
      </c>
      <c r="J5438" s="187" t="s">
        <v>962</v>
      </c>
      <c r="K5438" s="187" t="s">
        <v>116</v>
      </c>
      <c r="L5438" s="195">
        <v>0.19113241221650012</v>
      </c>
      <c r="M5438" s="52" t="s">
        <v>962</v>
      </c>
      <c r="N5438" s="52" t="s">
        <v>949</v>
      </c>
      <c r="O5438" s="59" t="s">
        <v>1962</v>
      </c>
    </row>
    <row r="5439" spans="1:15" x14ac:dyDescent="0.2">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3.5</v>
      </c>
      <c r="H5439" s="194" t="s">
        <v>60</v>
      </c>
      <c r="I5439" s="187">
        <v>1.13997232638819</v>
      </c>
      <c r="J5439" s="187" t="s">
        <v>962</v>
      </c>
      <c r="K5439" s="187" t="s">
        <v>116</v>
      </c>
      <c r="L5439" s="195">
        <v>0.10751198187178002</v>
      </c>
      <c r="M5439" s="52" t="s">
        <v>962</v>
      </c>
      <c r="N5439" s="52" t="s">
        <v>949</v>
      </c>
      <c r="O5439" s="59" t="s">
        <v>1962</v>
      </c>
    </row>
    <row r="5440" spans="1:15" x14ac:dyDescent="0.2">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4</v>
      </c>
      <c r="H5440" s="194" t="s">
        <v>60</v>
      </c>
      <c r="I5440" s="187">
        <v>0.93919626205707096</v>
      </c>
      <c r="J5440" s="187" t="s">
        <v>962</v>
      </c>
      <c r="K5440" s="187" t="s">
        <v>116</v>
      </c>
      <c r="L5440" s="195">
        <v>0.10756813122906894</v>
      </c>
      <c r="M5440" s="52" t="s">
        <v>962</v>
      </c>
      <c r="N5440" s="52" t="s">
        <v>949</v>
      </c>
      <c r="O5440" s="59" t="s">
        <v>1962</v>
      </c>
    </row>
    <row r="5441" spans="1:15" x14ac:dyDescent="0.2">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5</v>
      </c>
      <c r="H5441" s="194" t="s">
        <v>60</v>
      </c>
      <c r="I5441" s="187">
        <v>0.56181643170834406</v>
      </c>
      <c r="J5441" s="187" t="s">
        <v>962</v>
      </c>
      <c r="K5441" s="187" t="s">
        <v>116</v>
      </c>
      <c r="L5441" s="195">
        <v>8.362043034471589E-2</v>
      </c>
      <c r="M5441" s="52" t="s">
        <v>962</v>
      </c>
      <c r="N5441" s="52" t="s">
        <v>949</v>
      </c>
      <c r="O5441" s="59" t="s">
        <v>1962</v>
      </c>
    </row>
    <row r="5442" spans="1:15" x14ac:dyDescent="0.2">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6</v>
      </c>
      <c r="H5442" s="194" t="s">
        <v>60</v>
      </c>
      <c r="I5442" s="187">
        <v>0.36345478974070999</v>
      </c>
      <c r="J5442" s="187" t="s">
        <v>962</v>
      </c>
      <c r="K5442" s="187" t="s">
        <v>116</v>
      </c>
      <c r="L5442" s="195">
        <v>7.1674654581184993E-2</v>
      </c>
      <c r="M5442" s="52" t="s">
        <v>962</v>
      </c>
      <c r="N5442" s="52" t="s">
        <v>949</v>
      </c>
      <c r="O5442" s="59" t="s">
        <v>1962</v>
      </c>
    </row>
    <row r="5443" spans="1:15" x14ac:dyDescent="0.2">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7</v>
      </c>
      <c r="H5443" s="194" t="s">
        <v>60</v>
      </c>
      <c r="I5443" s="187">
        <v>0.27271742835943502</v>
      </c>
      <c r="J5443" s="187" t="s">
        <v>962</v>
      </c>
      <c r="K5443" s="187" t="s">
        <v>116</v>
      </c>
      <c r="O5443" s="59" t="s">
        <v>1962</v>
      </c>
    </row>
    <row r="5444" spans="1:15" x14ac:dyDescent="0.2">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9</v>
      </c>
      <c r="H5444" s="194" t="s">
        <v>60</v>
      </c>
      <c r="I5444" s="187">
        <v>0.17480698658431301</v>
      </c>
      <c r="J5444" s="187" t="s">
        <v>962</v>
      </c>
      <c r="K5444" s="187" t="s">
        <v>116</v>
      </c>
      <c r="O5444" s="59" t="s">
        <v>1962</v>
      </c>
    </row>
    <row r="5445" spans="1:15" x14ac:dyDescent="0.2">
      <c r="A5445" s="183">
        <v>609</v>
      </c>
      <c r="B5445" s="249" t="str">
        <f>IF(AND(A5445&lt;&gt;"",ISNUMBER(A5445)),VLOOKUP(A5445,Studies!A:BR,2,FALSE),"")</f>
        <v>Kavi 1988</v>
      </c>
      <c r="C5445" s="250" t="str">
        <f>IF(AND(A5445&lt;&gt;"",ISNUMBER(A5445)),VLOOKUP(A5445,Studies!A:BR,3,FALSE),"")</f>
        <v>https://www.ncbi.nlm.nih.gov/pubmed/3182434</v>
      </c>
      <c r="D5445" s="250" t="str">
        <f>IF(AND(A5445&lt;&gt;"",ISNUMBER(A5445)),VLOOKUP(A5445,Studies!A:BR,4,FALSE),"")</f>
        <v>Serum levels</v>
      </c>
      <c r="E5445" s="250" t="str">
        <f>IF(AND(A5445&lt;&gt;"",ISNUMBER(A5445)),VLOOKUP(A5445,Studies!A:BR,5,FALSE),"")</f>
        <v>Erythromycin</v>
      </c>
      <c r="F5445" s="251" t="str">
        <f>IF(AND(A5445&lt;&gt;"",ISNUMBER(A5445)),VLOOKUP(A5445,Studies!A:BR,6,FALSE),"")</f>
        <v>Serum</v>
      </c>
      <c r="G5445" s="194">
        <v>0.25</v>
      </c>
      <c r="H5445" s="194" t="s">
        <v>60</v>
      </c>
      <c r="I5445" s="187">
        <v>0.1219263</v>
      </c>
      <c r="J5445" s="187" t="s">
        <v>962</v>
      </c>
      <c r="K5445" s="187" t="s">
        <v>116</v>
      </c>
      <c r="L5445" s="195">
        <v>0.17153470000000001</v>
      </c>
      <c r="M5445" s="52" t="s">
        <v>962</v>
      </c>
      <c r="N5445" s="52" t="s">
        <v>117</v>
      </c>
    </row>
    <row r="5446" spans="1:15" x14ac:dyDescent="0.2">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0.5</v>
      </c>
      <c r="H5446" s="194" t="s">
        <v>60</v>
      </c>
      <c r="I5446" s="187">
        <v>1.136703</v>
      </c>
      <c r="J5446" s="187" t="s">
        <v>962</v>
      </c>
      <c r="K5446" s="187" t="s">
        <v>116</v>
      </c>
      <c r="L5446" s="195">
        <v>0.28448390000000001</v>
      </c>
      <c r="M5446" s="52" t="s">
        <v>962</v>
      </c>
      <c r="N5446" s="52" t="s">
        <v>117</v>
      </c>
    </row>
    <row r="5447" spans="1:15" x14ac:dyDescent="0.2">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0.75</v>
      </c>
      <c r="H5447" s="194" t="s">
        <v>60</v>
      </c>
      <c r="I5447" s="187">
        <v>1.723865</v>
      </c>
      <c r="J5447" s="187" t="s">
        <v>962</v>
      </c>
      <c r="K5447" s="187" t="s">
        <v>116</v>
      </c>
      <c r="L5447" s="195">
        <v>1.051966</v>
      </c>
      <c r="M5447" s="52" t="s">
        <v>962</v>
      </c>
      <c r="N5447" s="52" t="s">
        <v>117</v>
      </c>
    </row>
    <row r="5448" spans="1:15" x14ac:dyDescent="0.2">
      <c r="A5448" s="30">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1</v>
      </c>
      <c r="H5448" s="194" t="s">
        <v>60</v>
      </c>
      <c r="I5448" s="187">
        <v>1.8019860000000001</v>
      </c>
      <c r="J5448" s="187" t="s">
        <v>962</v>
      </c>
      <c r="K5448" s="187" t="s">
        <v>116</v>
      </c>
      <c r="L5448" s="195">
        <v>0.77356170000000002</v>
      </c>
      <c r="M5448" s="52" t="s">
        <v>962</v>
      </c>
      <c r="N5448" s="52" t="s">
        <v>117</v>
      </c>
    </row>
    <row r="5449" spans="1:15" x14ac:dyDescent="0.2">
      <c r="A5449" s="183">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1.5</v>
      </c>
      <c r="H5449" s="194" t="s">
        <v>60</v>
      </c>
      <c r="I5449" s="187">
        <v>1.8823669999999999</v>
      </c>
      <c r="J5449" s="187" t="s">
        <v>962</v>
      </c>
      <c r="K5449" s="187" t="s">
        <v>116</v>
      </c>
      <c r="L5449" s="195">
        <v>1.2402930000000001</v>
      </c>
      <c r="M5449" s="52" t="s">
        <v>962</v>
      </c>
      <c r="N5449" s="52" t="s">
        <v>117</v>
      </c>
    </row>
    <row r="5450" spans="1:15" x14ac:dyDescent="0.2">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2</v>
      </c>
      <c r="H5450" s="194" t="s">
        <v>60</v>
      </c>
      <c r="I5450" s="187">
        <v>1.6945460000000001</v>
      </c>
      <c r="J5450" s="187" t="s">
        <v>962</v>
      </c>
      <c r="K5450" s="187" t="s">
        <v>116</v>
      </c>
      <c r="L5450" s="195">
        <v>0.5876844</v>
      </c>
      <c r="M5450" s="52" t="s">
        <v>962</v>
      </c>
      <c r="N5450" s="52" t="s">
        <v>117</v>
      </c>
    </row>
    <row r="5451" spans="1:15" x14ac:dyDescent="0.2">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3</v>
      </c>
      <c r="H5451" s="194" t="s">
        <v>60</v>
      </c>
      <c r="I5451" s="187">
        <v>1.1484019999999999</v>
      </c>
      <c r="J5451" s="187" t="s">
        <v>962</v>
      </c>
      <c r="K5451" s="187" t="s">
        <v>116</v>
      </c>
      <c r="L5451" s="195">
        <v>0.64655110000000005</v>
      </c>
      <c r="M5451" s="52" t="s">
        <v>962</v>
      </c>
      <c r="N5451" s="52" t="s">
        <v>117</v>
      </c>
    </row>
    <row r="5452" spans="1:15" x14ac:dyDescent="0.2">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4</v>
      </c>
      <c r="H5452" s="194" t="s">
        <v>60</v>
      </c>
      <c r="I5452" s="187">
        <v>0.52065099999999997</v>
      </c>
      <c r="J5452" s="187" t="s">
        <v>962</v>
      </c>
      <c r="K5452" s="187" t="s">
        <v>116</v>
      </c>
      <c r="L5452" s="195">
        <v>0.3301499</v>
      </c>
      <c r="M5452" s="52" t="s">
        <v>962</v>
      </c>
      <c r="N5452" s="52" t="s">
        <v>117</v>
      </c>
    </row>
    <row r="5453" spans="1:15" x14ac:dyDescent="0.2">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5</v>
      </c>
      <c r="H5453" s="194" t="s">
        <v>60</v>
      </c>
      <c r="I5453" s="187">
        <v>0.36359370000000002</v>
      </c>
      <c r="J5453" s="187" t="s">
        <v>962</v>
      </c>
      <c r="K5453" s="187" t="s">
        <v>116</v>
      </c>
      <c r="L5453" s="195">
        <v>0.14089689999999999</v>
      </c>
      <c r="M5453" s="52" t="s">
        <v>962</v>
      </c>
      <c r="N5453" s="52" t="s">
        <v>117</v>
      </c>
    </row>
    <row r="5454" spans="1:15" x14ac:dyDescent="0.2">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6</v>
      </c>
      <c r="H5454" s="194" t="s">
        <v>60</v>
      </c>
      <c r="I5454" s="187">
        <v>0.2501332</v>
      </c>
      <c r="J5454" s="187" t="s">
        <v>962</v>
      </c>
      <c r="K5454" s="187" t="s">
        <v>116</v>
      </c>
      <c r="L5454" s="195">
        <v>0.14671139999999999</v>
      </c>
      <c r="M5454" s="52" t="s">
        <v>962</v>
      </c>
      <c r="N5454" s="52" t="s">
        <v>117</v>
      </c>
    </row>
    <row r="5455" spans="1:15" x14ac:dyDescent="0.2">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8</v>
      </c>
      <c r="H5455" s="194" t="s">
        <v>60</v>
      </c>
      <c r="I5455" s="187">
        <v>0.1183876</v>
      </c>
      <c r="J5455" s="187" t="s">
        <v>962</v>
      </c>
      <c r="K5455" s="187" t="s">
        <v>116</v>
      </c>
      <c r="L5455" s="195">
        <v>8.0962549999999994E-2</v>
      </c>
      <c r="M5455" s="52" t="s">
        <v>962</v>
      </c>
      <c r="N5455" s="52" t="s">
        <v>117</v>
      </c>
    </row>
    <row r="5456" spans="1:15" x14ac:dyDescent="0.2">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12</v>
      </c>
      <c r="H5456" s="194" t="s">
        <v>60</v>
      </c>
      <c r="I5456" s="187">
        <v>4.08385E-2</v>
      </c>
      <c r="J5456" s="187" t="s">
        <v>962</v>
      </c>
      <c r="K5456" s="187" t="s">
        <v>116</v>
      </c>
      <c r="L5456" s="195">
        <v>2.298849E-2</v>
      </c>
      <c r="M5456" s="52" t="s">
        <v>962</v>
      </c>
      <c r="N5456" s="52" t="s">
        <v>117</v>
      </c>
    </row>
    <row r="5457" spans="1:16" x14ac:dyDescent="0.2">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24</v>
      </c>
      <c r="H5457" s="194" t="s">
        <v>60</v>
      </c>
      <c r="I5457" s="187">
        <v>9.8550249999999999E-3</v>
      </c>
      <c r="J5457" s="187" t="s">
        <v>962</v>
      </c>
      <c r="K5457" s="187" t="s">
        <v>116</v>
      </c>
    </row>
    <row r="5458" spans="1:16" x14ac:dyDescent="0.2">
      <c r="A5458" s="183">
        <v>610</v>
      </c>
      <c r="B5458" s="249" t="str">
        <f>IF(AND(A5458&lt;&gt;"",ISNUMBER(A5458)),VLOOKUP(A5458,Studies!A:BR,2,FALSE),"")</f>
        <v>Kroboth 1982</v>
      </c>
      <c r="C5458" s="250" t="str">
        <f>IF(AND(A5458&lt;&gt;"",ISNUMBER(A5458)),VLOOKUP(A5458,Studies!A:BR,3,FALSE),"")</f>
        <v>https://www.ncbi.nlm.nih.gov/pubmed/7081971</v>
      </c>
      <c r="D5458" s="250" t="str">
        <f>IF(AND(A5458&lt;&gt;"",ISNUMBER(A5458)),VLOOKUP(A5458,Studies!A:BR,4,FALSE),"")</f>
        <v>Normal subjects</v>
      </c>
      <c r="E5458" s="250" t="str">
        <f>IF(AND(A5458&lt;&gt;"",ISNUMBER(A5458)),VLOOKUP(A5458,Studies!A:BR,5,FALSE),"")</f>
        <v>Erythromycin</v>
      </c>
      <c r="F5458" s="251" t="str">
        <f>IF(AND(A5458&lt;&gt;"",ISNUMBER(A5458)),VLOOKUP(A5458,Studies!A:BR,6,FALSE),"")</f>
        <v>Serum</v>
      </c>
      <c r="G5458" s="194">
        <v>3</v>
      </c>
      <c r="H5458" s="194" t="s">
        <v>60</v>
      </c>
      <c r="I5458" s="187">
        <v>0.41880742868258702</v>
      </c>
      <c r="J5458" s="187" t="s">
        <v>959</v>
      </c>
      <c r="K5458" s="187" t="s">
        <v>116</v>
      </c>
      <c r="L5458" s="195">
        <v>0.1407667349789746</v>
      </c>
      <c r="M5458" s="52" t="s">
        <v>959</v>
      </c>
      <c r="N5458" s="52" t="s">
        <v>949</v>
      </c>
      <c r="P5458" s="42" t="s">
        <v>1958</v>
      </c>
    </row>
    <row r="5459" spans="1:16" x14ac:dyDescent="0.2">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4</v>
      </c>
      <c r="H5459" s="194" t="s">
        <v>60</v>
      </c>
      <c r="I5459" s="187">
        <v>0.97813275966632696</v>
      </c>
      <c r="J5459" s="187" t="s">
        <v>959</v>
      </c>
      <c r="K5459" s="187" t="s">
        <v>116</v>
      </c>
      <c r="L5459" s="195">
        <v>0.11048598045291662</v>
      </c>
      <c r="M5459" s="52" t="s">
        <v>959</v>
      </c>
      <c r="N5459" s="52" t="s">
        <v>949</v>
      </c>
    </row>
    <row r="5460" spans="1:16" x14ac:dyDescent="0.2">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6</v>
      </c>
      <c r="H5460" s="194" t="s">
        <v>60</v>
      </c>
      <c r="I5460" s="187">
        <v>1.3018617477772301</v>
      </c>
      <c r="J5460" s="187" t="s">
        <v>959</v>
      </c>
      <c r="K5460" s="187" t="s">
        <v>116</v>
      </c>
      <c r="L5460" s="195">
        <v>0.16751115331616728</v>
      </c>
      <c r="M5460" s="52" t="s">
        <v>959</v>
      </c>
      <c r="N5460" s="52" t="s">
        <v>949</v>
      </c>
    </row>
    <row r="5461" spans="1:16" x14ac:dyDescent="0.2">
      <c r="A5461" s="30">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8</v>
      </c>
      <c r="H5461" s="194" t="s">
        <v>60</v>
      </c>
      <c r="I5461" s="187">
        <v>0.83625316108065995</v>
      </c>
      <c r="J5461" s="187" t="s">
        <v>959</v>
      </c>
      <c r="K5461" s="187" t="s">
        <v>116</v>
      </c>
      <c r="L5461" s="195">
        <v>6.0486764826196221E-2</v>
      </c>
      <c r="M5461" s="52" t="s">
        <v>959</v>
      </c>
      <c r="N5461" s="52" t="s">
        <v>949</v>
      </c>
    </row>
    <row r="5462" spans="1:16" x14ac:dyDescent="0.2">
      <c r="A5462" s="183">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10</v>
      </c>
      <c r="H5462" s="194" t="s">
        <v>60</v>
      </c>
      <c r="I5462" s="187">
        <v>0.34789623645455398</v>
      </c>
      <c r="J5462" s="187" t="s">
        <v>959</v>
      </c>
      <c r="K5462" s="187" t="s">
        <v>116</v>
      </c>
      <c r="L5462" s="195">
        <v>2.3273483346007696E-2</v>
      </c>
      <c r="M5462" s="52" t="s">
        <v>959</v>
      </c>
      <c r="N5462" s="52" t="s">
        <v>949</v>
      </c>
      <c r="O5462" s="199"/>
    </row>
    <row r="5463" spans="1:16" x14ac:dyDescent="0.2">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12</v>
      </c>
      <c r="H5463" s="194" t="s">
        <v>60</v>
      </c>
      <c r="I5463" s="187">
        <v>0.28403382499342</v>
      </c>
      <c r="J5463" s="187" t="s">
        <v>959</v>
      </c>
      <c r="K5463" s="187" t="s">
        <v>116</v>
      </c>
      <c r="L5463" s="195">
        <v>2.4418004305416012E-2</v>
      </c>
      <c r="M5463" s="52" t="s">
        <v>959</v>
      </c>
      <c r="N5463" s="52" t="s">
        <v>949</v>
      </c>
      <c r="O5463" s="199"/>
    </row>
    <row r="5464" spans="1:16" x14ac:dyDescent="0.2">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14</v>
      </c>
      <c r="H5464" s="194" t="s">
        <v>60</v>
      </c>
      <c r="I5464" s="187">
        <v>0.19172454829444599</v>
      </c>
      <c r="J5464" s="187" t="s">
        <v>959</v>
      </c>
      <c r="K5464" s="187" t="s">
        <v>116</v>
      </c>
      <c r="L5464" s="195">
        <v>1.7448105238325597E-2</v>
      </c>
      <c r="M5464" s="52" t="s">
        <v>959</v>
      </c>
      <c r="N5464" s="52" t="s">
        <v>949</v>
      </c>
      <c r="O5464" s="199"/>
    </row>
    <row r="5465" spans="1:16" x14ac:dyDescent="0.2">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16</v>
      </c>
      <c r="H5465" s="194" t="s">
        <v>60</v>
      </c>
      <c r="I5465" s="187">
        <v>0.13643281344760799</v>
      </c>
      <c r="J5465" s="187" t="s">
        <v>959</v>
      </c>
      <c r="K5465" s="187" t="s">
        <v>116</v>
      </c>
      <c r="L5465" s="195">
        <v>1.8620655282453841E-2</v>
      </c>
      <c r="M5465" s="52" t="s">
        <v>959</v>
      </c>
      <c r="N5465" s="52" t="s">
        <v>949</v>
      </c>
      <c r="O5465" s="199"/>
    </row>
    <row r="5466" spans="1:16" x14ac:dyDescent="0.2">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24</v>
      </c>
      <c r="H5466" s="194" t="s">
        <v>60</v>
      </c>
      <c r="I5466" s="187">
        <v>1.8579089999999999E-2</v>
      </c>
      <c r="J5466" s="187" t="s">
        <v>959</v>
      </c>
      <c r="K5466" s="187" t="s">
        <v>116</v>
      </c>
      <c r="O5466" s="199"/>
    </row>
    <row r="5467" spans="1:16" x14ac:dyDescent="0.2">
      <c r="A5467" s="183">
        <v>611</v>
      </c>
      <c r="B5467" s="249" t="str">
        <f>IF(AND(A5467&lt;&gt;"",ISNUMBER(A5467)),VLOOKUP(A5467,Studies!A:BR,2,FALSE),"")</f>
        <v>Malmborg 1978</v>
      </c>
      <c r="C5467" s="250" t="str">
        <f>IF(AND(A5467&lt;&gt;"",ISNUMBER(A5467)),VLOOKUP(A5467,Studies!A:BR,3,FALSE),"")</f>
        <v>https://www.tandfonline.com/doi/abs/10.1185/03007997809110243</v>
      </c>
      <c r="D5467" s="250" t="str">
        <f>IF(AND(A5467&lt;&gt;"",ISNUMBER(A5467)),VLOOKUP(A5467,Studies!A:BR,4,FALSE),"")</f>
        <v>Single dose after overnight fast</v>
      </c>
      <c r="E5467" s="250" t="str">
        <f>IF(AND(A5467&lt;&gt;"",ISNUMBER(A5467)),VLOOKUP(A5467,Studies!A:BR,5,FALSE),"")</f>
        <v>Erythromycin</v>
      </c>
      <c r="F5467" s="251" t="str">
        <f>IF(AND(A5467&lt;&gt;"",ISNUMBER(A5467)),VLOOKUP(A5467,Studies!A:BR,6,FALSE),"")</f>
        <v>Plasma</v>
      </c>
      <c r="G5467" s="194">
        <v>0.5</v>
      </c>
      <c r="H5467" s="194" t="s">
        <v>60</v>
      </c>
      <c r="I5467" s="187">
        <v>0.47363250000000001</v>
      </c>
      <c r="J5467" s="187" t="s">
        <v>959</v>
      </c>
      <c r="K5467" s="187" t="s">
        <v>116</v>
      </c>
      <c r="O5467" s="199"/>
    </row>
    <row r="5468" spans="1:16" x14ac:dyDescent="0.2">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1</v>
      </c>
      <c r="H5468" s="194" t="s">
        <v>60</v>
      </c>
      <c r="I5468" s="187">
        <v>0.79122769999999998</v>
      </c>
      <c r="J5468" s="187" t="s">
        <v>959</v>
      </c>
      <c r="K5468" s="187" t="s">
        <v>116</v>
      </c>
      <c r="O5468" s="199"/>
    </row>
    <row r="5469" spans="1:16" x14ac:dyDescent="0.2">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1.5</v>
      </c>
      <c r="H5469" s="194" t="s">
        <v>60</v>
      </c>
      <c r="I5469" s="187">
        <v>1.1780980000000001</v>
      </c>
      <c r="J5469" s="187" t="s">
        <v>959</v>
      </c>
      <c r="K5469" s="187" t="s">
        <v>116</v>
      </c>
      <c r="O5469" s="199"/>
    </row>
    <row r="5470" spans="1:16" x14ac:dyDescent="0.2">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2</v>
      </c>
      <c r="H5470" s="194" t="s">
        <v>60</v>
      </c>
      <c r="I5470" s="187">
        <v>1.2991280000000001</v>
      </c>
      <c r="J5470" s="187" t="s">
        <v>959</v>
      </c>
      <c r="K5470" s="187" t="s">
        <v>116</v>
      </c>
      <c r="O5470" s="199"/>
    </row>
    <row r="5471" spans="1:16" x14ac:dyDescent="0.2">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2.5</v>
      </c>
      <c r="H5471" s="194" t="s">
        <v>60</v>
      </c>
      <c r="I5471" s="187">
        <v>1.1542619999999999</v>
      </c>
      <c r="J5471" s="187" t="s">
        <v>959</v>
      </c>
      <c r="K5471" s="187" t="s">
        <v>116</v>
      </c>
      <c r="O5471" s="199"/>
    </row>
    <row r="5472" spans="1:16" x14ac:dyDescent="0.2">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3</v>
      </c>
      <c r="H5472" s="194" t="s">
        <v>60</v>
      </c>
      <c r="I5472" s="187">
        <v>0.9920466</v>
      </c>
      <c r="J5472" s="187" t="s">
        <v>959</v>
      </c>
      <c r="K5472" s="187" t="s">
        <v>116</v>
      </c>
      <c r="O5472" s="199"/>
    </row>
    <row r="5473" spans="1:15" x14ac:dyDescent="0.2">
      <c r="A5473" s="30">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4</v>
      </c>
      <c r="H5473" s="194" t="s">
        <v>60</v>
      </c>
      <c r="I5473" s="187">
        <v>0.67344470000000001</v>
      </c>
      <c r="J5473" s="187" t="s">
        <v>959</v>
      </c>
      <c r="K5473" s="187" t="s">
        <v>116</v>
      </c>
      <c r="O5473" s="199"/>
    </row>
    <row r="5474" spans="1:15" x14ac:dyDescent="0.2">
      <c r="A5474" s="183">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6</v>
      </c>
      <c r="H5474" s="194" t="s">
        <v>60</v>
      </c>
      <c r="I5474" s="187">
        <v>0.35970580000000002</v>
      </c>
      <c r="J5474" s="187" t="s">
        <v>959</v>
      </c>
      <c r="K5474" s="187" t="s">
        <v>116</v>
      </c>
      <c r="M5474" s="195"/>
      <c r="N5474" s="195"/>
    </row>
    <row r="5475" spans="1:15" x14ac:dyDescent="0.2">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7.5</v>
      </c>
      <c r="H5475" s="194" t="s">
        <v>60</v>
      </c>
      <c r="I5475" s="187">
        <v>0.28361120000000001</v>
      </c>
      <c r="J5475" s="187" t="s">
        <v>959</v>
      </c>
      <c r="K5475" s="187" t="s">
        <v>116</v>
      </c>
      <c r="M5475" s="195"/>
      <c r="N5475" s="195"/>
    </row>
    <row r="5476" spans="1:15" x14ac:dyDescent="0.2">
      <c r="A5476" s="183">
        <v>612</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before standardized breakfast</v>
      </c>
      <c r="E5476" s="250" t="str">
        <f>IF(AND(A5476&lt;&gt;"",ISNUMBER(A5476)),VLOOKUP(A5476,Studies!A:BR,5,FALSE),"")</f>
        <v>Erythromycin</v>
      </c>
      <c r="F5476" s="251" t="str">
        <f>IF(AND(A5476&lt;&gt;"",ISNUMBER(A5476)),VLOOKUP(A5476,Studies!A:BR,6,FALSE),"")</f>
        <v>Plasma</v>
      </c>
      <c r="G5476" s="194">
        <v>0.5</v>
      </c>
      <c r="H5476" s="194" t="s">
        <v>60</v>
      </c>
      <c r="I5476" s="187">
        <v>1.9707220000000001</v>
      </c>
      <c r="J5476" s="187" t="s">
        <v>959</v>
      </c>
      <c r="K5476" s="187" t="s">
        <v>116</v>
      </c>
      <c r="M5476" s="195"/>
      <c r="N5476" s="195"/>
    </row>
    <row r="5477" spans="1:15" x14ac:dyDescent="0.2">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1</v>
      </c>
      <c r="H5477" s="194" t="s">
        <v>60</v>
      </c>
      <c r="I5477" s="187">
        <v>2.733365</v>
      </c>
      <c r="J5477" s="187" t="s">
        <v>959</v>
      </c>
      <c r="K5477" s="187" t="s">
        <v>116</v>
      </c>
      <c r="M5477" s="195"/>
      <c r="N5477" s="195"/>
    </row>
    <row r="5478" spans="1:15" x14ac:dyDescent="0.2">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1.5</v>
      </c>
      <c r="H5478" s="194" t="s">
        <v>60</v>
      </c>
      <c r="I5478" s="187">
        <v>2.259026</v>
      </c>
      <c r="J5478" s="187" t="s">
        <v>959</v>
      </c>
      <c r="K5478" s="187" t="s">
        <v>116</v>
      </c>
      <c r="M5478" s="195"/>
      <c r="N5478" s="195"/>
    </row>
    <row r="5479" spans="1:15" x14ac:dyDescent="0.2">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2</v>
      </c>
      <c r="H5479" s="194" t="s">
        <v>60</v>
      </c>
      <c r="I5479" s="187">
        <v>1.6575029999999999</v>
      </c>
      <c r="J5479" s="187" t="s">
        <v>959</v>
      </c>
      <c r="K5479" s="187" t="s">
        <v>116</v>
      </c>
      <c r="M5479" s="195"/>
      <c r="N5479" s="195"/>
    </row>
    <row r="5480" spans="1:15" x14ac:dyDescent="0.2">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2.5</v>
      </c>
      <c r="H5480" s="194" t="s">
        <v>60</v>
      </c>
      <c r="I5480" s="187">
        <v>1.2062280000000001</v>
      </c>
      <c r="J5480" s="187" t="s">
        <v>959</v>
      </c>
      <c r="K5480" s="187" t="s">
        <v>116</v>
      </c>
      <c r="M5480" s="195"/>
      <c r="N5480" s="195"/>
    </row>
    <row r="5481" spans="1:15" x14ac:dyDescent="0.2">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3</v>
      </c>
      <c r="H5481" s="194" t="s">
        <v>60</v>
      </c>
      <c r="I5481" s="187">
        <v>0.87643930000000003</v>
      </c>
      <c r="J5481" s="187" t="s">
        <v>959</v>
      </c>
      <c r="K5481" s="187" t="s">
        <v>116</v>
      </c>
      <c r="M5481" s="195"/>
      <c r="N5481" s="195"/>
    </row>
    <row r="5482" spans="1:15" x14ac:dyDescent="0.2">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4</v>
      </c>
      <c r="H5482" s="194" t="s">
        <v>60</v>
      </c>
      <c r="I5482" s="187">
        <v>0.71968759999999998</v>
      </c>
      <c r="J5482" s="187" t="s">
        <v>959</v>
      </c>
      <c r="K5482" s="187" t="s">
        <v>116</v>
      </c>
      <c r="M5482" s="195"/>
      <c r="N5482" s="195"/>
    </row>
    <row r="5483" spans="1:15" x14ac:dyDescent="0.2">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6</v>
      </c>
      <c r="H5483" s="194" t="s">
        <v>60</v>
      </c>
      <c r="I5483" s="187">
        <v>0.37710369999999999</v>
      </c>
      <c r="J5483" s="187" t="s">
        <v>959</v>
      </c>
      <c r="K5483" s="187" t="s">
        <v>116</v>
      </c>
      <c r="M5483" s="195"/>
      <c r="N5483" s="195"/>
    </row>
    <row r="5484" spans="1:15" x14ac:dyDescent="0.2">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7.5</v>
      </c>
      <c r="H5484" s="194" t="s">
        <v>60</v>
      </c>
      <c r="I5484" s="187">
        <v>0.38769019999999998</v>
      </c>
      <c r="J5484" s="187" t="s">
        <v>959</v>
      </c>
      <c r="K5484" s="187" t="s">
        <v>116</v>
      </c>
      <c r="M5484" s="195"/>
      <c r="N5484" s="195"/>
    </row>
    <row r="5485" spans="1:15" x14ac:dyDescent="0.2">
      <c r="A5485" s="30">
        <v>613</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Day 7, every 8 h</v>
      </c>
      <c r="E5485" s="250" t="str">
        <f>IF(AND(A5485&lt;&gt;"",ISNUMBER(A5485)),VLOOKUP(A5485,Studies!A:BR,5,FALSE),"")</f>
        <v>Erythromycin</v>
      </c>
      <c r="F5485" s="251" t="str">
        <f>IF(AND(A5485&lt;&gt;"",ISNUMBER(A5485)),VLOOKUP(A5485,Studies!A:BR,6,FALSE),"")</f>
        <v>Plasma</v>
      </c>
      <c r="G5485" s="194">
        <v>144</v>
      </c>
      <c r="H5485" s="194" t="s">
        <v>60</v>
      </c>
      <c r="I5485" s="187">
        <v>0.51444409999999996</v>
      </c>
      <c r="J5485" s="187" t="s">
        <v>959</v>
      </c>
      <c r="K5485" s="187" t="s">
        <v>116</v>
      </c>
      <c r="M5485" s="195"/>
      <c r="N5485" s="195"/>
    </row>
    <row r="5486" spans="1:15" x14ac:dyDescent="0.2">
      <c r="A5486" s="183">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144.5</v>
      </c>
      <c r="H5486" s="194" t="s">
        <v>60</v>
      </c>
      <c r="I5486" s="187">
        <v>1.2481770000000001</v>
      </c>
      <c r="J5486" s="187" t="s">
        <v>959</v>
      </c>
      <c r="K5486" s="187" t="s">
        <v>116</v>
      </c>
      <c r="M5486" s="195"/>
      <c r="N5486" s="195"/>
    </row>
    <row r="5487" spans="1:15" x14ac:dyDescent="0.2">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145</v>
      </c>
      <c r="H5487" s="194" t="s">
        <v>60</v>
      </c>
      <c r="I5487" s="187">
        <v>2.6235460000000002</v>
      </c>
      <c r="J5487" s="187" t="s">
        <v>959</v>
      </c>
      <c r="K5487" s="187" t="s">
        <v>116</v>
      </c>
      <c r="M5487" s="195"/>
      <c r="N5487" s="195"/>
    </row>
    <row r="5488" spans="1:15" x14ac:dyDescent="0.2">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145.5</v>
      </c>
      <c r="H5488" s="194" t="s">
        <v>60</v>
      </c>
      <c r="I5488" s="187">
        <v>2.8485819999999999</v>
      </c>
      <c r="J5488" s="187" t="s">
        <v>959</v>
      </c>
      <c r="K5488" s="187" t="s">
        <v>116</v>
      </c>
      <c r="M5488" s="195"/>
      <c r="N5488" s="195"/>
    </row>
    <row r="5489" spans="1:14" x14ac:dyDescent="0.2">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146</v>
      </c>
      <c r="H5489" s="194" t="s">
        <v>60</v>
      </c>
      <c r="I5489" s="187">
        <v>2.570776</v>
      </c>
      <c r="J5489" s="187" t="s">
        <v>959</v>
      </c>
      <c r="K5489" s="187" t="s">
        <v>116</v>
      </c>
      <c r="M5489" s="195"/>
      <c r="N5489" s="195"/>
    </row>
    <row r="5490" spans="1:14" x14ac:dyDescent="0.2">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146.5</v>
      </c>
      <c r="H5490" s="194" t="s">
        <v>60</v>
      </c>
      <c r="I5490" s="187">
        <v>2.0905999999999998</v>
      </c>
      <c r="J5490" s="187" t="s">
        <v>959</v>
      </c>
      <c r="K5490" s="187" t="s">
        <v>116</v>
      </c>
      <c r="M5490" s="195"/>
      <c r="N5490" s="195"/>
    </row>
    <row r="5491" spans="1:14" x14ac:dyDescent="0.2">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147</v>
      </c>
      <c r="H5491" s="194" t="s">
        <v>60</v>
      </c>
      <c r="I5491" s="187">
        <v>1.679902</v>
      </c>
      <c r="J5491" s="187" t="s">
        <v>959</v>
      </c>
      <c r="K5491" s="187" t="s">
        <v>116</v>
      </c>
      <c r="M5491" s="195"/>
      <c r="N5491" s="195"/>
    </row>
    <row r="5492" spans="1:14" x14ac:dyDescent="0.2">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148</v>
      </c>
      <c r="H5492" s="194" t="s">
        <v>60</v>
      </c>
      <c r="I5492" s="187">
        <v>1.390193</v>
      </c>
      <c r="J5492" s="187" t="s">
        <v>959</v>
      </c>
      <c r="K5492" s="187" t="s">
        <v>116</v>
      </c>
      <c r="M5492" s="195"/>
      <c r="N5492" s="195"/>
    </row>
    <row r="5493" spans="1:14" x14ac:dyDescent="0.2">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150</v>
      </c>
      <c r="H5493" s="194" t="s">
        <v>60</v>
      </c>
      <c r="I5493" s="187">
        <v>0.77598929999999999</v>
      </c>
      <c r="J5493" s="187" t="s">
        <v>959</v>
      </c>
      <c r="K5493" s="187" t="s">
        <v>116</v>
      </c>
      <c r="M5493" s="195"/>
      <c r="N5493" s="195"/>
    </row>
    <row r="5494" spans="1:14" x14ac:dyDescent="0.2">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151.5</v>
      </c>
      <c r="H5494" s="194" t="s">
        <v>60</v>
      </c>
      <c r="I5494" s="187">
        <v>0.57840970000000003</v>
      </c>
      <c r="J5494" s="187" t="s">
        <v>959</v>
      </c>
      <c r="K5494" s="187" t="s">
        <v>116</v>
      </c>
      <c r="M5494" s="195"/>
      <c r="N5494" s="195"/>
    </row>
    <row r="5495" spans="1:14" x14ac:dyDescent="0.2">
      <c r="A5495" s="183">
        <v>614</v>
      </c>
      <c r="B5495" s="249" t="str">
        <f>IF(AND(A5495&lt;&gt;"",ISNUMBER(A5495)),VLOOKUP(A5495,Studies!A:BR,2,FALSE),"")</f>
        <v>Miglioli 1990</v>
      </c>
      <c r="C5495" s="250" t="str">
        <f>IF(AND(A5495&lt;&gt;"",ISNUMBER(A5495)),VLOOKUP(A5495,Studies!A:BR,3,FALSE),"")</f>
        <v>https://www.ncbi.nlm.nih.gov/pubmed/2253666</v>
      </c>
      <c r="D5495" s="250" t="str">
        <f>IF(AND(A5495&lt;&gt;"",ISNUMBER(A5495)),VLOOKUP(A5495,Studies!A:BR,4,FALSE),"")</f>
        <v>First dose, young subjects</v>
      </c>
      <c r="E5495" s="250" t="str">
        <f>IF(AND(A5495&lt;&gt;"",ISNUMBER(A5495)),VLOOKUP(A5495,Studies!A:BR,5,FALSE),"")</f>
        <v>Erythromycin</v>
      </c>
      <c r="F5495" s="251" t="str">
        <f>IF(AND(A5495&lt;&gt;"",ISNUMBER(A5495)),VLOOKUP(A5495,Studies!A:BR,6,FALSE),"")</f>
        <v>Serum</v>
      </c>
      <c r="G5495" s="194">
        <v>1</v>
      </c>
      <c r="H5495" s="194" t="s">
        <v>60</v>
      </c>
      <c r="I5495" s="187">
        <v>6.9574824982909398</v>
      </c>
      <c r="J5495" s="187" t="s">
        <v>962</v>
      </c>
      <c r="K5495" s="187" t="s">
        <v>116</v>
      </c>
      <c r="L5495" s="195">
        <v>1.8488968904960998</v>
      </c>
      <c r="M5495" s="195" t="s">
        <v>962</v>
      </c>
      <c r="N5495" s="195" t="s">
        <v>949</v>
      </c>
    </row>
    <row r="5496" spans="1:14" x14ac:dyDescent="0.2">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1.5</v>
      </c>
      <c r="H5496" s="194" t="s">
        <v>60</v>
      </c>
      <c r="I5496" s="187">
        <v>7.9631307178188102</v>
      </c>
      <c r="J5496" s="187" t="s">
        <v>962</v>
      </c>
      <c r="K5496" s="187" t="s">
        <v>116</v>
      </c>
      <c r="L5496" s="195">
        <v>1.08650079387548</v>
      </c>
      <c r="M5496" s="195" t="s">
        <v>962</v>
      </c>
      <c r="N5496" s="195" t="s">
        <v>949</v>
      </c>
    </row>
    <row r="5497" spans="1:14" x14ac:dyDescent="0.2">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2</v>
      </c>
      <c r="H5497" s="194" t="s">
        <v>60</v>
      </c>
      <c r="I5497" s="187">
        <v>6.3357828606758302</v>
      </c>
      <c r="J5497" s="187" t="s">
        <v>962</v>
      </c>
      <c r="K5497" s="187" t="s">
        <v>116</v>
      </c>
      <c r="L5497" s="195">
        <v>0.67326882328860016</v>
      </c>
      <c r="M5497" s="195" t="s">
        <v>962</v>
      </c>
      <c r="N5497" s="195" t="s">
        <v>949</v>
      </c>
    </row>
    <row r="5498" spans="1:14" x14ac:dyDescent="0.2">
      <c r="A5498" s="30">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3</v>
      </c>
      <c r="H5498" s="194" t="s">
        <v>60</v>
      </c>
      <c r="I5498" s="187">
        <v>4.1765244374231196</v>
      </c>
      <c r="J5498" s="187" t="s">
        <v>962</v>
      </c>
      <c r="K5498" s="187" t="s">
        <v>116</v>
      </c>
      <c r="L5498" s="195">
        <v>0.86634198217952008</v>
      </c>
      <c r="M5498" s="52" t="s">
        <v>962</v>
      </c>
      <c r="N5498" s="52" t="s">
        <v>949</v>
      </c>
    </row>
    <row r="5499" spans="1:14" x14ac:dyDescent="0.2">
      <c r="A5499" s="183">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4</v>
      </c>
      <c r="H5499" s="194" t="s">
        <v>60</v>
      </c>
      <c r="I5499" s="187">
        <v>3.0048692156296699</v>
      </c>
      <c r="J5499" s="187" t="s">
        <v>962</v>
      </c>
      <c r="K5499" s="187" t="s">
        <v>116</v>
      </c>
      <c r="L5499" s="195">
        <v>0.6478134509037301</v>
      </c>
      <c r="M5499" s="52" t="s">
        <v>962</v>
      </c>
      <c r="N5499" s="52" t="s">
        <v>949</v>
      </c>
    </row>
    <row r="5500" spans="1:14" x14ac:dyDescent="0.2">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6</v>
      </c>
      <c r="H5500" s="194" t="s">
        <v>60</v>
      </c>
      <c r="I5500" s="187">
        <v>1.81598564269169</v>
      </c>
      <c r="J5500" s="187" t="s">
        <v>962</v>
      </c>
      <c r="K5500" s="187" t="s">
        <v>116</v>
      </c>
      <c r="L5500" s="195">
        <v>0.54528491850120986</v>
      </c>
      <c r="M5500" s="52" t="s">
        <v>962</v>
      </c>
      <c r="N5500" s="52" t="s">
        <v>949</v>
      </c>
    </row>
    <row r="5501" spans="1:14" x14ac:dyDescent="0.2">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8</v>
      </c>
      <c r="H5501" s="194" t="s">
        <v>60</v>
      </c>
      <c r="I5501" s="187">
        <v>1.1049005217786301</v>
      </c>
      <c r="J5501" s="187" t="s">
        <v>962</v>
      </c>
      <c r="K5501" s="187" t="s">
        <v>116</v>
      </c>
      <c r="L5501" s="195">
        <v>0.19376569482493</v>
      </c>
      <c r="M5501" s="52" t="s">
        <v>962</v>
      </c>
      <c r="N5501" s="52" t="s">
        <v>949</v>
      </c>
    </row>
    <row r="5502" spans="1:14" x14ac:dyDescent="0.2">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10</v>
      </c>
      <c r="H5502" s="194" t="s">
        <v>60</v>
      </c>
      <c r="I5502" s="187">
        <v>0.56811420777565802</v>
      </c>
      <c r="J5502" s="187" t="s">
        <v>962</v>
      </c>
      <c r="K5502" s="187" t="s">
        <v>116</v>
      </c>
      <c r="L5502" s="195">
        <v>0.10867001252806296</v>
      </c>
      <c r="M5502" s="52" t="s">
        <v>962</v>
      </c>
      <c r="N5502" s="52" t="s">
        <v>949</v>
      </c>
    </row>
    <row r="5503" spans="1:14" x14ac:dyDescent="0.2">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12</v>
      </c>
      <c r="H5503" s="194" t="s">
        <v>60</v>
      </c>
      <c r="I5503" s="187">
        <v>0.34565784543911798</v>
      </c>
      <c r="J5503" s="187" t="s">
        <v>962</v>
      </c>
      <c r="K5503" s="187" t="s">
        <v>116</v>
      </c>
      <c r="L5503" s="195">
        <v>0.13508344485746204</v>
      </c>
      <c r="M5503" s="52" t="s">
        <v>962</v>
      </c>
      <c r="N5503" s="52" t="s">
        <v>949</v>
      </c>
    </row>
    <row r="5504" spans="1:14" x14ac:dyDescent="0.2">
      <c r="A5504" s="183">
        <v>615</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Seventh dose, young subjects</v>
      </c>
      <c r="E5504" s="250" t="str">
        <f>IF(AND(A5504&lt;&gt;"",ISNUMBER(A5504)),VLOOKUP(A5504,Studies!A:BR,5,FALSE),"")</f>
        <v>Erythromycin</v>
      </c>
      <c r="F5504" s="251" t="str">
        <f>IF(AND(A5504&lt;&gt;"",ISNUMBER(A5504)),VLOOKUP(A5504,Studies!A:BR,6,FALSE),"")</f>
        <v>Serum</v>
      </c>
      <c r="G5504" s="194">
        <v>72</v>
      </c>
      <c r="H5504" s="194" t="s">
        <v>60</v>
      </c>
      <c r="I5504" s="187">
        <v>0.29552092352028803</v>
      </c>
      <c r="J5504" s="187" t="s">
        <v>962</v>
      </c>
      <c r="K5504" s="187" t="s">
        <v>116</v>
      </c>
      <c r="L5504" s="195">
        <v>0.29552092352028803</v>
      </c>
      <c r="M5504" s="52" t="s">
        <v>962</v>
      </c>
      <c r="N5504" s="52" t="s">
        <v>949</v>
      </c>
    </row>
    <row r="5505" spans="1:16" x14ac:dyDescent="0.2">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73</v>
      </c>
      <c r="H5505" s="194" t="s">
        <v>60</v>
      </c>
      <c r="I5505" s="187">
        <v>4.0627820912347099</v>
      </c>
      <c r="J5505" s="187" t="s">
        <v>962</v>
      </c>
      <c r="K5505" s="187" t="s">
        <v>116</v>
      </c>
      <c r="L5505" s="195">
        <v>0.91526297009101054</v>
      </c>
      <c r="M5505" s="52" t="s">
        <v>962</v>
      </c>
      <c r="N5505" s="52" t="s">
        <v>949</v>
      </c>
    </row>
    <row r="5506" spans="1:16" x14ac:dyDescent="0.2">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73.5</v>
      </c>
      <c r="H5506" s="194" t="s">
        <v>60</v>
      </c>
      <c r="I5506" s="187">
        <v>6.1409462214093598</v>
      </c>
      <c r="J5506" s="187" t="s">
        <v>962</v>
      </c>
      <c r="K5506" s="187" t="s">
        <v>116</v>
      </c>
      <c r="L5506" s="195">
        <v>1.9106567773611811</v>
      </c>
      <c r="M5506" s="52" t="s">
        <v>962</v>
      </c>
      <c r="N5506" s="52" t="s">
        <v>949</v>
      </c>
    </row>
    <row r="5507" spans="1:16" x14ac:dyDescent="0.2">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74</v>
      </c>
      <c r="H5507" s="194" t="s">
        <v>60</v>
      </c>
      <c r="I5507" s="187">
        <v>6.9370762890409496</v>
      </c>
      <c r="J5507" s="187" t="s">
        <v>962</v>
      </c>
      <c r="K5507" s="187" t="s">
        <v>116</v>
      </c>
      <c r="L5507" s="195">
        <v>1.1145267097295912</v>
      </c>
      <c r="M5507" s="52" t="s">
        <v>962</v>
      </c>
      <c r="N5507" s="52" t="s">
        <v>949</v>
      </c>
    </row>
    <row r="5508" spans="1:16" x14ac:dyDescent="0.2">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75</v>
      </c>
      <c r="H5508" s="194" t="s">
        <v>60</v>
      </c>
      <c r="I5508" s="187">
        <v>4.7155180520090596</v>
      </c>
      <c r="J5508" s="187" t="s">
        <v>962</v>
      </c>
      <c r="K5508" s="187" t="s">
        <v>116</v>
      </c>
      <c r="L5508" s="195">
        <v>0.72066556814477067</v>
      </c>
      <c r="M5508" s="52" t="s">
        <v>962</v>
      </c>
      <c r="N5508" s="52" t="s">
        <v>949</v>
      </c>
    </row>
    <row r="5509" spans="1:16" x14ac:dyDescent="0.2">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76</v>
      </c>
      <c r="H5509" s="194" t="s">
        <v>60</v>
      </c>
      <c r="I5509" s="187">
        <v>3.4533078360700098</v>
      </c>
      <c r="J5509" s="187" t="s">
        <v>962</v>
      </c>
      <c r="K5509" s="187" t="s">
        <v>116</v>
      </c>
      <c r="L5509" s="195">
        <v>1.0135280854396203</v>
      </c>
      <c r="M5509" s="52" t="s">
        <v>962</v>
      </c>
      <c r="N5509" s="52" t="s">
        <v>949</v>
      </c>
    </row>
    <row r="5510" spans="1:16" x14ac:dyDescent="0.2">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78</v>
      </c>
      <c r="H5510" s="194" t="s">
        <v>60</v>
      </c>
      <c r="I5510" s="187">
        <v>1.91581222925964</v>
      </c>
      <c r="J5510" s="187" t="s">
        <v>962</v>
      </c>
      <c r="K5510" s="187" t="s">
        <v>116</v>
      </c>
      <c r="L5510" s="195">
        <v>0.59607420224994012</v>
      </c>
      <c r="M5510" s="52" t="s">
        <v>962</v>
      </c>
      <c r="N5510" s="52" t="s">
        <v>949</v>
      </c>
    </row>
    <row r="5511" spans="1:16" x14ac:dyDescent="0.2">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80</v>
      </c>
      <c r="H5511" s="194" t="s">
        <v>60</v>
      </c>
      <c r="I5511" s="187">
        <v>1.0846612314544</v>
      </c>
      <c r="J5511" s="187" t="s">
        <v>962</v>
      </c>
      <c r="K5511" s="187" t="s">
        <v>116</v>
      </c>
      <c r="L5511" s="195">
        <v>0.31834249173617013</v>
      </c>
      <c r="M5511" s="52" t="s">
        <v>962</v>
      </c>
      <c r="N5511" s="52" t="s">
        <v>949</v>
      </c>
    </row>
    <row r="5512" spans="1:16" x14ac:dyDescent="0.2">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82</v>
      </c>
      <c r="H5512" s="194" t="s">
        <v>60</v>
      </c>
      <c r="I5512" s="187">
        <v>0.55854584251542105</v>
      </c>
      <c r="J5512" s="187" t="s">
        <v>962</v>
      </c>
      <c r="K5512" s="187" t="s">
        <v>116</v>
      </c>
      <c r="L5512" s="195">
        <v>0.15905403009805097</v>
      </c>
      <c r="M5512" s="52" t="s">
        <v>962</v>
      </c>
      <c r="N5512" s="52" t="s">
        <v>949</v>
      </c>
    </row>
    <row r="5513" spans="1:16" x14ac:dyDescent="0.2">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84</v>
      </c>
      <c r="H5513" s="194" t="s">
        <v>60</v>
      </c>
      <c r="I5513" s="187">
        <v>0.29352632611999901</v>
      </c>
      <c r="J5513" s="187" t="s">
        <v>962</v>
      </c>
      <c r="K5513" s="187" t="s">
        <v>116</v>
      </c>
      <c r="L5513" s="195">
        <v>0.17802547908090699</v>
      </c>
      <c r="M5513" s="52" t="s">
        <v>962</v>
      </c>
      <c r="N5513" s="52" t="s">
        <v>949</v>
      </c>
    </row>
    <row r="5514" spans="1:16" x14ac:dyDescent="0.2">
      <c r="A5514" s="30">
        <v>616</v>
      </c>
      <c r="B5514" s="249" t="str">
        <f>IF(AND(A5514&lt;&gt;"",ISNUMBER(A5514)),VLOOKUP(A5514,Studies!A:BR,2,FALSE),"")</f>
        <v>Pasic 1987</v>
      </c>
      <c r="C5514" s="250" t="str">
        <f>IF(AND(A5514&lt;&gt;"",ISNUMBER(A5514)),VLOOKUP(A5514,Studies!A:BR,3,FALSE),"")</f>
        <v>https://www.ncbi.nlm.nih.gov/pubmed/3604256</v>
      </c>
      <c r="D5514" s="250" t="str">
        <f>IF(AND(A5514&lt;&gt;"",ISNUMBER(A5514)),VLOOKUP(A5514,Studies!A:BR,4,FALSE),"")</f>
        <v>Without oral theophylline co-administration</v>
      </c>
      <c r="E5514" s="250" t="str">
        <f>IF(AND(A5514&lt;&gt;"",ISNUMBER(A5514)),VLOOKUP(A5514,Studies!A:BR,5,FALSE),"")</f>
        <v>Erythromycin</v>
      </c>
      <c r="F5514" s="251" t="str">
        <f>IF(AND(A5514&lt;&gt;"",ISNUMBER(A5514)),VLOOKUP(A5514,Studies!A:BR,6,FALSE),"")</f>
        <v>Serum</v>
      </c>
      <c r="G5514" s="194">
        <v>8.3333333333333329E-2</v>
      </c>
      <c r="H5514" s="194" t="s">
        <v>60</v>
      </c>
      <c r="I5514" s="187">
        <v>7.312716</v>
      </c>
      <c r="J5514" s="187" t="s">
        <v>962</v>
      </c>
      <c r="K5514" s="187" t="s">
        <v>116</v>
      </c>
      <c r="P5514" s="42" t="s">
        <v>1340</v>
      </c>
    </row>
    <row r="5515" spans="1:16" x14ac:dyDescent="0.2">
      <c r="A5515" s="183">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0.16666666666666666</v>
      </c>
      <c r="H5515" s="194" t="s">
        <v>60</v>
      </c>
      <c r="I5515" s="187">
        <v>9.9968400000000006</v>
      </c>
      <c r="J5515" s="187" t="s">
        <v>962</v>
      </c>
      <c r="K5515" s="187" t="s">
        <v>116</v>
      </c>
    </row>
    <row r="5516" spans="1:16" x14ac:dyDescent="0.2">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0.25</v>
      </c>
      <c r="H5516" s="194" t="s">
        <v>60</v>
      </c>
      <c r="I5516" s="187">
        <v>10.74197</v>
      </c>
      <c r="J5516" s="187" t="s">
        <v>962</v>
      </c>
      <c r="K5516" s="187" t="s">
        <v>116</v>
      </c>
    </row>
    <row r="5517" spans="1:16" x14ac:dyDescent="0.2">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0.33333333333333331</v>
      </c>
      <c r="H5517" s="194" t="s">
        <v>60</v>
      </c>
      <c r="I5517" s="187">
        <v>7.0467320000000004</v>
      </c>
      <c r="J5517" s="187" t="s">
        <v>962</v>
      </c>
      <c r="K5517" s="187" t="s">
        <v>116</v>
      </c>
    </row>
    <row r="5518" spans="1:16" x14ac:dyDescent="0.2">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0.5</v>
      </c>
      <c r="H5518" s="194" t="s">
        <v>60</v>
      </c>
      <c r="I5518" s="187">
        <v>5.4059160000000004</v>
      </c>
      <c r="J5518" s="187" t="s">
        <v>962</v>
      </c>
      <c r="K5518" s="187" t="s">
        <v>116</v>
      </c>
    </row>
    <row r="5519" spans="1:16" x14ac:dyDescent="0.2">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0.66666666666666663</v>
      </c>
      <c r="H5519" s="194" t="s">
        <v>60</v>
      </c>
      <c r="I5519" s="187">
        <v>3.5465599999999999</v>
      </c>
      <c r="J5519" s="187" t="s">
        <v>962</v>
      </c>
      <c r="K5519" s="187" t="s">
        <v>116</v>
      </c>
    </row>
    <row r="5520" spans="1:16" x14ac:dyDescent="0.2">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1</v>
      </c>
      <c r="H5520" s="194" t="s">
        <v>60</v>
      </c>
      <c r="I5520" s="187">
        <v>2.352665</v>
      </c>
      <c r="J5520" s="187" t="s">
        <v>962</v>
      </c>
      <c r="K5520" s="187" t="s">
        <v>116</v>
      </c>
    </row>
    <row r="5521" spans="1:14" x14ac:dyDescent="0.2">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1.5</v>
      </c>
      <c r="H5521" s="194" t="s">
        <v>60</v>
      </c>
      <c r="I5521" s="187">
        <v>1.8692820000000001</v>
      </c>
      <c r="J5521" s="187" t="s">
        <v>962</v>
      </c>
      <c r="K5521" s="187" t="s">
        <v>116</v>
      </c>
    </row>
    <row r="5522" spans="1:14" x14ac:dyDescent="0.2">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2</v>
      </c>
      <c r="H5522" s="194" t="s">
        <v>60</v>
      </c>
      <c r="I5522" s="187">
        <v>1.300654</v>
      </c>
      <c r="J5522" s="187" t="s">
        <v>962</v>
      </c>
      <c r="K5522" s="187" t="s">
        <v>116</v>
      </c>
    </row>
    <row r="5523" spans="1:14" x14ac:dyDescent="0.2">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2.5</v>
      </c>
      <c r="H5523" s="194" t="s">
        <v>60</v>
      </c>
      <c r="I5523" s="187">
        <v>1.0971630000000001</v>
      </c>
      <c r="J5523" s="187" t="s">
        <v>962</v>
      </c>
      <c r="K5523" s="187" t="s">
        <v>116</v>
      </c>
    </row>
    <row r="5524" spans="1:14" x14ac:dyDescent="0.2">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3</v>
      </c>
      <c r="H5524" s="194" t="s">
        <v>60</v>
      </c>
      <c r="I5524" s="187">
        <v>0.92565569999999997</v>
      </c>
      <c r="J5524" s="187" t="s">
        <v>962</v>
      </c>
      <c r="K5524" s="187" t="s">
        <v>116</v>
      </c>
    </row>
    <row r="5525" spans="1:14" x14ac:dyDescent="0.2">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4</v>
      </c>
      <c r="H5525" s="194" t="s">
        <v>60</v>
      </c>
      <c r="I5525" s="187">
        <v>0.57723100000000005</v>
      </c>
      <c r="J5525" s="187" t="s">
        <v>962</v>
      </c>
      <c r="K5525" s="187" t="s">
        <v>116</v>
      </c>
    </row>
    <row r="5526" spans="1:14" x14ac:dyDescent="0.2">
      <c r="A5526" s="30">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6</v>
      </c>
      <c r="H5526" s="194" t="s">
        <v>60</v>
      </c>
      <c r="I5526" s="187">
        <v>0.21905839999999999</v>
      </c>
      <c r="J5526" s="187" t="s">
        <v>962</v>
      </c>
      <c r="K5526" s="187" t="s">
        <v>116</v>
      </c>
    </row>
    <row r="5527" spans="1:14" x14ac:dyDescent="0.2">
      <c r="A5527" s="183">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8</v>
      </c>
      <c r="H5527" s="194" t="s">
        <v>60</v>
      </c>
      <c r="I5527" s="187">
        <v>8.8295070000000003E-2</v>
      </c>
      <c r="J5527" s="187" t="s">
        <v>962</v>
      </c>
      <c r="K5527" s="187" t="s">
        <v>116</v>
      </c>
    </row>
    <row r="5528" spans="1:14" x14ac:dyDescent="0.2">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12</v>
      </c>
      <c r="H5528" s="194" t="s">
        <v>60</v>
      </c>
      <c r="I5528" s="187">
        <v>1.5607859999999999E-2</v>
      </c>
      <c r="J5528" s="187" t="s">
        <v>962</v>
      </c>
      <c r="K5528" s="187" t="s">
        <v>116</v>
      </c>
    </row>
    <row r="5529" spans="1:14" x14ac:dyDescent="0.2">
      <c r="A5529" s="183">
        <v>617</v>
      </c>
      <c r="B5529" s="249" t="str">
        <f>IF(AND(A5529&lt;&gt;"",ISNUMBER(A5529)),VLOOKUP(A5529,Studies!A:BR,2,FALSE),"")</f>
        <v>Posti 1983</v>
      </c>
      <c r="C5529" s="250" t="str">
        <f>IF(AND(A5529&lt;&gt;"",ISNUMBER(A5529)),VLOOKUP(A5529,Studies!A:BR,3,FALSE),"")</f>
        <v>https://www.sciencedirect.com/science/article/pii/0378517383900352</v>
      </c>
      <c r="D5529" s="250" t="str">
        <f>IF(AND(A5529&lt;&gt;"",ISNUMBER(A5529)),VLOOKUP(A5529,Studies!A:BR,4,FALSE),"")</f>
        <v>Formulation A1 (film-coated tabet, ery stearate), fasted</v>
      </c>
      <c r="E5529" s="250" t="str">
        <f>IF(AND(A5529&lt;&gt;"",ISNUMBER(A5529)),VLOOKUP(A5529,Studies!A:BR,5,FALSE),"")</f>
        <v>Erythromycin</v>
      </c>
      <c r="F5529" s="251" t="str">
        <f>IF(AND(A5529&lt;&gt;"",ISNUMBER(A5529)),VLOOKUP(A5529,Studies!A:BR,6,FALSE),"")</f>
        <v>Serum</v>
      </c>
      <c r="G5529" s="194">
        <v>0.5</v>
      </c>
      <c r="H5529" s="194" t="s">
        <v>60</v>
      </c>
      <c r="I5529" s="187">
        <v>0.15</v>
      </c>
      <c r="J5529" s="187" t="s">
        <v>962</v>
      </c>
      <c r="K5529" s="187" t="s">
        <v>116</v>
      </c>
      <c r="L5529" s="195">
        <v>0.31</v>
      </c>
      <c r="M5529" s="52" t="s">
        <v>962</v>
      </c>
      <c r="N5529" s="52" t="s">
        <v>117</v>
      </c>
    </row>
    <row r="5530" spans="1:14" x14ac:dyDescent="0.2">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1</v>
      </c>
      <c r="H5530" s="194" t="s">
        <v>60</v>
      </c>
      <c r="I5530" s="187">
        <v>0.7</v>
      </c>
      <c r="J5530" s="187" t="s">
        <v>962</v>
      </c>
      <c r="K5530" s="187" t="s">
        <v>116</v>
      </c>
      <c r="L5530" s="195">
        <v>0.74</v>
      </c>
      <c r="M5530" s="52" t="s">
        <v>962</v>
      </c>
      <c r="N5530" s="52" t="s">
        <v>117</v>
      </c>
    </row>
    <row r="5531" spans="1:14" x14ac:dyDescent="0.2">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1.5</v>
      </c>
      <c r="H5531" s="194" t="s">
        <v>60</v>
      </c>
      <c r="I5531" s="187">
        <v>1.17</v>
      </c>
      <c r="J5531" s="187" t="s">
        <v>962</v>
      </c>
      <c r="K5531" s="187" t="s">
        <v>116</v>
      </c>
      <c r="L5531" s="195">
        <v>0.85</v>
      </c>
      <c r="M5531" s="52" t="s">
        <v>962</v>
      </c>
      <c r="N5531" s="52" t="s">
        <v>117</v>
      </c>
    </row>
    <row r="5532" spans="1:14" x14ac:dyDescent="0.2">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2</v>
      </c>
      <c r="H5532" s="194" t="s">
        <v>60</v>
      </c>
      <c r="I5532" s="187">
        <v>1.58</v>
      </c>
      <c r="J5532" s="187" t="s">
        <v>962</v>
      </c>
      <c r="K5532" s="187" t="s">
        <v>116</v>
      </c>
      <c r="L5532" s="195">
        <v>0.81</v>
      </c>
      <c r="M5532" s="52" t="s">
        <v>962</v>
      </c>
      <c r="N5532" s="52" t="s">
        <v>117</v>
      </c>
    </row>
    <row r="5533" spans="1:14" x14ac:dyDescent="0.2">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2.5</v>
      </c>
      <c r="H5533" s="194" t="s">
        <v>60</v>
      </c>
      <c r="I5533" s="187">
        <v>1.47</v>
      </c>
      <c r="J5533" s="187" t="s">
        <v>962</v>
      </c>
      <c r="K5533" s="187" t="s">
        <v>116</v>
      </c>
      <c r="L5533" s="195">
        <v>0.81</v>
      </c>
      <c r="M5533" s="52" t="s">
        <v>962</v>
      </c>
      <c r="N5533" s="52" t="s">
        <v>117</v>
      </c>
    </row>
    <row r="5534" spans="1:14" x14ac:dyDescent="0.2">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3</v>
      </c>
      <c r="H5534" s="194" t="s">
        <v>60</v>
      </c>
      <c r="I5534" s="187">
        <v>1.3</v>
      </c>
      <c r="J5534" s="187" t="s">
        <v>962</v>
      </c>
      <c r="K5534" s="187" t="s">
        <v>116</v>
      </c>
      <c r="L5534" s="195">
        <v>0.46</v>
      </c>
      <c r="M5534" s="52" t="s">
        <v>962</v>
      </c>
      <c r="N5534" s="52" t="s">
        <v>117</v>
      </c>
    </row>
    <row r="5535" spans="1:14" x14ac:dyDescent="0.2">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4</v>
      </c>
      <c r="H5535" s="194" t="s">
        <v>60</v>
      </c>
      <c r="I5535" s="187">
        <v>0.9</v>
      </c>
      <c r="J5535" s="187" t="s">
        <v>962</v>
      </c>
      <c r="K5535" s="187" t="s">
        <v>116</v>
      </c>
      <c r="L5535" s="195">
        <v>0.39</v>
      </c>
      <c r="M5535" s="52" t="s">
        <v>962</v>
      </c>
      <c r="N5535" s="52" t="s">
        <v>117</v>
      </c>
    </row>
    <row r="5536" spans="1:14" x14ac:dyDescent="0.2">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6</v>
      </c>
      <c r="H5536" s="194" t="s">
        <v>60</v>
      </c>
      <c r="I5536" s="187">
        <v>0.48</v>
      </c>
      <c r="J5536" s="187" t="s">
        <v>962</v>
      </c>
      <c r="K5536" s="187" t="s">
        <v>116</v>
      </c>
      <c r="L5536" s="195">
        <v>0.19</v>
      </c>
      <c r="M5536" s="52" t="s">
        <v>962</v>
      </c>
      <c r="N5536" s="52" t="s">
        <v>117</v>
      </c>
    </row>
    <row r="5537" spans="1:16" x14ac:dyDescent="0.2">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7.5</v>
      </c>
      <c r="H5537" s="50" t="s">
        <v>60</v>
      </c>
      <c r="I5537" s="187">
        <v>0.28000000000000003</v>
      </c>
      <c r="J5537" s="187" t="s">
        <v>962</v>
      </c>
      <c r="K5537" s="187" t="s">
        <v>116</v>
      </c>
      <c r="L5537" s="195">
        <v>0.15</v>
      </c>
      <c r="M5537" s="52" t="s">
        <v>962</v>
      </c>
      <c r="N5537" s="52" t="s">
        <v>117</v>
      </c>
      <c r="P5537" s="188"/>
    </row>
    <row r="5538" spans="1:16" x14ac:dyDescent="0.2">
      <c r="A5538" s="183">
        <v>618</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E (enteric-coated tablets, ery base), fasted</v>
      </c>
      <c r="E5538" s="250" t="str">
        <f>IF(AND(A5538&lt;&gt;"",ISNUMBER(A5538)),VLOOKUP(A5538,Studies!A:BR,5,FALSE),"")</f>
        <v>Erythromycin</v>
      </c>
      <c r="F5538" s="251" t="str">
        <f>IF(AND(A5538&lt;&gt;"",ISNUMBER(A5538)),VLOOKUP(A5538,Studies!A:BR,6,FALSE),"")</f>
        <v>Serum</v>
      </c>
      <c r="G5538" s="194">
        <v>1.5</v>
      </c>
      <c r="H5538" s="194" t="s">
        <v>60</v>
      </c>
      <c r="I5538" s="187">
        <v>0.04</v>
      </c>
      <c r="J5538" s="187" t="s">
        <v>962</v>
      </c>
      <c r="K5538" s="187" t="s">
        <v>116</v>
      </c>
      <c r="L5538" s="195">
        <v>0.12</v>
      </c>
      <c r="M5538" s="52" t="s">
        <v>962</v>
      </c>
      <c r="N5538" s="52" t="s">
        <v>117</v>
      </c>
      <c r="P5538" s="188"/>
    </row>
    <row r="5539" spans="1:16" x14ac:dyDescent="0.2">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2</v>
      </c>
      <c r="H5539" s="194" t="s">
        <v>60</v>
      </c>
      <c r="I5539" s="187">
        <v>0.32</v>
      </c>
      <c r="J5539" s="187" t="s">
        <v>962</v>
      </c>
      <c r="K5539" s="187" t="s">
        <v>116</v>
      </c>
      <c r="L5539" s="195">
        <v>0.15</v>
      </c>
      <c r="M5539" s="52" t="s">
        <v>962</v>
      </c>
      <c r="N5539" s="52" t="s">
        <v>117</v>
      </c>
      <c r="P5539" s="188"/>
    </row>
    <row r="5540" spans="1:16" x14ac:dyDescent="0.2">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2.5</v>
      </c>
      <c r="H5540" s="194" t="s">
        <v>60</v>
      </c>
      <c r="I5540" s="187">
        <v>0.46</v>
      </c>
      <c r="J5540" s="187" t="s">
        <v>962</v>
      </c>
      <c r="K5540" s="187" t="s">
        <v>116</v>
      </c>
      <c r="L5540" s="195">
        <v>0.74</v>
      </c>
      <c r="M5540" s="52" t="s">
        <v>962</v>
      </c>
      <c r="N5540" s="52" t="s">
        <v>117</v>
      </c>
      <c r="P5540" s="188"/>
    </row>
    <row r="5541" spans="1:16" x14ac:dyDescent="0.2">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3</v>
      </c>
      <c r="H5541" s="194" t="s">
        <v>60</v>
      </c>
      <c r="I5541" s="187">
        <v>0.81</v>
      </c>
      <c r="J5541" s="187" t="s">
        <v>962</v>
      </c>
      <c r="K5541" s="187" t="s">
        <v>116</v>
      </c>
      <c r="L5541" s="195">
        <v>0.74</v>
      </c>
      <c r="M5541" s="52" t="s">
        <v>962</v>
      </c>
      <c r="N5541" s="52" t="s">
        <v>117</v>
      </c>
      <c r="P5541" s="188"/>
    </row>
    <row r="5542" spans="1:16" s="183" customFormat="1" x14ac:dyDescent="0.2">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4</v>
      </c>
      <c r="H5542" s="194" t="s">
        <v>60</v>
      </c>
      <c r="I5542" s="187">
        <v>1.29</v>
      </c>
      <c r="J5542" s="187" t="s">
        <v>962</v>
      </c>
      <c r="K5542" s="187" t="s">
        <v>116</v>
      </c>
      <c r="L5542" s="195">
        <v>0.77</v>
      </c>
      <c r="M5542" s="195" t="s">
        <v>962</v>
      </c>
      <c r="N5542" s="195" t="s">
        <v>117</v>
      </c>
      <c r="O5542" s="199"/>
      <c r="P5542" s="188"/>
    </row>
    <row r="5543" spans="1:16" s="183" customFormat="1" x14ac:dyDescent="0.2">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6</v>
      </c>
      <c r="H5543" s="194" t="s">
        <v>60</v>
      </c>
      <c r="I5543" s="187">
        <v>0.79</v>
      </c>
      <c r="J5543" s="187" t="s">
        <v>962</v>
      </c>
      <c r="K5543" s="187" t="s">
        <v>116</v>
      </c>
      <c r="L5543" s="195">
        <v>0.35</v>
      </c>
      <c r="M5543" s="195" t="s">
        <v>962</v>
      </c>
      <c r="N5543" s="195" t="s">
        <v>117</v>
      </c>
      <c r="O5543" s="199"/>
      <c r="P5543" s="188"/>
    </row>
    <row r="5544" spans="1:16" x14ac:dyDescent="0.2">
      <c r="A5544" s="30">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7.5</v>
      </c>
      <c r="H5544" s="50" t="s">
        <v>60</v>
      </c>
      <c r="I5544" s="187">
        <v>0.48</v>
      </c>
      <c r="J5544" s="187" t="s">
        <v>962</v>
      </c>
      <c r="K5544" s="187" t="s">
        <v>116</v>
      </c>
      <c r="L5544" s="195">
        <v>0.27</v>
      </c>
      <c r="M5544" s="52" t="s">
        <v>962</v>
      </c>
      <c r="N5544" s="52" t="s">
        <v>117</v>
      </c>
    </row>
    <row r="5545" spans="1:16" x14ac:dyDescent="0.2">
      <c r="A5545" s="183">
        <v>619</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A2 (film-coated tabet, ery stearate), study 2</v>
      </c>
      <c r="E5545" s="250" t="str">
        <f>IF(AND(A5545&lt;&gt;"",ISNUMBER(A5545)),VLOOKUP(A5545,Studies!A:BR,5,FALSE),"")</f>
        <v>Erythromycin</v>
      </c>
      <c r="F5545" s="251" t="str">
        <f>IF(AND(A5545&lt;&gt;"",ISNUMBER(A5545)),VLOOKUP(A5545,Studies!A:BR,6,FALSE),"")</f>
        <v>Serum</v>
      </c>
      <c r="G5545" s="194">
        <v>0.5</v>
      </c>
      <c r="H5545" s="194" t="s">
        <v>60</v>
      </c>
      <c r="I5545" s="187">
        <v>0.203478343284996</v>
      </c>
      <c r="J5545" s="187" t="s">
        <v>962</v>
      </c>
      <c r="K5545" s="187" t="s">
        <v>116</v>
      </c>
      <c r="L5545" s="195">
        <v>0.10121315515117099</v>
      </c>
      <c r="M5545" s="52" t="s">
        <v>962</v>
      </c>
      <c r="N5545" s="52" t="s">
        <v>949</v>
      </c>
    </row>
    <row r="5546" spans="1:16" x14ac:dyDescent="0.2">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1</v>
      </c>
      <c r="H5546" s="194" t="s">
        <v>60</v>
      </c>
      <c r="I5546" s="187">
        <v>1.42486968059899</v>
      </c>
      <c r="J5546" s="187" t="s">
        <v>962</v>
      </c>
      <c r="K5546" s="187" t="s">
        <v>116</v>
      </c>
      <c r="L5546" s="195">
        <v>0.52383660316557989</v>
      </c>
      <c r="M5546" s="52" t="s">
        <v>962</v>
      </c>
      <c r="N5546" s="52" t="s">
        <v>949</v>
      </c>
    </row>
    <row r="5547" spans="1:16" x14ac:dyDescent="0.2">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1.5</v>
      </c>
      <c r="H5547" s="194" t="s">
        <v>60</v>
      </c>
      <c r="I5547" s="187">
        <v>1.72976021230215</v>
      </c>
      <c r="J5547" s="187" t="s">
        <v>962</v>
      </c>
      <c r="K5547" s="187" t="s">
        <v>116</v>
      </c>
      <c r="L5547" s="195">
        <v>0.4999431333522899</v>
      </c>
      <c r="M5547" s="52" t="s">
        <v>962</v>
      </c>
      <c r="N5547" s="52" t="s">
        <v>949</v>
      </c>
    </row>
    <row r="5548" spans="1:16" x14ac:dyDescent="0.2">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2</v>
      </c>
      <c r="H5548" s="194" t="s">
        <v>60</v>
      </c>
      <c r="I5548" s="187">
        <v>1.6059899535589</v>
      </c>
      <c r="J5548" s="187" t="s">
        <v>962</v>
      </c>
      <c r="K5548" s="187" t="s">
        <v>116</v>
      </c>
      <c r="L5548" s="195">
        <v>0.43455596625911985</v>
      </c>
      <c r="M5548" s="52" t="s">
        <v>962</v>
      </c>
      <c r="N5548" s="52" t="s">
        <v>949</v>
      </c>
    </row>
    <row r="5549" spans="1:16" x14ac:dyDescent="0.2">
      <c r="A5549" s="30">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3</v>
      </c>
      <c r="H5549" s="194" t="s">
        <v>60</v>
      </c>
      <c r="I5549" s="187">
        <v>1.34660221779926</v>
      </c>
      <c r="J5549" s="187" t="s">
        <v>962</v>
      </c>
      <c r="K5549" s="187" t="s">
        <v>116</v>
      </c>
      <c r="L5549" s="195">
        <v>0.3333143777840899</v>
      </c>
      <c r="M5549" s="52" t="s">
        <v>962</v>
      </c>
      <c r="N5549" s="52" t="s">
        <v>949</v>
      </c>
    </row>
    <row r="5550" spans="1:16" x14ac:dyDescent="0.2">
      <c r="A5550" s="183">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4</v>
      </c>
      <c r="H5550" s="194" t="s">
        <v>60</v>
      </c>
      <c r="I5550" s="187">
        <v>1.09917543360818</v>
      </c>
      <c r="J5550" s="187" t="s">
        <v>962</v>
      </c>
      <c r="K5550" s="187" t="s">
        <v>116</v>
      </c>
      <c r="L5550" s="195">
        <v>0.26787034404321997</v>
      </c>
      <c r="M5550" s="52" t="s">
        <v>962</v>
      </c>
      <c r="N5550" s="52" t="s">
        <v>949</v>
      </c>
    </row>
    <row r="5551" spans="1:16" x14ac:dyDescent="0.2">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6</v>
      </c>
      <c r="H5551" s="194" t="s">
        <v>60</v>
      </c>
      <c r="I5551" s="187">
        <v>0.62807316842005401</v>
      </c>
      <c r="J5551" s="187" t="s">
        <v>962</v>
      </c>
      <c r="K5551" s="187" t="s">
        <v>116</v>
      </c>
      <c r="L5551" s="195">
        <v>0.17856127381290898</v>
      </c>
      <c r="M5551" s="52" t="s">
        <v>962</v>
      </c>
      <c r="N5551" s="52" t="s">
        <v>949</v>
      </c>
    </row>
    <row r="5552" spans="1:16" x14ac:dyDescent="0.2">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8</v>
      </c>
      <c r="H5552" s="194" t="s">
        <v>60</v>
      </c>
      <c r="I5552" s="187">
        <v>0.25228888257037202</v>
      </c>
      <c r="J5552" s="187" t="s">
        <v>962</v>
      </c>
      <c r="K5552" s="187" t="s">
        <v>116</v>
      </c>
      <c r="L5552" s="195">
        <v>5.3596815467727987E-2</v>
      </c>
      <c r="M5552" s="52" t="s">
        <v>962</v>
      </c>
      <c r="N5552" s="52" t="s">
        <v>949</v>
      </c>
    </row>
    <row r="5553" spans="1:15" x14ac:dyDescent="0.2">
      <c r="A5553" s="183">
        <v>620</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RN (film-coated tabet, ery stearate), study 2</v>
      </c>
      <c r="E5553" s="250" t="str">
        <f>IF(AND(A5553&lt;&gt;"",ISNUMBER(A5553)),VLOOKUP(A5553,Studies!A:BR,5,FALSE),"")</f>
        <v>Erythromycin</v>
      </c>
      <c r="F5553" s="251" t="str">
        <f>IF(AND(A5553&lt;&gt;"",ISNUMBER(A5553)),VLOOKUP(A5553,Studies!A:BR,6,FALSE),"")</f>
        <v>Serum</v>
      </c>
      <c r="G5553" s="194">
        <v>0.5</v>
      </c>
      <c r="H5553" s="194" t="s">
        <v>60</v>
      </c>
      <c r="I5553" s="187">
        <v>1.523736</v>
      </c>
      <c r="J5553" s="187" t="s">
        <v>962</v>
      </c>
      <c r="K5553" s="187" t="s">
        <v>116</v>
      </c>
      <c r="L5553" s="195">
        <v>0.43455596625913007</v>
      </c>
      <c r="M5553" s="52" t="s">
        <v>962</v>
      </c>
      <c r="N5553" s="52" t="s">
        <v>949</v>
      </c>
    </row>
    <row r="5554" spans="1:15" x14ac:dyDescent="0.2">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1</v>
      </c>
      <c r="H5554" s="194" t="s">
        <v>60</v>
      </c>
      <c r="I5554" s="187">
        <v>2.810562</v>
      </c>
      <c r="J5554" s="187" t="s">
        <v>962</v>
      </c>
      <c r="K5554" s="187" t="s">
        <v>116</v>
      </c>
      <c r="L5554" s="195">
        <v>0.55356838214387993</v>
      </c>
      <c r="M5554" s="52" t="s">
        <v>962</v>
      </c>
      <c r="N5554" s="52" t="s">
        <v>949</v>
      </c>
    </row>
    <row r="5555" spans="1:15" x14ac:dyDescent="0.2">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1.5</v>
      </c>
      <c r="H5555" s="194" t="s">
        <v>60</v>
      </c>
      <c r="I5555" s="187">
        <v>3.2212390000000002</v>
      </c>
      <c r="J5555" s="187" t="s">
        <v>962</v>
      </c>
      <c r="K5555" s="187" t="s">
        <v>116</v>
      </c>
      <c r="L5555" s="195">
        <v>0.43449909961140998</v>
      </c>
      <c r="M5555" s="52" t="s">
        <v>962</v>
      </c>
      <c r="N5555" s="52" t="s">
        <v>949</v>
      </c>
    </row>
    <row r="5556" spans="1:15" x14ac:dyDescent="0.2">
      <c r="A5556" s="30">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2</v>
      </c>
      <c r="H5556" s="194" t="s">
        <v>60</v>
      </c>
      <c r="I5556" s="187">
        <v>2.7342930000000001</v>
      </c>
      <c r="J5556" s="187" t="s">
        <v>962</v>
      </c>
      <c r="K5556" s="187" t="s">
        <v>116</v>
      </c>
      <c r="L5556" s="195">
        <v>0.33328594446023985</v>
      </c>
      <c r="M5556" s="52" t="s">
        <v>962</v>
      </c>
      <c r="N5556" s="52" t="s">
        <v>949</v>
      </c>
    </row>
    <row r="5557" spans="1:15" x14ac:dyDescent="0.2">
      <c r="A5557" s="183">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3</v>
      </c>
      <c r="H5557" s="194" t="s">
        <v>60</v>
      </c>
      <c r="I5557" s="187">
        <v>2.0547249999999999</v>
      </c>
      <c r="J5557" s="187" t="s">
        <v>962</v>
      </c>
      <c r="K5557" s="187" t="s">
        <v>116</v>
      </c>
      <c r="L5557" s="195">
        <v>0.30947777461851977</v>
      </c>
      <c r="M5557" s="52" t="s">
        <v>962</v>
      </c>
      <c r="N5557" s="52" t="s">
        <v>949</v>
      </c>
    </row>
    <row r="5558" spans="1:15" x14ac:dyDescent="0.2">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4</v>
      </c>
      <c r="H5558" s="194" t="s">
        <v>60</v>
      </c>
      <c r="I5558" s="187">
        <v>1.303345</v>
      </c>
      <c r="J5558" s="187" t="s">
        <v>962</v>
      </c>
      <c r="K5558" s="187" t="s">
        <v>116</v>
      </c>
      <c r="L5558" s="195">
        <v>0.21430196189935002</v>
      </c>
      <c r="M5558" s="52" t="s">
        <v>962</v>
      </c>
      <c r="N5558" s="52" t="s">
        <v>949</v>
      </c>
    </row>
    <row r="5559" spans="1:15" x14ac:dyDescent="0.2">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6</v>
      </c>
      <c r="H5559" s="194" t="s">
        <v>60</v>
      </c>
      <c r="I5559" s="187">
        <v>0.71985809999999995</v>
      </c>
      <c r="J5559" s="187" t="s">
        <v>962</v>
      </c>
      <c r="K5559" s="187" t="s">
        <v>116</v>
      </c>
      <c r="L5559" s="195">
        <v>0.13091650080561101</v>
      </c>
      <c r="M5559" s="52" t="s">
        <v>962</v>
      </c>
      <c r="N5559" s="52" t="s">
        <v>949</v>
      </c>
    </row>
    <row r="5560" spans="1:15" x14ac:dyDescent="0.2">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8</v>
      </c>
      <c r="H5560" s="194" t="s">
        <v>60</v>
      </c>
      <c r="I5560" s="187">
        <v>0.26552510000000001</v>
      </c>
      <c r="J5560" s="187" t="s">
        <v>962</v>
      </c>
      <c r="K5560" s="187" t="s">
        <v>116</v>
      </c>
      <c r="L5560" s="195">
        <v>7.1396076201308001E-2</v>
      </c>
      <c r="M5560" s="52" t="s">
        <v>962</v>
      </c>
      <c r="N5560" s="52" t="s">
        <v>949</v>
      </c>
    </row>
    <row r="5561" spans="1:15" x14ac:dyDescent="0.2">
      <c r="A5561" s="183">
        <v>621</v>
      </c>
      <c r="B5561" s="249" t="str">
        <f>IF(AND(A5561&lt;&gt;"",ISNUMBER(A5561)),VLOOKUP(A5561,Studies!A:BR,2,FALSE),"")</f>
        <v>Schreiner 1984</v>
      </c>
      <c r="C5561" s="250" t="str">
        <f>IF(AND(A5561&lt;&gt;"",ISNUMBER(A5561)),VLOOKUP(A5561,Studies!A:BR,3,FALSE),"")</f>
        <v>https://www.ncbi.nlm.nih.gov/pubmed/6511088</v>
      </c>
      <c r="D5561" s="250" t="str">
        <f>IF(AND(A5561&lt;&gt;"",ISNUMBER(A5561)),VLOOKUP(A5561,Studies!A:BR,4,FALSE),"")</f>
        <v>Part I, stearate tablet</v>
      </c>
      <c r="E5561" s="250" t="str">
        <f>IF(AND(A5561&lt;&gt;"",ISNUMBER(A5561)),VLOOKUP(A5561,Studies!A:BR,5,FALSE),"")</f>
        <v>Erythromycin</v>
      </c>
      <c r="F5561" s="251" t="str">
        <f>IF(AND(A5561&lt;&gt;"",ISNUMBER(A5561)),VLOOKUP(A5561,Studies!A:BR,6,FALSE),"")</f>
        <v>Serum</v>
      </c>
      <c r="G5561" s="194">
        <v>0.5</v>
      </c>
      <c r="H5561" s="194" t="s">
        <v>60</v>
      </c>
      <c r="I5561" s="187">
        <v>0.15142575101518799</v>
      </c>
      <c r="J5561" s="187" t="s">
        <v>962</v>
      </c>
      <c r="K5561" s="187" t="s">
        <v>116</v>
      </c>
      <c r="L5561" s="195">
        <v>0.11318511206335699</v>
      </c>
      <c r="M5561" s="52" t="s">
        <v>962</v>
      </c>
      <c r="N5561" s="52" t="s">
        <v>949</v>
      </c>
      <c r="O5561" s="59" t="s">
        <v>1959</v>
      </c>
    </row>
    <row r="5562" spans="1:15" x14ac:dyDescent="0.2">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1</v>
      </c>
      <c r="H5562" s="194" t="s">
        <v>60</v>
      </c>
      <c r="I5562" s="187">
        <v>1.20868014268727</v>
      </c>
      <c r="J5562" s="187" t="s">
        <v>962</v>
      </c>
      <c r="K5562" s="187" t="s">
        <v>116</v>
      </c>
      <c r="L5562" s="195">
        <v>0.34905660377359005</v>
      </c>
      <c r="M5562" s="52" t="s">
        <v>962</v>
      </c>
      <c r="N5562" s="52" t="s">
        <v>949</v>
      </c>
      <c r="O5562" s="59" t="s">
        <v>1959</v>
      </c>
    </row>
    <row r="5563" spans="1:15" x14ac:dyDescent="0.2">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1.5</v>
      </c>
      <c r="H5563" s="194" t="s">
        <v>60</v>
      </c>
      <c r="I5563" s="187">
        <v>1.79889731451775</v>
      </c>
      <c r="J5563" s="187" t="s">
        <v>962</v>
      </c>
      <c r="K5563" s="187" t="s">
        <v>116</v>
      </c>
      <c r="L5563" s="195">
        <v>0.35377358490566002</v>
      </c>
      <c r="M5563" s="52" t="s">
        <v>962</v>
      </c>
      <c r="N5563" s="52" t="s">
        <v>949</v>
      </c>
      <c r="O5563" s="59" t="s">
        <v>1959</v>
      </c>
    </row>
    <row r="5564" spans="1:15" x14ac:dyDescent="0.2">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2</v>
      </c>
      <c r="H5564" s="194" t="s">
        <v>60</v>
      </c>
      <c r="I5564" s="187">
        <v>2.0306127027572698</v>
      </c>
      <c r="J5564" s="187" t="s">
        <v>962</v>
      </c>
      <c r="K5564" s="187" t="s">
        <v>116</v>
      </c>
      <c r="L5564" s="195">
        <v>0.29243039508222024</v>
      </c>
      <c r="M5564" s="52" t="s">
        <v>962</v>
      </c>
      <c r="N5564" s="52" t="s">
        <v>949</v>
      </c>
      <c r="O5564" s="59" t="s">
        <v>1959</v>
      </c>
    </row>
    <row r="5565" spans="1:15" x14ac:dyDescent="0.2">
      <c r="A5565" s="30">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2.5</v>
      </c>
      <c r="H5565" s="194" t="s">
        <v>60</v>
      </c>
      <c r="I5565" s="187">
        <v>1.6538599600655099</v>
      </c>
      <c r="J5565" s="187" t="s">
        <v>962</v>
      </c>
      <c r="K5565" s="187" t="s">
        <v>116</v>
      </c>
      <c r="L5565" s="195">
        <v>0.15094339622640995</v>
      </c>
      <c r="M5565" s="52" t="s">
        <v>962</v>
      </c>
      <c r="N5565" s="52" t="s">
        <v>949</v>
      </c>
      <c r="O5565" s="59" t="s">
        <v>1959</v>
      </c>
    </row>
    <row r="5566" spans="1:15" x14ac:dyDescent="0.2">
      <c r="A5566" s="183">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3</v>
      </c>
      <c r="H5566" s="194" t="s">
        <v>60</v>
      </c>
      <c r="I5566" s="187">
        <v>1.70161308415408</v>
      </c>
      <c r="J5566" s="187" t="s">
        <v>962</v>
      </c>
      <c r="K5566" s="187" t="s">
        <v>116</v>
      </c>
      <c r="L5566" s="195">
        <v>0.25471698113206998</v>
      </c>
      <c r="M5566" s="52" t="s">
        <v>962</v>
      </c>
      <c r="N5566" s="52" t="s">
        <v>949</v>
      </c>
      <c r="O5566" s="59" t="s">
        <v>1959</v>
      </c>
    </row>
    <row r="5567" spans="1:15" x14ac:dyDescent="0.2">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3.5</v>
      </c>
      <c r="H5567" s="194" t="s">
        <v>60</v>
      </c>
      <c r="I5567" s="187">
        <v>1.1079128620465299</v>
      </c>
      <c r="J5567" s="187" t="s">
        <v>962</v>
      </c>
      <c r="K5567" s="187" t="s">
        <v>116</v>
      </c>
      <c r="L5567" s="195">
        <v>0.1462376326475601</v>
      </c>
      <c r="M5567" s="52" t="s">
        <v>962</v>
      </c>
      <c r="N5567" s="52" t="s">
        <v>949</v>
      </c>
      <c r="O5567" s="59" t="s">
        <v>1959</v>
      </c>
    </row>
    <row r="5568" spans="1:15" x14ac:dyDescent="0.2">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4</v>
      </c>
      <c r="H5568" s="194" t="s">
        <v>60</v>
      </c>
      <c r="I5568" s="187">
        <v>0.91033809705427005</v>
      </c>
      <c r="J5568" s="187" t="s">
        <v>962</v>
      </c>
      <c r="K5568" s="187" t="s">
        <v>116</v>
      </c>
      <c r="L5568" s="195">
        <v>5.1875574899602928E-2</v>
      </c>
      <c r="M5568" s="52" t="s">
        <v>962</v>
      </c>
      <c r="N5568" s="52" t="s">
        <v>949</v>
      </c>
      <c r="O5568" s="59" t="s">
        <v>1959</v>
      </c>
    </row>
    <row r="5569" spans="1:15" x14ac:dyDescent="0.2">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5</v>
      </c>
      <c r="H5569" s="194" t="s">
        <v>60</v>
      </c>
      <c r="I5569" s="187">
        <v>0.66623292127521105</v>
      </c>
      <c r="J5569" s="187" t="s">
        <v>962</v>
      </c>
      <c r="K5569" s="187" t="s">
        <v>116</v>
      </c>
      <c r="L5569" s="195">
        <v>5.18867924528299E-2</v>
      </c>
      <c r="M5569" s="52" t="s">
        <v>962</v>
      </c>
      <c r="N5569" s="52" t="s">
        <v>949</v>
      </c>
      <c r="O5569" s="59" t="s">
        <v>1959</v>
      </c>
    </row>
    <row r="5570" spans="1:15" x14ac:dyDescent="0.2">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6</v>
      </c>
      <c r="H5570" s="194" t="s">
        <v>60</v>
      </c>
      <c r="I5570" s="187">
        <v>0.46930877437013402</v>
      </c>
      <c r="J5570" s="187" t="s">
        <v>962</v>
      </c>
      <c r="K5570" s="187" t="s">
        <v>116</v>
      </c>
      <c r="L5570" s="195">
        <v>4.7169811320754984E-2</v>
      </c>
      <c r="M5570" s="52" t="s">
        <v>962</v>
      </c>
      <c r="N5570" s="52" t="s">
        <v>949</v>
      </c>
      <c r="O5570" s="59" t="s">
        <v>1959</v>
      </c>
    </row>
    <row r="5571" spans="1:15" x14ac:dyDescent="0.2">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7</v>
      </c>
      <c r="H5571" s="194" t="s">
        <v>60</v>
      </c>
      <c r="I5571" s="187">
        <v>0.36669059744688498</v>
      </c>
      <c r="J5571" s="187" t="s">
        <v>962</v>
      </c>
      <c r="K5571" s="187" t="s">
        <v>116</v>
      </c>
      <c r="L5571" s="195">
        <v>4.7181028873982012E-2</v>
      </c>
      <c r="M5571" s="52" t="s">
        <v>962</v>
      </c>
      <c r="N5571" s="52" t="s">
        <v>949</v>
      </c>
      <c r="O5571" s="59" t="s">
        <v>1959</v>
      </c>
    </row>
    <row r="5572" spans="1:15" x14ac:dyDescent="0.2">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8</v>
      </c>
      <c r="H5572" s="194" t="s">
        <v>60</v>
      </c>
      <c r="I5572" s="187">
        <v>0.31126466695084398</v>
      </c>
      <c r="J5572" s="187" t="s">
        <v>962</v>
      </c>
      <c r="K5572" s="187" t="s">
        <v>116</v>
      </c>
      <c r="L5572" s="195">
        <v>5.6603773584906036E-2</v>
      </c>
      <c r="M5572" s="52" t="s">
        <v>962</v>
      </c>
      <c r="N5572" s="52" t="s">
        <v>949</v>
      </c>
      <c r="O5572" s="59" t="s">
        <v>1959</v>
      </c>
    </row>
    <row r="5573" spans="1:15" x14ac:dyDescent="0.2">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9</v>
      </c>
      <c r="H5573" s="194" t="s">
        <v>60</v>
      </c>
      <c r="I5573" s="187">
        <v>0.21812532250465499</v>
      </c>
      <c r="J5573" s="187" t="s">
        <v>962</v>
      </c>
      <c r="K5573" s="187" t="s">
        <v>116</v>
      </c>
      <c r="L5573" s="195">
        <v>5.6581338478450982E-2</v>
      </c>
      <c r="M5573" s="52" t="s">
        <v>962</v>
      </c>
      <c r="N5573" s="52" t="s">
        <v>949</v>
      </c>
      <c r="O5573" s="59" t="s">
        <v>1959</v>
      </c>
    </row>
    <row r="5574" spans="1:15" x14ac:dyDescent="0.2">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10</v>
      </c>
      <c r="H5574" s="194" t="s">
        <v>60</v>
      </c>
      <c r="I5574" s="187">
        <v>0.124941107845557</v>
      </c>
      <c r="J5574" s="187" t="s">
        <v>962</v>
      </c>
      <c r="K5574" s="187" t="s">
        <v>116</v>
      </c>
      <c r="L5574" s="195">
        <v>4.7158593767526999E-2</v>
      </c>
      <c r="M5574" s="52" t="s">
        <v>962</v>
      </c>
      <c r="N5574" s="52" t="s">
        <v>949</v>
      </c>
      <c r="O5574" s="59" t="s">
        <v>1959</v>
      </c>
    </row>
    <row r="5575" spans="1:15" x14ac:dyDescent="0.2">
      <c r="A5575" s="183">
        <v>622</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base (enteric-coated pellets)</v>
      </c>
      <c r="E5575" s="250" t="str">
        <f>IF(AND(A5575&lt;&gt;"",ISNUMBER(A5575)),VLOOKUP(A5575,Studies!A:BR,5,FALSE),"")</f>
        <v>Erythromycin</v>
      </c>
      <c r="F5575" s="251" t="str">
        <f>IF(AND(A5575&lt;&gt;"",ISNUMBER(A5575)),VLOOKUP(A5575,Studies!A:BR,6,FALSE),"")</f>
        <v>Serum</v>
      </c>
      <c r="G5575" s="194">
        <v>0.5</v>
      </c>
      <c r="H5575" s="194" t="s">
        <v>60</v>
      </c>
      <c r="I5575" s="187">
        <v>0.20808561236622999</v>
      </c>
      <c r="J5575" s="187" t="s">
        <v>962</v>
      </c>
      <c r="K5575" s="187" t="s">
        <v>116</v>
      </c>
      <c r="L5575" s="195">
        <v>0.1320642541448851</v>
      </c>
      <c r="M5575" s="52" t="s">
        <v>962</v>
      </c>
      <c r="N5575" s="52" t="s">
        <v>949</v>
      </c>
      <c r="O5575" s="59" t="s">
        <v>1959</v>
      </c>
    </row>
    <row r="5576" spans="1:15" x14ac:dyDescent="0.2">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1</v>
      </c>
      <c r="H5576" s="194" t="s">
        <v>60</v>
      </c>
      <c r="I5576" s="187">
        <v>0.56717070872501196</v>
      </c>
      <c r="J5576" s="187" t="s">
        <v>962</v>
      </c>
      <c r="K5576" s="187" t="s">
        <v>116</v>
      </c>
      <c r="L5576" s="195">
        <v>0.25472819868530194</v>
      </c>
      <c r="M5576" s="52" t="s">
        <v>962</v>
      </c>
      <c r="N5576" s="52" t="s">
        <v>949</v>
      </c>
      <c r="O5576" s="59" t="s">
        <v>1959</v>
      </c>
    </row>
    <row r="5577" spans="1:15" x14ac:dyDescent="0.2">
      <c r="A5577" s="30">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1.5</v>
      </c>
      <c r="H5577" s="194" t="s">
        <v>60</v>
      </c>
      <c r="I5577" s="187">
        <v>0.75643326677584999</v>
      </c>
      <c r="J5577" s="187" t="s">
        <v>962</v>
      </c>
      <c r="K5577" s="187" t="s">
        <v>116</v>
      </c>
      <c r="L5577" s="195">
        <v>0.28773584905660399</v>
      </c>
      <c r="M5577" s="52" t="s">
        <v>962</v>
      </c>
      <c r="N5577" s="52" t="s">
        <v>949</v>
      </c>
      <c r="O5577" s="59" t="s">
        <v>1959</v>
      </c>
    </row>
    <row r="5578" spans="1:15" x14ac:dyDescent="0.2">
      <c r="A5578" s="183">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2</v>
      </c>
      <c r="H5578" s="194" t="s">
        <v>60</v>
      </c>
      <c r="I5578" s="187">
        <v>1.2098467682229099</v>
      </c>
      <c r="J5578" s="187" t="s">
        <v>962</v>
      </c>
      <c r="K5578" s="187" t="s">
        <v>116</v>
      </c>
      <c r="L5578" s="195">
        <v>0.49999999999999489</v>
      </c>
      <c r="M5578" s="52" t="s">
        <v>962</v>
      </c>
      <c r="N5578" s="52" t="s">
        <v>949</v>
      </c>
      <c r="O5578" s="59" t="s">
        <v>1959</v>
      </c>
    </row>
    <row r="5579" spans="1:15" x14ac:dyDescent="0.2">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2.5</v>
      </c>
      <c r="H5579" s="194" t="s">
        <v>60</v>
      </c>
      <c r="I5579" s="187">
        <v>1.1538487425122801</v>
      </c>
      <c r="J5579" s="187" t="s">
        <v>962</v>
      </c>
      <c r="K5579" s="187" t="s">
        <v>116</v>
      </c>
      <c r="L5579" s="195">
        <v>0.34432840508827911</v>
      </c>
      <c r="M5579" s="52" t="s">
        <v>962</v>
      </c>
      <c r="N5579" s="52" t="s">
        <v>949</v>
      </c>
      <c r="O5579" s="59" t="s">
        <v>1959</v>
      </c>
    </row>
    <row r="5580" spans="1:15" x14ac:dyDescent="0.2">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3</v>
      </c>
      <c r="H5580" s="194" t="s">
        <v>60</v>
      </c>
      <c r="I5580" s="187">
        <v>1.0978394992484199</v>
      </c>
      <c r="J5580" s="187" t="s">
        <v>962</v>
      </c>
      <c r="K5580" s="187" t="s">
        <v>116</v>
      </c>
      <c r="L5580" s="195">
        <v>0.33490566037735492</v>
      </c>
      <c r="M5580" s="52" t="s">
        <v>962</v>
      </c>
      <c r="N5580" s="52" t="s">
        <v>949</v>
      </c>
      <c r="O5580" s="59" t="s">
        <v>1959</v>
      </c>
    </row>
    <row r="5581" spans="1:15" x14ac:dyDescent="0.2">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3.5</v>
      </c>
      <c r="H5581" s="194" t="s">
        <v>60</v>
      </c>
      <c r="I5581" s="187">
        <v>1.28238507616718</v>
      </c>
      <c r="J5581" s="187" t="s">
        <v>962</v>
      </c>
      <c r="K5581" s="187" t="s">
        <v>116</v>
      </c>
      <c r="L5581" s="195">
        <v>0.34905660377357905</v>
      </c>
      <c r="M5581" s="52" t="s">
        <v>962</v>
      </c>
      <c r="N5581" s="52" t="s">
        <v>949</v>
      </c>
      <c r="O5581" s="59" t="s">
        <v>1959</v>
      </c>
    </row>
    <row r="5582" spans="1:15" x14ac:dyDescent="0.2">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4</v>
      </c>
      <c r="H5582" s="194" t="s">
        <v>60</v>
      </c>
      <c r="I5582" s="187">
        <v>1.5141116819599301</v>
      </c>
      <c r="J5582" s="187" t="s">
        <v>962</v>
      </c>
      <c r="K5582" s="187" t="s">
        <v>116</v>
      </c>
      <c r="L5582" s="195">
        <v>0.45283018867925007</v>
      </c>
      <c r="M5582" s="52" t="s">
        <v>962</v>
      </c>
      <c r="N5582" s="52" t="s">
        <v>949</v>
      </c>
      <c r="O5582" s="59" t="s">
        <v>1959</v>
      </c>
    </row>
    <row r="5583" spans="1:15" x14ac:dyDescent="0.2">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5</v>
      </c>
      <c r="H5583" s="194" t="s">
        <v>60</v>
      </c>
      <c r="I5583" s="187">
        <v>1.4115047225899</v>
      </c>
      <c r="J5583" s="187" t="s">
        <v>962</v>
      </c>
      <c r="K5583" s="187" t="s">
        <v>116</v>
      </c>
      <c r="L5583" s="195">
        <v>0.29715859376752007</v>
      </c>
      <c r="M5583" s="52" t="s">
        <v>962</v>
      </c>
      <c r="N5583" s="52" t="s">
        <v>949</v>
      </c>
      <c r="O5583" s="59" t="s">
        <v>1959</v>
      </c>
    </row>
    <row r="5584" spans="1:15" x14ac:dyDescent="0.2">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6</v>
      </c>
      <c r="H5584" s="194" t="s">
        <v>60</v>
      </c>
      <c r="I5584" s="187">
        <v>1.45041841473537</v>
      </c>
      <c r="J5584" s="187" t="s">
        <v>962</v>
      </c>
      <c r="K5584" s="187" t="s">
        <v>116</v>
      </c>
      <c r="L5584" s="195">
        <v>0.19336257375541011</v>
      </c>
      <c r="M5584" s="52" t="s">
        <v>962</v>
      </c>
      <c r="N5584" s="52" t="s">
        <v>949</v>
      </c>
      <c r="O5584" s="59" t="s">
        <v>1959</v>
      </c>
    </row>
    <row r="5585" spans="1:15" x14ac:dyDescent="0.2">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7</v>
      </c>
      <c r="H5585" s="194" t="s">
        <v>60</v>
      </c>
      <c r="I5585" s="187">
        <v>1.0836717295223499</v>
      </c>
      <c r="J5585" s="187" t="s">
        <v>962</v>
      </c>
      <c r="K5585" s="187" t="s">
        <v>116</v>
      </c>
      <c r="L5585" s="195">
        <v>0.14149821640903093</v>
      </c>
      <c r="M5585" s="52" t="s">
        <v>962</v>
      </c>
      <c r="N5585" s="52" t="s">
        <v>949</v>
      </c>
      <c r="O5585" s="59" t="s">
        <v>1959</v>
      </c>
    </row>
    <row r="5586" spans="1:15" x14ac:dyDescent="0.2">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8</v>
      </c>
      <c r="H5586" s="194" t="s">
        <v>60</v>
      </c>
      <c r="I5586" s="187">
        <v>0.665038251856505</v>
      </c>
      <c r="J5586" s="187" t="s">
        <v>962</v>
      </c>
      <c r="K5586" s="187" t="s">
        <v>116</v>
      </c>
      <c r="L5586" s="195">
        <v>0.12261907432750796</v>
      </c>
      <c r="M5586" s="52" t="s">
        <v>962</v>
      </c>
      <c r="N5586" s="52" t="s">
        <v>949</v>
      </c>
      <c r="O5586" s="59" t="s">
        <v>1959</v>
      </c>
    </row>
    <row r="5587" spans="1:15" x14ac:dyDescent="0.2">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9</v>
      </c>
      <c r="H5587" s="194" t="s">
        <v>60</v>
      </c>
      <c r="I5587" s="187">
        <v>0.46340834137258002</v>
      </c>
      <c r="J5587" s="187" t="s">
        <v>962</v>
      </c>
      <c r="K5587" s="187" t="s">
        <v>116</v>
      </c>
      <c r="L5587" s="195">
        <v>4.2452830188680013E-2</v>
      </c>
      <c r="M5587" s="52" t="s">
        <v>962</v>
      </c>
      <c r="N5587" s="52" t="s">
        <v>949</v>
      </c>
      <c r="O5587" s="59" t="s">
        <v>1959</v>
      </c>
    </row>
    <row r="5588" spans="1:15" x14ac:dyDescent="0.2">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10</v>
      </c>
      <c r="H5588" s="194" t="s">
        <v>60</v>
      </c>
      <c r="I5588" s="187">
        <v>0.37023534426670901</v>
      </c>
      <c r="J5588" s="187" t="s">
        <v>962</v>
      </c>
      <c r="K5588" s="187" t="s">
        <v>116</v>
      </c>
      <c r="L5588" s="195">
        <v>5.6603773584906036E-2</v>
      </c>
      <c r="M5588" s="52" t="s">
        <v>962</v>
      </c>
      <c r="N5588" s="52" t="s">
        <v>949</v>
      </c>
      <c r="O5588" s="59" t="s">
        <v>1959</v>
      </c>
    </row>
    <row r="5589" spans="1:15" x14ac:dyDescent="0.2">
      <c r="A5589" s="183">
        <v>623</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II, stearate tablet</v>
      </c>
      <c r="E5589" s="250" t="str">
        <f>IF(AND(A5589&lt;&gt;"",ISNUMBER(A5589)),VLOOKUP(A5589,Studies!A:BR,5,FALSE),"")</f>
        <v>Erythromycin</v>
      </c>
      <c r="F5589" s="251" t="str">
        <f>IF(AND(A5589&lt;&gt;"",ISNUMBER(A5589)),VLOOKUP(A5589,Studies!A:BR,6,FALSE),"")</f>
        <v>Serum</v>
      </c>
      <c r="G5589" s="194">
        <v>0.5</v>
      </c>
      <c r="H5589" s="194" t="s">
        <v>60</v>
      </c>
      <c r="I5589" s="187">
        <v>0.98472593466865699</v>
      </c>
      <c r="J5589" s="187" t="s">
        <v>962</v>
      </c>
      <c r="K5589" s="187" t="s">
        <v>116</v>
      </c>
      <c r="L5589" s="195">
        <v>0.17313500190925302</v>
      </c>
      <c r="M5589" s="52" t="s">
        <v>962</v>
      </c>
      <c r="N5589" s="52" t="s">
        <v>949</v>
      </c>
      <c r="O5589" s="59" t="s">
        <v>1959</v>
      </c>
    </row>
    <row r="5590" spans="1:15" x14ac:dyDescent="0.2">
      <c r="A5590" s="30">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1</v>
      </c>
      <c r="H5590" s="194" t="s">
        <v>60</v>
      </c>
      <c r="I5590" s="187">
        <v>2.1425348005693001</v>
      </c>
      <c r="J5590" s="187" t="s">
        <v>962</v>
      </c>
      <c r="K5590" s="187" t="s">
        <v>116</v>
      </c>
      <c r="L5590" s="195">
        <v>0.45678133786926978</v>
      </c>
      <c r="M5590" s="52" t="s">
        <v>962</v>
      </c>
      <c r="N5590" s="52" t="s">
        <v>949</v>
      </c>
      <c r="O5590" s="59" t="s">
        <v>1959</v>
      </c>
    </row>
    <row r="5591" spans="1:15" x14ac:dyDescent="0.2">
      <c r="A5591" s="183">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1.5</v>
      </c>
      <c r="H5591" s="194" t="s">
        <v>60</v>
      </c>
      <c r="I5591" s="187">
        <v>2.21859270316242</v>
      </c>
      <c r="J5591" s="187" t="s">
        <v>962</v>
      </c>
      <c r="K5591" s="187" t="s">
        <v>116</v>
      </c>
      <c r="L5591" s="195">
        <v>0.37978616308536006</v>
      </c>
      <c r="M5591" s="52" t="s">
        <v>962</v>
      </c>
      <c r="N5591" s="52" t="s">
        <v>949</v>
      </c>
      <c r="O5591" s="59" t="s">
        <v>1959</v>
      </c>
    </row>
    <row r="5592" spans="1:15" x14ac:dyDescent="0.2">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2</v>
      </c>
      <c r="H5592" s="194" t="s">
        <v>60</v>
      </c>
      <c r="I5592" s="187">
        <v>2.00133648071649</v>
      </c>
      <c r="J5592" s="187" t="s">
        <v>962</v>
      </c>
      <c r="K5592" s="187" t="s">
        <v>116</v>
      </c>
      <c r="L5592" s="195">
        <v>0.2884541951609001</v>
      </c>
      <c r="M5592" s="52" t="s">
        <v>962</v>
      </c>
      <c r="N5592" s="52" t="s">
        <v>949</v>
      </c>
      <c r="O5592" s="59" t="s">
        <v>1959</v>
      </c>
    </row>
    <row r="5593" spans="1:15" x14ac:dyDescent="0.2">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2.5</v>
      </c>
      <c r="H5593" s="194" t="s">
        <v>60</v>
      </c>
      <c r="I5593" s="187">
        <v>1.4523032596243901</v>
      </c>
      <c r="J5593" s="187" t="s">
        <v>962</v>
      </c>
      <c r="K5593" s="187" t="s">
        <v>116</v>
      </c>
      <c r="L5593" s="195">
        <v>0.24042767382927988</v>
      </c>
      <c r="M5593" s="52" t="s">
        <v>962</v>
      </c>
      <c r="N5593" s="52" t="s">
        <v>949</v>
      </c>
      <c r="O5593" s="59" t="s">
        <v>1959</v>
      </c>
    </row>
    <row r="5594" spans="1:15" x14ac:dyDescent="0.2">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3</v>
      </c>
      <c r="H5594" s="194" t="s">
        <v>60</v>
      </c>
      <c r="I5594" s="187">
        <v>1.0379595237268699</v>
      </c>
      <c r="J5594" s="187" t="s">
        <v>962</v>
      </c>
      <c r="K5594" s="187" t="s">
        <v>116</v>
      </c>
      <c r="L5594" s="195">
        <v>0.17308293123199014</v>
      </c>
      <c r="M5594" s="52" t="s">
        <v>962</v>
      </c>
      <c r="N5594" s="52" t="s">
        <v>949</v>
      </c>
      <c r="O5594" s="59" t="s">
        <v>1959</v>
      </c>
    </row>
    <row r="5595" spans="1:15" x14ac:dyDescent="0.2">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3.5</v>
      </c>
      <c r="H5595" s="194" t="s">
        <v>60</v>
      </c>
      <c r="I5595" s="187">
        <v>0.86878189328982502</v>
      </c>
      <c r="J5595" s="187" t="s">
        <v>962</v>
      </c>
      <c r="K5595" s="187" t="s">
        <v>116</v>
      </c>
      <c r="L5595" s="195">
        <v>0.14904363522754505</v>
      </c>
      <c r="M5595" s="52" t="s">
        <v>962</v>
      </c>
      <c r="N5595" s="52" t="s">
        <v>949</v>
      </c>
      <c r="O5595" s="59" t="s">
        <v>1959</v>
      </c>
    </row>
    <row r="5596" spans="1:15" x14ac:dyDescent="0.2">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4</v>
      </c>
      <c r="H5596" s="194" t="s">
        <v>60</v>
      </c>
      <c r="I5596" s="187">
        <v>0.74768285486166497</v>
      </c>
      <c r="J5596" s="187" t="s">
        <v>962</v>
      </c>
      <c r="K5596" s="187" t="s">
        <v>116</v>
      </c>
      <c r="L5596" s="195">
        <v>0.15388620821328203</v>
      </c>
      <c r="M5596" s="52" t="s">
        <v>962</v>
      </c>
      <c r="N5596" s="52" t="s">
        <v>949</v>
      </c>
      <c r="O5596" s="59" t="s">
        <v>1959</v>
      </c>
    </row>
    <row r="5597" spans="1:15" x14ac:dyDescent="0.2">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5</v>
      </c>
      <c r="H5597" s="194" t="s">
        <v>60</v>
      </c>
      <c r="I5597" s="187">
        <v>0.49107855729510103</v>
      </c>
      <c r="J5597" s="187" t="s">
        <v>962</v>
      </c>
      <c r="K5597" s="187" t="s">
        <v>116</v>
      </c>
      <c r="L5597" s="195">
        <v>0.10094768632624102</v>
      </c>
      <c r="M5597" s="52" t="s">
        <v>962</v>
      </c>
      <c r="N5597" s="52" t="s">
        <v>949</v>
      </c>
      <c r="O5597" s="59" t="s">
        <v>1959</v>
      </c>
    </row>
    <row r="5598" spans="1:15" x14ac:dyDescent="0.2">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6</v>
      </c>
      <c r="H5598" s="194" t="s">
        <v>60</v>
      </c>
      <c r="I5598" s="187">
        <v>0.29213385635435801</v>
      </c>
      <c r="J5598" s="187" t="s">
        <v>962</v>
      </c>
      <c r="K5598" s="187" t="s">
        <v>116</v>
      </c>
      <c r="L5598" s="195">
        <v>4.8061235116463985E-2</v>
      </c>
      <c r="M5598" s="52" t="s">
        <v>962</v>
      </c>
      <c r="N5598" s="52" t="s">
        <v>949</v>
      </c>
      <c r="O5598" s="59" t="s">
        <v>1959</v>
      </c>
    </row>
    <row r="5599" spans="1:15" x14ac:dyDescent="0.2">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7</v>
      </c>
      <c r="H5599" s="194" t="s">
        <v>60</v>
      </c>
      <c r="I5599" s="187">
        <v>0.18455583712292101</v>
      </c>
      <c r="J5599" s="187" t="s">
        <v>962</v>
      </c>
      <c r="K5599" s="187" t="s">
        <v>116</v>
      </c>
      <c r="L5599" s="195">
        <v>3.3637657513798991E-2</v>
      </c>
      <c r="M5599" s="52" t="s">
        <v>962</v>
      </c>
      <c r="N5599" s="52" t="s">
        <v>949</v>
      </c>
      <c r="O5599" s="59" t="s">
        <v>1959</v>
      </c>
    </row>
    <row r="5600" spans="1:15" x14ac:dyDescent="0.2">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8</v>
      </c>
      <c r="H5600" s="194" t="s">
        <v>60</v>
      </c>
      <c r="I5600" s="187">
        <v>0.13465477140972701</v>
      </c>
      <c r="J5600" s="187" t="s">
        <v>962</v>
      </c>
      <c r="K5600" s="187" t="s">
        <v>116</v>
      </c>
      <c r="L5600" s="195">
        <v>3.3689728191064E-2</v>
      </c>
      <c r="M5600" s="52" t="s">
        <v>962</v>
      </c>
      <c r="N5600" s="52" t="s">
        <v>949</v>
      </c>
      <c r="O5600" s="59" t="s">
        <v>1959</v>
      </c>
    </row>
    <row r="5601" spans="1:15" x14ac:dyDescent="0.2">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9</v>
      </c>
      <c r="H5601" s="194" t="s">
        <v>60</v>
      </c>
      <c r="I5601" s="187">
        <v>0.104037213177353</v>
      </c>
      <c r="J5601" s="187" t="s">
        <v>962</v>
      </c>
      <c r="K5601" s="187" t="s">
        <v>116</v>
      </c>
      <c r="L5601" s="195">
        <v>2.4039296004442004E-2</v>
      </c>
      <c r="M5601" s="52" t="s">
        <v>962</v>
      </c>
      <c r="N5601" s="52" t="s">
        <v>949</v>
      </c>
      <c r="O5601" s="59" t="s">
        <v>1959</v>
      </c>
    </row>
    <row r="5602" spans="1:15" x14ac:dyDescent="0.2">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10</v>
      </c>
      <c r="H5602" s="194" t="s">
        <v>60</v>
      </c>
      <c r="I5602" s="187">
        <v>9.7406880272155896E-2</v>
      </c>
      <c r="J5602" s="187" t="s">
        <v>962</v>
      </c>
      <c r="K5602" s="187" t="s">
        <v>116</v>
      </c>
      <c r="L5602" s="195">
        <v>2.4021939112021107E-2</v>
      </c>
      <c r="M5602" s="52" t="s">
        <v>962</v>
      </c>
      <c r="N5602" s="52" t="s">
        <v>949</v>
      </c>
      <c r="O5602" s="59" t="s">
        <v>1959</v>
      </c>
    </row>
    <row r="5603" spans="1:15" x14ac:dyDescent="0.2">
      <c r="A5603" s="30">
        <v>624</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base (enteric-coated pellets)</v>
      </c>
      <c r="E5603" s="250" t="str">
        <f>IF(AND(A5603&lt;&gt;"",ISNUMBER(A5603)),VLOOKUP(A5603,Studies!A:BR,5,FALSE),"")</f>
        <v>Erythromycin</v>
      </c>
      <c r="F5603" s="251" t="str">
        <f>IF(AND(A5603&lt;&gt;"",ISNUMBER(A5603)),VLOOKUP(A5603,Studies!A:BR,6,FALSE),"")</f>
        <v>Serum</v>
      </c>
      <c r="G5603" s="194">
        <v>1</v>
      </c>
      <c r="H5603" s="194" t="s">
        <v>60</v>
      </c>
      <c r="I5603" s="187">
        <v>0.50307216995868997</v>
      </c>
      <c r="J5603" s="187" t="s">
        <v>962</v>
      </c>
      <c r="K5603" s="187" t="s">
        <v>116</v>
      </c>
      <c r="L5603" s="195">
        <v>0.30773770264171896</v>
      </c>
      <c r="M5603" s="52" t="s">
        <v>962</v>
      </c>
      <c r="N5603" s="52" t="s">
        <v>949</v>
      </c>
      <c r="O5603" s="59" t="s">
        <v>1959</v>
      </c>
    </row>
    <row r="5604" spans="1:15" x14ac:dyDescent="0.2">
      <c r="A5604" s="183">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1.5</v>
      </c>
      <c r="H5604" s="194" t="s">
        <v>60</v>
      </c>
      <c r="I5604" s="187">
        <v>0.48293817474919298</v>
      </c>
      <c r="J5604" s="187" t="s">
        <v>962</v>
      </c>
      <c r="K5604" s="187" t="s">
        <v>116</v>
      </c>
      <c r="L5604" s="195">
        <v>0.18754122261950296</v>
      </c>
      <c r="M5604" s="52" t="s">
        <v>962</v>
      </c>
      <c r="N5604" s="52" t="s">
        <v>949</v>
      </c>
      <c r="O5604" s="59" t="s">
        <v>1959</v>
      </c>
    </row>
    <row r="5605" spans="1:15" x14ac:dyDescent="0.2">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2</v>
      </c>
      <c r="H5605" s="194" t="s">
        <v>60</v>
      </c>
      <c r="I5605" s="187">
        <v>0.81858576040545705</v>
      </c>
      <c r="J5605" s="187" t="s">
        <v>962</v>
      </c>
      <c r="K5605" s="187" t="s">
        <v>116</v>
      </c>
      <c r="L5605" s="195">
        <v>0.31731870725865308</v>
      </c>
      <c r="M5605" s="52" t="s">
        <v>962</v>
      </c>
      <c r="N5605" s="52" t="s">
        <v>949</v>
      </c>
      <c r="O5605" s="59" t="s">
        <v>1959</v>
      </c>
    </row>
    <row r="5606" spans="1:15" x14ac:dyDescent="0.2">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2.5</v>
      </c>
      <c r="H5606" s="194" t="s">
        <v>60</v>
      </c>
      <c r="I5606" s="187">
        <v>1.23596695247682</v>
      </c>
      <c r="J5606" s="187" t="s">
        <v>962</v>
      </c>
      <c r="K5606" s="187" t="s">
        <v>116</v>
      </c>
      <c r="L5606" s="195">
        <v>0.56253688339638797</v>
      </c>
      <c r="M5606" s="52" t="s">
        <v>962</v>
      </c>
      <c r="N5606" s="52" t="s">
        <v>949</v>
      </c>
      <c r="O5606" s="59" t="s">
        <v>1959</v>
      </c>
    </row>
    <row r="5607" spans="1:15" x14ac:dyDescent="0.2">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3</v>
      </c>
      <c r="H5607" s="194" t="s">
        <v>60</v>
      </c>
      <c r="I5607" s="187">
        <v>1.0235359461242</v>
      </c>
      <c r="J5607" s="187" t="s">
        <v>962</v>
      </c>
      <c r="K5607" s="187" t="s">
        <v>116</v>
      </c>
      <c r="L5607" s="195">
        <v>0.370205158468422</v>
      </c>
      <c r="M5607" s="52" t="s">
        <v>962</v>
      </c>
      <c r="N5607" s="52" t="s">
        <v>949</v>
      </c>
      <c r="O5607" s="59" t="s">
        <v>1959</v>
      </c>
    </row>
    <row r="5608" spans="1:15" x14ac:dyDescent="0.2">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3.5</v>
      </c>
      <c r="H5608" s="194" t="s">
        <v>60</v>
      </c>
      <c r="I5608" s="187">
        <v>1.11398271253514</v>
      </c>
      <c r="J5608" s="187" t="s">
        <v>962</v>
      </c>
      <c r="K5608" s="187" t="s">
        <v>116</v>
      </c>
      <c r="L5608" s="195">
        <v>0.35574686708092007</v>
      </c>
      <c r="M5608" s="52" t="s">
        <v>962</v>
      </c>
      <c r="N5608" s="52" t="s">
        <v>949</v>
      </c>
      <c r="O5608" s="59" t="s">
        <v>1959</v>
      </c>
    </row>
    <row r="5609" spans="1:15" x14ac:dyDescent="0.2">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4</v>
      </c>
      <c r="H5609" s="194" t="s">
        <v>60</v>
      </c>
      <c r="I5609" s="187">
        <v>1.34384003887943</v>
      </c>
      <c r="J5609" s="187" t="s">
        <v>962</v>
      </c>
      <c r="K5609" s="187" t="s">
        <v>116</v>
      </c>
      <c r="L5609" s="195">
        <v>0.24997396466136015</v>
      </c>
      <c r="M5609" s="52" t="s">
        <v>962</v>
      </c>
      <c r="N5609" s="52" t="s">
        <v>949</v>
      </c>
      <c r="O5609" s="59" t="s">
        <v>1959</v>
      </c>
    </row>
    <row r="5610" spans="1:15" x14ac:dyDescent="0.2">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5</v>
      </c>
      <c r="H5610" s="194" t="s">
        <v>60</v>
      </c>
      <c r="I5610" s="187">
        <v>1.46705661818308</v>
      </c>
      <c r="J5610" s="187" t="s">
        <v>962</v>
      </c>
      <c r="K5610" s="187" t="s">
        <v>116</v>
      </c>
      <c r="L5610" s="195">
        <v>0.24039296004443989</v>
      </c>
      <c r="M5610" s="52" t="s">
        <v>962</v>
      </c>
      <c r="N5610" s="52" t="s">
        <v>949</v>
      </c>
      <c r="O5610" s="59" t="s">
        <v>1959</v>
      </c>
    </row>
    <row r="5611" spans="1:15" x14ac:dyDescent="0.2">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6</v>
      </c>
      <c r="H5611" s="194" t="s">
        <v>60</v>
      </c>
      <c r="I5611" s="187">
        <v>1.1671642309160899</v>
      </c>
      <c r="J5611" s="187" t="s">
        <v>962</v>
      </c>
      <c r="K5611" s="187" t="s">
        <v>116</v>
      </c>
      <c r="L5611" s="195">
        <v>0.15388620821327992</v>
      </c>
      <c r="M5611" s="52" t="s">
        <v>962</v>
      </c>
      <c r="N5611" s="52" t="s">
        <v>949</v>
      </c>
      <c r="O5611" s="59" t="s">
        <v>1959</v>
      </c>
    </row>
    <row r="5612" spans="1:15" x14ac:dyDescent="0.2">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7</v>
      </c>
      <c r="H5612" s="194" t="s">
        <v>60</v>
      </c>
      <c r="I5612" s="187">
        <v>0.95383066615753098</v>
      </c>
      <c r="J5612" s="187" t="s">
        <v>962</v>
      </c>
      <c r="K5612" s="187" t="s">
        <v>116</v>
      </c>
      <c r="L5612" s="195">
        <v>9.6174540910195963E-2</v>
      </c>
      <c r="M5612" s="52" t="s">
        <v>962</v>
      </c>
      <c r="N5612" s="52" t="s">
        <v>949</v>
      </c>
      <c r="O5612" s="59" t="s">
        <v>1959</v>
      </c>
    </row>
    <row r="5613" spans="1:15" x14ac:dyDescent="0.2">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8</v>
      </c>
      <c r="H5613" s="194" t="s">
        <v>60</v>
      </c>
      <c r="I5613" s="187">
        <v>0.58661089318568405</v>
      </c>
      <c r="J5613" s="187" t="s">
        <v>962</v>
      </c>
      <c r="K5613" s="187" t="s">
        <v>116</v>
      </c>
      <c r="L5613" s="195">
        <v>9.617454091019606E-2</v>
      </c>
      <c r="M5613" s="52" t="s">
        <v>962</v>
      </c>
      <c r="N5613" s="52" t="s">
        <v>949</v>
      </c>
      <c r="O5613" s="59" t="s">
        <v>1959</v>
      </c>
    </row>
    <row r="5614" spans="1:15" x14ac:dyDescent="0.2">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9</v>
      </c>
      <c r="H5614" s="194" t="s">
        <v>60</v>
      </c>
      <c r="I5614" s="187">
        <v>0.31554830423161001</v>
      </c>
      <c r="J5614" s="187" t="s">
        <v>962</v>
      </c>
      <c r="K5614" s="187" t="s">
        <v>116</v>
      </c>
      <c r="L5614" s="195">
        <v>4.8061235116464984E-2</v>
      </c>
      <c r="M5614" s="52" t="s">
        <v>962</v>
      </c>
      <c r="N5614" s="52" t="s">
        <v>949</v>
      </c>
      <c r="O5614" s="59" t="s">
        <v>1959</v>
      </c>
    </row>
    <row r="5615" spans="1:15" x14ac:dyDescent="0.2">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10</v>
      </c>
      <c r="H5615" s="194" t="s">
        <v>60</v>
      </c>
      <c r="I5615" s="187">
        <v>0.203179782691707</v>
      </c>
      <c r="J5615" s="187" t="s">
        <v>962</v>
      </c>
      <c r="K5615" s="187" t="s">
        <v>116</v>
      </c>
      <c r="L5615" s="195">
        <v>4.3288089700420002E-2</v>
      </c>
      <c r="M5615" s="52" t="s">
        <v>962</v>
      </c>
      <c r="N5615" s="52" t="s">
        <v>949</v>
      </c>
      <c r="O5615" s="59" t="s">
        <v>1959</v>
      </c>
    </row>
    <row r="5616" spans="1:15" x14ac:dyDescent="0.2">
      <c r="A5616" s="30">
        <v>625</v>
      </c>
      <c r="B5616" s="249" t="str">
        <f>IF(AND(A5616&lt;&gt;"",ISNUMBER(A5616)),VLOOKUP(A5616,Studies!A:BR,2,FALSE),"")</f>
        <v>Sun 2010</v>
      </c>
      <c r="C5616" s="250" t="str">
        <f>IF(AND(A5616&lt;&gt;"",ISNUMBER(A5616)),VLOOKUP(A5616,Studies!A:BR,3,FALSE),"")</f>
        <v>https://www.ncbi.nlm.nih.gov/pubmed/20090676</v>
      </c>
      <c r="D5616" s="250" t="str">
        <f>IF(AND(A5616&lt;&gt;"",ISNUMBER(A5616)),VLOOKUP(A5616,Studies!A:BR,4,FALSE),"")</f>
        <v>Subjects with normal renal function</v>
      </c>
      <c r="E5616" s="250" t="str">
        <f>IF(AND(A5616&lt;&gt;"",ISNUMBER(A5616)),VLOOKUP(A5616,Studies!A:BR,5,FALSE),"")</f>
        <v>Erythromycin</v>
      </c>
      <c r="F5616" s="251" t="str">
        <f>IF(AND(A5616&lt;&gt;"",ISNUMBER(A5616)),VLOOKUP(A5616,Studies!A:BR,6,FALSE),"")</f>
        <v>Plasma</v>
      </c>
      <c r="G5616" s="194">
        <v>0.5</v>
      </c>
      <c r="H5616" s="194" t="s">
        <v>60</v>
      </c>
      <c r="I5616" s="187">
        <v>3286.3360697559601</v>
      </c>
      <c r="J5616" s="187" t="s">
        <v>941</v>
      </c>
      <c r="K5616" s="187" t="s">
        <v>116</v>
      </c>
      <c r="L5616" s="195">
        <v>228.94482492564006</v>
      </c>
      <c r="M5616" s="52" t="s">
        <v>941</v>
      </c>
      <c r="N5616" s="52" t="s">
        <v>949</v>
      </c>
      <c r="O5616" s="59" t="s">
        <v>1960</v>
      </c>
    </row>
    <row r="5617" spans="1:15" x14ac:dyDescent="0.2">
      <c r="A5617" s="183">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1</v>
      </c>
      <c r="H5617" s="194" t="s">
        <v>60</v>
      </c>
      <c r="I5617" s="187">
        <v>1159.4242727185899</v>
      </c>
      <c r="J5617" s="187" t="s">
        <v>941</v>
      </c>
      <c r="K5617" s="187" t="s">
        <v>116</v>
      </c>
      <c r="L5617" s="195">
        <v>196.26331050446998</v>
      </c>
      <c r="M5617" s="52" t="s">
        <v>941</v>
      </c>
      <c r="N5617" s="52" t="s">
        <v>949</v>
      </c>
      <c r="O5617" s="59" t="s">
        <v>1960</v>
      </c>
    </row>
    <row r="5618" spans="1:15" x14ac:dyDescent="0.2">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1.5</v>
      </c>
      <c r="H5618" s="194" t="s">
        <v>60</v>
      </c>
      <c r="I5618" s="187">
        <v>629.848715512985</v>
      </c>
      <c r="J5618" s="187" t="s">
        <v>941</v>
      </c>
      <c r="K5618" s="187" t="s">
        <v>116</v>
      </c>
      <c r="L5618" s="195">
        <v>52.71055175074401</v>
      </c>
      <c r="M5618" s="52" t="s">
        <v>941</v>
      </c>
      <c r="N5618" s="52" t="s">
        <v>949</v>
      </c>
      <c r="O5618" s="59" t="s">
        <v>1960</v>
      </c>
    </row>
    <row r="5619" spans="1:15" x14ac:dyDescent="0.2">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2</v>
      </c>
      <c r="H5619" s="194" t="s">
        <v>60</v>
      </c>
      <c r="I5619" s="187">
        <v>405.60067864387401</v>
      </c>
      <c r="J5619" s="187" t="s">
        <v>941</v>
      </c>
      <c r="K5619" s="187" t="s">
        <v>116</v>
      </c>
      <c r="L5619" s="195">
        <v>65.392066171925009</v>
      </c>
      <c r="M5619" s="52" t="s">
        <v>941</v>
      </c>
      <c r="N5619" s="52" t="s">
        <v>949</v>
      </c>
      <c r="O5619" s="59" t="s">
        <v>1960</v>
      </c>
    </row>
    <row r="5620" spans="1:15" x14ac:dyDescent="0.2">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4</v>
      </c>
      <c r="H5620" s="194" t="s">
        <v>60</v>
      </c>
      <c r="I5620" s="187">
        <v>162.47742830545801</v>
      </c>
      <c r="J5620" s="187" t="s">
        <v>941</v>
      </c>
      <c r="K5620" s="187" t="s">
        <v>116</v>
      </c>
      <c r="L5620" s="195">
        <v>35.361698142000989</v>
      </c>
      <c r="M5620" s="52" t="s">
        <v>941</v>
      </c>
      <c r="N5620" s="52" t="s">
        <v>949</v>
      </c>
      <c r="O5620" s="59" t="s">
        <v>1960</v>
      </c>
    </row>
    <row r="5621" spans="1:15" x14ac:dyDescent="0.2">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6</v>
      </c>
      <c r="H5621" s="194" t="s">
        <v>60</v>
      </c>
      <c r="I5621" s="187">
        <v>67.251591170048798</v>
      </c>
      <c r="J5621" s="187" t="s">
        <v>941</v>
      </c>
      <c r="K5621" s="187" t="s">
        <v>116</v>
      </c>
      <c r="L5621" s="195">
        <v>14.636682099950692</v>
      </c>
      <c r="M5621" s="52" t="s">
        <v>941</v>
      </c>
      <c r="N5621" s="52" t="s">
        <v>949</v>
      </c>
      <c r="O5621" s="59" t="s">
        <v>1960</v>
      </c>
    </row>
    <row r="5622" spans="1:15" x14ac:dyDescent="0.2">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8</v>
      </c>
      <c r="H5622" s="194" t="s">
        <v>60</v>
      </c>
      <c r="I5622" s="187">
        <v>28.333467784007201</v>
      </c>
      <c r="J5622" s="187" t="s">
        <v>941</v>
      </c>
      <c r="K5622" s="187" t="s">
        <v>116</v>
      </c>
      <c r="L5622" s="195">
        <v>5.3774385932764988</v>
      </c>
      <c r="M5622" s="52" t="s">
        <v>941</v>
      </c>
      <c r="N5622" s="52" t="s">
        <v>949</v>
      </c>
      <c r="O5622" s="59" t="s">
        <v>1960</v>
      </c>
    </row>
    <row r="5623" spans="1:15" x14ac:dyDescent="0.2">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10</v>
      </c>
      <c r="H5623" s="194" t="s">
        <v>60</v>
      </c>
      <c r="I5623" s="187">
        <v>13.029543247109201</v>
      </c>
      <c r="J5623" s="187" t="s">
        <v>941</v>
      </c>
      <c r="K5623" s="187" t="s">
        <v>116</v>
      </c>
      <c r="L5623" s="195">
        <v>2.4728906903983017</v>
      </c>
      <c r="M5623" s="52" t="s">
        <v>941</v>
      </c>
      <c r="N5623" s="52" t="s">
        <v>949</v>
      </c>
      <c r="O5623" s="59" t="s">
        <v>1960</v>
      </c>
    </row>
    <row r="5624" spans="1:15" x14ac:dyDescent="0.2">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12</v>
      </c>
      <c r="H5624" s="194" t="s">
        <v>60</v>
      </c>
      <c r="I5624" s="187">
        <v>5.9948739454571198</v>
      </c>
      <c r="J5624" s="187" t="s">
        <v>941</v>
      </c>
      <c r="K5624" s="187" t="s">
        <v>116</v>
      </c>
      <c r="L5624" s="195">
        <v>1.2213725392902002</v>
      </c>
      <c r="M5624" s="52" t="s">
        <v>941</v>
      </c>
      <c r="N5624" s="52" t="s">
        <v>949</v>
      </c>
      <c r="O5624" s="59" t="s">
        <v>1960</v>
      </c>
    </row>
    <row r="5625" spans="1:15" x14ac:dyDescent="0.2">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14</v>
      </c>
      <c r="H5625" s="194" t="s">
        <v>60</v>
      </c>
      <c r="I5625" s="187">
        <v>3.0096473367066201</v>
      </c>
      <c r="J5625" s="187" t="s">
        <v>941</v>
      </c>
      <c r="K5625" s="187" t="s">
        <v>116</v>
      </c>
      <c r="L5625" s="195">
        <v>0.69633523887085991</v>
      </c>
      <c r="M5625" s="52" t="s">
        <v>941</v>
      </c>
      <c r="N5625" s="52" t="s">
        <v>949</v>
      </c>
      <c r="O5625" s="59" t="s">
        <v>1960</v>
      </c>
    </row>
    <row r="5626" spans="1:15" x14ac:dyDescent="0.2">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24</v>
      </c>
      <c r="H5626" s="194" t="s">
        <v>60</v>
      </c>
      <c r="I5626" s="187">
        <v>0.49017839384906703</v>
      </c>
      <c r="J5626" s="187" t="s">
        <v>941</v>
      </c>
      <c r="K5626" s="187" t="s">
        <v>116</v>
      </c>
      <c r="L5626" s="195">
        <v>0.17394465690820202</v>
      </c>
      <c r="M5626" s="52" t="s">
        <v>941</v>
      </c>
      <c r="N5626" s="52" t="s">
        <v>949</v>
      </c>
      <c r="O5626" s="59" t="s">
        <v>1960</v>
      </c>
    </row>
    <row r="5627" spans="1:15" x14ac:dyDescent="0.2">
      <c r="A5627" s="183">
        <v>626</v>
      </c>
      <c r="B5627" s="249" t="str">
        <f>IF(AND(A5627&lt;&gt;"",ISNUMBER(A5627)),VLOOKUP(A5627,Studies!A:BR,2,FALSE),"")</f>
        <v>Yakatan 1980</v>
      </c>
      <c r="C5627" s="250" t="str">
        <f>IF(AND(A5627&lt;&gt;"",ISNUMBER(A5627)),VLOOKUP(A5627,Studies!A:BR,3,FALSE),"")</f>
        <v>https://www.ncbi.nlm.nih.gov/pubmed/7229110</v>
      </c>
      <c r="D5627" s="250" t="str">
        <f>IF(AND(A5627&lt;&gt;"",ISNUMBER(A5627)),VLOOKUP(A5627,Studies!A:BR,4,FALSE),"")</f>
        <v>Stearate, single dose</v>
      </c>
      <c r="E5627" s="250" t="str">
        <f>IF(AND(A5627&lt;&gt;"",ISNUMBER(A5627)),VLOOKUP(A5627,Studies!A:BR,5,FALSE),"")</f>
        <v>Erythromycin</v>
      </c>
      <c r="F5627" s="251" t="str">
        <f>IF(AND(A5627&lt;&gt;"",ISNUMBER(A5627)),VLOOKUP(A5627,Studies!A:BR,6,FALSE),"")</f>
        <v>Serum</v>
      </c>
      <c r="G5627" s="194">
        <v>1</v>
      </c>
      <c r="H5627" s="194" t="s">
        <v>60</v>
      </c>
      <c r="I5627" s="187">
        <v>0.02</v>
      </c>
      <c r="J5627" s="187" t="s">
        <v>959</v>
      </c>
      <c r="K5627" s="187" t="s">
        <v>116</v>
      </c>
      <c r="L5627" s="195">
        <v>0.03</v>
      </c>
      <c r="M5627" s="52" t="s">
        <v>959</v>
      </c>
      <c r="N5627" s="52" t="s">
        <v>117</v>
      </c>
    </row>
    <row r="5628" spans="1:15" x14ac:dyDescent="0.2">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1.5</v>
      </c>
      <c r="H5628" s="194" t="s">
        <v>60</v>
      </c>
      <c r="I5628" s="187">
        <v>0.26</v>
      </c>
      <c r="J5628" s="187" t="s">
        <v>959</v>
      </c>
      <c r="K5628" s="187" t="s">
        <v>116</v>
      </c>
      <c r="L5628" s="195">
        <v>0.4</v>
      </c>
      <c r="M5628" s="52" t="s">
        <v>959</v>
      </c>
      <c r="N5628" s="52" t="s">
        <v>117</v>
      </c>
    </row>
    <row r="5629" spans="1:15" x14ac:dyDescent="0.2">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2</v>
      </c>
      <c r="H5629" s="50" t="s">
        <v>60</v>
      </c>
      <c r="I5629" s="187">
        <v>0.72</v>
      </c>
      <c r="J5629" s="41" t="s">
        <v>959</v>
      </c>
      <c r="K5629" s="187" t="s">
        <v>116</v>
      </c>
      <c r="L5629" s="195">
        <v>0.66</v>
      </c>
      <c r="M5629" s="52" t="s">
        <v>959</v>
      </c>
      <c r="N5629" s="52" t="s">
        <v>117</v>
      </c>
    </row>
    <row r="5630" spans="1:15" x14ac:dyDescent="0.2">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2.5</v>
      </c>
      <c r="H5630" s="194" t="s">
        <v>60</v>
      </c>
      <c r="I5630" s="187">
        <v>0.95</v>
      </c>
      <c r="J5630" s="187" t="s">
        <v>959</v>
      </c>
      <c r="K5630" s="187" t="s">
        <v>116</v>
      </c>
      <c r="L5630" s="195">
        <v>0.98</v>
      </c>
      <c r="M5630" s="195" t="s">
        <v>959</v>
      </c>
      <c r="N5630" s="195" t="s">
        <v>117</v>
      </c>
    </row>
    <row r="5631" spans="1:15" x14ac:dyDescent="0.2">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3</v>
      </c>
      <c r="H5631" s="194" t="s">
        <v>60</v>
      </c>
      <c r="I5631" s="187">
        <v>1.01</v>
      </c>
      <c r="J5631" s="187" t="s">
        <v>959</v>
      </c>
      <c r="K5631" s="187" t="s">
        <v>116</v>
      </c>
      <c r="L5631" s="195">
        <v>1.1000000000000001</v>
      </c>
      <c r="M5631" s="195" t="s">
        <v>959</v>
      </c>
      <c r="N5631" s="195" t="s">
        <v>117</v>
      </c>
    </row>
    <row r="5632" spans="1:15" x14ac:dyDescent="0.2">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3.5</v>
      </c>
      <c r="H5632" s="194" t="s">
        <v>60</v>
      </c>
      <c r="I5632" s="187">
        <v>0.82</v>
      </c>
      <c r="J5632" s="187" t="s">
        <v>959</v>
      </c>
      <c r="K5632" s="187" t="s">
        <v>116</v>
      </c>
      <c r="L5632" s="195">
        <v>0.83</v>
      </c>
      <c r="M5632" s="195" t="s">
        <v>959</v>
      </c>
      <c r="N5632" s="195" t="s">
        <v>117</v>
      </c>
    </row>
    <row r="5633" spans="1:14" x14ac:dyDescent="0.2">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4</v>
      </c>
      <c r="H5633" s="194" t="s">
        <v>60</v>
      </c>
      <c r="I5633" s="187">
        <v>0.72</v>
      </c>
      <c r="J5633" s="187" t="s">
        <v>959</v>
      </c>
      <c r="K5633" s="187" t="s">
        <v>116</v>
      </c>
      <c r="L5633" s="195">
        <v>0.69</v>
      </c>
      <c r="M5633" s="195" t="s">
        <v>959</v>
      </c>
      <c r="N5633" s="195" t="s">
        <v>117</v>
      </c>
    </row>
    <row r="5634" spans="1:14" x14ac:dyDescent="0.2">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5</v>
      </c>
      <c r="H5634" s="194" t="s">
        <v>60</v>
      </c>
      <c r="I5634" s="187">
        <v>0.5</v>
      </c>
      <c r="J5634" s="187" t="s">
        <v>959</v>
      </c>
      <c r="K5634" s="187" t="s">
        <v>116</v>
      </c>
      <c r="L5634" s="195">
        <v>0.46</v>
      </c>
      <c r="M5634" s="195" t="s">
        <v>959</v>
      </c>
      <c r="N5634" s="195" t="s">
        <v>117</v>
      </c>
    </row>
    <row r="5635" spans="1:14" x14ac:dyDescent="0.2">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6</v>
      </c>
      <c r="H5635" s="194" t="s">
        <v>60</v>
      </c>
      <c r="I5635" s="187">
        <v>0.33</v>
      </c>
      <c r="J5635" s="187" t="s">
        <v>959</v>
      </c>
      <c r="K5635" s="187" t="s">
        <v>116</v>
      </c>
      <c r="L5635" s="195">
        <v>0.32</v>
      </c>
      <c r="M5635" s="195" t="s">
        <v>959</v>
      </c>
      <c r="N5635" s="195" t="s">
        <v>117</v>
      </c>
    </row>
    <row r="5636" spans="1:14" x14ac:dyDescent="0.2">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8</v>
      </c>
      <c r="H5636" s="194" t="s">
        <v>60</v>
      </c>
      <c r="I5636" s="187">
        <v>0.15</v>
      </c>
      <c r="J5636" s="187" t="s">
        <v>959</v>
      </c>
      <c r="K5636" s="187" t="s">
        <v>116</v>
      </c>
      <c r="L5636" s="195">
        <v>0.16</v>
      </c>
      <c r="M5636" s="195" t="s">
        <v>959</v>
      </c>
      <c r="N5636" s="195" t="s">
        <v>117</v>
      </c>
    </row>
    <row r="5637" spans="1:14" x14ac:dyDescent="0.2">
      <c r="A5637" s="30">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10</v>
      </c>
      <c r="H5637" s="194" t="s">
        <v>60</v>
      </c>
      <c r="I5637" s="187">
        <v>7.0000000000000007E-2</v>
      </c>
      <c r="J5637" s="187" t="s">
        <v>959</v>
      </c>
      <c r="K5637" s="187" t="s">
        <v>116</v>
      </c>
      <c r="L5637" s="195">
        <v>0.08</v>
      </c>
      <c r="M5637" s="52" t="s">
        <v>959</v>
      </c>
      <c r="N5637" s="52" t="s">
        <v>117</v>
      </c>
    </row>
    <row r="5638" spans="1:14" x14ac:dyDescent="0.2">
      <c r="A5638" s="183">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12</v>
      </c>
      <c r="H5638" s="194" t="s">
        <v>60</v>
      </c>
      <c r="I5638" s="187">
        <v>0.08</v>
      </c>
      <c r="J5638" s="187" t="s">
        <v>959</v>
      </c>
      <c r="K5638" s="187" t="s">
        <v>116</v>
      </c>
      <c r="L5638" s="195">
        <v>0.05</v>
      </c>
      <c r="M5638" s="195" t="s">
        <v>959</v>
      </c>
      <c r="N5638" s="195" t="s">
        <v>117</v>
      </c>
    </row>
    <row r="5639" spans="1:14" x14ac:dyDescent="0.2">
      <c r="A5639" s="183">
        <v>627</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five doses, every 6 h</v>
      </c>
      <c r="E5639" s="250" t="str">
        <f>IF(AND(A5639&lt;&gt;"",ISNUMBER(A5639)),VLOOKUP(A5639,Studies!A:BR,5,FALSE),"")</f>
        <v>Erythromycin</v>
      </c>
      <c r="F5639" s="251" t="str">
        <f>IF(AND(A5639&lt;&gt;"",ISNUMBER(A5639)),VLOOKUP(A5639,Studies!A:BR,6,FALSE),"")</f>
        <v>Serum</v>
      </c>
      <c r="G5639" s="194">
        <v>1</v>
      </c>
      <c r="H5639" s="194" t="s">
        <v>60</v>
      </c>
      <c r="I5639" s="187">
        <v>0.12</v>
      </c>
      <c r="J5639" s="187" t="s">
        <v>959</v>
      </c>
      <c r="K5639" s="187" t="s">
        <v>116</v>
      </c>
      <c r="L5639" s="195">
        <v>0.17</v>
      </c>
      <c r="M5639" s="195" t="s">
        <v>959</v>
      </c>
      <c r="N5639" s="195" t="s">
        <v>117</v>
      </c>
    </row>
    <row r="5640" spans="1:14" x14ac:dyDescent="0.2">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1.5</v>
      </c>
      <c r="H5640" s="194" t="s">
        <v>60</v>
      </c>
      <c r="I5640" s="187">
        <v>0.18</v>
      </c>
      <c r="J5640" s="187" t="s">
        <v>959</v>
      </c>
      <c r="K5640" s="187" t="s">
        <v>116</v>
      </c>
      <c r="L5640" s="195">
        <v>0.32</v>
      </c>
      <c r="M5640" s="195" t="s">
        <v>959</v>
      </c>
      <c r="N5640" s="195" t="s">
        <v>117</v>
      </c>
    </row>
    <row r="5641" spans="1:14" x14ac:dyDescent="0.2">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2</v>
      </c>
      <c r="H5641" s="194" t="s">
        <v>60</v>
      </c>
      <c r="I5641" s="187">
        <v>0.27</v>
      </c>
      <c r="J5641" s="187" t="s">
        <v>959</v>
      </c>
      <c r="K5641" s="187" t="s">
        <v>116</v>
      </c>
      <c r="L5641" s="195">
        <v>0.28000000000000003</v>
      </c>
      <c r="M5641" s="195" t="s">
        <v>959</v>
      </c>
      <c r="N5641" s="195" t="s">
        <v>117</v>
      </c>
    </row>
    <row r="5642" spans="1:14" x14ac:dyDescent="0.2">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2.5</v>
      </c>
      <c r="H5642" s="194" t="s">
        <v>60</v>
      </c>
      <c r="I5642" s="187">
        <v>0.6</v>
      </c>
      <c r="J5642" s="187" t="s">
        <v>959</v>
      </c>
      <c r="K5642" s="187" t="s">
        <v>116</v>
      </c>
      <c r="L5642" s="195">
        <v>0.59</v>
      </c>
      <c r="M5642" s="195" t="s">
        <v>959</v>
      </c>
      <c r="N5642" s="195" t="s">
        <v>117</v>
      </c>
    </row>
    <row r="5643" spans="1:14" x14ac:dyDescent="0.2">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3</v>
      </c>
      <c r="H5643" s="194" t="s">
        <v>60</v>
      </c>
      <c r="I5643" s="187">
        <v>0.76</v>
      </c>
      <c r="J5643" s="187" t="s">
        <v>959</v>
      </c>
      <c r="K5643" s="187" t="s">
        <v>116</v>
      </c>
      <c r="L5643" s="195">
        <v>0.55000000000000004</v>
      </c>
      <c r="M5643" s="195" t="s">
        <v>959</v>
      </c>
      <c r="N5643" s="195" t="s">
        <v>117</v>
      </c>
    </row>
    <row r="5644" spans="1:14" x14ac:dyDescent="0.2">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4</v>
      </c>
      <c r="H5644" s="194" t="s">
        <v>60</v>
      </c>
      <c r="I5644" s="187">
        <v>0.49</v>
      </c>
      <c r="J5644" s="187" t="s">
        <v>959</v>
      </c>
      <c r="K5644" s="187" t="s">
        <v>116</v>
      </c>
      <c r="L5644" s="195">
        <v>0.33</v>
      </c>
      <c r="M5644" s="195" t="s">
        <v>959</v>
      </c>
      <c r="N5644" s="195" t="s">
        <v>117</v>
      </c>
    </row>
    <row r="5645" spans="1:14" x14ac:dyDescent="0.2">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5</v>
      </c>
      <c r="H5645" s="194" t="s">
        <v>60</v>
      </c>
      <c r="I5645" s="187">
        <v>0.3</v>
      </c>
      <c r="J5645" s="187" t="s">
        <v>959</v>
      </c>
      <c r="K5645" s="187" t="s">
        <v>116</v>
      </c>
      <c r="L5645" s="195">
        <v>0.19</v>
      </c>
      <c r="M5645" s="195" t="s">
        <v>959</v>
      </c>
      <c r="N5645" s="195" t="s">
        <v>117</v>
      </c>
    </row>
    <row r="5646" spans="1:14" x14ac:dyDescent="0.2">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6</v>
      </c>
      <c r="H5646" s="194" t="s">
        <v>60</v>
      </c>
      <c r="I5646" s="187">
        <v>0.23</v>
      </c>
      <c r="J5646" s="187" t="s">
        <v>959</v>
      </c>
      <c r="K5646" s="187" t="s">
        <v>116</v>
      </c>
      <c r="L5646" s="195">
        <v>0.16</v>
      </c>
      <c r="M5646" s="195" t="s">
        <v>959</v>
      </c>
      <c r="N5646" s="195" t="s">
        <v>117</v>
      </c>
    </row>
    <row r="5647" spans="1:14" x14ac:dyDescent="0.2">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9</v>
      </c>
      <c r="H5647" s="194" t="s">
        <v>60</v>
      </c>
      <c r="I5647" s="187">
        <v>1.06</v>
      </c>
      <c r="J5647" s="187" t="s">
        <v>959</v>
      </c>
      <c r="K5647" s="187" t="s">
        <v>116</v>
      </c>
      <c r="L5647" s="195">
        <v>0.47</v>
      </c>
      <c r="M5647" s="195" t="s">
        <v>959</v>
      </c>
      <c r="N5647" s="195" t="s">
        <v>117</v>
      </c>
    </row>
    <row r="5648" spans="1:14" x14ac:dyDescent="0.2">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12</v>
      </c>
      <c r="H5648" s="194" t="s">
        <v>60</v>
      </c>
      <c r="I5648" s="187">
        <v>0.25</v>
      </c>
      <c r="J5648" s="187" t="s">
        <v>959</v>
      </c>
      <c r="K5648" s="187" t="s">
        <v>116</v>
      </c>
      <c r="L5648" s="195">
        <v>0.11</v>
      </c>
      <c r="M5648" s="195" t="s">
        <v>959</v>
      </c>
      <c r="N5648" s="195" t="s">
        <v>117</v>
      </c>
    </row>
    <row r="5649" spans="1:14" x14ac:dyDescent="0.2">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15</v>
      </c>
      <c r="H5649" s="194" t="s">
        <v>60</v>
      </c>
      <c r="I5649" s="187">
        <v>0.72</v>
      </c>
      <c r="J5649" s="187" t="s">
        <v>959</v>
      </c>
      <c r="K5649" s="187" t="s">
        <v>116</v>
      </c>
      <c r="L5649" s="195">
        <v>0.74</v>
      </c>
      <c r="M5649" s="195" t="s">
        <v>959</v>
      </c>
      <c r="N5649" s="195" t="s">
        <v>117</v>
      </c>
    </row>
    <row r="5650" spans="1:14" x14ac:dyDescent="0.2">
      <c r="A5650" s="30">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18</v>
      </c>
      <c r="H5650" s="194" t="s">
        <v>60</v>
      </c>
      <c r="I5650" s="187">
        <v>0.21</v>
      </c>
      <c r="J5650" s="187" t="s">
        <v>959</v>
      </c>
      <c r="K5650" s="187" t="s">
        <v>116</v>
      </c>
      <c r="L5650" s="195">
        <v>0.16</v>
      </c>
      <c r="M5650" s="52" t="s">
        <v>959</v>
      </c>
      <c r="N5650" s="52" t="s">
        <v>117</v>
      </c>
    </row>
    <row r="5651" spans="1:14" x14ac:dyDescent="0.2">
      <c r="A5651" s="183">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24</v>
      </c>
      <c r="H5651" s="194" t="s">
        <v>60</v>
      </c>
      <c r="I5651" s="187">
        <v>0.44</v>
      </c>
      <c r="J5651" s="187" t="s">
        <v>959</v>
      </c>
      <c r="K5651" s="187" t="s">
        <v>116</v>
      </c>
      <c r="L5651" s="195">
        <v>0.39</v>
      </c>
      <c r="M5651" s="52" t="s">
        <v>959</v>
      </c>
      <c r="N5651" s="52" t="s">
        <v>117</v>
      </c>
    </row>
    <row r="5652" spans="1:14" x14ac:dyDescent="0.2">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25</v>
      </c>
      <c r="H5652" s="194" t="s">
        <v>60</v>
      </c>
      <c r="I5652" s="187">
        <v>0.46</v>
      </c>
      <c r="J5652" s="187" t="s">
        <v>959</v>
      </c>
      <c r="K5652" s="187" t="s">
        <v>116</v>
      </c>
      <c r="L5652" s="195">
        <v>0.3</v>
      </c>
      <c r="M5652" s="52" t="s">
        <v>959</v>
      </c>
      <c r="N5652" s="52" t="s">
        <v>117</v>
      </c>
    </row>
    <row r="5653" spans="1:14" x14ac:dyDescent="0.2">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26</v>
      </c>
      <c r="H5653" s="194" t="s">
        <v>60</v>
      </c>
      <c r="I5653" s="187">
        <v>1.1100000000000001</v>
      </c>
      <c r="J5653" s="187" t="s">
        <v>959</v>
      </c>
      <c r="K5653" s="187" t="s">
        <v>116</v>
      </c>
      <c r="L5653" s="195">
        <v>0.82</v>
      </c>
      <c r="M5653" s="52" t="s">
        <v>959</v>
      </c>
      <c r="N5653" s="52" t="s">
        <v>117</v>
      </c>
    </row>
    <row r="5654" spans="1:14" x14ac:dyDescent="0.2">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27</v>
      </c>
      <c r="H5654" s="194" t="s">
        <v>60</v>
      </c>
      <c r="I5654" s="187">
        <v>1.51</v>
      </c>
      <c r="J5654" s="187" t="s">
        <v>959</v>
      </c>
      <c r="K5654" s="187" t="s">
        <v>116</v>
      </c>
      <c r="L5654" s="195">
        <v>0.96</v>
      </c>
      <c r="M5654" s="52" t="s">
        <v>959</v>
      </c>
      <c r="N5654" s="52" t="s">
        <v>117</v>
      </c>
    </row>
    <row r="5655" spans="1:14" x14ac:dyDescent="0.2">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28</v>
      </c>
      <c r="H5655" s="194" t="s">
        <v>60</v>
      </c>
      <c r="I5655" s="187">
        <v>1.26</v>
      </c>
      <c r="J5655" s="187" t="s">
        <v>959</v>
      </c>
      <c r="K5655" s="187" t="s">
        <v>116</v>
      </c>
      <c r="L5655" s="195">
        <v>0.52</v>
      </c>
      <c r="M5655" s="52" t="s">
        <v>959</v>
      </c>
      <c r="N5655" s="52" t="s">
        <v>117</v>
      </c>
    </row>
    <row r="5656" spans="1:14" x14ac:dyDescent="0.2">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29</v>
      </c>
      <c r="H5656" s="194" t="s">
        <v>60</v>
      </c>
      <c r="I5656" s="187">
        <v>0.91</v>
      </c>
      <c r="J5656" s="187" t="s">
        <v>959</v>
      </c>
      <c r="K5656" s="187" t="s">
        <v>116</v>
      </c>
      <c r="L5656" s="195">
        <v>0.42</v>
      </c>
      <c r="M5656" s="52" t="s">
        <v>959</v>
      </c>
      <c r="N5656" s="52" t="s">
        <v>117</v>
      </c>
    </row>
    <row r="5657" spans="1:14" x14ac:dyDescent="0.2">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30</v>
      </c>
      <c r="H5657" s="194" t="s">
        <v>60</v>
      </c>
      <c r="I5657" s="187">
        <v>0.59</v>
      </c>
      <c r="J5657" s="187" t="s">
        <v>959</v>
      </c>
      <c r="K5657" s="187" t="s">
        <v>116</v>
      </c>
      <c r="L5657" s="195">
        <v>0.26</v>
      </c>
      <c r="M5657" s="52" t="s">
        <v>959</v>
      </c>
      <c r="N5657" s="52" t="s">
        <v>117</v>
      </c>
    </row>
    <row r="5658" spans="1:14" x14ac:dyDescent="0.2">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32</v>
      </c>
      <c r="H5658" s="194" t="s">
        <v>60</v>
      </c>
      <c r="I5658" s="187">
        <v>0.31</v>
      </c>
      <c r="J5658" s="187" t="s">
        <v>959</v>
      </c>
      <c r="K5658" s="187" t="s">
        <v>116</v>
      </c>
      <c r="L5658" s="195">
        <v>0.12</v>
      </c>
      <c r="M5658" s="52" t="s">
        <v>959</v>
      </c>
      <c r="N5658" s="52" t="s">
        <v>117</v>
      </c>
    </row>
    <row r="5659" spans="1:14" x14ac:dyDescent="0.2">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34</v>
      </c>
      <c r="H5659" s="194" t="s">
        <v>60</v>
      </c>
      <c r="I5659" s="187">
        <v>0.18</v>
      </c>
      <c r="J5659" s="187" t="s">
        <v>959</v>
      </c>
      <c r="K5659" s="187" t="s">
        <v>116</v>
      </c>
      <c r="L5659" s="195">
        <v>7.0000000000000007E-2</v>
      </c>
      <c r="M5659" s="52" t="s">
        <v>959</v>
      </c>
      <c r="N5659" s="52" t="s">
        <v>117</v>
      </c>
    </row>
    <row r="5660" spans="1:14" x14ac:dyDescent="0.2">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36</v>
      </c>
      <c r="H5660" s="194" t="s">
        <v>60</v>
      </c>
      <c r="I5660" s="187">
        <v>0.11</v>
      </c>
      <c r="J5660" s="187" t="s">
        <v>959</v>
      </c>
      <c r="K5660" s="187" t="s">
        <v>116</v>
      </c>
      <c r="L5660" s="195">
        <v>0.05</v>
      </c>
      <c r="M5660" s="52" t="s">
        <v>959</v>
      </c>
      <c r="N5660" s="52" t="s">
        <v>117</v>
      </c>
    </row>
    <row r="5661" spans="1:14" x14ac:dyDescent="0.2">
      <c r="A5661" s="183">
        <v>628</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Base, five doses, every 6 h</v>
      </c>
      <c r="E5661" s="250" t="str">
        <f>IF(AND(A5661&lt;&gt;"",ISNUMBER(A5661)),VLOOKUP(A5661,Studies!A:BR,5,FALSE),"")</f>
        <v>Erythromycin</v>
      </c>
      <c r="F5661" s="251" t="str">
        <f>IF(AND(A5661&lt;&gt;"",ISNUMBER(A5661)),VLOOKUP(A5661,Studies!A:BR,6,FALSE),"")</f>
        <v>Serum</v>
      </c>
      <c r="G5661" s="194">
        <v>1.5</v>
      </c>
      <c r="H5661" s="194" t="s">
        <v>60</v>
      </c>
      <c r="I5661" s="187">
        <v>0.08</v>
      </c>
      <c r="J5661" s="187" t="s">
        <v>959</v>
      </c>
      <c r="K5661" s="187" t="s">
        <v>116</v>
      </c>
      <c r="L5661" s="195">
        <v>0.22</v>
      </c>
      <c r="M5661" s="52" t="s">
        <v>959</v>
      </c>
      <c r="N5661" s="52" t="s">
        <v>117</v>
      </c>
    </row>
    <row r="5662" spans="1:14" x14ac:dyDescent="0.2">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2</v>
      </c>
      <c r="H5662" s="194" t="s">
        <v>60</v>
      </c>
      <c r="I5662" s="187">
        <v>0.42</v>
      </c>
      <c r="J5662" s="187" t="s">
        <v>959</v>
      </c>
      <c r="K5662" s="187" t="s">
        <v>116</v>
      </c>
      <c r="L5662" s="195">
        <v>0.78</v>
      </c>
      <c r="M5662" s="52" t="s">
        <v>959</v>
      </c>
      <c r="N5662" s="52" t="s">
        <v>117</v>
      </c>
    </row>
    <row r="5663" spans="1:14" x14ac:dyDescent="0.2">
      <c r="A5663" s="30">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2.5</v>
      </c>
      <c r="H5663" s="194" t="s">
        <v>60</v>
      </c>
      <c r="I5663" s="187">
        <v>1.17</v>
      </c>
      <c r="J5663" s="187" t="s">
        <v>959</v>
      </c>
      <c r="K5663" s="187" t="s">
        <v>116</v>
      </c>
      <c r="L5663" s="195">
        <v>0.98</v>
      </c>
      <c r="M5663" s="52" t="s">
        <v>959</v>
      </c>
      <c r="N5663" s="52" t="s">
        <v>117</v>
      </c>
    </row>
    <row r="5664" spans="1:14" x14ac:dyDescent="0.2">
      <c r="A5664" s="183">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3</v>
      </c>
      <c r="H5664" s="194" t="s">
        <v>60</v>
      </c>
      <c r="I5664" s="187">
        <v>1.55</v>
      </c>
      <c r="J5664" s="187" t="s">
        <v>959</v>
      </c>
      <c r="K5664" s="187" t="s">
        <v>116</v>
      </c>
      <c r="L5664" s="195">
        <v>0.8</v>
      </c>
      <c r="M5664" s="52" t="s">
        <v>959</v>
      </c>
      <c r="N5664" s="52" t="s">
        <v>117</v>
      </c>
    </row>
    <row r="5665" spans="1:14" x14ac:dyDescent="0.2">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4</v>
      </c>
      <c r="H5665" s="194" t="s">
        <v>60</v>
      </c>
      <c r="I5665" s="187">
        <v>0.97</v>
      </c>
      <c r="J5665" s="187" t="s">
        <v>959</v>
      </c>
      <c r="K5665" s="187" t="s">
        <v>116</v>
      </c>
      <c r="L5665" s="195">
        <v>0.68</v>
      </c>
      <c r="M5665" s="52" t="s">
        <v>959</v>
      </c>
      <c r="N5665" s="52" t="s">
        <v>117</v>
      </c>
    </row>
    <row r="5666" spans="1:14" x14ac:dyDescent="0.2">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5</v>
      </c>
      <c r="H5666" s="194" t="s">
        <v>60</v>
      </c>
      <c r="I5666" s="187">
        <v>0.54</v>
      </c>
      <c r="J5666" s="187" t="s">
        <v>959</v>
      </c>
      <c r="K5666" s="187" t="s">
        <v>116</v>
      </c>
      <c r="L5666" s="195">
        <v>0.32</v>
      </c>
      <c r="M5666" s="52" t="s">
        <v>959</v>
      </c>
      <c r="N5666" s="52" t="s">
        <v>117</v>
      </c>
    </row>
    <row r="5667" spans="1:14" x14ac:dyDescent="0.2">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6</v>
      </c>
      <c r="H5667" s="194" t="s">
        <v>60</v>
      </c>
      <c r="I5667" s="187">
        <v>0.35</v>
      </c>
      <c r="J5667" s="187" t="s">
        <v>959</v>
      </c>
      <c r="K5667" s="187" t="s">
        <v>116</v>
      </c>
      <c r="L5667" s="195">
        <v>0.15</v>
      </c>
      <c r="M5667" s="52" t="s">
        <v>959</v>
      </c>
      <c r="N5667" s="52" t="s">
        <v>117</v>
      </c>
    </row>
    <row r="5668" spans="1:14" x14ac:dyDescent="0.2">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9</v>
      </c>
      <c r="H5668" s="194" t="s">
        <v>60</v>
      </c>
      <c r="I5668" s="187">
        <v>1.61</v>
      </c>
      <c r="J5668" s="187" t="s">
        <v>959</v>
      </c>
      <c r="K5668" s="187" t="s">
        <v>116</v>
      </c>
      <c r="L5668" s="195">
        <v>1.1399999999999999</v>
      </c>
      <c r="M5668" s="52" t="s">
        <v>959</v>
      </c>
      <c r="N5668" s="52" t="s">
        <v>117</v>
      </c>
    </row>
    <row r="5669" spans="1:14" x14ac:dyDescent="0.2">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12</v>
      </c>
      <c r="H5669" s="194" t="s">
        <v>60</v>
      </c>
      <c r="I5669" s="187">
        <v>0.39</v>
      </c>
      <c r="J5669" s="187" t="s">
        <v>959</v>
      </c>
      <c r="K5669" s="187" t="s">
        <v>116</v>
      </c>
      <c r="L5669" s="195">
        <v>0.16</v>
      </c>
      <c r="M5669" s="52" t="s">
        <v>959</v>
      </c>
      <c r="N5669" s="52" t="s">
        <v>117</v>
      </c>
    </row>
    <row r="5670" spans="1:14" x14ac:dyDescent="0.2">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15</v>
      </c>
      <c r="H5670" s="194" t="s">
        <v>60</v>
      </c>
      <c r="I5670" s="187">
        <v>1.26</v>
      </c>
      <c r="J5670" s="187" t="s">
        <v>959</v>
      </c>
      <c r="K5670" s="187" t="s">
        <v>116</v>
      </c>
      <c r="L5670" s="195">
        <v>0.92</v>
      </c>
      <c r="M5670" s="52" t="s">
        <v>959</v>
      </c>
      <c r="N5670" s="52" t="s">
        <v>117</v>
      </c>
    </row>
    <row r="5671" spans="1:14" x14ac:dyDescent="0.2">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18</v>
      </c>
      <c r="H5671" s="194" t="s">
        <v>60</v>
      </c>
      <c r="I5671" s="187">
        <v>0.48</v>
      </c>
      <c r="J5671" s="187" t="s">
        <v>959</v>
      </c>
      <c r="K5671" s="187" t="s">
        <v>116</v>
      </c>
      <c r="L5671" s="195">
        <v>0.23</v>
      </c>
      <c r="M5671" s="52" t="s">
        <v>959</v>
      </c>
      <c r="N5671" s="52" t="s">
        <v>117</v>
      </c>
    </row>
    <row r="5672" spans="1:14" x14ac:dyDescent="0.2">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24</v>
      </c>
      <c r="H5672" s="194" t="s">
        <v>60</v>
      </c>
      <c r="I5672" s="187">
        <v>0.98</v>
      </c>
      <c r="J5672" s="187" t="s">
        <v>959</v>
      </c>
      <c r="K5672" s="187" t="s">
        <v>116</v>
      </c>
      <c r="L5672" s="195">
        <v>0.64</v>
      </c>
      <c r="M5672" s="52" t="s">
        <v>959</v>
      </c>
      <c r="N5672" s="52" t="s">
        <v>117</v>
      </c>
    </row>
    <row r="5673" spans="1:14" x14ac:dyDescent="0.2">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25</v>
      </c>
      <c r="H5673" s="194" t="s">
        <v>60</v>
      </c>
      <c r="I5673" s="187">
        <v>0.71</v>
      </c>
      <c r="J5673" s="187" t="s">
        <v>959</v>
      </c>
      <c r="K5673" s="187" t="s">
        <v>116</v>
      </c>
      <c r="L5673" s="195">
        <v>0.5</v>
      </c>
      <c r="M5673" s="52" t="s">
        <v>959</v>
      </c>
      <c r="N5673" s="52" t="s">
        <v>117</v>
      </c>
    </row>
    <row r="5674" spans="1:14" x14ac:dyDescent="0.2">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26</v>
      </c>
      <c r="H5674" s="194" t="s">
        <v>60</v>
      </c>
      <c r="I5674" s="187">
        <v>1.03</v>
      </c>
      <c r="J5674" s="187" t="s">
        <v>959</v>
      </c>
      <c r="K5674" s="187" t="s">
        <v>116</v>
      </c>
      <c r="L5674" s="195">
        <v>0.75</v>
      </c>
      <c r="M5674" s="52" t="s">
        <v>959</v>
      </c>
      <c r="N5674" s="52" t="s">
        <v>117</v>
      </c>
    </row>
    <row r="5675" spans="1:14" x14ac:dyDescent="0.2">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27</v>
      </c>
      <c r="H5675" s="194" t="s">
        <v>60</v>
      </c>
      <c r="I5675" s="187">
        <v>1.81</v>
      </c>
      <c r="J5675" s="187" t="s">
        <v>959</v>
      </c>
      <c r="K5675" s="187" t="s">
        <v>116</v>
      </c>
      <c r="L5675" s="195">
        <v>1.49</v>
      </c>
      <c r="M5675" s="52" t="s">
        <v>959</v>
      </c>
      <c r="N5675" s="52" t="s">
        <v>117</v>
      </c>
    </row>
    <row r="5676" spans="1:14" x14ac:dyDescent="0.2">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28</v>
      </c>
      <c r="H5676" s="194" t="s">
        <v>60</v>
      </c>
      <c r="I5676" s="187">
        <v>1.7</v>
      </c>
      <c r="J5676" s="187" t="s">
        <v>959</v>
      </c>
      <c r="K5676" s="187" t="s">
        <v>116</v>
      </c>
      <c r="L5676" s="195">
        <v>0.8</v>
      </c>
      <c r="M5676" s="52" t="s">
        <v>959</v>
      </c>
      <c r="N5676" s="52" t="s">
        <v>117</v>
      </c>
    </row>
    <row r="5677" spans="1:14" x14ac:dyDescent="0.2">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29</v>
      </c>
      <c r="H5677" s="194" t="s">
        <v>60</v>
      </c>
      <c r="I5677" s="187">
        <v>1.18</v>
      </c>
      <c r="J5677" s="187" t="s">
        <v>959</v>
      </c>
      <c r="K5677" s="187" t="s">
        <v>116</v>
      </c>
      <c r="L5677" s="195">
        <v>0.56999999999999995</v>
      </c>
      <c r="M5677" s="52" t="s">
        <v>959</v>
      </c>
      <c r="N5677" s="52" t="s">
        <v>117</v>
      </c>
    </row>
    <row r="5678" spans="1:14" x14ac:dyDescent="0.2">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30</v>
      </c>
      <c r="H5678" s="194" t="s">
        <v>60</v>
      </c>
      <c r="I5678" s="187">
        <v>0.83</v>
      </c>
      <c r="J5678" s="187" t="s">
        <v>959</v>
      </c>
      <c r="K5678" s="187" t="s">
        <v>116</v>
      </c>
      <c r="L5678" s="195">
        <v>0.39</v>
      </c>
      <c r="M5678" s="52" t="s">
        <v>959</v>
      </c>
      <c r="N5678" s="52" t="s">
        <v>117</v>
      </c>
    </row>
    <row r="5679" spans="1:14" x14ac:dyDescent="0.2">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32</v>
      </c>
      <c r="H5679" s="194" t="s">
        <v>60</v>
      </c>
      <c r="I5679" s="187">
        <v>0.43</v>
      </c>
      <c r="J5679" s="187" t="s">
        <v>959</v>
      </c>
      <c r="K5679" s="187" t="s">
        <v>116</v>
      </c>
      <c r="L5679" s="195">
        <v>0.19</v>
      </c>
      <c r="M5679" s="52" t="s">
        <v>959</v>
      </c>
      <c r="N5679" s="52" t="s">
        <v>117</v>
      </c>
    </row>
    <row r="5680" spans="1:14" x14ac:dyDescent="0.2">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34</v>
      </c>
      <c r="H5680" s="194" t="s">
        <v>60</v>
      </c>
      <c r="I5680" s="187">
        <v>0.26</v>
      </c>
      <c r="J5680" s="187" t="s">
        <v>959</v>
      </c>
      <c r="K5680" s="187" t="s">
        <v>116</v>
      </c>
      <c r="L5680" s="195">
        <v>0.1</v>
      </c>
      <c r="M5680" s="52" t="s">
        <v>959</v>
      </c>
      <c r="N5680" s="52" t="s">
        <v>117</v>
      </c>
    </row>
    <row r="5681" spans="1:14" x14ac:dyDescent="0.2">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36</v>
      </c>
      <c r="H5681" s="194" t="s">
        <v>60</v>
      </c>
      <c r="I5681" s="187">
        <v>0.16</v>
      </c>
      <c r="J5681" s="187" t="s">
        <v>959</v>
      </c>
      <c r="K5681" s="187" t="s">
        <v>116</v>
      </c>
      <c r="L5681" s="195">
        <v>7.0000000000000007E-2</v>
      </c>
      <c r="M5681" s="52" t="s">
        <v>959</v>
      </c>
      <c r="N5681" s="52" t="s">
        <v>117</v>
      </c>
    </row>
    <row r="5682" spans="1:14" ht="14.25" x14ac:dyDescent="0.2">
      <c r="A5682" s="183">
        <v>629</v>
      </c>
      <c r="B5682" s="249" t="str">
        <f>IF(AND(A5682&lt;&gt;"",ISNUMBER(A5682)),VLOOKUP(A5682,Studies!A:BR,2,FALSE),"")</f>
        <v>Boulton 2013</v>
      </c>
      <c r="C5682" s="250" t="str">
        <f>IF(AND(A5682&lt;&gt;"",ISNUMBER(A5682)),VLOOKUP(A5682,Studies!A:BR,3,FALSE),"")</f>
        <v>https://www.ncbi.nlm.nih.gov/pubmed/22823746</v>
      </c>
      <c r="D5682" s="250" t="str">
        <f>IF(AND(A5682&lt;&gt;"",ISNUMBER(A5682)),VLOOKUP(A5682,Studies!A:BR,4,FALSE),"")</f>
        <v>14C-dapagliflozin iv</v>
      </c>
      <c r="E5682" s="250" t="str">
        <f>IF(AND(A5682&lt;&gt;"",ISNUMBER(A5682)),VLOOKUP(A5682,Studies!A:BR,5,FALSE),"")</f>
        <v>Dapagliflozin</v>
      </c>
      <c r="F5682" s="251" t="str">
        <f>IF(AND(A5682&lt;&gt;"",ISNUMBER(A5682)),VLOOKUP(A5682,Studies!A:BR,6,FALSE),"")</f>
        <v>Plasma</v>
      </c>
      <c r="G5682" s="194">
        <v>1.083333333333333</v>
      </c>
      <c r="H5682" s="238" t="s">
        <v>60</v>
      </c>
      <c r="I5682" s="187">
        <v>10.212999999999999</v>
      </c>
      <c r="J5682" s="239" t="s">
        <v>941</v>
      </c>
      <c r="K5682" s="239" t="s">
        <v>116</v>
      </c>
    </row>
    <row r="5683" spans="1:14" ht="14.25" x14ac:dyDescent="0.2">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1.1666666666666663</v>
      </c>
      <c r="H5683" s="238" t="s">
        <v>60</v>
      </c>
      <c r="I5683" s="187">
        <v>6.5604500000000003</v>
      </c>
      <c r="J5683" s="239" t="s">
        <v>941</v>
      </c>
      <c r="K5683" s="239" t="s">
        <v>116</v>
      </c>
    </row>
    <row r="5684" spans="1:14" ht="14.25" x14ac:dyDescent="0.2">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1.333333333333333</v>
      </c>
      <c r="H5684" s="238" t="s">
        <v>60</v>
      </c>
      <c r="I5684" s="187">
        <v>2.622795</v>
      </c>
      <c r="J5684" s="239" t="s">
        <v>941</v>
      </c>
      <c r="K5684" s="239" t="s">
        <v>116</v>
      </c>
    </row>
    <row r="5685" spans="1:14" ht="14.25" x14ac:dyDescent="0.2">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1.4999999999999998</v>
      </c>
      <c r="H5685" s="238" t="s">
        <v>60</v>
      </c>
      <c r="I5685" s="187">
        <v>1.973306</v>
      </c>
      <c r="J5685" s="239" t="s">
        <v>941</v>
      </c>
      <c r="K5685" s="239" t="s">
        <v>116</v>
      </c>
    </row>
    <row r="5686" spans="1:14" ht="14.25" x14ac:dyDescent="0.2">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1.6666666666666665</v>
      </c>
      <c r="H5686" s="238" t="s">
        <v>60</v>
      </c>
      <c r="I5686" s="187">
        <v>1.1899120000000001</v>
      </c>
      <c r="J5686" s="239" t="s">
        <v>941</v>
      </c>
      <c r="K5686" s="239" t="s">
        <v>116</v>
      </c>
    </row>
    <row r="5687" spans="1:14" ht="14.25" x14ac:dyDescent="0.2">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1.8333333333333333</v>
      </c>
      <c r="H5687" s="238" t="s">
        <v>60</v>
      </c>
      <c r="I5687" s="187">
        <v>1.015933</v>
      </c>
      <c r="J5687" s="239" t="s">
        <v>941</v>
      </c>
      <c r="K5687" s="239" t="s">
        <v>116</v>
      </c>
    </row>
    <row r="5688" spans="1:14" ht="14.25" x14ac:dyDescent="0.2">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2</v>
      </c>
      <c r="H5688" s="238" t="s">
        <v>60</v>
      </c>
      <c r="I5688" s="187">
        <v>0.86739140000000003</v>
      </c>
      <c r="J5688" s="239" t="s">
        <v>941</v>
      </c>
      <c r="K5688" s="239" t="s">
        <v>116</v>
      </c>
    </row>
    <row r="5689" spans="1:14" ht="14.25" x14ac:dyDescent="0.2">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4</v>
      </c>
      <c r="H5689" s="238" t="s">
        <v>60</v>
      </c>
      <c r="I5689" s="187">
        <v>0.41920420000000003</v>
      </c>
      <c r="J5689" s="239" t="s">
        <v>941</v>
      </c>
      <c r="K5689" s="239" t="s">
        <v>116</v>
      </c>
    </row>
    <row r="5690" spans="1:14" ht="14.25" x14ac:dyDescent="0.2">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6</v>
      </c>
      <c r="H5690" s="238" t="s">
        <v>60</v>
      </c>
      <c r="I5690" s="187">
        <v>0.27793030000000002</v>
      </c>
      <c r="J5690" s="239" t="s">
        <v>941</v>
      </c>
      <c r="K5690" s="239" t="s">
        <v>116</v>
      </c>
    </row>
    <row r="5691" spans="1:14" ht="14.25" x14ac:dyDescent="0.2">
      <c r="A5691" s="30">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8</v>
      </c>
      <c r="H5691" s="238" t="s">
        <v>60</v>
      </c>
      <c r="I5691" s="187">
        <v>0.22275429999999999</v>
      </c>
      <c r="J5691" s="239" t="s">
        <v>941</v>
      </c>
      <c r="K5691" s="239" t="s">
        <v>116</v>
      </c>
    </row>
    <row r="5692" spans="1:14" ht="14.25" x14ac:dyDescent="0.2">
      <c r="A5692" s="183">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12</v>
      </c>
      <c r="H5692" s="238" t="s">
        <v>60</v>
      </c>
      <c r="I5692" s="187">
        <v>0.1183659</v>
      </c>
      <c r="J5692" s="239" t="s">
        <v>941</v>
      </c>
      <c r="K5692" s="239" t="s">
        <v>116</v>
      </c>
    </row>
    <row r="5693" spans="1:14" ht="14.25" x14ac:dyDescent="0.2">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16</v>
      </c>
      <c r="H5693" s="238" t="s">
        <v>60</v>
      </c>
      <c r="I5693" s="187">
        <v>6.4916779999999993E-2</v>
      </c>
      <c r="J5693" s="239" t="s">
        <v>941</v>
      </c>
      <c r="K5693" s="239" t="s">
        <v>116</v>
      </c>
    </row>
    <row r="5694" spans="1:14" ht="14.25" x14ac:dyDescent="0.2">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24</v>
      </c>
      <c r="H5694" s="238" t="s">
        <v>60</v>
      </c>
      <c r="I5694" s="187">
        <v>3.79269E-2</v>
      </c>
      <c r="J5694" s="239" t="s">
        <v>941</v>
      </c>
      <c r="K5694" s="239" t="s">
        <v>116</v>
      </c>
    </row>
    <row r="5695" spans="1:14" ht="14.25" x14ac:dyDescent="0.2">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36</v>
      </c>
      <c r="H5695" s="238" t="s">
        <v>60</v>
      </c>
      <c r="I5695" s="187">
        <v>1.8918549999999999E-2</v>
      </c>
      <c r="J5695" s="239" t="s">
        <v>941</v>
      </c>
      <c r="K5695" s="239" t="s">
        <v>116</v>
      </c>
    </row>
    <row r="5696" spans="1:14" ht="14.25" x14ac:dyDescent="0.2">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48</v>
      </c>
      <c r="H5696" s="238" t="s">
        <v>60</v>
      </c>
      <c r="I5696" s="187">
        <v>1.8329809999999998E-2</v>
      </c>
      <c r="J5696" s="239" t="s">
        <v>941</v>
      </c>
      <c r="K5696" s="239" t="s">
        <v>116</v>
      </c>
    </row>
    <row r="5697" spans="1:14" ht="14.25" x14ac:dyDescent="0.2">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49</v>
      </c>
      <c r="H5697" s="238" t="s">
        <v>60</v>
      </c>
      <c r="I5697" s="187">
        <v>1.8329809999999998E-2</v>
      </c>
      <c r="J5697" s="239" t="s">
        <v>941</v>
      </c>
      <c r="K5697" s="239" t="s">
        <v>116</v>
      </c>
    </row>
    <row r="5698" spans="1:14" ht="14.25" x14ac:dyDescent="0.2">
      <c r="A5698" s="183">
        <v>630</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Dapagliflozin po</v>
      </c>
      <c r="E5698" s="250" t="str">
        <f>IF(AND(A5698&lt;&gt;"",ISNUMBER(A5698)),VLOOKUP(A5698,Studies!A:BR,5,FALSE),"")</f>
        <v>Dapagliflozin</v>
      </c>
      <c r="F5698" s="251" t="str">
        <f>IF(AND(A5698&lt;&gt;"",ISNUMBER(A5698)),VLOOKUP(A5698,Studies!A:BR,6,FALSE),"")</f>
        <v>Plasma</v>
      </c>
      <c r="G5698" s="194">
        <v>0.5</v>
      </c>
      <c r="H5698" s="238" t="s">
        <v>60</v>
      </c>
      <c r="I5698" s="187">
        <v>106.5117</v>
      </c>
      <c r="J5698" s="239" t="s">
        <v>941</v>
      </c>
      <c r="K5698" s="239" t="s">
        <v>116</v>
      </c>
      <c r="L5698" s="195">
        <v>68.898319999999998</v>
      </c>
      <c r="M5698" s="52" t="s">
        <v>941</v>
      </c>
      <c r="N5698" s="52" t="s">
        <v>117</v>
      </c>
    </row>
    <row r="5699" spans="1:14" ht="14.25" x14ac:dyDescent="0.2">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1</v>
      </c>
      <c r="H5699" s="238" t="s">
        <v>60</v>
      </c>
      <c r="I5699" s="187">
        <v>141.47669999999999</v>
      </c>
      <c r="J5699" s="239" t="s">
        <v>941</v>
      </c>
      <c r="K5699" s="239" t="s">
        <v>116</v>
      </c>
      <c r="L5699" s="195">
        <v>44.581699999999998</v>
      </c>
      <c r="M5699" s="52" t="s">
        <v>941</v>
      </c>
      <c r="N5699" s="52" t="s">
        <v>117</v>
      </c>
    </row>
    <row r="5700" spans="1:14" ht="14.25" x14ac:dyDescent="0.2">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1.5</v>
      </c>
      <c r="H5700" s="238" t="s">
        <v>60</v>
      </c>
      <c r="I5700" s="187">
        <v>93.886409999999998</v>
      </c>
      <c r="J5700" s="239" t="s">
        <v>941</v>
      </c>
      <c r="K5700" s="239" t="s">
        <v>116</v>
      </c>
      <c r="L5700" s="195">
        <v>8.4767840000000003</v>
      </c>
      <c r="M5700" s="52" t="s">
        <v>941</v>
      </c>
      <c r="N5700" s="52" t="s">
        <v>117</v>
      </c>
    </row>
    <row r="5701" spans="1:14" ht="14.25" x14ac:dyDescent="0.2">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2</v>
      </c>
      <c r="H5701" s="238" t="s">
        <v>60</v>
      </c>
      <c r="I5701" s="187">
        <v>75.285669999999996</v>
      </c>
      <c r="J5701" s="239" t="s">
        <v>941</v>
      </c>
      <c r="K5701" s="239" t="s">
        <v>116</v>
      </c>
      <c r="L5701" s="195">
        <v>8.9239200000000007</v>
      </c>
      <c r="M5701" s="52" t="s">
        <v>941</v>
      </c>
      <c r="N5701" s="52" t="s">
        <v>117</v>
      </c>
    </row>
    <row r="5702" spans="1:14" ht="14.25" x14ac:dyDescent="0.2">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4</v>
      </c>
      <c r="H5702" s="238" t="s">
        <v>60</v>
      </c>
      <c r="I5702" s="187">
        <v>38.818710000000003</v>
      </c>
      <c r="J5702" s="239" t="s">
        <v>941</v>
      </c>
      <c r="K5702" s="239" t="s">
        <v>116</v>
      </c>
      <c r="L5702" s="195">
        <v>4.6013450000000002</v>
      </c>
      <c r="M5702" s="52" t="s">
        <v>941</v>
      </c>
      <c r="N5702" s="52" t="s">
        <v>117</v>
      </c>
    </row>
    <row r="5703" spans="1:14" ht="14.25" x14ac:dyDescent="0.2">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6</v>
      </c>
      <c r="H5703" s="238" t="s">
        <v>60</v>
      </c>
      <c r="I5703" s="187">
        <v>25.760770000000001</v>
      </c>
      <c r="J5703" s="239" t="s">
        <v>941</v>
      </c>
      <c r="K5703" s="239" t="s">
        <v>116</v>
      </c>
      <c r="L5703" s="195">
        <v>5.1037119999999998</v>
      </c>
      <c r="M5703" s="52" t="s">
        <v>941</v>
      </c>
      <c r="N5703" s="52" t="s">
        <v>117</v>
      </c>
    </row>
    <row r="5704" spans="1:14" ht="14.25" x14ac:dyDescent="0.2">
      <c r="A5704" s="30">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8</v>
      </c>
      <c r="H5704" s="238" t="s">
        <v>60</v>
      </c>
      <c r="I5704" s="187">
        <v>18.791979999999999</v>
      </c>
      <c r="J5704" s="239" t="s">
        <v>941</v>
      </c>
      <c r="K5704" s="239" t="s">
        <v>116</v>
      </c>
      <c r="L5704" s="195">
        <v>2.7418170000000002</v>
      </c>
      <c r="M5704" s="52" t="s">
        <v>941</v>
      </c>
      <c r="N5704" s="52" t="s">
        <v>117</v>
      </c>
    </row>
    <row r="5705" spans="1:14" ht="14.25" x14ac:dyDescent="0.2">
      <c r="A5705" s="183">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12</v>
      </c>
      <c r="H5705" s="238" t="s">
        <v>60</v>
      </c>
      <c r="I5705" s="187">
        <v>10.99249</v>
      </c>
      <c r="J5705" s="239" t="s">
        <v>941</v>
      </c>
      <c r="K5705" s="239" t="s">
        <v>116</v>
      </c>
      <c r="L5705" s="195">
        <v>2.177832</v>
      </c>
      <c r="M5705" s="52" t="s">
        <v>941</v>
      </c>
      <c r="N5705" s="52" t="s">
        <v>117</v>
      </c>
    </row>
    <row r="5706" spans="1:14" ht="14.25" x14ac:dyDescent="0.2">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16</v>
      </c>
      <c r="H5706" s="238" t="s">
        <v>60</v>
      </c>
      <c r="I5706" s="187">
        <v>7.0683020000000001</v>
      </c>
      <c r="J5706" s="239" t="s">
        <v>941</v>
      </c>
      <c r="K5706" s="239" t="s">
        <v>116</v>
      </c>
      <c r="L5706" s="195">
        <v>1.5763590000000001</v>
      </c>
      <c r="M5706" s="52" t="s">
        <v>941</v>
      </c>
      <c r="N5706" s="52" t="s">
        <v>117</v>
      </c>
    </row>
    <row r="5707" spans="1:14" ht="14.25" x14ac:dyDescent="0.2">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24</v>
      </c>
      <c r="H5707" s="238" t="s">
        <v>60</v>
      </c>
      <c r="I5707" s="187">
        <v>4.134646</v>
      </c>
      <c r="J5707" s="239" t="s">
        <v>941</v>
      </c>
      <c r="K5707" s="239" t="s">
        <v>116</v>
      </c>
      <c r="L5707" s="195">
        <v>0.92210029999999998</v>
      </c>
      <c r="M5707" s="52" t="s">
        <v>941</v>
      </c>
      <c r="N5707" s="52" t="s">
        <v>117</v>
      </c>
    </row>
    <row r="5708" spans="1:14" ht="14.25" x14ac:dyDescent="0.2">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36</v>
      </c>
      <c r="H5708" s="238" t="s">
        <v>60</v>
      </c>
      <c r="I5708" s="187">
        <v>2.270724</v>
      </c>
      <c r="J5708" s="239" t="s">
        <v>941</v>
      </c>
      <c r="K5708" s="239" t="s">
        <v>116</v>
      </c>
      <c r="L5708" s="195">
        <v>0.33130690000000002</v>
      </c>
      <c r="M5708" s="52" t="s">
        <v>941</v>
      </c>
      <c r="N5708" s="52" t="s">
        <v>117</v>
      </c>
    </row>
    <row r="5709" spans="1:14" ht="14.25" x14ac:dyDescent="0.2">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48</v>
      </c>
      <c r="H5709" s="238" t="s">
        <v>60</v>
      </c>
      <c r="I5709" s="187">
        <v>1.3708389999999999</v>
      </c>
      <c r="J5709" s="239" t="s">
        <v>941</v>
      </c>
      <c r="K5709" s="239" t="s">
        <v>116</v>
      </c>
      <c r="L5709" s="195">
        <v>0.23636509999999999</v>
      </c>
      <c r="M5709" s="52" t="s">
        <v>941</v>
      </c>
      <c r="N5709" s="52" t="s">
        <v>117</v>
      </c>
    </row>
    <row r="5710" spans="1:14" ht="14.25" x14ac:dyDescent="0.2">
      <c r="A5710" s="183">
        <v>631</v>
      </c>
      <c r="B5710" s="249" t="str">
        <f>IF(AND(A5710&lt;&gt;"",ISNUMBER(A5710)),VLOOKUP(A5710,Studies!A:BR,2,FALSE),"")</f>
        <v>Chang 2015</v>
      </c>
      <c r="C5710" s="250" t="str">
        <f>IF(AND(A5710&lt;&gt;"",ISNUMBER(A5710)),VLOOKUP(A5710,Studies!A:BR,3,FALSE),"")</f>
        <v>https://www.ncbi.nlm.nih.gov/pubmed/26048185</v>
      </c>
      <c r="D5710" s="250" t="str">
        <f>IF(AND(A5710&lt;&gt;"",ISNUMBER(A5710)),VLOOKUP(A5710,Studies!A:BR,4,FALSE),"")</f>
        <v>Study 1 Treatment A (single oral doses)</v>
      </c>
      <c r="E5710" s="250" t="str">
        <f>IF(AND(A5710&lt;&gt;"",ISNUMBER(A5710)),VLOOKUP(A5710,Studies!A:BR,5,FALSE),"")</f>
        <v>Dapagliflozin</v>
      </c>
      <c r="F5710" s="251" t="str">
        <f>IF(AND(A5710&lt;&gt;"",ISNUMBER(A5710)),VLOOKUP(A5710,Studies!A:BR,6,FALSE),"")</f>
        <v>Plasma</v>
      </c>
      <c r="G5710" s="194">
        <v>1</v>
      </c>
      <c r="H5710" s="238" t="s">
        <v>60</v>
      </c>
      <c r="I5710" s="187">
        <v>30.75</v>
      </c>
      <c r="J5710" s="239" t="s">
        <v>941</v>
      </c>
      <c r="K5710" s="239" t="s">
        <v>116</v>
      </c>
    </row>
    <row r="5711" spans="1:14" ht="14.25" x14ac:dyDescent="0.2">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2</v>
      </c>
      <c r="H5711" s="238" t="s">
        <v>60</v>
      </c>
      <c r="I5711" s="187">
        <v>37.875</v>
      </c>
      <c r="J5711" s="239" t="s">
        <v>941</v>
      </c>
      <c r="K5711" s="239" t="s">
        <v>116</v>
      </c>
    </row>
    <row r="5712" spans="1:14" ht="14.25" x14ac:dyDescent="0.2">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4</v>
      </c>
      <c r="H5712" s="238" t="s">
        <v>60</v>
      </c>
      <c r="I5712" s="187">
        <v>21.375</v>
      </c>
      <c r="J5712" s="239" t="s">
        <v>941</v>
      </c>
      <c r="K5712" s="239" t="s">
        <v>116</v>
      </c>
    </row>
    <row r="5713" spans="1:11" ht="14.25" x14ac:dyDescent="0.2">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6</v>
      </c>
      <c r="H5713" s="238" t="s">
        <v>60</v>
      </c>
      <c r="I5713" s="187">
        <v>13.5</v>
      </c>
      <c r="J5713" s="239" t="s">
        <v>941</v>
      </c>
      <c r="K5713" s="239" t="s">
        <v>116</v>
      </c>
    </row>
    <row r="5714" spans="1:11" ht="14.25" x14ac:dyDescent="0.2">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8</v>
      </c>
      <c r="H5714" s="238" t="s">
        <v>60</v>
      </c>
      <c r="I5714" s="187">
        <v>9.75</v>
      </c>
      <c r="J5714" s="239" t="s">
        <v>941</v>
      </c>
      <c r="K5714" s="239" t="s">
        <v>116</v>
      </c>
    </row>
    <row r="5715" spans="1:11" ht="14.25" x14ac:dyDescent="0.2">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12</v>
      </c>
      <c r="H5715" s="238" t="s">
        <v>60</v>
      </c>
      <c r="I5715" s="187">
        <v>6</v>
      </c>
      <c r="J5715" s="239" t="s">
        <v>941</v>
      </c>
      <c r="K5715" s="239" t="s">
        <v>116</v>
      </c>
    </row>
    <row r="5716" spans="1:11" ht="14.25" x14ac:dyDescent="0.2">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16</v>
      </c>
      <c r="H5716" s="238" t="s">
        <v>60</v>
      </c>
      <c r="I5716" s="187">
        <v>4.5</v>
      </c>
      <c r="J5716" s="239" t="s">
        <v>941</v>
      </c>
      <c r="K5716" s="239" t="s">
        <v>116</v>
      </c>
    </row>
    <row r="5717" spans="1:11" ht="14.25" x14ac:dyDescent="0.2">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24</v>
      </c>
      <c r="H5717" s="238" t="s">
        <v>60</v>
      </c>
      <c r="I5717" s="187">
        <v>3.375</v>
      </c>
      <c r="J5717" s="239" t="s">
        <v>941</v>
      </c>
      <c r="K5717" s="239" t="s">
        <v>116</v>
      </c>
    </row>
    <row r="5718" spans="1:11" ht="14.25" x14ac:dyDescent="0.2">
      <c r="A5718" s="183">
        <v>632</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2 Treatment A (single oral doses)</v>
      </c>
      <c r="E5718" s="250" t="str">
        <f>IF(AND(A5718&lt;&gt;"",ISNUMBER(A5718)),VLOOKUP(A5718,Studies!A:BR,5,FALSE),"")</f>
        <v>Dapagliflozin</v>
      </c>
      <c r="F5718" s="251" t="str">
        <f>IF(AND(A5718&lt;&gt;"",ISNUMBER(A5718)),VLOOKUP(A5718,Studies!A:BR,6,FALSE),"")</f>
        <v>Plasma</v>
      </c>
      <c r="G5718" s="194">
        <v>1</v>
      </c>
      <c r="H5718" s="194" t="s">
        <v>60</v>
      </c>
      <c r="I5718" s="187">
        <v>68.989549999999994</v>
      </c>
      <c r="J5718" s="239" t="s">
        <v>941</v>
      </c>
      <c r="K5718" s="239" t="s">
        <v>116</v>
      </c>
    </row>
    <row r="5719" spans="1:11" ht="14.25" x14ac:dyDescent="0.2">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2</v>
      </c>
      <c r="H5719" s="194" t="s">
        <v>60</v>
      </c>
      <c r="I5719" s="187">
        <v>80.278750000000002</v>
      </c>
      <c r="J5719" s="239" t="s">
        <v>941</v>
      </c>
      <c r="K5719" s="239" t="s">
        <v>116</v>
      </c>
    </row>
    <row r="5720" spans="1:11" ht="14.25" x14ac:dyDescent="0.2">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3</v>
      </c>
      <c r="H5720" s="194" t="s">
        <v>60</v>
      </c>
      <c r="I5720" s="187">
        <v>61.463410000000003</v>
      </c>
      <c r="J5720" s="239" t="s">
        <v>941</v>
      </c>
      <c r="K5720" s="239" t="s">
        <v>116</v>
      </c>
    </row>
    <row r="5721" spans="1:11" ht="14.25" x14ac:dyDescent="0.2">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4</v>
      </c>
      <c r="H5721" s="194" t="s">
        <v>60</v>
      </c>
      <c r="I5721" s="187">
        <v>45.156799999999997</v>
      </c>
      <c r="J5721" s="239" t="s">
        <v>941</v>
      </c>
      <c r="K5721" s="239" t="s">
        <v>116</v>
      </c>
    </row>
    <row r="5722" spans="1:11" ht="14.25" x14ac:dyDescent="0.2">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6</v>
      </c>
      <c r="H5722" s="194" t="s">
        <v>60</v>
      </c>
      <c r="I5722" s="187">
        <v>29.477350000000001</v>
      </c>
      <c r="J5722" s="239" t="s">
        <v>941</v>
      </c>
      <c r="K5722" s="239" t="s">
        <v>116</v>
      </c>
    </row>
    <row r="5723" spans="1:11" ht="14.25" x14ac:dyDescent="0.2">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8</v>
      </c>
      <c r="H5723" s="194" t="s">
        <v>60</v>
      </c>
      <c r="I5723" s="187">
        <v>20.696860000000001</v>
      </c>
      <c r="J5723" s="239" t="s">
        <v>941</v>
      </c>
      <c r="K5723" s="239" t="s">
        <v>116</v>
      </c>
    </row>
    <row r="5724" spans="1:11" ht="14.25" x14ac:dyDescent="0.2">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12</v>
      </c>
      <c r="H5724" s="194" t="s">
        <v>60</v>
      </c>
      <c r="I5724" s="187">
        <v>13.170730000000001</v>
      </c>
      <c r="J5724" s="239" t="s">
        <v>941</v>
      </c>
      <c r="K5724" s="239" t="s">
        <v>116</v>
      </c>
    </row>
    <row r="5725" spans="1:11" ht="14.25" x14ac:dyDescent="0.2">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16</v>
      </c>
      <c r="H5725" s="194" t="s">
        <v>60</v>
      </c>
      <c r="I5725" s="187">
        <v>8.7804880000000001</v>
      </c>
      <c r="J5725" s="239" t="s">
        <v>941</v>
      </c>
      <c r="K5725" s="239" t="s">
        <v>116</v>
      </c>
    </row>
    <row r="5726" spans="1:11" ht="14.25" x14ac:dyDescent="0.2">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24</v>
      </c>
      <c r="H5726" s="194" t="s">
        <v>60</v>
      </c>
      <c r="I5726" s="187">
        <v>6.8989549999999999</v>
      </c>
      <c r="J5726" s="239" t="s">
        <v>941</v>
      </c>
      <c r="K5726" s="239" t="s">
        <v>116</v>
      </c>
    </row>
    <row r="5727" spans="1:11" ht="14.25" x14ac:dyDescent="0.2">
      <c r="A5727" s="183">
        <v>633</v>
      </c>
      <c r="B5727" s="249" t="str">
        <f>IF(AND(A5727&lt;&gt;"",ISNUMBER(A5727)),VLOOKUP(A5727,Studies!A:BR,2,FALSE),"")</f>
        <v>Imamura 2013</v>
      </c>
      <c r="C5727" s="250" t="str">
        <f>IF(AND(A5727&lt;&gt;"",ISNUMBER(A5727)),VLOOKUP(A5727,Studies!A:BR,3,FALSE),"")</f>
        <v>https://www.ncbi.nlm.nih.gov/pubmed/23307267</v>
      </c>
      <c r="D5727" s="250" t="str">
        <f>IF(AND(A5727&lt;&gt;"",ISNUMBER(A5727)),VLOOKUP(A5727,Studies!A:BR,4,FALSE),"")</f>
        <v>Control (Perpetrator Placebo)</v>
      </c>
      <c r="E5727" s="250" t="str">
        <f>IF(AND(A5727&lt;&gt;"",ISNUMBER(A5727)),VLOOKUP(A5727,Studies!A:BR,5,FALSE),"")</f>
        <v>Dapagliflozin</v>
      </c>
      <c r="F5727" s="251" t="str">
        <f>IF(AND(A5727&lt;&gt;"",ISNUMBER(A5727)),VLOOKUP(A5727,Studies!A:BR,6,FALSE),"")</f>
        <v>Plasma</v>
      </c>
      <c r="G5727" s="194">
        <v>0.25</v>
      </c>
      <c r="H5727" s="238" t="s">
        <v>60</v>
      </c>
      <c r="I5727" s="187">
        <v>44.843049999999998</v>
      </c>
      <c r="J5727" s="239" t="s">
        <v>941</v>
      </c>
      <c r="K5727" s="239" t="s">
        <v>116</v>
      </c>
    </row>
    <row r="5728" spans="1:11" ht="14.25" x14ac:dyDescent="0.2">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0.5</v>
      </c>
      <c r="H5728" s="238" t="s">
        <v>60</v>
      </c>
      <c r="I5728" s="187">
        <v>167.6009</v>
      </c>
      <c r="J5728" s="239" t="s">
        <v>941</v>
      </c>
      <c r="K5728" s="239" t="s">
        <v>116</v>
      </c>
    </row>
    <row r="5729" spans="1:14" ht="14.25" x14ac:dyDescent="0.2">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1</v>
      </c>
      <c r="H5729" s="238" t="s">
        <v>60</v>
      </c>
      <c r="I5729" s="187">
        <v>137.33179999999999</v>
      </c>
      <c r="J5729" s="239" t="s">
        <v>941</v>
      </c>
      <c r="K5729" s="239" t="s">
        <v>116</v>
      </c>
    </row>
    <row r="5730" spans="1:14" ht="14.25" x14ac:dyDescent="0.2">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1.5</v>
      </c>
      <c r="H5730" s="238" t="s">
        <v>60</v>
      </c>
      <c r="I5730" s="187">
        <v>85.762330000000006</v>
      </c>
      <c r="J5730" s="239" t="s">
        <v>941</v>
      </c>
      <c r="K5730" s="239" t="s">
        <v>116</v>
      </c>
    </row>
    <row r="5731" spans="1:14" ht="14.25" x14ac:dyDescent="0.2">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2</v>
      </c>
      <c r="H5731" s="238" t="s">
        <v>60</v>
      </c>
      <c r="I5731" s="187">
        <v>63.901339999999998</v>
      </c>
      <c r="J5731" s="239" t="s">
        <v>941</v>
      </c>
      <c r="K5731" s="239" t="s">
        <v>116</v>
      </c>
    </row>
    <row r="5732" spans="1:14" ht="14.25" x14ac:dyDescent="0.2">
      <c r="A5732" s="30">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4</v>
      </c>
      <c r="H5732" s="238" t="s">
        <v>60</v>
      </c>
      <c r="I5732" s="187">
        <v>33.071750000000002</v>
      </c>
      <c r="J5732" s="239" t="s">
        <v>941</v>
      </c>
      <c r="K5732" s="239" t="s">
        <v>116</v>
      </c>
    </row>
    <row r="5733" spans="1:14" ht="14.25" x14ac:dyDescent="0.2">
      <c r="A5733" s="183">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6</v>
      </c>
      <c r="H5733" s="238" t="s">
        <v>60</v>
      </c>
      <c r="I5733" s="187">
        <v>19.058299999999999</v>
      </c>
      <c r="J5733" s="239" t="s">
        <v>941</v>
      </c>
      <c r="K5733" s="239" t="s">
        <v>116</v>
      </c>
    </row>
    <row r="5734" spans="1:14" ht="14.25" x14ac:dyDescent="0.2">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8</v>
      </c>
      <c r="H5734" s="238" t="s">
        <v>60</v>
      </c>
      <c r="I5734" s="187">
        <v>11.7713</v>
      </c>
      <c r="J5734" s="239" t="s">
        <v>941</v>
      </c>
      <c r="K5734" s="239" t="s">
        <v>116</v>
      </c>
    </row>
    <row r="5735" spans="1:14" ht="14.25" x14ac:dyDescent="0.2">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10</v>
      </c>
      <c r="H5735" s="238" t="s">
        <v>60</v>
      </c>
      <c r="I5735" s="187">
        <v>9.5291479999999993</v>
      </c>
      <c r="J5735" s="239" t="s">
        <v>941</v>
      </c>
      <c r="K5735" s="239" t="s">
        <v>116</v>
      </c>
    </row>
    <row r="5736" spans="1:14" ht="14.25" x14ac:dyDescent="0.2">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12</v>
      </c>
      <c r="H5736" s="238" t="s">
        <v>60</v>
      </c>
      <c r="I5736" s="187">
        <v>7.8475339999999996</v>
      </c>
      <c r="J5736" s="239" t="s">
        <v>941</v>
      </c>
      <c r="K5736" s="239" t="s">
        <v>116</v>
      </c>
    </row>
    <row r="5737" spans="1:14" ht="14.25" x14ac:dyDescent="0.2">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14</v>
      </c>
      <c r="H5737" s="238" t="s">
        <v>60</v>
      </c>
      <c r="I5737" s="187">
        <v>5.6053810000000004</v>
      </c>
      <c r="J5737" s="239" t="s">
        <v>941</v>
      </c>
      <c r="K5737" s="239" t="s">
        <v>116</v>
      </c>
    </row>
    <row r="5738" spans="1:14" ht="14.25" x14ac:dyDescent="0.2">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24</v>
      </c>
      <c r="H5738" s="238" t="s">
        <v>60</v>
      </c>
      <c r="I5738" s="187">
        <v>3.9237669999999998</v>
      </c>
      <c r="J5738" s="239" t="s">
        <v>941</v>
      </c>
      <c r="K5738" s="239" t="s">
        <v>116</v>
      </c>
    </row>
    <row r="5739" spans="1:14" ht="14.25" x14ac:dyDescent="0.2">
      <c r="A5739" s="183">
        <v>634</v>
      </c>
      <c r="B5739" s="249" t="str">
        <f>IF(AND(A5739&lt;&gt;"",ISNUMBER(A5739)),VLOOKUP(A5739,Studies!A:BR,2,FALSE),"")</f>
        <v>Kasichayanula 2011a</v>
      </c>
      <c r="C5739" s="250" t="str">
        <f>IF(AND(A5739&lt;&gt;"",ISNUMBER(A5739)),VLOOKUP(A5739,Studies!A:BR,3,FALSE),"")</f>
        <v>https://www.ncbi.nlm.nih.gov/pubmed/21435141</v>
      </c>
      <c r="D5739" s="250" t="str">
        <f>IF(AND(A5739&lt;&gt;"",ISNUMBER(A5739)),VLOOKUP(A5739,Studies!A:BR,4,FALSE),"")</f>
        <v>fasted</v>
      </c>
      <c r="E5739" s="250" t="str">
        <f>IF(AND(A5739&lt;&gt;"",ISNUMBER(A5739)),VLOOKUP(A5739,Studies!A:BR,5,FALSE),"")</f>
        <v>Dapagliflozin</v>
      </c>
      <c r="F5739" s="251" t="str">
        <f>IF(AND(A5739&lt;&gt;"",ISNUMBER(A5739)),VLOOKUP(A5739,Studies!A:BR,6,FALSE),"")</f>
        <v>Plasma</v>
      </c>
      <c r="G5739" s="194">
        <v>0.5</v>
      </c>
      <c r="H5739" s="238" t="s">
        <v>60</v>
      </c>
      <c r="I5739" s="187">
        <v>105.7286</v>
      </c>
      <c r="J5739" s="239" t="s">
        <v>941</v>
      </c>
      <c r="K5739" s="239" t="s">
        <v>116</v>
      </c>
      <c r="L5739" s="195">
        <v>44.623159999999999</v>
      </c>
      <c r="M5739" s="52" t="s">
        <v>941</v>
      </c>
      <c r="N5739" s="52" t="s">
        <v>117</v>
      </c>
    </row>
    <row r="5740" spans="1:14" ht="14.25" x14ac:dyDescent="0.2">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1</v>
      </c>
      <c r="H5740" s="238" t="s">
        <v>60</v>
      </c>
      <c r="I5740" s="187">
        <v>121.809</v>
      </c>
      <c r="J5740" s="239" t="s">
        <v>941</v>
      </c>
      <c r="K5740" s="239" t="s">
        <v>116</v>
      </c>
      <c r="L5740" s="195">
        <v>30.150790000000001</v>
      </c>
      <c r="M5740" s="52" t="s">
        <v>941</v>
      </c>
      <c r="N5740" s="52" t="s">
        <v>117</v>
      </c>
    </row>
    <row r="5741" spans="1:14" ht="14.25" x14ac:dyDescent="0.2">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1.5</v>
      </c>
      <c r="H5741" s="238" t="s">
        <v>60</v>
      </c>
      <c r="I5741" s="187">
        <v>87.638189999999994</v>
      </c>
      <c r="J5741" s="239" t="s">
        <v>941</v>
      </c>
      <c r="K5741" s="239" t="s">
        <v>116</v>
      </c>
      <c r="L5741" s="195">
        <v>19.69849</v>
      </c>
      <c r="M5741" s="52" t="s">
        <v>941</v>
      </c>
      <c r="N5741" s="52" t="s">
        <v>117</v>
      </c>
    </row>
    <row r="5742" spans="1:14" ht="14.25" x14ac:dyDescent="0.2">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2</v>
      </c>
      <c r="H5742" s="238" t="s">
        <v>60</v>
      </c>
      <c r="I5742" s="187">
        <v>66.733670000000004</v>
      </c>
      <c r="J5742" s="239" t="s">
        <v>941</v>
      </c>
      <c r="K5742" s="239" t="s">
        <v>116</v>
      </c>
      <c r="L5742" s="195">
        <v>17.286429999999999</v>
      </c>
      <c r="M5742" s="52" t="s">
        <v>941</v>
      </c>
      <c r="N5742" s="52" t="s">
        <v>117</v>
      </c>
    </row>
    <row r="5743" spans="1:14" ht="14.25" x14ac:dyDescent="0.2">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2.5</v>
      </c>
      <c r="H5743" s="238" t="s">
        <v>60</v>
      </c>
      <c r="I5743" s="187">
        <v>52.261310000000002</v>
      </c>
      <c r="J5743" s="239" t="s">
        <v>941</v>
      </c>
      <c r="K5743" s="239" t="s">
        <v>116</v>
      </c>
      <c r="L5743" s="195">
        <v>12.46231</v>
      </c>
      <c r="M5743" s="52" t="s">
        <v>941</v>
      </c>
      <c r="N5743" s="52" t="s">
        <v>117</v>
      </c>
    </row>
    <row r="5744" spans="1:14" ht="14.25" x14ac:dyDescent="0.2">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3</v>
      </c>
      <c r="H5744" s="238" t="s">
        <v>60</v>
      </c>
      <c r="I5744" s="187">
        <v>42.613059999999997</v>
      </c>
      <c r="J5744" s="239" t="s">
        <v>941</v>
      </c>
      <c r="K5744" s="239" t="s">
        <v>116</v>
      </c>
      <c r="L5744" s="195">
        <v>8.0402070000000005</v>
      </c>
      <c r="M5744" s="52" t="s">
        <v>941</v>
      </c>
      <c r="N5744" s="52" t="s">
        <v>117</v>
      </c>
    </row>
    <row r="5745" spans="1:14" ht="14.25" x14ac:dyDescent="0.2">
      <c r="A5745" s="30">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3.5</v>
      </c>
      <c r="H5745" s="238" t="s">
        <v>60</v>
      </c>
      <c r="I5745" s="187">
        <v>37.386940000000003</v>
      </c>
      <c r="J5745" s="239" t="s">
        <v>941</v>
      </c>
      <c r="K5745" s="239" t="s">
        <v>116</v>
      </c>
      <c r="L5745" s="195">
        <v>8.8442270000000001</v>
      </c>
      <c r="M5745" s="52" t="s">
        <v>941</v>
      </c>
      <c r="N5745" s="52" t="s">
        <v>117</v>
      </c>
    </row>
    <row r="5746" spans="1:14" ht="14.25" x14ac:dyDescent="0.2">
      <c r="A5746" s="183">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4</v>
      </c>
      <c r="H5746" s="238" t="s">
        <v>60</v>
      </c>
      <c r="I5746" s="187">
        <v>32.964820000000003</v>
      </c>
      <c r="J5746" s="239" t="s">
        <v>941</v>
      </c>
      <c r="K5746" s="239" t="s">
        <v>116</v>
      </c>
      <c r="L5746" s="195">
        <v>7.6381870000000003</v>
      </c>
      <c r="M5746" s="52" t="s">
        <v>941</v>
      </c>
      <c r="N5746" s="52" t="s">
        <v>117</v>
      </c>
    </row>
    <row r="5747" spans="1:14" ht="14.25" x14ac:dyDescent="0.2">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5</v>
      </c>
      <c r="H5747" s="238" t="s">
        <v>60</v>
      </c>
      <c r="I5747" s="187">
        <v>23.718589999999999</v>
      </c>
      <c r="J5747" s="239" t="s">
        <v>941</v>
      </c>
      <c r="K5747" s="239" t="s">
        <v>116</v>
      </c>
      <c r="L5747" s="195">
        <v>5.6281379999999999</v>
      </c>
      <c r="M5747" s="52" t="s">
        <v>941</v>
      </c>
      <c r="N5747" s="52" t="s">
        <v>117</v>
      </c>
    </row>
    <row r="5748" spans="1:14" ht="14.25" x14ac:dyDescent="0.2">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6</v>
      </c>
      <c r="H5748" s="238" t="s">
        <v>60</v>
      </c>
      <c r="I5748" s="187">
        <v>19.296479999999999</v>
      </c>
      <c r="J5748" s="239" t="s">
        <v>941</v>
      </c>
      <c r="K5748" s="239" t="s">
        <v>116</v>
      </c>
      <c r="L5748" s="195">
        <v>5.628139</v>
      </c>
      <c r="M5748" s="52" t="s">
        <v>941</v>
      </c>
      <c r="N5748" s="52" t="s">
        <v>117</v>
      </c>
    </row>
    <row r="5749" spans="1:14" ht="14.25" x14ac:dyDescent="0.2">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8</v>
      </c>
      <c r="H5749" s="238" t="s">
        <v>60</v>
      </c>
      <c r="I5749" s="187">
        <v>14.47236</v>
      </c>
      <c r="J5749" s="239" t="s">
        <v>941</v>
      </c>
      <c r="K5749" s="239" t="s">
        <v>116</v>
      </c>
      <c r="L5749" s="195">
        <v>3.6180889999999999</v>
      </c>
      <c r="M5749" s="52" t="s">
        <v>941</v>
      </c>
      <c r="N5749" s="52" t="s">
        <v>117</v>
      </c>
    </row>
    <row r="5750" spans="1:14" ht="14.25" x14ac:dyDescent="0.2">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12</v>
      </c>
      <c r="H5750" s="238" t="s">
        <v>60</v>
      </c>
      <c r="I5750" s="187">
        <v>8.4422110000000004</v>
      </c>
      <c r="J5750" s="239" t="s">
        <v>941</v>
      </c>
      <c r="K5750" s="239" t="s">
        <v>116</v>
      </c>
      <c r="L5750" s="195">
        <v>2.8140700000000001</v>
      </c>
      <c r="M5750" s="52" t="s">
        <v>941</v>
      </c>
      <c r="N5750" s="52" t="s">
        <v>117</v>
      </c>
    </row>
    <row r="5751" spans="1:14" ht="14.25" x14ac:dyDescent="0.2">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16</v>
      </c>
      <c r="H5751" s="238" t="s">
        <v>60</v>
      </c>
      <c r="I5751" s="187">
        <v>5.6281410000000003</v>
      </c>
      <c r="J5751" s="239" t="s">
        <v>941</v>
      </c>
      <c r="K5751" s="239" t="s">
        <v>116</v>
      </c>
      <c r="L5751" s="195">
        <v>2.4120599999999999</v>
      </c>
      <c r="M5751" s="52" t="s">
        <v>941</v>
      </c>
      <c r="N5751" s="52" t="s">
        <v>117</v>
      </c>
    </row>
    <row r="5752" spans="1:14" ht="14.25" x14ac:dyDescent="0.2">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24</v>
      </c>
      <c r="H5752" s="238" t="s">
        <v>60</v>
      </c>
      <c r="I5752" s="187">
        <v>3.2160799999999998</v>
      </c>
      <c r="J5752" s="239" t="s">
        <v>941</v>
      </c>
      <c r="K5752" s="239" t="s">
        <v>116</v>
      </c>
      <c r="M5752" s="52" t="s">
        <v>941</v>
      </c>
      <c r="N5752" s="52" t="s">
        <v>117</v>
      </c>
    </row>
    <row r="5753" spans="1:14" ht="14.25" x14ac:dyDescent="0.2">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36</v>
      </c>
      <c r="H5753" s="238" t="s">
        <v>60</v>
      </c>
      <c r="I5753" s="187">
        <v>2.4120599999999999</v>
      </c>
      <c r="J5753" s="239" t="s">
        <v>941</v>
      </c>
      <c r="K5753" s="239" t="s">
        <v>116</v>
      </c>
      <c r="M5753" s="52" t="s">
        <v>941</v>
      </c>
      <c r="N5753" s="52" t="s">
        <v>117</v>
      </c>
    </row>
    <row r="5754" spans="1:14" ht="14.25" x14ac:dyDescent="0.2">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48</v>
      </c>
      <c r="H5754" s="238" t="s">
        <v>60</v>
      </c>
      <c r="I5754" s="187">
        <v>1.6080399999999999</v>
      </c>
      <c r="J5754" s="239" t="s">
        <v>941</v>
      </c>
      <c r="K5754" s="239" t="s">
        <v>116</v>
      </c>
      <c r="M5754" s="52" t="s">
        <v>941</v>
      </c>
      <c r="N5754" s="52" t="s">
        <v>117</v>
      </c>
    </row>
    <row r="5755" spans="1:14" ht="14.25" x14ac:dyDescent="0.2">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72</v>
      </c>
      <c r="H5755" s="238" t="s">
        <v>60</v>
      </c>
      <c r="I5755" s="187">
        <v>0.80402010000000002</v>
      </c>
      <c r="J5755" s="239" t="s">
        <v>941</v>
      </c>
      <c r="K5755" s="239" t="s">
        <v>116</v>
      </c>
      <c r="M5755" s="52" t="s">
        <v>941</v>
      </c>
      <c r="N5755" s="52" t="s">
        <v>117</v>
      </c>
    </row>
    <row r="5756" spans="1:14" ht="14.25" x14ac:dyDescent="0.2">
      <c r="A5756" s="183">
        <v>635</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fed</v>
      </c>
      <c r="E5756" s="250" t="str">
        <f>IF(AND(A5756&lt;&gt;"",ISNUMBER(A5756)),VLOOKUP(A5756,Studies!A:BR,5,FALSE),"")</f>
        <v>Dapagliflozin</v>
      </c>
      <c r="F5756" s="251" t="str">
        <f>IF(AND(A5756&lt;&gt;"",ISNUMBER(A5756)),VLOOKUP(A5756,Studies!A:BR,6,FALSE),"")</f>
        <v>Plasma</v>
      </c>
      <c r="G5756" s="194">
        <v>0.5</v>
      </c>
      <c r="H5756" s="238" t="s">
        <v>60</v>
      </c>
      <c r="I5756" s="187">
        <v>11.25628</v>
      </c>
      <c r="J5756" s="239" t="s">
        <v>941</v>
      </c>
      <c r="K5756" s="239" t="s">
        <v>116</v>
      </c>
      <c r="L5756" s="195">
        <v>11.25628</v>
      </c>
      <c r="M5756" s="52" t="s">
        <v>941</v>
      </c>
      <c r="N5756" s="52" t="s">
        <v>117</v>
      </c>
    </row>
    <row r="5757" spans="1:14" ht="14.25" x14ac:dyDescent="0.2">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1</v>
      </c>
      <c r="H5757" s="238" t="s">
        <v>60</v>
      </c>
      <c r="I5757" s="187">
        <v>37.386940000000003</v>
      </c>
      <c r="J5757" s="239" t="s">
        <v>941</v>
      </c>
      <c r="K5757" s="239" t="s">
        <v>116</v>
      </c>
      <c r="L5757" s="195">
        <v>45.025120000000001</v>
      </c>
      <c r="M5757" s="52" t="s">
        <v>941</v>
      </c>
      <c r="N5757" s="52" t="s">
        <v>117</v>
      </c>
    </row>
    <row r="5758" spans="1:14" ht="14.25" x14ac:dyDescent="0.2">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1.5</v>
      </c>
      <c r="H5758" s="238" t="s">
        <v>60</v>
      </c>
      <c r="I5758" s="187">
        <v>70.753770000000003</v>
      </c>
      <c r="J5758" s="239" t="s">
        <v>941</v>
      </c>
      <c r="K5758" s="239" t="s">
        <v>116</v>
      </c>
      <c r="L5758" s="195">
        <v>43.015079999999998</v>
      </c>
      <c r="M5758" s="52" t="s">
        <v>941</v>
      </c>
      <c r="N5758" s="52" t="s">
        <v>117</v>
      </c>
    </row>
    <row r="5759" spans="1:14" ht="14.25" x14ac:dyDescent="0.2">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2</v>
      </c>
      <c r="H5759" s="238" t="s">
        <v>60</v>
      </c>
      <c r="I5759" s="187">
        <v>76.783919999999995</v>
      </c>
      <c r="J5759" s="239" t="s">
        <v>941</v>
      </c>
      <c r="K5759" s="239" t="s">
        <v>116</v>
      </c>
      <c r="L5759" s="195">
        <v>28.54271</v>
      </c>
      <c r="M5759" s="52" t="s">
        <v>941</v>
      </c>
      <c r="N5759" s="52" t="s">
        <v>117</v>
      </c>
    </row>
    <row r="5760" spans="1:14" ht="14.25" x14ac:dyDescent="0.2">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2.5</v>
      </c>
      <c r="H5760" s="238" t="s">
        <v>60</v>
      </c>
      <c r="I5760" s="187">
        <v>69.14573</v>
      </c>
      <c r="J5760" s="239" t="s">
        <v>941</v>
      </c>
      <c r="K5760" s="239" t="s">
        <v>116</v>
      </c>
      <c r="L5760" s="195">
        <v>22.51257</v>
      </c>
      <c r="M5760" s="52" t="s">
        <v>941</v>
      </c>
      <c r="N5760" s="52" t="s">
        <v>117</v>
      </c>
    </row>
    <row r="5761" spans="1:14" ht="14.25" x14ac:dyDescent="0.2">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3</v>
      </c>
      <c r="H5761" s="238" t="s">
        <v>60</v>
      </c>
      <c r="I5761" s="187">
        <v>60.30151</v>
      </c>
      <c r="J5761" s="239" t="s">
        <v>941</v>
      </c>
      <c r="K5761" s="239" t="s">
        <v>116</v>
      </c>
      <c r="L5761" s="195">
        <v>13.668340000000001</v>
      </c>
      <c r="M5761" s="52" t="s">
        <v>941</v>
      </c>
      <c r="N5761" s="52" t="s">
        <v>117</v>
      </c>
    </row>
    <row r="5762" spans="1:14" ht="14.25" x14ac:dyDescent="0.2">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3.5</v>
      </c>
      <c r="H5762" s="238" t="s">
        <v>60</v>
      </c>
      <c r="I5762" s="187">
        <v>53.065330000000003</v>
      </c>
      <c r="J5762" s="239" t="s">
        <v>941</v>
      </c>
      <c r="K5762" s="239" t="s">
        <v>116</v>
      </c>
      <c r="L5762" s="195">
        <v>9.2462269999999993</v>
      </c>
      <c r="M5762" s="52" t="s">
        <v>941</v>
      </c>
      <c r="N5762" s="52" t="s">
        <v>117</v>
      </c>
    </row>
    <row r="5763" spans="1:14" ht="14.25" x14ac:dyDescent="0.2">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4</v>
      </c>
      <c r="H5763" s="238" t="s">
        <v>60</v>
      </c>
      <c r="I5763" s="187">
        <v>46.63317</v>
      </c>
      <c r="J5763" s="239" t="s">
        <v>941</v>
      </c>
      <c r="K5763" s="239" t="s">
        <v>116</v>
      </c>
      <c r="L5763" s="195">
        <v>9.6482349999999997</v>
      </c>
      <c r="M5763" s="52" t="s">
        <v>941</v>
      </c>
      <c r="N5763" s="52" t="s">
        <v>117</v>
      </c>
    </row>
    <row r="5764" spans="1:14" ht="14.25" x14ac:dyDescent="0.2">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5</v>
      </c>
      <c r="H5764" s="238" t="s">
        <v>60</v>
      </c>
      <c r="I5764" s="187">
        <v>35.7789</v>
      </c>
      <c r="J5764" s="239" t="s">
        <v>941</v>
      </c>
      <c r="K5764" s="239" t="s">
        <v>116</v>
      </c>
      <c r="L5764" s="195">
        <v>11.25628</v>
      </c>
      <c r="M5764" s="52" t="s">
        <v>941</v>
      </c>
      <c r="N5764" s="52" t="s">
        <v>117</v>
      </c>
    </row>
    <row r="5765" spans="1:14" ht="14.25" x14ac:dyDescent="0.2">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6</v>
      </c>
      <c r="H5765" s="238" t="s">
        <v>60</v>
      </c>
      <c r="I5765" s="187">
        <v>25.728639999999999</v>
      </c>
      <c r="J5765" s="239" t="s">
        <v>941</v>
      </c>
      <c r="K5765" s="239" t="s">
        <v>116</v>
      </c>
      <c r="L5765" s="195">
        <v>6.8341729999999998</v>
      </c>
      <c r="M5765" s="52" t="s">
        <v>941</v>
      </c>
      <c r="N5765" s="52" t="s">
        <v>117</v>
      </c>
    </row>
    <row r="5766" spans="1:14" ht="14.25" x14ac:dyDescent="0.2">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8</v>
      </c>
      <c r="H5766" s="238" t="s">
        <v>60</v>
      </c>
      <c r="I5766" s="187">
        <v>18.492460000000001</v>
      </c>
      <c r="J5766" s="239" t="s">
        <v>941</v>
      </c>
      <c r="K5766" s="239" t="s">
        <v>116</v>
      </c>
      <c r="L5766" s="195">
        <v>7.6381930000000002</v>
      </c>
      <c r="M5766" s="52" t="s">
        <v>941</v>
      </c>
      <c r="N5766" s="52" t="s">
        <v>117</v>
      </c>
    </row>
    <row r="5767" spans="1:14" ht="14.25" x14ac:dyDescent="0.2">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12</v>
      </c>
      <c r="H5767" s="238" t="s">
        <v>60</v>
      </c>
      <c r="I5767" s="187">
        <v>10.05025</v>
      </c>
      <c r="J5767" s="239" t="s">
        <v>941</v>
      </c>
      <c r="K5767" s="239" t="s">
        <v>116</v>
      </c>
      <c r="L5767" s="195">
        <v>2.4120620000000002</v>
      </c>
      <c r="M5767" s="52" t="s">
        <v>941</v>
      </c>
      <c r="N5767" s="52" t="s">
        <v>117</v>
      </c>
    </row>
    <row r="5768" spans="1:14" ht="14.25" x14ac:dyDescent="0.2">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16</v>
      </c>
      <c r="H5768" s="238" t="s">
        <v>60</v>
      </c>
      <c r="I5768" s="187">
        <v>6.030151</v>
      </c>
      <c r="J5768" s="239" t="s">
        <v>941</v>
      </c>
      <c r="K5768" s="239" t="s">
        <v>116</v>
      </c>
      <c r="L5768" s="195">
        <v>1.6080399999999999</v>
      </c>
      <c r="M5768" s="52" t="s">
        <v>941</v>
      </c>
      <c r="N5768" s="52" t="s">
        <v>117</v>
      </c>
    </row>
    <row r="5769" spans="1:14" ht="14.25" x14ac:dyDescent="0.2">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24</v>
      </c>
      <c r="H5769" s="238" t="s">
        <v>60</v>
      </c>
      <c r="I5769" s="187">
        <v>4.0201010000000004</v>
      </c>
      <c r="J5769" s="239" t="s">
        <v>941</v>
      </c>
      <c r="K5769" s="239" t="s">
        <v>116</v>
      </c>
      <c r="M5769" s="52" t="s">
        <v>941</v>
      </c>
      <c r="N5769" s="52" t="s">
        <v>117</v>
      </c>
    </row>
    <row r="5770" spans="1:14" ht="14.25" x14ac:dyDescent="0.2">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36</v>
      </c>
      <c r="H5770" s="238" t="s">
        <v>60</v>
      </c>
      <c r="I5770" s="187">
        <v>2.4120599999999999</v>
      </c>
      <c r="J5770" s="239" t="s">
        <v>941</v>
      </c>
      <c r="K5770" s="239" t="s">
        <v>116</v>
      </c>
      <c r="M5770" s="52" t="s">
        <v>941</v>
      </c>
      <c r="N5770" s="52" t="s">
        <v>117</v>
      </c>
    </row>
    <row r="5771" spans="1:14" ht="14.25" x14ac:dyDescent="0.2">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48</v>
      </c>
      <c r="H5771" s="238" t="s">
        <v>60</v>
      </c>
      <c r="I5771" s="187">
        <v>1.6080399999999999</v>
      </c>
      <c r="J5771" s="239" t="s">
        <v>941</v>
      </c>
      <c r="K5771" s="239" t="s">
        <v>116</v>
      </c>
      <c r="M5771" s="52" t="s">
        <v>941</v>
      </c>
      <c r="N5771" s="52" t="s">
        <v>117</v>
      </c>
    </row>
    <row r="5772" spans="1:14" ht="14.25" x14ac:dyDescent="0.2">
      <c r="A5772" s="30">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72</v>
      </c>
      <c r="H5772" s="238" t="s">
        <v>60</v>
      </c>
      <c r="I5772" s="187">
        <v>1.6080399999999999</v>
      </c>
      <c r="J5772" s="239" t="s">
        <v>941</v>
      </c>
      <c r="K5772" s="239" t="s">
        <v>116</v>
      </c>
      <c r="M5772" s="52" t="s">
        <v>941</v>
      </c>
      <c r="N5772" s="52" t="s">
        <v>117</v>
      </c>
    </row>
    <row r="5773" spans="1:14" ht="14.25" x14ac:dyDescent="0.2">
      <c r="A5773" s="183">
        <v>636</v>
      </c>
      <c r="B5773" s="249" t="str">
        <f>IF(AND(A5773&lt;&gt;"",ISNUMBER(A5773)),VLOOKUP(A5773,Studies!A:BR,2,FALSE),"")</f>
        <v>Kasichayanula 2011b</v>
      </c>
      <c r="C5773" s="250" t="str">
        <f>IF(AND(A5773&lt;&gt;"",ISNUMBER(A5773)),VLOOKUP(A5773,Studies!A:BR,3,FALSE),"")</f>
        <v>https://www.ncbi.nlm.nih.gov/pubmed/21114603</v>
      </c>
      <c r="D5773" s="250" t="str">
        <f>IF(AND(A5773&lt;&gt;"",ISNUMBER(A5773)),VLOOKUP(A5773,Studies!A:BR,4,FALSE),"")</f>
        <v>Study 1: 50 mg Control (Perpetrator Placebo)</v>
      </c>
      <c r="E5773" s="250" t="str">
        <f>IF(AND(A5773&lt;&gt;"",ISNUMBER(A5773)),VLOOKUP(A5773,Studies!A:BR,5,FALSE),"")</f>
        <v>Dapagliflozin</v>
      </c>
      <c r="F5773" s="251" t="str">
        <f>IF(AND(A5773&lt;&gt;"",ISNUMBER(A5773)),VLOOKUP(A5773,Studies!A:BR,6,FALSE),"")</f>
        <v>Plasma</v>
      </c>
      <c r="G5773" s="194">
        <v>0.5</v>
      </c>
      <c r="H5773" s="238" t="s">
        <v>60</v>
      </c>
      <c r="I5773" s="187">
        <v>331.57249999999999</v>
      </c>
      <c r="J5773" s="239" t="s">
        <v>941</v>
      </c>
      <c r="K5773" s="239" t="s">
        <v>116</v>
      </c>
    </row>
    <row r="5774" spans="1:14" ht="14.25" x14ac:dyDescent="0.2">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1</v>
      </c>
      <c r="H5774" s="238" t="s">
        <v>60</v>
      </c>
      <c r="I5774" s="187">
        <v>503.89109999999999</v>
      </c>
      <c r="J5774" s="239" t="s">
        <v>941</v>
      </c>
      <c r="K5774" s="239" t="s">
        <v>116</v>
      </c>
    </row>
    <row r="5775" spans="1:14" ht="14.25" x14ac:dyDescent="0.2">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1.5</v>
      </c>
      <c r="H5775" s="238" t="s">
        <v>60</v>
      </c>
      <c r="I5775" s="187">
        <v>408.66770000000002</v>
      </c>
      <c r="J5775" s="239" t="s">
        <v>941</v>
      </c>
      <c r="K5775" s="239" t="s">
        <v>116</v>
      </c>
    </row>
    <row r="5776" spans="1:14" ht="14.25" x14ac:dyDescent="0.2">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2</v>
      </c>
      <c r="H5776" s="238" t="s">
        <v>60</v>
      </c>
      <c r="I5776" s="187">
        <v>319.0514</v>
      </c>
      <c r="J5776" s="239" t="s">
        <v>941</v>
      </c>
      <c r="K5776" s="239" t="s">
        <v>116</v>
      </c>
    </row>
    <row r="5777" spans="1:11" ht="14.25" x14ac:dyDescent="0.2">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3</v>
      </c>
      <c r="H5777" s="238" t="s">
        <v>60</v>
      </c>
      <c r="I5777" s="187">
        <v>213.898</v>
      </c>
      <c r="J5777" s="239" t="s">
        <v>941</v>
      </c>
      <c r="K5777" s="239" t="s">
        <v>116</v>
      </c>
    </row>
    <row r="5778" spans="1:11" ht="14.25" x14ac:dyDescent="0.2">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5</v>
      </c>
      <c r="H5778" s="238" t="s">
        <v>60</v>
      </c>
      <c r="I5778" s="187">
        <v>114.0904</v>
      </c>
      <c r="J5778" s="239" t="s">
        <v>941</v>
      </c>
      <c r="K5778" s="239" t="s">
        <v>116</v>
      </c>
    </row>
    <row r="5779" spans="1:11" ht="14.25" x14ac:dyDescent="0.2">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8</v>
      </c>
      <c r="H5779" s="238" t="s">
        <v>60</v>
      </c>
      <c r="I5779" s="187">
        <v>66.910970000000006</v>
      </c>
      <c r="J5779" s="239" t="s">
        <v>941</v>
      </c>
      <c r="K5779" s="239" t="s">
        <v>116</v>
      </c>
    </row>
    <row r="5780" spans="1:11" ht="14.25" x14ac:dyDescent="0.2">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12</v>
      </c>
      <c r="H5780" s="238" t="s">
        <v>60</v>
      </c>
      <c r="I5780" s="187">
        <v>37.764670000000002</v>
      </c>
      <c r="J5780" s="239" t="s">
        <v>941</v>
      </c>
      <c r="K5780" s="239" t="s">
        <v>116</v>
      </c>
    </row>
    <row r="5781" spans="1:11" ht="14.25" x14ac:dyDescent="0.2">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16</v>
      </c>
      <c r="H5781" s="238" t="s">
        <v>60</v>
      </c>
      <c r="I5781" s="187">
        <v>23.0002</v>
      </c>
      <c r="J5781" s="239" t="s">
        <v>941</v>
      </c>
      <c r="K5781" s="239" t="s">
        <v>116</v>
      </c>
    </row>
    <row r="5782" spans="1:11" ht="14.25" x14ac:dyDescent="0.2">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24</v>
      </c>
      <c r="H5782" s="238" t="s">
        <v>60</v>
      </c>
      <c r="I5782" s="187">
        <v>15.099740000000001</v>
      </c>
      <c r="J5782" s="239" t="s">
        <v>941</v>
      </c>
      <c r="K5782" s="239" t="s">
        <v>116</v>
      </c>
    </row>
    <row r="5783" spans="1:11" ht="14.25" x14ac:dyDescent="0.2">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32</v>
      </c>
      <c r="H5783" s="238" t="s">
        <v>60</v>
      </c>
      <c r="I5783" s="187">
        <v>9.5431799999999996</v>
      </c>
      <c r="J5783" s="239" t="s">
        <v>941</v>
      </c>
      <c r="K5783" s="239" t="s">
        <v>116</v>
      </c>
    </row>
    <row r="5784" spans="1:11" ht="14.25" x14ac:dyDescent="0.2">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40</v>
      </c>
      <c r="H5784" s="238" t="s">
        <v>60</v>
      </c>
      <c r="I5784" s="187">
        <v>5.5891349999999997</v>
      </c>
      <c r="J5784" s="239" t="s">
        <v>941</v>
      </c>
      <c r="K5784" s="239" t="s">
        <v>116</v>
      </c>
    </row>
    <row r="5785" spans="1:11" ht="14.25" x14ac:dyDescent="0.2">
      <c r="A5785" s="30">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48</v>
      </c>
      <c r="H5785" s="238" t="s">
        <v>60</v>
      </c>
      <c r="I5785" s="187">
        <v>4.5236669999999997</v>
      </c>
      <c r="J5785" s="239" t="s">
        <v>941</v>
      </c>
      <c r="K5785" s="239" t="s">
        <v>116</v>
      </c>
    </row>
    <row r="5786" spans="1:11" ht="14.25" x14ac:dyDescent="0.2">
      <c r="A5786" s="183">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60</v>
      </c>
      <c r="H5786" s="238" t="s">
        <v>60</v>
      </c>
      <c r="I5786" s="187">
        <v>2.801917</v>
      </c>
      <c r="J5786" s="239" t="s">
        <v>941</v>
      </c>
      <c r="K5786" s="239" t="s">
        <v>116</v>
      </c>
    </row>
    <row r="5787" spans="1:11" ht="14.25" x14ac:dyDescent="0.2">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72</v>
      </c>
      <c r="H5787" s="238" t="s">
        <v>60</v>
      </c>
      <c r="I5787" s="187">
        <v>2.4445999999999999</v>
      </c>
      <c r="J5787" s="239" t="s">
        <v>941</v>
      </c>
      <c r="K5787" s="239" t="s">
        <v>116</v>
      </c>
    </row>
    <row r="5788" spans="1:11" ht="14.25" x14ac:dyDescent="0.2">
      <c r="A5788" s="183">
        <v>637</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2: 20 mg Control (Perpetrator Placebo)</v>
      </c>
      <c r="E5788" s="250" t="str">
        <f>IF(AND(A5788&lt;&gt;"",ISNUMBER(A5788)),VLOOKUP(A5788,Studies!A:BR,5,FALSE),"")</f>
        <v>Dapagliflozin</v>
      </c>
      <c r="F5788" s="251" t="str">
        <f>IF(AND(A5788&lt;&gt;"",ISNUMBER(A5788)),VLOOKUP(A5788,Studies!A:BR,6,FALSE),"")</f>
        <v>Plasma</v>
      </c>
      <c r="G5788" s="194">
        <v>0.5</v>
      </c>
      <c r="H5788" s="238" t="s">
        <v>60</v>
      </c>
      <c r="I5788" s="187">
        <v>39.358750000000001</v>
      </c>
      <c r="J5788" s="239" t="s">
        <v>941</v>
      </c>
      <c r="K5788" s="239" t="s">
        <v>116</v>
      </c>
    </row>
    <row r="5789" spans="1:11" ht="14.25" x14ac:dyDescent="0.2">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1</v>
      </c>
      <c r="H5789" s="238" t="s">
        <v>60</v>
      </c>
      <c r="I5789" s="187">
        <v>112.0951</v>
      </c>
      <c r="J5789" s="239" t="s">
        <v>941</v>
      </c>
      <c r="K5789" s="239" t="s">
        <v>116</v>
      </c>
    </row>
    <row r="5790" spans="1:11" ht="14.25" x14ac:dyDescent="0.2">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1.5</v>
      </c>
      <c r="H5790" s="238" t="s">
        <v>60</v>
      </c>
      <c r="I5790" s="187">
        <v>125.6532</v>
      </c>
      <c r="J5790" s="239" t="s">
        <v>941</v>
      </c>
      <c r="K5790" s="239" t="s">
        <v>116</v>
      </c>
    </row>
    <row r="5791" spans="1:11" ht="14.25" x14ac:dyDescent="0.2">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2</v>
      </c>
      <c r="H5791" s="238" t="s">
        <v>60</v>
      </c>
      <c r="I5791" s="187">
        <v>116.4436</v>
      </c>
      <c r="J5791" s="239" t="s">
        <v>941</v>
      </c>
      <c r="K5791" s="239" t="s">
        <v>116</v>
      </c>
    </row>
    <row r="5792" spans="1:11" ht="14.25" x14ac:dyDescent="0.2">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3</v>
      </c>
      <c r="H5792" s="238" t="s">
        <v>60</v>
      </c>
      <c r="I5792" s="187">
        <v>98.115030000000004</v>
      </c>
      <c r="J5792" s="239" t="s">
        <v>941</v>
      </c>
      <c r="K5792" s="239" t="s">
        <v>116</v>
      </c>
    </row>
    <row r="5793" spans="1:11" ht="14.25" x14ac:dyDescent="0.2">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4</v>
      </c>
      <c r="H5793" s="238" t="s">
        <v>60</v>
      </c>
      <c r="I5793" s="187">
        <v>79.584119999999999</v>
      </c>
      <c r="J5793" s="239" t="s">
        <v>941</v>
      </c>
      <c r="K5793" s="239" t="s">
        <v>116</v>
      </c>
    </row>
    <row r="5794" spans="1:11" ht="14.25" x14ac:dyDescent="0.2">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6</v>
      </c>
      <c r="H5794" s="238" t="s">
        <v>60</v>
      </c>
      <c r="I5794" s="187">
        <v>50.405659999999997</v>
      </c>
      <c r="J5794" s="239" t="s">
        <v>941</v>
      </c>
      <c r="K5794" s="239" t="s">
        <v>116</v>
      </c>
    </row>
    <row r="5795" spans="1:11" ht="14.25" x14ac:dyDescent="0.2">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8</v>
      </c>
      <c r="H5795" s="238" t="s">
        <v>60</v>
      </c>
      <c r="I5795" s="187">
        <v>36.47401</v>
      </c>
      <c r="J5795" s="239" t="s">
        <v>941</v>
      </c>
      <c r="K5795" s="239" t="s">
        <v>116</v>
      </c>
    </row>
    <row r="5796" spans="1:11" ht="14.25" x14ac:dyDescent="0.2">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12</v>
      </c>
      <c r="H5796" s="238" t="s">
        <v>60</v>
      </c>
      <c r="I5796" s="187">
        <v>20.608650000000001</v>
      </c>
      <c r="J5796" s="239" t="s">
        <v>941</v>
      </c>
      <c r="K5796" s="239" t="s">
        <v>116</v>
      </c>
    </row>
    <row r="5797" spans="1:11" ht="14.25" x14ac:dyDescent="0.2">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16</v>
      </c>
      <c r="H5797" s="238" t="s">
        <v>60</v>
      </c>
      <c r="I5797" s="187">
        <v>10.790900000000001</v>
      </c>
      <c r="J5797" s="239" t="s">
        <v>941</v>
      </c>
      <c r="K5797" s="239" t="s">
        <v>116</v>
      </c>
    </row>
    <row r="5798" spans="1:11" ht="14.25" x14ac:dyDescent="0.2">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24</v>
      </c>
      <c r="H5798" s="238" t="s">
        <v>60</v>
      </c>
      <c r="I5798" s="187">
        <v>7.0996949999999996</v>
      </c>
      <c r="J5798" s="239" t="s">
        <v>941</v>
      </c>
      <c r="K5798" s="239" t="s">
        <v>116</v>
      </c>
    </row>
    <row r="5799" spans="1:11" ht="14.25" x14ac:dyDescent="0.2">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36</v>
      </c>
      <c r="H5799" s="238" t="s">
        <v>60</v>
      </c>
      <c r="I5799" s="187">
        <v>3.253844</v>
      </c>
      <c r="J5799" s="239" t="s">
        <v>941</v>
      </c>
      <c r="K5799" s="239" t="s">
        <v>116</v>
      </c>
    </row>
    <row r="5800" spans="1:11" ht="14.25" x14ac:dyDescent="0.2">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48</v>
      </c>
      <c r="H5800" s="238" t="s">
        <v>60</v>
      </c>
      <c r="I5800" s="187">
        <v>2.6899989999999998</v>
      </c>
      <c r="J5800" s="239" t="s">
        <v>941</v>
      </c>
      <c r="K5800" s="239" t="s">
        <v>116</v>
      </c>
    </row>
    <row r="5801" spans="1:11" ht="14.25" x14ac:dyDescent="0.2">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72</v>
      </c>
      <c r="H5801" s="238" t="s">
        <v>60</v>
      </c>
      <c r="I5801" s="187">
        <v>1.6401220000000001</v>
      </c>
      <c r="J5801" s="239" t="s">
        <v>941</v>
      </c>
      <c r="K5801" s="239" t="s">
        <v>116</v>
      </c>
    </row>
    <row r="5802" spans="1:11" ht="14.25" x14ac:dyDescent="0.2">
      <c r="A5802" s="183">
        <v>638</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3: 20 mg Control (Perpetrator Placebo)</v>
      </c>
      <c r="E5802" s="250" t="str">
        <f>IF(AND(A5802&lt;&gt;"",ISNUMBER(A5802)),VLOOKUP(A5802,Studies!A:BR,5,FALSE),"")</f>
        <v>Dapagliflozin</v>
      </c>
      <c r="F5802" s="251" t="str">
        <f>IF(AND(A5802&lt;&gt;"",ISNUMBER(A5802)),VLOOKUP(A5802,Studies!A:BR,6,FALSE),"")</f>
        <v>Plasma</v>
      </c>
      <c r="G5802" s="194">
        <v>0.5</v>
      </c>
      <c r="H5802" s="238" t="s">
        <v>60</v>
      </c>
      <c r="I5802" s="187">
        <v>52.079479999999997</v>
      </c>
      <c r="J5802" s="239" t="s">
        <v>941</v>
      </c>
      <c r="K5802" s="239" t="s">
        <v>116</v>
      </c>
    </row>
    <row r="5803" spans="1:11" ht="14.25" x14ac:dyDescent="0.2">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1</v>
      </c>
      <c r="H5803" s="238" t="s">
        <v>60</v>
      </c>
      <c r="I5803" s="187">
        <v>123.4999</v>
      </c>
      <c r="J5803" s="239" t="s">
        <v>941</v>
      </c>
      <c r="K5803" s="239" t="s">
        <v>116</v>
      </c>
    </row>
    <row r="5804" spans="1:11" ht="14.25" x14ac:dyDescent="0.2">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1.5</v>
      </c>
      <c r="H5804" s="238" t="s">
        <v>60</v>
      </c>
      <c r="I5804" s="187">
        <v>152.5223</v>
      </c>
      <c r="J5804" s="239" t="s">
        <v>941</v>
      </c>
      <c r="K5804" s="239" t="s">
        <v>116</v>
      </c>
    </row>
    <row r="5805" spans="1:11" ht="14.25" x14ac:dyDescent="0.2">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2</v>
      </c>
      <c r="H5805" s="238" t="s">
        <v>60</v>
      </c>
      <c r="I5805" s="187">
        <v>152.5223</v>
      </c>
      <c r="J5805" s="239" t="s">
        <v>941</v>
      </c>
      <c r="K5805" s="239" t="s">
        <v>116</v>
      </c>
    </row>
    <row r="5806" spans="1:11" ht="14.25" x14ac:dyDescent="0.2">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3</v>
      </c>
      <c r="H5806" s="238" t="s">
        <v>60</v>
      </c>
      <c r="I5806" s="187">
        <v>116.59139999999999</v>
      </c>
      <c r="J5806" s="239" t="s">
        <v>941</v>
      </c>
      <c r="K5806" s="239" t="s">
        <v>116</v>
      </c>
    </row>
    <row r="5807" spans="1:11" ht="14.25" x14ac:dyDescent="0.2">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4</v>
      </c>
      <c r="H5807" s="238" t="s">
        <v>60</v>
      </c>
      <c r="I5807" s="187">
        <v>98.099469999999997</v>
      </c>
      <c r="J5807" s="239" t="s">
        <v>941</v>
      </c>
      <c r="K5807" s="239" t="s">
        <v>116</v>
      </c>
    </row>
    <row r="5808" spans="1:11" ht="14.25" x14ac:dyDescent="0.2">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6</v>
      </c>
      <c r="H5808" s="238" t="s">
        <v>60</v>
      </c>
      <c r="I5808" s="187">
        <v>66.834389999999999</v>
      </c>
      <c r="J5808" s="239" t="s">
        <v>941</v>
      </c>
      <c r="K5808" s="239" t="s">
        <v>116</v>
      </c>
    </row>
    <row r="5809" spans="1:11" ht="14.25" x14ac:dyDescent="0.2">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8</v>
      </c>
      <c r="H5809" s="238" t="s">
        <v>60</v>
      </c>
      <c r="I5809" s="187">
        <v>46.415889999999997</v>
      </c>
      <c r="J5809" s="239" t="s">
        <v>941</v>
      </c>
      <c r="K5809" s="239" t="s">
        <v>116</v>
      </c>
    </row>
    <row r="5810" spans="1:11" ht="14.25" x14ac:dyDescent="0.2">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12</v>
      </c>
      <c r="H5810" s="238" t="s">
        <v>60</v>
      </c>
      <c r="I5810" s="187">
        <v>25.118860000000002</v>
      </c>
      <c r="J5810" s="239" t="s">
        <v>941</v>
      </c>
      <c r="K5810" s="239" t="s">
        <v>116</v>
      </c>
    </row>
    <row r="5811" spans="1:11" ht="14.25" x14ac:dyDescent="0.2">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16</v>
      </c>
      <c r="H5811" s="238" t="s">
        <v>60</v>
      </c>
      <c r="I5811" s="187">
        <v>15.252230000000001</v>
      </c>
      <c r="J5811" s="239" t="s">
        <v>941</v>
      </c>
      <c r="K5811" s="239" t="s">
        <v>116</v>
      </c>
    </row>
    <row r="5812" spans="1:11" ht="14.25" x14ac:dyDescent="0.2">
      <c r="A5812" s="30">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24</v>
      </c>
      <c r="H5812" s="238" t="s">
        <v>60</v>
      </c>
      <c r="I5812" s="187">
        <v>8.5769590000000004</v>
      </c>
      <c r="J5812" s="239" t="s">
        <v>941</v>
      </c>
      <c r="K5812" s="239" t="s">
        <v>116</v>
      </c>
    </row>
    <row r="5813" spans="1:11" ht="14.25" x14ac:dyDescent="0.2">
      <c r="A5813" s="183">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36</v>
      </c>
      <c r="H5813" s="238" t="s">
        <v>60</v>
      </c>
      <c r="I5813" s="187">
        <v>3.7583739999999999</v>
      </c>
      <c r="J5813" s="239" t="s">
        <v>941</v>
      </c>
      <c r="K5813" s="239" t="s">
        <v>116</v>
      </c>
    </row>
    <row r="5814" spans="1:11" ht="14.25" x14ac:dyDescent="0.2">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48</v>
      </c>
      <c r="H5814" s="238" t="s">
        <v>60</v>
      </c>
      <c r="I5814" s="187">
        <v>2.1961740000000001</v>
      </c>
      <c r="J5814" s="239" t="s">
        <v>941</v>
      </c>
      <c r="K5814" s="239" t="s">
        <v>116</v>
      </c>
    </row>
    <row r="5815" spans="1:11" ht="14.25" x14ac:dyDescent="0.2">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72</v>
      </c>
      <c r="H5815" s="238" t="s">
        <v>60</v>
      </c>
      <c r="I5815" s="187">
        <v>1.4677990000000001</v>
      </c>
      <c r="J5815" s="239" t="s">
        <v>941</v>
      </c>
      <c r="K5815" s="239" t="s">
        <v>116</v>
      </c>
    </row>
    <row r="5816" spans="1:11" ht="14.25" x14ac:dyDescent="0.2">
      <c r="A5816" s="183">
        <v>639</v>
      </c>
      <c r="B5816" s="249" t="str">
        <f>IF(AND(A5816&lt;&gt;"",ISNUMBER(A5816)),VLOOKUP(A5816,Studies!A:BR,2,FALSE),"")</f>
        <v>Kasichayanula 2012</v>
      </c>
      <c r="C5816" s="250" t="str">
        <f>IF(AND(A5816&lt;&gt;"",ISNUMBER(A5816)),VLOOKUP(A5816,Studies!A:BR,3,FALSE),"")</f>
        <v>https://www.ncbi.nlm.nih.gov/pubmed/22271159</v>
      </c>
      <c r="D5816" s="250" t="str">
        <f>IF(AND(A5816&lt;&gt;"",ISNUMBER(A5816)),VLOOKUP(A5816,Studies!A:BR,4,FALSE),"")</f>
        <v>Study 1: Control (Perpetrator Placebo)</v>
      </c>
      <c r="E5816" s="250" t="str">
        <f>IF(AND(A5816&lt;&gt;"",ISNUMBER(A5816)),VLOOKUP(A5816,Studies!A:BR,5,FALSE),"")</f>
        <v>Dapagliflozin</v>
      </c>
      <c r="F5816" s="251" t="str">
        <f>IF(AND(A5816&lt;&gt;"",ISNUMBER(A5816)),VLOOKUP(A5816,Studies!A:BR,6,FALSE),"")</f>
        <v>Plasma</v>
      </c>
      <c r="G5816" s="194">
        <v>0.5</v>
      </c>
      <c r="H5816" s="238" t="s">
        <v>60</v>
      </c>
      <c r="I5816" s="187">
        <v>184.78540000000001</v>
      </c>
      <c r="J5816" s="239" t="s">
        <v>941</v>
      </c>
      <c r="K5816" s="239" t="s">
        <v>116</v>
      </c>
    </row>
    <row r="5817" spans="1:11" ht="14.25" x14ac:dyDescent="0.2">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1</v>
      </c>
      <c r="H5817" s="238" t="s">
        <v>60</v>
      </c>
      <c r="I5817" s="187">
        <v>222.7338</v>
      </c>
      <c r="J5817" s="239" t="s">
        <v>941</v>
      </c>
      <c r="K5817" s="239" t="s">
        <v>116</v>
      </c>
    </row>
    <row r="5818" spans="1:11" ht="14.25" x14ac:dyDescent="0.2">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1.5</v>
      </c>
      <c r="H5818" s="238" t="s">
        <v>60</v>
      </c>
      <c r="I5818" s="187">
        <v>154.35380000000001</v>
      </c>
      <c r="J5818" s="239" t="s">
        <v>941</v>
      </c>
      <c r="K5818" s="239" t="s">
        <v>116</v>
      </c>
    </row>
    <row r="5819" spans="1:11" ht="14.25" x14ac:dyDescent="0.2">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2</v>
      </c>
      <c r="H5819" s="238" t="s">
        <v>60</v>
      </c>
      <c r="I5819" s="187">
        <v>117.6191</v>
      </c>
      <c r="J5819" s="239" t="s">
        <v>941</v>
      </c>
      <c r="K5819" s="239" t="s">
        <v>116</v>
      </c>
    </row>
    <row r="5820" spans="1:11" ht="14.25" x14ac:dyDescent="0.2">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3</v>
      </c>
      <c r="H5820" s="238" t="s">
        <v>60</v>
      </c>
      <c r="I5820" s="187">
        <v>80.85839</v>
      </c>
      <c r="J5820" s="239" t="s">
        <v>941</v>
      </c>
      <c r="K5820" s="239" t="s">
        <v>116</v>
      </c>
    </row>
    <row r="5821" spans="1:11" ht="14.25" x14ac:dyDescent="0.2">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4</v>
      </c>
      <c r="H5821" s="238" t="s">
        <v>60</v>
      </c>
      <c r="I5821" s="187">
        <v>61.816740000000003</v>
      </c>
      <c r="J5821" s="239" t="s">
        <v>941</v>
      </c>
      <c r="K5821" s="239" t="s">
        <v>116</v>
      </c>
    </row>
    <row r="5822" spans="1:11" ht="14.25" x14ac:dyDescent="0.2">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6</v>
      </c>
      <c r="H5822" s="238" t="s">
        <v>60</v>
      </c>
      <c r="I5822" s="187">
        <v>38.92559</v>
      </c>
      <c r="J5822" s="239" t="s">
        <v>941</v>
      </c>
      <c r="K5822" s="239" t="s">
        <v>116</v>
      </c>
    </row>
    <row r="5823" spans="1:11" ht="14.25" x14ac:dyDescent="0.2">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8</v>
      </c>
      <c r="H5823" s="238" t="s">
        <v>60</v>
      </c>
      <c r="I5823" s="187">
        <v>26.160969999999999</v>
      </c>
      <c r="J5823" s="239" t="s">
        <v>941</v>
      </c>
      <c r="K5823" s="239" t="s">
        <v>116</v>
      </c>
    </row>
    <row r="5824" spans="1:11" ht="14.25" x14ac:dyDescent="0.2">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12</v>
      </c>
      <c r="H5824" s="238" t="s">
        <v>60</v>
      </c>
      <c r="I5824" s="187">
        <v>13.29698</v>
      </c>
      <c r="J5824" s="239" t="s">
        <v>941</v>
      </c>
      <c r="K5824" s="239" t="s">
        <v>116</v>
      </c>
    </row>
    <row r="5825" spans="1:14" ht="14.25" x14ac:dyDescent="0.2">
      <c r="A5825" s="30">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16</v>
      </c>
      <c r="H5825" s="238" t="s">
        <v>60</v>
      </c>
      <c r="I5825" s="187">
        <v>8.0184080000000009</v>
      </c>
      <c r="J5825" s="239" t="s">
        <v>941</v>
      </c>
      <c r="K5825" s="239" t="s">
        <v>116</v>
      </c>
    </row>
    <row r="5826" spans="1:14" ht="14.25" x14ac:dyDescent="0.2">
      <c r="A5826" s="183">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24</v>
      </c>
      <c r="H5826" s="238" t="s">
        <v>60</v>
      </c>
      <c r="I5826" s="187">
        <v>5.0656270000000001</v>
      </c>
      <c r="J5826" s="239" t="s">
        <v>941</v>
      </c>
      <c r="K5826" s="239" t="s">
        <v>116</v>
      </c>
    </row>
    <row r="5827" spans="1:14" ht="14.25" x14ac:dyDescent="0.2">
      <c r="A5827" s="183">
        <v>640</v>
      </c>
      <c r="B5827" s="249" t="str">
        <f>IF(AND(A5827&lt;&gt;"",ISNUMBER(A5827)),VLOOKUP(A5827,Studies!A:BR,2,FALSE),"")</f>
        <v>Kasichayanula 2013a</v>
      </c>
      <c r="C5827" s="250" t="str">
        <f>IF(AND(A5827&lt;&gt;"",ISNUMBER(A5827)),VLOOKUP(A5827,Studies!A:BR,3,FALSE),"")</f>
        <v>https://www.ncbi.nlm.nih.gov/pubmed/23061428</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0.5</v>
      </c>
      <c r="H5827" s="238" t="s">
        <v>60</v>
      </c>
      <c r="I5827" s="187">
        <v>90.778760000000005</v>
      </c>
      <c r="J5827" s="239" t="s">
        <v>941</v>
      </c>
      <c r="K5827" s="239" t="s">
        <v>116</v>
      </c>
      <c r="L5827" s="195">
        <v>79.164760000000001</v>
      </c>
      <c r="M5827" s="52" t="s">
        <v>941</v>
      </c>
      <c r="N5827" s="52" t="s">
        <v>117</v>
      </c>
    </row>
    <row r="5828" spans="1:14" ht="14.25" x14ac:dyDescent="0.2">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0.75</v>
      </c>
      <c r="H5828" s="238" t="s">
        <v>60</v>
      </c>
      <c r="I5828" s="187">
        <v>126.44589999999999</v>
      </c>
      <c r="J5828" s="239" t="s">
        <v>941</v>
      </c>
      <c r="K5828" s="239" t="s">
        <v>116</v>
      </c>
      <c r="L5828" s="195">
        <v>55.092610000000001</v>
      </c>
      <c r="M5828" s="52" t="s">
        <v>941</v>
      </c>
      <c r="N5828" s="52" t="s">
        <v>117</v>
      </c>
    </row>
    <row r="5829" spans="1:14" ht="14.25" x14ac:dyDescent="0.2">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1</v>
      </c>
      <c r="H5829" s="238" t="s">
        <v>60</v>
      </c>
      <c r="I5829" s="187">
        <v>123.6853</v>
      </c>
      <c r="J5829" s="239" t="s">
        <v>941</v>
      </c>
      <c r="K5829" s="239" t="s">
        <v>116</v>
      </c>
      <c r="L5829" s="195">
        <v>42.59254</v>
      </c>
      <c r="M5829" s="52" t="s">
        <v>941</v>
      </c>
      <c r="N5829" s="52" t="s">
        <v>117</v>
      </c>
    </row>
    <row r="5830" spans="1:14" ht="14.25" x14ac:dyDescent="0.2">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1.5</v>
      </c>
      <c r="H5830" s="238" t="s">
        <v>60</v>
      </c>
      <c r="I5830" s="187">
        <v>89.930790000000002</v>
      </c>
      <c r="J5830" s="239" t="s">
        <v>941</v>
      </c>
      <c r="K5830" s="239" t="s">
        <v>116</v>
      </c>
      <c r="L5830" s="195">
        <v>26.38889</v>
      </c>
      <c r="M5830" s="52" t="s">
        <v>941</v>
      </c>
      <c r="N5830" s="52" t="s">
        <v>117</v>
      </c>
    </row>
    <row r="5831" spans="1:14" ht="14.25" x14ac:dyDescent="0.2">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2</v>
      </c>
      <c r="H5831" s="238" t="s">
        <v>60</v>
      </c>
      <c r="I5831" s="187">
        <v>71.913259999999994</v>
      </c>
      <c r="J5831" s="239" t="s">
        <v>941</v>
      </c>
      <c r="K5831" s="239" t="s">
        <v>116</v>
      </c>
      <c r="L5831" s="195">
        <v>18.518519999999999</v>
      </c>
      <c r="M5831" s="52" t="s">
        <v>941</v>
      </c>
      <c r="N5831" s="52" t="s">
        <v>117</v>
      </c>
    </row>
    <row r="5832" spans="1:14" ht="14.25" x14ac:dyDescent="0.2">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4</v>
      </c>
      <c r="H5832" s="238" t="s">
        <v>60</v>
      </c>
      <c r="I5832" s="187">
        <v>36.41722</v>
      </c>
      <c r="J5832" s="239" t="s">
        <v>941</v>
      </c>
      <c r="K5832" s="239" t="s">
        <v>116</v>
      </c>
      <c r="L5832" s="195">
        <v>13.42592</v>
      </c>
      <c r="M5832" s="52" t="s">
        <v>941</v>
      </c>
      <c r="N5832" s="52" t="s">
        <v>117</v>
      </c>
    </row>
    <row r="5833" spans="1:14" ht="14.25" x14ac:dyDescent="0.2">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8</v>
      </c>
      <c r="H5833" s="238" t="s">
        <v>60</v>
      </c>
      <c r="I5833" s="187">
        <v>16.354859999999999</v>
      </c>
      <c r="J5833" s="239" t="s">
        <v>941</v>
      </c>
      <c r="K5833" s="239" t="s">
        <v>116</v>
      </c>
      <c r="L5833" s="195">
        <v>6.0185149999999998</v>
      </c>
      <c r="M5833" s="52" t="s">
        <v>941</v>
      </c>
      <c r="N5833" s="52" t="s">
        <v>117</v>
      </c>
    </row>
    <row r="5834" spans="1:14" ht="14.25" x14ac:dyDescent="0.2">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12</v>
      </c>
      <c r="H5834" s="238" t="s">
        <v>60</v>
      </c>
      <c r="I5834" s="187">
        <v>8.7943949999999997</v>
      </c>
      <c r="J5834" s="239" t="s">
        <v>941</v>
      </c>
      <c r="K5834" s="239" t="s">
        <v>116</v>
      </c>
      <c r="L5834" s="195">
        <v>4.6277280000000003</v>
      </c>
      <c r="M5834" s="52" t="s">
        <v>941</v>
      </c>
      <c r="N5834" s="52" t="s">
        <v>117</v>
      </c>
    </row>
    <row r="5835" spans="1:14" ht="14.25" x14ac:dyDescent="0.2">
      <c r="A5835" s="183">
        <v>641</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2: Control (Perpetrator Placebo)</v>
      </c>
      <c r="E5835" s="250" t="str">
        <f>IF(AND(A5835&lt;&gt;"",ISNUMBER(A5835)),VLOOKUP(A5835,Studies!A:BR,5,FALSE),"")</f>
        <v>Dapagliflozin</v>
      </c>
      <c r="F5835" s="251" t="str">
        <f>IF(AND(A5835&lt;&gt;"",ISNUMBER(A5835)),VLOOKUP(A5835,Studies!A:BR,6,FALSE),"")</f>
        <v>Plasma</v>
      </c>
      <c r="G5835" s="194">
        <v>0.5</v>
      </c>
      <c r="H5835" s="238" t="s">
        <v>60</v>
      </c>
      <c r="I5835" s="187">
        <v>107.4542</v>
      </c>
      <c r="J5835" s="239" t="s">
        <v>941</v>
      </c>
      <c r="K5835" s="239" t="s">
        <v>116</v>
      </c>
      <c r="L5835" s="195">
        <v>64.285970000000006</v>
      </c>
      <c r="M5835" s="52" t="s">
        <v>941</v>
      </c>
      <c r="N5835" s="52" t="s">
        <v>117</v>
      </c>
    </row>
    <row r="5836" spans="1:14" ht="14.25" x14ac:dyDescent="0.2">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0.75</v>
      </c>
      <c r="H5836" s="238" t="s">
        <v>60</v>
      </c>
      <c r="I5836" s="187">
        <v>137.64230000000001</v>
      </c>
      <c r="J5836" s="239" t="s">
        <v>941</v>
      </c>
      <c r="K5836" s="239" t="s">
        <v>116</v>
      </c>
      <c r="L5836" s="195">
        <v>50.97495</v>
      </c>
      <c r="M5836" s="52" t="s">
        <v>941</v>
      </c>
      <c r="N5836" s="52" t="s">
        <v>117</v>
      </c>
    </row>
    <row r="5837" spans="1:14" ht="14.25" x14ac:dyDescent="0.2">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1</v>
      </c>
      <c r="H5837" s="238" t="s">
        <v>60</v>
      </c>
      <c r="I5837" s="187">
        <v>120.7518</v>
      </c>
      <c r="J5837" s="239" t="s">
        <v>941</v>
      </c>
      <c r="K5837" s="239" t="s">
        <v>116</v>
      </c>
      <c r="L5837" s="195">
        <v>28.573090000000001</v>
      </c>
      <c r="M5837" s="52" t="s">
        <v>941</v>
      </c>
      <c r="N5837" s="52" t="s">
        <v>117</v>
      </c>
    </row>
    <row r="5838" spans="1:14" ht="14.25" x14ac:dyDescent="0.2">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1.5</v>
      </c>
      <c r="H5838" s="238" t="s">
        <v>60</v>
      </c>
      <c r="I5838" s="187">
        <v>90.219639999999998</v>
      </c>
      <c r="J5838" s="239" t="s">
        <v>941</v>
      </c>
      <c r="K5838" s="239" t="s">
        <v>116</v>
      </c>
      <c r="L5838" s="195">
        <v>19.480589999999999</v>
      </c>
      <c r="M5838" s="52" t="s">
        <v>941</v>
      </c>
      <c r="N5838" s="52" t="s">
        <v>117</v>
      </c>
    </row>
    <row r="5839" spans="1:14" ht="14.25" x14ac:dyDescent="0.2">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2</v>
      </c>
      <c r="H5839" s="238" t="s">
        <v>60</v>
      </c>
      <c r="I5839" s="187">
        <v>69.751279999999994</v>
      </c>
      <c r="J5839" s="239" t="s">
        <v>941</v>
      </c>
      <c r="K5839" s="239" t="s">
        <v>116</v>
      </c>
      <c r="L5839" s="195">
        <v>20.454630000000002</v>
      </c>
      <c r="M5839" s="52" t="s">
        <v>941</v>
      </c>
      <c r="N5839" s="52" t="s">
        <v>117</v>
      </c>
    </row>
    <row r="5840" spans="1:14" ht="14.25" x14ac:dyDescent="0.2">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4</v>
      </c>
      <c r="H5840" s="238" t="s">
        <v>60</v>
      </c>
      <c r="I5840" s="187">
        <v>32.03501</v>
      </c>
      <c r="J5840" s="239" t="s">
        <v>941</v>
      </c>
      <c r="K5840" s="239" t="s">
        <v>116</v>
      </c>
      <c r="L5840" s="195">
        <v>9.7418209999999998</v>
      </c>
      <c r="M5840" s="52" t="s">
        <v>941</v>
      </c>
      <c r="N5840" s="52" t="s">
        <v>117</v>
      </c>
    </row>
    <row r="5841" spans="1:14" ht="14.25" x14ac:dyDescent="0.2">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8</v>
      </c>
      <c r="H5841" s="238" t="s">
        <v>60</v>
      </c>
      <c r="I5841" s="187">
        <v>12.76998</v>
      </c>
      <c r="J5841" s="239" t="s">
        <v>941</v>
      </c>
      <c r="K5841" s="239" t="s">
        <v>116</v>
      </c>
      <c r="L5841" s="195">
        <v>6.8185849999999997</v>
      </c>
      <c r="M5841" s="52" t="s">
        <v>941</v>
      </c>
      <c r="N5841" s="52" t="s">
        <v>117</v>
      </c>
    </row>
    <row r="5842" spans="1:14" ht="14.25" x14ac:dyDescent="0.2">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12</v>
      </c>
      <c r="H5842" s="238" t="s">
        <v>60</v>
      </c>
      <c r="I5842" s="187">
        <v>7.4675609999999999</v>
      </c>
      <c r="J5842" s="239" t="s">
        <v>941</v>
      </c>
      <c r="K5842" s="239" t="s">
        <v>116</v>
      </c>
      <c r="L5842" s="195">
        <v>3.8957380000000001</v>
      </c>
      <c r="M5842" s="52" t="s">
        <v>941</v>
      </c>
      <c r="N5842" s="52" t="s">
        <v>117</v>
      </c>
    </row>
    <row r="5843" spans="1:14" ht="14.25" x14ac:dyDescent="0.2">
      <c r="A5843" s="183">
        <v>642</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with Perpetrator (Mefenamic Acid)</v>
      </c>
      <c r="E5843" s="250" t="str">
        <f>IF(AND(A5843&lt;&gt;"",ISNUMBER(A5843)),VLOOKUP(A5843,Studies!A:BR,5,FALSE),"")</f>
        <v>Dapagliflozin</v>
      </c>
      <c r="F5843" s="251" t="str">
        <f>IF(AND(A5843&lt;&gt;"",ISNUMBER(A5843)),VLOOKUP(A5843,Studies!A:BR,6,FALSE),"")</f>
        <v>Plasma</v>
      </c>
      <c r="G5843" s="194">
        <v>24.5</v>
      </c>
      <c r="H5843" s="238" t="s">
        <v>60</v>
      </c>
      <c r="I5843" s="187">
        <v>124.9871</v>
      </c>
      <c r="J5843" s="239" t="s">
        <v>941</v>
      </c>
      <c r="K5843" s="239" t="s">
        <v>116</v>
      </c>
      <c r="L5843" s="195">
        <v>79.221109999999996</v>
      </c>
      <c r="M5843" s="52" t="s">
        <v>941</v>
      </c>
      <c r="N5843" s="52" t="s">
        <v>117</v>
      </c>
    </row>
    <row r="5844" spans="1:14" ht="14.25" x14ac:dyDescent="0.2">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24.75</v>
      </c>
      <c r="H5844" s="238" t="s">
        <v>60</v>
      </c>
      <c r="I5844" s="187">
        <v>153.22669999999999</v>
      </c>
      <c r="J5844" s="239" t="s">
        <v>941</v>
      </c>
      <c r="K5844" s="239" t="s">
        <v>116</v>
      </c>
      <c r="L5844" s="195">
        <v>49.349730000000001</v>
      </c>
      <c r="M5844" s="52" t="s">
        <v>941</v>
      </c>
      <c r="N5844" s="52" t="s">
        <v>117</v>
      </c>
    </row>
    <row r="5845" spans="1:14" ht="14.25" x14ac:dyDescent="0.2">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25</v>
      </c>
      <c r="H5845" s="238" t="s">
        <v>60</v>
      </c>
      <c r="I5845" s="187">
        <v>149.64840000000001</v>
      </c>
      <c r="J5845" s="239" t="s">
        <v>941</v>
      </c>
      <c r="K5845" s="239" t="s">
        <v>116</v>
      </c>
      <c r="L5845" s="195">
        <v>36.363039999999998</v>
      </c>
      <c r="M5845" s="52" t="s">
        <v>941</v>
      </c>
      <c r="N5845" s="52" t="s">
        <v>117</v>
      </c>
    </row>
    <row r="5846" spans="1:14" ht="14.25" x14ac:dyDescent="0.2">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25.5</v>
      </c>
      <c r="H5846" s="238" t="s">
        <v>60</v>
      </c>
      <c r="I5846" s="187">
        <v>115.21899999999999</v>
      </c>
      <c r="J5846" s="239" t="s">
        <v>941</v>
      </c>
      <c r="K5846" s="239" t="s">
        <v>116</v>
      </c>
      <c r="L5846" s="195">
        <v>25.649419999999999</v>
      </c>
      <c r="M5846" s="52" t="s">
        <v>941</v>
      </c>
      <c r="N5846" s="52" t="s">
        <v>117</v>
      </c>
    </row>
    <row r="5847" spans="1:14" ht="14.25" x14ac:dyDescent="0.2">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26</v>
      </c>
      <c r="H5847" s="238" t="s">
        <v>60</v>
      </c>
      <c r="I5847" s="187">
        <v>99.296090000000007</v>
      </c>
      <c r="J5847" s="239" t="s">
        <v>941</v>
      </c>
      <c r="K5847" s="239" t="s">
        <v>116</v>
      </c>
      <c r="L5847" s="195">
        <v>23.052409999999998</v>
      </c>
      <c r="M5847" s="52" t="s">
        <v>941</v>
      </c>
      <c r="N5847" s="52" t="s">
        <v>117</v>
      </c>
    </row>
    <row r="5848" spans="1:14" ht="14.25" x14ac:dyDescent="0.2">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28</v>
      </c>
      <c r="H5848" s="238" t="s">
        <v>60</v>
      </c>
      <c r="I5848" s="187">
        <v>53.464039999999997</v>
      </c>
      <c r="J5848" s="239" t="s">
        <v>941</v>
      </c>
      <c r="K5848" s="239" t="s">
        <v>116</v>
      </c>
      <c r="L5848" s="195">
        <v>15.908770000000001</v>
      </c>
      <c r="M5848" s="52" t="s">
        <v>941</v>
      </c>
      <c r="N5848" s="52" t="s">
        <v>117</v>
      </c>
    </row>
    <row r="5849" spans="1:14" ht="14.25" x14ac:dyDescent="0.2">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32</v>
      </c>
      <c r="H5849" s="238" t="s">
        <v>60</v>
      </c>
      <c r="I5849" s="187">
        <v>21.8613</v>
      </c>
      <c r="J5849" s="239" t="s">
        <v>941</v>
      </c>
      <c r="K5849" s="239" t="s">
        <v>116</v>
      </c>
      <c r="L5849" s="195">
        <v>9.4160039999999992</v>
      </c>
      <c r="M5849" s="52" t="s">
        <v>941</v>
      </c>
      <c r="N5849" s="52" t="s">
        <v>117</v>
      </c>
    </row>
    <row r="5850" spans="1:14" ht="14.25" x14ac:dyDescent="0.2">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36</v>
      </c>
      <c r="H5850" s="238" t="s">
        <v>60</v>
      </c>
      <c r="I5850" s="187">
        <v>14.93512</v>
      </c>
      <c r="J5850" s="239" t="s">
        <v>941</v>
      </c>
      <c r="K5850" s="239" t="s">
        <v>116</v>
      </c>
      <c r="L5850" s="195">
        <v>8.4419749999999993</v>
      </c>
      <c r="M5850" s="52" t="s">
        <v>941</v>
      </c>
      <c r="N5850" s="52" t="s">
        <v>117</v>
      </c>
    </row>
    <row r="5851" spans="1:14" ht="14.25" x14ac:dyDescent="0.2">
      <c r="A5851" s="183">
        <v>644</v>
      </c>
      <c r="B5851" s="249" t="str">
        <f>IF(AND(A5851&lt;&gt;"",ISNUMBER(A5851)),VLOOKUP(A5851,Studies!A:BR,2,FALSE),"")</f>
        <v>Kasichayanula 2013b</v>
      </c>
      <c r="C5851" s="250" t="str">
        <f>IF(AND(A5851&lt;&gt;"",ISNUMBER(A5851)),VLOOKUP(A5851,Studies!A:BR,3,FALSE),"")</f>
        <v>https://www.ncbi.nlm.nih.gov/pubmed/23210765</v>
      </c>
      <c r="D5851" s="250" t="str">
        <f>IF(AND(A5851&lt;&gt;"",ISNUMBER(A5851)),VLOOKUP(A5851,Studies!A:BR,4,FALSE),"")</f>
        <v>Healthy subjects with normal kidney function</v>
      </c>
      <c r="E5851" s="250" t="str">
        <f>IF(AND(A5851&lt;&gt;"",ISNUMBER(A5851)),VLOOKUP(A5851,Studies!A:BR,5,FALSE),"")</f>
        <v>Dapagliflozin</v>
      </c>
      <c r="F5851" s="251" t="str">
        <f>IF(AND(A5851&lt;&gt;"",ISNUMBER(A5851)),VLOOKUP(A5851,Studies!A:BR,6,FALSE),"")</f>
        <v>Plasma</v>
      </c>
      <c r="G5851" s="194">
        <v>0.25</v>
      </c>
      <c r="H5851" s="238" t="s">
        <v>60</v>
      </c>
      <c r="I5851" s="187">
        <v>91.887110149999998</v>
      </c>
      <c r="J5851" s="239" t="s">
        <v>941</v>
      </c>
      <c r="K5851" s="239" t="s">
        <v>116</v>
      </c>
    </row>
    <row r="5852" spans="1:14" ht="14.25" x14ac:dyDescent="0.2">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0.5</v>
      </c>
      <c r="H5852" s="238" t="s">
        <v>60</v>
      </c>
      <c r="I5852" s="187">
        <v>382.5402747</v>
      </c>
      <c r="J5852" s="239" t="s">
        <v>941</v>
      </c>
      <c r="K5852" s="239" t="s">
        <v>116</v>
      </c>
    </row>
    <row r="5853" spans="1:14" ht="14.25" x14ac:dyDescent="0.2">
      <c r="A5853" s="30">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1</v>
      </c>
      <c r="H5853" s="238" t="s">
        <v>60</v>
      </c>
      <c r="I5853" s="187">
        <v>563.19159909999996</v>
      </c>
      <c r="J5853" s="239" t="s">
        <v>941</v>
      </c>
      <c r="K5853" s="239" t="s">
        <v>116</v>
      </c>
    </row>
    <row r="5854" spans="1:14" ht="14.25" x14ac:dyDescent="0.2">
      <c r="A5854" s="183">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2</v>
      </c>
      <c r="H5854" s="238" t="s">
        <v>60</v>
      </c>
      <c r="I5854" s="187">
        <v>421.37805680000002</v>
      </c>
      <c r="J5854" s="239" t="s">
        <v>941</v>
      </c>
      <c r="K5854" s="239" t="s">
        <v>116</v>
      </c>
    </row>
    <row r="5855" spans="1:14" ht="14.25" x14ac:dyDescent="0.2">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3</v>
      </c>
      <c r="H5855" s="238" t="s">
        <v>60</v>
      </c>
      <c r="I5855" s="187">
        <v>279.3793005</v>
      </c>
      <c r="J5855" s="239" t="s">
        <v>941</v>
      </c>
      <c r="K5855" s="239" t="s">
        <v>116</v>
      </c>
    </row>
    <row r="5856" spans="1:14" ht="14.25" x14ac:dyDescent="0.2">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4</v>
      </c>
      <c r="H5856" s="238" t="s">
        <v>60</v>
      </c>
      <c r="I5856" s="187">
        <v>194.40790079999999</v>
      </c>
      <c r="J5856" s="239" t="s">
        <v>941</v>
      </c>
      <c r="K5856" s="239" t="s">
        <v>116</v>
      </c>
    </row>
    <row r="5857" spans="1:11" ht="14.25" x14ac:dyDescent="0.2">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5</v>
      </c>
      <c r="H5857" s="238" t="s">
        <v>60</v>
      </c>
      <c r="I5857" s="187">
        <v>160.2228341</v>
      </c>
      <c r="J5857" s="239" t="s">
        <v>941</v>
      </c>
      <c r="K5857" s="239" t="s">
        <v>116</v>
      </c>
    </row>
    <row r="5858" spans="1:11" ht="14.25" x14ac:dyDescent="0.2">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6</v>
      </c>
      <c r="H5858" s="238" t="s">
        <v>60</v>
      </c>
      <c r="I5858" s="187">
        <v>132.04893659999999</v>
      </c>
      <c r="J5858" s="239" t="s">
        <v>941</v>
      </c>
      <c r="K5858" s="239" t="s">
        <v>116</v>
      </c>
    </row>
    <row r="5859" spans="1:11" ht="14.25" x14ac:dyDescent="0.2">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8</v>
      </c>
      <c r="H5859" s="238" t="s">
        <v>60</v>
      </c>
      <c r="I5859" s="187">
        <v>81.425635139999997</v>
      </c>
      <c r="J5859" s="239" t="s">
        <v>941</v>
      </c>
      <c r="K5859" s="239" t="s">
        <v>116</v>
      </c>
    </row>
    <row r="5860" spans="1:11" ht="14.25" x14ac:dyDescent="0.2">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12</v>
      </c>
      <c r="H5860" s="238" t="s">
        <v>60</v>
      </c>
      <c r="I5860" s="187">
        <v>46.697253529999998</v>
      </c>
      <c r="J5860" s="239" t="s">
        <v>941</v>
      </c>
      <c r="K5860" s="239" t="s">
        <v>116</v>
      </c>
    </row>
    <row r="5861" spans="1:11" ht="14.25" x14ac:dyDescent="0.2">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18</v>
      </c>
      <c r="H5861" s="238" t="s">
        <v>60</v>
      </c>
      <c r="I5861" s="187">
        <v>24.90723161</v>
      </c>
      <c r="J5861" s="239" t="s">
        <v>941</v>
      </c>
      <c r="K5861" s="239" t="s">
        <v>116</v>
      </c>
    </row>
    <row r="5862" spans="1:11" ht="14.25" x14ac:dyDescent="0.2">
      <c r="A5862" s="30">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23</v>
      </c>
      <c r="H5862" s="238" t="s">
        <v>60</v>
      </c>
      <c r="I5862" s="187">
        <v>19.558636830000001</v>
      </c>
      <c r="J5862" s="239" t="s">
        <v>941</v>
      </c>
      <c r="K5862" s="239" t="s">
        <v>116</v>
      </c>
    </row>
    <row r="5863" spans="1:11" ht="14.25" x14ac:dyDescent="0.2">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36</v>
      </c>
      <c r="H5863" s="238" t="s">
        <v>60</v>
      </c>
      <c r="I5863" s="187">
        <v>12.96763842</v>
      </c>
      <c r="J5863" s="239" t="s">
        <v>941</v>
      </c>
      <c r="K5863" s="239" t="s">
        <v>116</v>
      </c>
    </row>
    <row r="5864" spans="1:11" ht="14.25" x14ac:dyDescent="0.2">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48</v>
      </c>
      <c r="H5864" s="238" t="s">
        <v>60</v>
      </c>
      <c r="I5864" s="187">
        <v>8.3923679090000007</v>
      </c>
      <c r="J5864" s="239" t="s">
        <v>941</v>
      </c>
      <c r="K5864" s="239" t="s">
        <v>116</v>
      </c>
    </row>
    <row r="5865" spans="1:11" ht="14.25" x14ac:dyDescent="0.2">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60</v>
      </c>
      <c r="H5865" s="238" t="s">
        <v>60</v>
      </c>
      <c r="I5865" s="187">
        <v>4.3693813190000004</v>
      </c>
      <c r="J5865" s="239" t="s">
        <v>941</v>
      </c>
      <c r="K5865" s="239" t="s">
        <v>116</v>
      </c>
    </row>
    <row r="5866" spans="1:11" ht="14.25" x14ac:dyDescent="0.2">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72</v>
      </c>
      <c r="H5866" s="238" t="s">
        <v>60</v>
      </c>
      <c r="I5866" s="187">
        <v>3.4310975909999999</v>
      </c>
      <c r="J5866" s="239" t="s">
        <v>941</v>
      </c>
      <c r="K5866" s="239" t="s">
        <v>116</v>
      </c>
    </row>
    <row r="5867" spans="1:11" ht="14.25" x14ac:dyDescent="0.2">
      <c r="A5867" s="30">
        <v>645</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T2DM with normal kidney function</v>
      </c>
      <c r="E5867" s="250" t="str">
        <f>IF(AND(A5867&lt;&gt;"",ISNUMBER(A5867)),VLOOKUP(A5867,Studies!A:BR,5,FALSE),"")</f>
        <v>Dapagliflozin</v>
      </c>
      <c r="F5867" s="251" t="str">
        <f>IF(AND(A5867&lt;&gt;"",ISNUMBER(A5867)),VLOOKUP(A5867,Studies!A:BR,6,FALSE),"")</f>
        <v>Plasma</v>
      </c>
      <c r="G5867" s="194">
        <v>0.5</v>
      </c>
      <c r="H5867" s="238" t="s">
        <v>60</v>
      </c>
      <c r="I5867" s="187">
        <v>340.30785680000002</v>
      </c>
      <c r="J5867" s="239" t="s">
        <v>941</v>
      </c>
      <c r="K5867" s="239" t="s">
        <v>116</v>
      </c>
    </row>
    <row r="5868" spans="1:11" ht="14.25" x14ac:dyDescent="0.2">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1</v>
      </c>
      <c r="H5868" s="238" t="s">
        <v>60</v>
      </c>
      <c r="I5868" s="187">
        <v>507.12946160000001</v>
      </c>
      <c r="J5868" s="239" t="s">
        <v>941</v>
      </c>
      <c r="K5868" s="239" t="s">
        <v>116</v>
      </c>
    </row>
    <row r="5869" spans="1:11" ht="14.25" x14ac:dyDescent="0.2">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3</v>
      </c>
      <c r="H5869" s="238" t="s">
        <v>60</v>
      </c>
      <c r="I5869" s="187">
        <v>235.97983540000001</v>
      </c>
      <c r="J5869" s="239" t="s">
        <v>941</v>
      </c>
      <c r="K5869" s="239" t="s">
        <v>116</v>
      </c>
    </row>
    <row r="5870" spans="1:11" ht="14.25" x14ac:dyDescent="0.2">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4</v>
      </c>
      <c r="H5870" s="238" t="s">
        <v>60</v>
      </c>
      <c r="I5870" s="187">
        <v>154.85145829999999</v>
      </c>
      <c r="J5870" s="239" t="s">
        <v>941</v>
      </c>
      <c r="K5870" s="239" t="s">
        <v>116</v>
      </c>
    </row>
    <row r="5871" spans="1:11" ht="14.25" x14ac:dyDescent="0.2">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5</v>
      </c>
      <c r="H5871" s="238" t="s">
        <v>60</v>
      </c>
      <c r="I5871" s="187">
        <v>129.66948679999999</v>
      </c>
      <c r="J5871" s="239" t="s">
        <v>941</v>
      </c>
      <c r="K5871" s="239" t="s">
        <v>116</v>
      </c>
    </row>
    <row r="5872" spans="1:11" ht="14.25" x14ac:dyDescent="0.2">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6</v>
      </c>
      <c r="H5872" s="238" t="s">
        <v>60</v>
      </c>
      <c r="I5872" s="187">
        <v>102.72671320000001</v>
      </c>
      <c r="J5872" s="239" t="s">
        <v>941</v>
      </c>
      <c r="K5872" s="239" t="s">
        <v>116</v>
      </c>
    </row>
    <row r="5873" spans="1:11" ht="14.25" x14ac:dyDescent="0.2">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8</v>
      </c>
      <c r="H5873" s="238" t="s">
        <v>60</v>
      </c>
      <c r="I5873" s="187">
        <v>67.402520989999999</v>
      </c>
      <c r="J5873" s="239" t="s">
        <v>941</v>
      </c>
      <c r="K5873" s="239" t="s">
        <v>116</v>
      </c>
    </row>
    <row r="5874" spans="1:11" ht="14.25" x14ac:dyDescent="0.2">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12</v>
      </c>
      <c r="H5874" s="238" t="s">
        <v>60</v>
      </c>
      <c r="I5874" s="187">
        <v>36.618593160000003</v>
      </c>
      <c r="J5874" s="239" t="s">
        <v>941</v>
      </c>
      <c r="K5874" s="239" t="s">
        <v>116</v>
      </c>
    </row>
    <row r="5875" spans="1:11" ht="14.25" x14ac:dyDescent="0.2">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18</v>
      </c>
      <c r="H5875" s="238" t="s">
        <v>60</v>
      </c>
      <c r="I5875" s="187">
        <v>23.22744277</v>
      </c>
      <c r="J5875" s="239" t="s">
        <v>941</v>
      </c>
      <c r="K5875" s="239" t="s">
        <v>116</v>
      </c>
    </row>
    <row r="5876" spans="1:11" ht="14.25" x14ac:dyDescent="0.2">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24</v>
      </c>
      <c r="H5876" s="238" t="s">
        <v>60</v>
      </c>
      <c r="I5876" s="187">
        <v>17.206767159999998</v>
      </c>
      <c r="J5876" s="239" t="s">
        <v>941</v>
      </c>
      <c r="K5876" s="239" t="s">
        <v>116</v>
      </c>
    </row>
    <row r="5877" spans="1:11" ht="14.25" x14ac:dyDescent="0.2">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36</v>
      </c>
      <c r="H5877" s="238" t="s">
        <v>60</v>
      </c>
      <c r="I5877" s="187">
        <v>8.5456520390000001</v>
      </c>
      <c r="J5877" s="239" t="s">
        <v>941</v>
      </c>
      <c r="K5877" s="239" t="s">
        <v>116</v>
      </c>
    </row>
    <row r="5878" spans="1:11" ht="14.25" x14ac:dyDescent="0.2">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48</v>
      </c>
      <c r="H5878" s="238" t="s">
        <v>60</v>
      </c>
      <c r="I5878" s="187">
        <v>4.5868446089999999</v>
      </c>
      <c r="J5878" s="239" t="s">
        <v>941</v>
      </c>
      <c r="K5878" s="239" t="s">
        <v>116</v>
      </c>
    </row>
    <row r="5879" spans="1:11" ht="14.25" x14ac:dyDescent="0.2">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60</v>
      </c>
      <c r="H5879" s="238" t="s">
        <v>60</v>
      </c>
      <c r="I5879" s="187">
        <v>2.602057259</v>
      </c>
      <c r="J5879" s="239" t="s">
        <v>941</v>
      </c>
      <c r="K5879" s="239" t="s">
        <v>116</v>
      </c>
    </row>
    <row r="5880" spans="1:11" ht="14.25" x14ac:dyDescent="0.2">
      <c r="A5880" s="30">
        <v>646</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mild renal impairment</v>
      </c>
      <c r="E5880" s="250" t="str">
        <f>IF(AND(A5880&lt;&gt;"",ISNUMBER(A5880)),VLOOKUP(A5880,Studies!A:BR,5,FALSE),"")</f>
        <v>Dapagliflozin</v>
      </c>
      <c r="F5880" s="251" t="str">
        <f>IF(AND(A5880&lt;&gt;"",ISNUMBER(A5880)),VLOOKUP(A5880,Studies!A:BR,6,FALSE),"")</f>
        <v>Plasma</v>
      </c>
      <c r="G5880" s="194">
        <v>0.25</v>
      </c>
      <c r="H5880" s="238" t="s">
        <v>60</v>
      </c>
      <c r="I5880" s="187">
        <v>191.2388827</v>
      </c>
      <c r="J5880" s="239" t="s">
        <v>941</v>
      </c>
      <c r="K5880" s="239" t="s">
        <v>116</v>
      </c>
    </row>
    <row r="5881" spans="1:11" ht="14.25" x14ac:dyDescent="0.2">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0.5</v>
      </c>
      <c r="H5881" s="238" t="s">
        <v>60</v>
      </c>
      <c r="I5881" s="187">
        <v>524.32691279999995</v>
      </c>
      <c r="J5881" s="239" t="s">
        <v>941</v>
      </c>
      <c r="K5881" s="239" t="s">
        <v>116</v>
      </c>
    </row>
    <row r="5882" spans="1:11" ht="14.25" x14ac:dyDescent="0.2">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1</v>
      </c>
      <c r="H5882" s="238" t="s">
        <v>60</v>
      </c>
      <c r="I5882" s="187">
        <v>772.75230509999994</v>
      </c>
      <c r="J5882" s="239" t="s">
        <v>941</v>
      </c>
      <c r="K5882" s="239" t="s">
        <v>116</v>
      </c>
    </row>
    <row r="5883" spans="1:11" ht="14.25" x14ac:dyDescent="0.2">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2</v>
      </c>
      <c r="H5883" s="238" t="s">
        <v>60</v>
      </c>
      <c r="I5883" s="187">
        <v>535.94408250000004</v>
      </c>
      <c r="J5883" s="239" t="s">
        <v>941</v>
      </c>
      <c r="K5883" s="239" t="s">
        <v>116</v>
      </c>
    </row>
    <row r="5884" spans="1:11" ht="14.25" x14ac:dyDescent="0.2">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3</v>
      </c>
      <c r="H5884" s="238" t="s">
        <v>60</v>
      </c>
      <c r="I5884" s="187">
        <v>380.05760229999999</v>
      </c>
      <c r="J5884" s="239" t="s">
        <v>941</v>
      </c>
      <c r="K5884" s="239" t="s">
        <v>116</v>
      </c>
    </row>
    <row r="5885" spans="1:11" ht="14.25" x14ac:dyDescent="0.2">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4</v>
      </c>
      <c r="H5885" s="238" t="s">
        <v>60</v>
      </c>
      <c r="I5885" s="187">
        <v>257.82243999999997</v>
      </c>
      <c r="J5885" s="239" t="s">
        <v>941</v>
      </c>
      <c r="K5885" s="239" t="s">
        <v>116</v>
      </c>
    </row>
    <row r="5886" spans="1:11" ht="14.25" x14ac:dyDescent="0.2">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5</v>
      </c>
      <c r="H5886" s="238" t="s">
        <v>60</v>
      </c>
      <c r="I5886" s="187">
        <v>213.51331759999999</v>
      </c>
      <c r="J5886" s="239" t="s">
        <v>941</v>
      </c>
      <c r="K5886" s="239" t="s">
        <v>116</v>
      </c>
    </row>
    <row r="5887" spans="1:11" ht="14.25" x14ac:dyDescent="0.2">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6</v>
      </c>
      <c r="H5887" s="238" t="s">
        <v>60</v>
      </c>
      <c r="I5887" s="187">
        <v>165.4502602</v>
      </c>
      <c r="J5887" s="239" t="s">
        <v>941</v>
      </c>
      <c r="K5887" s="239" t="s">
        <v>116</v>
      </c>
    </row>
    <row r="5888" spans="1:11" ht="14.25" x14ac:dyDescent="0.2">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8</v>
      </c>
      <c r="H5888" s="238" t="s">
        <v>60</v>
      </c>
      <c r="I5888" s="187">
        <v>108.55640099999999</v>
      </c>
      <c r="J5888" s="239" t="s">
        <v>941</v>
      </c>
      <c r="K5888" s="239" t="s">
        <v>116</v>
      </c>
    </row>
    <row r="5889" spans="1:11" ht="14.25" x14ac:dyDescent="0.2">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12</v>
      </c>
      <c r="H5889" s="238" t="s">
        <v>60</v>
      </c>
      <c r="I5889" s="187">
        <v>60.97206431</v>
      </c>
      <c r="J5889" s="239" t="s">
        <v>941</v>
      </c>
      <c r="K5889" s="239" t="s">
        <v>116</v>
      </c>
    </row>
    <row r="5890" spans="1:11" ht="14.25" x14ac:dyDescent="0.2">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18</v>
      </c>
      <c r="H5890" s="238" t="s">
        <v>60</v>
      </c>
      <c r="I5890" s="187">
        <v>36.185577909999999</v>
      </c>
      <c r="J5890" s="239" t="s">
        <v>941</v>
      </c>
      <c r="K5890" s="239" t="s">
        <v>116</v>
      </c>
    </row>
    <row r="5891" spans="1:11" ht="14.25" x14ac:dyDescent="0.2">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24</v>
      </c>
      <c r="H5891" s="238" t="s">
        <v>60</v>
      </c>
      <c r="I5891" s="187">
        <v>27.10394896</v>
      </c>
      <c r="J5891" s="239" t="s">
        <v>941</v>
      </c>
      <c r="K5891" s="239" t="s">
        <v>116</v>
      </c>
    </row>
    <row r="5892" spans="1:11" ht="14.25" x14ac:dyDescent="0.2">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36</v>
      </c>
      <c r="H5892" s="238" t="s">
        <v>60</v>
      </c>
      <c r="I5892" s="187">
        <v>17.95797494</v>
      </c>
      <c r="J5892" s="239" t="s">
        <v>941</v>
      </c>
      <c r="K5892" s="239" t="s">
        <v>116</v>
      </c>
    </row>
    <row r="5893" spans="1:11" ht="14.25" x14ac:dyDescent="0.2">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48</v>
      </c>
      <c r="H5893" s="238" t="s">
        <v>60</v>
      </c>
      <c r="I5893" s="187">
        <v>10.187660879999999</v>
      </c>
      <c r="J5893" s="239" t="s">
        <v>941</v>
      </c>
      <c r="K5893" s="239" t="s">
        <v>116</v>
      </c>
    </row>
    <row r="5894" spans="1:11" ht="14.25" x14ac:dyDescent="0.2">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60</v>
      </c>
      <c r="H5894" s="238" t="s">
        <v>60</v>
      </c>
      <c r="I5894" s="187">
        <v>8.9050440179999999</v>
      </c>
      <c r="J5894" s="239" t="s">
        <v>941</v>
      </c>
      <c r="K5894" s="239" t="s">
        <v>116</v>
      </c>
    </row>
    <row r="5895" spans="1:11" ht="14.25" x14ac:dyDescent="0.2">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72</v>
      </c>
      <c r="H5895" s="238" t="s">
        <v>60</v>
      </c>
      <c r="I5895" s="187">
        <v>8.9899753209999993</v>
      </c>
      <c r="J5895" s="239" t="s">
        <v>941</v>
      </c>
      <c r="K5895" s="239" t="s">
        <v>116</v>
      </c>
    </row>
    <row r="5896" spans="1:11" ht="14.25" x14ac:dyDescent="0.2">
      <c r="A5896" s="30">
        <v>647</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moderate renal impairment</v>
      </c>
      <c r="E5896" s="250" t="str">
        <f>IF(AND(A5896&lt;&gt;"",ISNUMBER(A5896)),VLOOKUP(A5896,Studies!A:BR,5,FALSE),"")</f>
        <v>Dapagliflozin</v>
      </c>
      <c r="F5896" s="251" t="str">
        <f>IF(AND(A5896&lt;&gt;"",ISNUMBER(A5896)),VLOOKUP(A5896,Studies!A:BR,6,FALSE),"")</f>
        <v>Plasma</v>
      </c>
      <c r="G5896" s="194">
        <v>0.25</v>
      </c>
      <c r="H5896" s="238" t="s">
        <v>60</v>
      </c>
      <c r="I5896" s="187">
        <v>332.85825290000002</v>
      </c>
      <c r="J5896" s="239" t="s">
        <v>941</v>
      </c>
      <c r="K5896" s="239" t="s">
        <v>116</v>
      </c>
    </row>
    <row r="5897" spans="1:11" ht="14.25" x14ac:dyDescent="0.2">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0.5</v>
      </c>
      <c r="H5897" s="238" t="s">
        <v>60</v>
      </c>
      <c r="I5897" s="187">
        <v>863.34536330000003</v>
      </c>
      <c r="J5897" s="239" t="s">
        <v>941</v>
      </c>
      <c r="K5897" s="239" t="s">
        <v>116</v>
      </c>
    </row>
    <row r="5898" spans="1:11" ht="14.25" x14ac:dyDescent="0.2">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4</v>
      </c>
      <c r="H5898" s="238" t="s">
        <v>60</v>
      </c>
      <c r="I5898" s="187">
        <v>291.24879720000001</v>
      </c>
      <c r="J5898" s="239" t="s">
        <v>941</v>
      </c>
      <c r="K5898" s="239" t="s">
        <v>116</v>
      </c>
    </row>
    <row r="5899" spans="1:11" ht="14.25" x14ac:dyDescent="0.2">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6</v>
      </c>
      <c r="H5899" s="238" t="s">
        <v>60</v>
      </c>
      <c r="I5899" s="187">
        <v>218.27992019999999</v>
      </c>
      <c r="J5899" s="239" t="s">
        <v>941</v>
      </c>
      <c r="K5899" s="239" t="s">
        <v>116</v>
      </c>
    </row>
    <row r="5900" spans="1:11" ht="14.25" x14ac:dyDescent="0.2">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8</v>
      </c>
      <c r="H5900" s="238" t="s">
        <v>60</v>
      </c>
      <c r="I5900" s="187">
        <v>132.51776520000001</v>
      </c>
      <c r="J5900" s="239" t="s">
        <v>941</v>
      </c>
      <c r="K5900" s="239" t="s">
        <v>116</v>
      </c>
    </row>
    <row r="5901" spans="1:11" ht="14.25" x14ac:dyDescent="0.2">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12</v>
      </c>
      <c r="H5901" s="238" t="s">
        <v>60</v>
      </c>
      <c r="I5901" s="187">
        <v>91.88278047</v>
      </c>
      <c r="J5901" s="239" t="s">
        <v>941</v>
      </c>
      <c r="K5901" s="239" t="s">
        <v>116</v>
      </c>
    </row>
    <row r="5902" spans="1:11" ht="14.25" x14ac:dyDescent="0.2">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18</v>
      </c>
      <c r="H5902" s="238" t="s">
        <v>60</v>
      </c>
      <c r="I5902" s="187">
        <v>58.930186130000003</v>
      </c>
      <c r="J5902" s="239" t="s">
        <v>941</v>
      </c>
      <c r="K5902" s="239" t="s">
        <v>116</v>
      </c>
    </row>
    <row r="5903" spans="1:11" ht="14.25" x14ac:dyDescent="0.2">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24</v>
      </c>
      <c r="H5903" s="238" t="s">
        <v>60</v>
      </c>
      <c r="I5903" s="187">
        <v>60.200840530000001</v>
      </c>
      <c r="J5903" s="239" t="s">
        <v>941</v>
      </c>
      <c r="K5903" s="239" t="s">
        <v>116</v>
      </c>
    </row>
    <row r="5904" spans="1:11" ht="14.25" x14ac:dyDescent="0.2">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36</v>
      </c>
      <c r="H5904" s="238" t="s">
        <v>60</v>
      </c>
      <c r="I5904" s="187">
        <v>30.23431106</v>
      </c>
      <c r="J5904" s="239" t="s">
        <v>941</v>
      </c>
      <c r="K5904" s="239" t="s">
        <v>116</v>
      </c>
    </row>
    <row r="5905" spans="1:15" ht="14.25" x14ac:dyDescent="0.2">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48</v>
      </c>
      <c r="H5905" s="238" t="s">
        <v>60</v>
      </c>
      <c r="I5905" s="187">
        <v>23.917806939999998</v>
      </c>
      <c r="J5905" s="239" t="s">
        <v>941</v>
      </c>
      <c r="K5905" s="239" t="s">
        <v>116</v>
      </c>
    </row>
    <row r="5906" spans="1:15" ht="14.25" x14ac:dyDescent="0.2">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60</v>
      </c>
      <c r="H5906" s="238" t="s">
        <v>60</v>
      </c>
      <c r="I5906" s="187">
        <v>14.341714380000001</v>
      </c>
      <c r="J5906" s="239" t="s">
        <v>941</v>
      </c>
      <c r="K5906" s="239" t="s">
        <v>116</v>
      </c>
    </row>
    <row r="5907" spans="1:15" ht="14.25" x14ac:dyDescent="0.2">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72</v>
      </c>
      <c r="H5907" s="238" t="s">
        <v>60</v>
      </c>
      <c r="I5907" s="187">
        <v>6.6649171540000003</v>
      </c>
      <c r="J5907" s="239" t="s">
        <v>941</v>
      </c>
      <c r="K5907" s="239" t="s">
        <v>116</v>
      </c>
    </row>
    <row r="5908" spans="1:15" ht="14.25" x14ac:dyDescent="0.2">
      <c r="A5908" s="30">
        <v>648</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severe renal impairment</v>
      </c>
      <c r="E5908" s="250" t="str">
        <f>IF(AND(A5908&lt;&gt;"",ISNUMBER(A5908)),VLOOKUP(A5908,Studies!A:BR,5,FALSE),"")</f>
        <v>Dapagliflozin</v>
      </c>
      <c r="F5908" s="251" t="str">
        <f>IF(AND(A5908&lt;&gt;"",ISNUMBER(A5908)),VLOOKUP(A5908,Studies!A:BR,6,FALSE),"")</f>
        <v>Plasma</v>
      </c>
      <c r="G5908" s="194">
        <v>0.25</v>
      </c>
      <c r="H5908" s="238" t="s">
        <v>60</v>
      </c>
      <c r="I5908" s="187">
        <v>72.107614749999996</v>
      </c>
      <c r="J5908" s="239" t="s">
        <v>941</v>
      </c>
      <c r="K5908" s="239" t="s">
        <v>116</v>
      </c>
    </row>
    <row r="5909" spans="1:15" ht="14.25" x14ac:dyDescent="0.2">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0.5</v>
      </c>
      <c r="H5909" s="238" t="s">
        <v>60</v>
      </c>
      <c r="I5909" s="187">
        <v>314.89326679999999</v>
      </c>
      <c r="J5909" s="239" t="s">
        <v>941</v>
      </c>
      <c r="K5909" s="239" t="s">
        <v>116</v>
      </c>
    </row>
    <row r="5910" spans="1:15" ht="14.25" x14ac:dyDescent="0.2">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4</v>
      </c>
      <c r="H5910" s="238" t="s">
        <v>60</v>
      </c>
      <c r="I5910" s="187">
        <v>332.69027190000003</v>
      </c>
      <c r="J5910" s="239" t="s">
        <v>941</v>
      </c>
      <c r="K5910" s="239" t="s">
        <v>116</v>
      </c>
    </row>
    <row r="5911" spans="1:15" ht="14.25" x14ac:dyDescent="0.2">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6</v>
      </c>
      <c r="H5911" s="238" t="s">
        <v>60</v>
      </c>
      <c r="I5911" s="187">
        <v>281.65591519999998</v>
      </c>
      <c r="J5911" s="239" t="s">
        <v>941</v>
      </c>
      <c r="K5911" s="239" t="s">
        <v>116</v>
      </c>
    </row>
    <row r="5912" spans="1:15" ht="14.25" x14ac:dyDescent="0.2">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8</v>
      </c>
      <c r="H5912" s="238" t="s">
        <v>60</v>
      </c>
      <c r="I5912" s="187">
        <v>143.20994339999999</v>
      </c>
      <c r="J5912" s="239" t="s">
        <v>941</v>
      </c>
      <c r="K5912" s="239" t="s">
        <v>116</v>
      </c>
    </row>
    <row r="5913" spans="1:15" ht="14.25" x14ac:dyDescent="0.2">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12</v>
      </c>
      <c r="H5913" s="238" t="s">
        <v>60</v>
      </c>
      <c r="I5913" s="187">
        <v>78.674861899999996</v>
      </c>
      <c r="J5913" s="239" t="s">
        <v>941</v>
      </c>
      <c r="K5913" s="239" t="s">
        <v>116</v>
      </c>
    </row>
    <row r="5914" spans="1:15" ht="14.25" x14ac:dyDescent="0.2">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18</v>
      </c>
      <c r="H5914" s="238" t="s">
        <v>60</v>
      </c>
      <c r="I5914" s="187">
        <v>39.540603089999998</v>
      </c>
      <c r="J5914" s="239" t="s">
        <v>941</v>
      </c>
      <c r="K5914" s="239" t="s">
        <v>116</v>
      </c>
    </row>
    <row r="5915" spans="1:15" ht="14.25" x14ac:dyDescent="0.2">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24</v>
      </c>
      <c r="H5915" s="238" t="s">
        <v>60</v>
      </c>
      <c r="I5915" s="187">
        <v>38.643635080000003</v>
      </c>
      <c r="J5915" s="239" t="s">
        <v>941</v>
      </c>
      <c r="K5915" s="239" t="s">
        <v>116</v>
      </c>
    </row>
    <row r="5916" spans="1:15" ht="14.25" x14ac:dyDescent="0.2">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36</v>
      </c>
      <c r="H5916" s="238" t="s">
        <v>60</v>
      </c>
      <c r="I5916" s="187">
        <v>21.680163650000001</v>
      </c>
      <c r="J5916" s="239" t="s">
        <v>941</v>
      </c>
      <c r="K5916" s="239" t="s">
        <v>116</v>
      </c>
    </row>
    <row r="5917" spans="1:15" ht="14.25" x14ac:dyDescent="0.2">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48</v>
      </c>
      <c r="H5917" s="238" t="s">
        <v>60</v>
      </c>
      <c r="I5917" s="187">
        <v>17.343067009999999</v>
      </c>
      <c r="J5917" s="239" t="s">
        <v>941</v>
      </c>
      <c r="K5917" s="239" t="s">
        <v>116</v>
      </c>
    </row>
    <row r="5918" spans="1:15" ht="14.25" x14ac:dyDescent="0.2">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60</v>
      </c>
      <c r="H5918" s="238" t="s">
        <v>60</v>
      </c>
      <c r="I5918" s="187">
        <v>14.662853030000001</v>
      </c>
      <c r="J5918" s="239" t="s">
        <v>941</v>
      </c>
      <c r="K5918" s="239" t="s">
        <v>116</v>
      </c>
    </row>
    <row r="5919" spans="1:15" ht="14.25" x14ac:dyDescent="0.2">
      <c r="A5919" s="30">
        <v>649</v>
      </c>
      <c r="B5919" s="249" t="str">
        <f>IF(AND(A5919&lt;&gt;"",ISNUMBER(A5919)),VLOOKUP(A5919,Studies!A:BR,2,FALSE),"")</f>
        <v>Vakkalagadda 2016</v>
      </c>
      <c r="C5919" s="250" t="str">
        <f>IF(AND(A5919&lt;&gt;"",ISNUMBER(A5919)),VLOOKUP(A5919,Studies!A:BR,3,FALSE),"")</f>
        <v>https://www.ncbi.nlm.nih.gov/pubmed/27491280</v>
      </c>
      <c r="D5919" s="250" t="str">
        <f>IF(AND(A5919&lt;&gt;"",ISNUMBER(A5919)),VLOOKUP(A5919,Studies!A:BR,4,FALSE),"")</f>
        <v>Dapagliflozin</v>
      </c>
      <c r="E5919" s="250" t="str">
        <f>IF(AND(A5919&lt;&gt;"",ISNUMBER(A5919)),VLOOKUP(A5919,Studies!A:BR,5,FALSE),"")</f>
        <v>Dapagliflozin</v>
      </c>
      <c r="F5919" s="251" t="str">
        <f>IF(AND(A5919&lt;&gt;"",ISNUMBER(A5919)),VLOOKUP(A5919,Studies!A:BR,6,FALSE),"")</f>
        <v>Plasma</v>
      </c>
      <c r="G5919" s="194">
        <v>0.5</v>
      </c>
      <c r="H5919" s="238" t="s">
        <v>60</v>
      </c>
      <c r="I5919" s="187">
        <v>103.5613</v>
      </c>
      <c r="J5919" s="239" t="s">
        <v>941</v>
      </c>
      <c r="K5919" s="239" t="s">
        <v>116</v>
      </c>
      <c r="O5919" s="59">
        <v>0.2</v>
      </c>
    </row>
    <row r="5920" spans="1:15" ht="14.25" x14ac:dyDescent="0.2">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1</v>
      </c>
      <c r="H5920" s="238" t="s">
        <v>60</v>
      </c>
      <c r="I5920" s="187">
        <v>115.8323</v>
      </c>
      <c r="J5920" s="239" t="s">
        <v>941</v>
      </c>
      <c r="K5920" s="239" t="s">
        <v>116</v>
      </c>
      <c r="O5920" s="59">
        <v>0.2</v>
      </c>
    </row>
    <row r="5921" spans="1:15" ht="14.25" x14ac:dyDescent="0.2">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1.5</v>
      </c>
      <c r="H5921" s="238" t="s">
        <v>60</v>
      </c>
      <c r="I5921" s="187">
        <v>85.131680000000003</v>
      </c>
      <c r="J5921" s="239" t="s">
        <v>941</v>
      </c>
      <c r="K5921" s="239" t="s">
        <v>116</v>
      </c>
      <c r="O5921" s="59">
        <v>0.2</v>
      </c>
    </row>
    <row r="5922" spans="1:15" ht="14.25" x14ac:dyDescent="0.2">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2</v>
      </c>
      <c r="H5922" s="238" t="s">
        <v>60</v>
      </c>
      <c r="I5922" s="187">
        <v>66.171149999999997</v>
      </c>
      <c r="J5922" s="239" t="s">
        <v>941</v>
      </c>
      <c r="K5922" s="239" t="s">
        <v>116</v>
      </c>
      <c r="O5922" s="59">
        <v>0.2</v>
      </c>
    </row>
    <row r="5923" spans="1:15" ht="14.25" x14ac:dyDescent="0.2">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3</v>
      </c>
      <c r="H5923" s="238" t="s">
        <v>60</v>
      </c>
      <c r="I5923" s="187">
        <v>44.71528</v>
      </c>
      <c r="J5923" s="239" t="s">
        <v>941</v>
      </c>
      <c r="K5923" s="239" t="s">
        <v>116</v>
      </c>
      <c r="O5923" s="59">
        <v>0.2</v>
      </c>
    </row>
    <row r="5924" spans="1:15" ht="14.25" x14ac:dyDescent="0.2">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5</v>
      </c>
      <c r="H5924" s="238" t="s">
        <v>60</v>
      </c>
      <c r="I5924" s="187">
        <v>24.15343</v>
      </c>
      <c r="J5924" s="239" t="s">
        <v>941</v>
      </c>
      <c r="K5924" s="239" t="s">
        <v>116</v>
      </c>
      <c r="O5924" s="59">
        <v>0.2</v>
      </c>
    </row>
    <row r="5925" spans="1:15" ht="14.25" x14ac:dyDescent="0.2">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8</v>
      </c>
      <c r="H5925" s="238" t="s">
        <v>60</v>
      </c>
      <c r="I5925" s="187">
        <v>13.79805</v>
      </c>
      <c r="J5925" s="239" t="s">
        <v>941</v>
      </c>
      <c r="K5925" s="239" t="s">
        <v>116</v>
      </c>
      <c r="O5925" s="59">
        <v>0.2</v>
      </c>
    </row>
    <row r="5926" spans="1:15" ht="14.25" x14ac:dyDescent="0.2">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12</v>
      </c>
      <c r="H5926" s="238" t="s">
        <v>60</v>
      </c>
      <c r="I5926" s="187">
        <v>9.066649</v>
      </c>
      <c r="J5926" s="239" t="s">
        <v>941</v>
      </c>
      <c r="K5926" s="239" t="s">
        <v>116</v>
      </c>
      <c r="O5926" s="59">
        <v>0.2</v>
      </c>
    </row>
    <row r="5927" spans="1:15" ht="14.25" x14ac:dyDescent="0.2">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24</v>
      </c>
      <c r="H5927" s="238" t="s">
        <v>60</v>
      </c>
      <c r="I5927" s="187">
        <v>3.7015959999999999</v>
      </c>
      <c r="J5927" s="239" t="s">
        <v>941</v>
      </c>
      <c r="K5927" s="239" t="s">
        <v>116</v>
      </c>
      <c r="O5927" s="59">
        <v>0.2</v>
      </c>
    </row>
    <row r="5928" spans="1:15" ht="14.25" x14ac:dyDescent="0.2">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36</v>
      </c>
      <c r="H5928" s="238" t="s">
        <v>60</v>
      </c>
      <c r="I5928" s="187">
        <v>1.5541370000000001</v>
      </c>
      <c r="J5928" s="239" t="s">
        <v>941</v>
      </c>
      <c r="K5928" s="239" t="s">
        <v>116</v>
      </c>
      <c r="O5928" s="59">
        <v>0.2</v>
      </c>
    </row>
    <row r="5929" spans="1:15" ht="14.25" x14ac:dyDescent="0.2">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48</v>
      </c>
      <c r="H5929" s="238" t="s">
        <v>60</v>
      </c>
      <c r="I5929" s="187">
        <v>1.11069</v>
      </c>
      <c r="J5929" s="239" t="s">
        <v>941</v>
      </c>
      <c r="K5929" s="239" t="s">
        <v>116</v>
      </c>
      <c r="O5929" s="59">
        <v>0.2</v>
      </c>
    </row>
    <row r="5930" spans="1:15" ht="14.25" x14ac:dyDescent="0.2">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60</v>
      </c>
      <c r="H5930" s="238" t="s">
        <v>60</v>
      </c>
      <c r="I5930" s="187">
        <v>0.69009010000000004</v>
      </c>
      <c r="J5930" s="239" t="s">
        <v>941</v>
      </c>
      <c r="K5930" s="239" t="s">
        <v>116</v>
      </c>
      <c r="O5930" s="59">
        <v>0.2</v>
      </c>
    </row>
    <row r="5931" spans="1:15" ht="14.25" x14ac:dyDescent="0.2">
      <c r="A5931" s="30">
        <v>650</v>
      </c>
      <c r="B5931" s="249" t="str">
        <f>IF(AND(A5931&lt;&gt;"",ISNUMBER(A5931)),VLOOKUP(A5931,Studies!A:BR,2,FALSE),"")</f>
        <v>DeFronzo 2013</v>
      </c>
      <c r="C5931" s="250" t="str">
        <f>IF(AND(A5931&lt;&gt;"",ISNUMBER(A5931)),VLOOKUP(A5931,Studies!A:BR,3,FALSE),"")</f>
        <v>https://www.ncbi.nlm.nih.gov/pubmed/23735727</v>
      </c>
      <c r="D5931" s="250" t="str">
        <f>IF(AND(A5931&lt;&gt;"",ISNUMBER(A5931)),VLOOKUP(A5931,Studies!A:BR,4,FALSE),"")</f>
        <v>Healthy Subjects</v>
      </c>
      <c r="E5931" s="250" t="str">
        <f>IF(AND(A5931&lt;&gt;"",ISNUMBER(A5931)),VLOOKUP(A5931,Studies!A:BR,5,FALSE),"")</f>
        <v>Dapagliflozin</v>
      </c>
      <c r="F5931" s="251" t="str">
        <f>IF(AND(A5931&lt;&gt;"",ISNUMBER(A5931)),VLOOKUP(A5931,Studies!A:BR,6,FALSE),"")</f>
        <v>Plasma</v>
      </c>
      <c r="G5931" s="194">
        <v>144</v>
      </c>
      <c r="H5931" s="238" t="s">
        <v>60</v>
      </c>
      <c r="I5931" s="187">
        <v>4.7475851369999997</v>
      </c>
      <c r="J5931" s="239" t="s">
        <v>941</v>
      </c>
      <c r="K5931" s="239" t="s">
        <v>116</v>
      </c>
      <c r="L5931" s="195">
        <v>1.923076923</v>
      </c>
      <c r="M5931" s="52" t="s">
        <v>941</v>
      </c>
      <c r="N5931" s="52" t="s">
        <v>117</v>
      </c>
    </row>
    <row r="5932" spans="1:15" ht="14.25" x14ac:dyDescent="0.2">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144.66666670000001</v>
      </c>
      <c r="H5932" s="238" t="s">
        <v>60</v>
      </c>
      <c r="I5932" s="187">
        <v>21.289454509999999</v>
      </c>
      <c r="J5932" s="239" t="s">
        <v>941</v>
      </c>
      <c r="K5932" s="239" t="s">
        <v>116</v>
      </c>
      <c r="L5932" s="195">
        <v>23.333333329999999</v>
      </c>
      <c r="M5932" s="52" t="s">
        <v>941</v>
      </c>
      <c r="N5932" s="52" t="s">
        <v>117</v>
      </c>
    </row>
    <row r="5933" spans="1:15" ht="14.25" x14ac:dyDescent="0.2">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145.33333329999999</v>
      </c>
      <c r="H5933" s="238" t="s">
        <v>60</v>
      </c>
      <c r="I5933" s="187">
        <v>37.831676420000001</v>
      </c>
      <c r="J5933" s="239" t="s">
        <v>941</v>
      </c>
      <c r="K5933" s="239" t="s">
        <v>116</v>
      </c>
      <c r="L5933" s="195">
        <v>34.48706198</v>
      </c>
      <c r="M5933" s="52" t="s">
        <v>941</v>
      </c>
      <c r="N5933" s="52" t="s">
        <v>117</v>
      </c>
    </row>
    <row r="5934" spans="1:15" ht="14.25" x14ac:dyDescent="0.2">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146</v>
      </c>
      <c r="H5934" s="238" t="s">
        <v>60</v>
      </c>
      <c r="I5934" s="187">
        <v>52.835201769999998</v>
      </c>
      <c r="J5934" s="239" t="s">
        <v>941</v>
      </c>
      <c r="K5934" s="239" t="s">
        <v>116</v>
      </c>
      <c r="L5934" s="195">
        <v>27.307574800000001</v>
      </c>
      <c r="M5934" s="52" t="s">
        <v>941</v>
      </c>
      <c r="N5934" s="52" t="s">
        <v>117</v>
      </c>
    </row>
    <row r="5935" spans="1:15" ht="14.25" x14ac:dyDescent="0.2">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146.66666670000001</v>
      </c>
      <c r="H5935" s="238" t="s">
        <v>60</v>
      </c>
      <c r="I5935" s="187">
        <v>53.47963524</v>
      </c>
      <c r="J5935" s="239" t="s">
        <v>941</v>
      </c>
      <c r="K5935" s="239" t="s">
        <v>116</v>
      </c>
      <c r="L5935" s="195">
        <v>22.564220079999998</v>
      </c>
      <c r="M5935" s="52" t="s">
        <v>941</v>
      </c>
      <c r="N5935" s="52" t="s">
        <v>117</v>
      </c>
    </row>
    <row r="5936" spans="1:15" ht="14.25" x14ac:dyDescent="0.2">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147.33333329999999</v>
      </c>
      <c r="H5936" s="238" t="s">
        <v>60</v>
      </c>
      <c r="I5936" s="187">
        <v>47.073021689999997</v>
      </c>
      <c r="J5936" s="239" t="s">
        <v>941</v>
      </c>
      <c r="K5936" s="239" t="s">
        <v>116</v>
      </c>
      <c r="L5936" s="195">
        <v>16.025758540000002</v>
      </c>
      <c r="M5936" s="52" t="s">
        <v>941</v>
      </c>
      <c r="N5936" s="52" t="s">
        <v>117</v>
      </c>
    </row>
    <row r="5937" spans="1:14" ht="14.25" x14ac:dyDescent="0.2">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148</v>
      </c>
      <c r="H5937" s="238" t="s">
        <v>60</v>
      </c>
      <c r="I5937" s="187">
        <v>38.999623960000001</v>
      </c>
      <c r="J5937" s="239" t="s">
        <v>941</v>
      </c>
      <c r="K5937" s="239" t="s">
        <v>116</v>
      </c>
      <c r="L5937" s="195">
        <v>11.025641029999999</v>
      </c>
      <c r="M5937" s="52" t="s">
        <v>941</v>
      </c>
      <c r="N5937" s="52" t="s">
        <v>117</v>
      </c>
    </row>
    <row r="5938" spans="1:14" ht="14.25" x14ac:dyDescent="0.2">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148.666</v>
      </c>
      <c r="H5938" s="238" t="s">
        <v>60</v>
      </c>
      <c r="I5938" s="187">
        <v>33.746856569999998</v>
      </c>
      <c r="J5938" s="239" t="s">
        <v>941</v>
      </c>
      <c r="K5938" s="239" t="s">
        <v>116</v>
      </c>
      <c r="L5938" s="195">
        <v>10.12820513</v>
      </c>
      <c r="M5938" s="52" t="s">
        <v>941</v>
      </c>
      <c r="N5938" s="52" t="s">
        <v>117</v>
      </c>
    </row>
    <row r="5939" spans="1:14" ht="14.25" x14ac:dyDescent="0.2">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149.33333329999999</v>
      </c>
      <c r="H5939" s="238" t="s">
        <v>60</v>
      </c>
      <c r="I5939" s="187">
        <v>28.23767891</v>
      </c>
      <c r="J5939" s="239" t="s">
        <v>941</v>
      </c>
      <c r="K5939" s="239" t="s">
        <v>116</v>
      </c>
      <c r="L5939" s="195">
        <v>8.3330983100000005</v>
      </c>
      <c r="M5939" s="52" t="s">
        <v>941</v>
      </c>
      <c r="N5939" s="52" t="s">
        <v>117</v>
      </c>
    </row>
    <row r="5940" spans="1:14" ht="14.25" x14ac:dyDescent="0.2">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150</v>
      </c>
      <c r="H5940" s="238" t="s">
        <v>60</v>
      </c>
      <c r="I5940" s="187">
        <v>23.369409390000001</v>
      </c>
      <c r="J5940" s="239" t="s">
        <v>941</v>
      </c>
      <c r="K5940" s="239" t="s">
        <v>116</v>
      </c>
      <c r="L5940" s="195">
        <v>7.5641025639999997</v>
      </c>
      <c r="M5940" s="52" t="s">
        <v>941</v>
      </c>
      <c r="N5940" s="52" t="s">
        <v>117</v>
      </c>
    </row>
    <row r="5941" spans="1:14" ht="14.25" x14ac:dyDescent="0.2">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150.66666670000001</v>
      </c>
      <c r="H5941" s="238" t="s">
        <v>60</v>
      </c>
      <c r="I5941" s="187">
        <v>20.552304400000001</v>
      </c>
      <c r="J5941" s="239" t="s">
        <v>941</v>
      </c>
      <c r="K5941" s="239" t="s">
        <v>116</v>
      </c>
      <c r="L5941" s="195">
        <v>5.8976709209999996</v>
      </c>
      <c r="M5941" s="52" t="s">
        <v>941</v>
      </c>
      <c r="N5941" s="52" t="s">
        <v>117</v>
      </c>
    </row>
    <row r="5942" spans="1:14" ht="14.25" x14ac:dyDescent="0.2">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168</v>
      </c>
      <c r="H5942" s="238" t="s">
        <v>60</v>
      </c>
      <c r="I5942" s="187">
        <v>2.183482573</v>
      </c>
      <c r="J5942" s="239" t="s">
        <v>941</v>
      </c>
      <c r="K5942" s="239" t="s">
        <v>116</v>
      </c>
      <c r="L5942" s="195">
        <v>4.3592093820000004</v>
      </c>
      <c r="M5942" s="52" t="s">
        <v>941</v>
      </c>
      <c r="N5942" s="52" t="s">
        <v>117</v>
      </c>
    </row>
    <row r="5943" spans="1:14" ht="14.25" x14ac:dyDescent="0.2">
      <c r="A5943" s="30">
        <v>651</v>
      </c>
      <c r="B5943" s="249" t="str">
        <f>IF(AND(A5943&lt;&gt;"",ISNUMBER(A5943)),VLOOKUP(A5943,Studies!A:BR,2,FALSE),"")</f>
        <v>Kasichayanula 2011c</v>
      </c>
      <c r="C5943" s="250" t="str">
        <f>IF(AND(A5943&lt;&gt;"",ISNUMBER(A5943)),VLOOKUP(A5943,Studies!A:BR,3,FALSE),"")</f>
        <v>https://www.ncbi.nlm.nih.gov/pubmed/22030444</v>
      </c>
      <c r="D5943" s="250" t="str">
        <f>IF(AND(A5943&lt;&gt;"",ISNUMBER(A5943)),VLOOKUP(A5943,Studies!A:BR,4,FALSE),"")</f>
        <v>Healthy Volunteers</v>
      </c>
      <c r="E5943" s="250" t="str">
        <f>IF(AND(A5943&lt;&gt;"",ISNUMBER(A5943)),VLOOKUP(A5943,Studies!A:BR,5,FALSE),"")</f>
        <v>Dapagliflozin</v>
      </c>
      <c r="F5943" s="251" t="str">
        <f>IF(AND(A5943&lt;&gt;"",ISNUMBER(A5943)),VLOOKUP(A5943,Studies!A:BR,6,FALSE),"")</f>
        <v>Plasma</v>
      </c>
      <c r="G5943" s="194">
        <v>0.5</v>
      </c>
      <c r="H5943" s="238" t="s">
        <v>60</v>
      </c>
      <c r="I5943" s="187">
        <v>92.774566469999996</v>
      </c>
      <c r="J5943" s="239" t="s">
        <v>941</v>
      </c>
      <c r="K5943" s="239" t="s">
        <v>116</v>
      </c>
      <c r="L5943" s="195">
        <v>65.028901730000001</v>
      </c>
      <c r="M5943" s="52" t="s">
        <v>941</v>
      </c>
      <c r="N5943" s="52" t="s">
        <v>117</v>
      </c>
    </row>
    <row r="5944" spans="1:14" ht="14.25" x14ac:dyDescent="0.2">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1</v>
      </c>
      <c r="H5944" s="238" t="s">
        <v>60</v>
      </c>
      <c r="I5944" s="187">
        <v>118.7861272</v>
      </c>
      <c r="J5944" s="239" t="s">
        <v>941</v>
      </c>
      <c r="K5944" s="239" t="s">
        <v>116</v>
      </c>
      <c r="L5944" s="195">
        <v>34.682080919999997</v>
      </c>
      <c r="M5944" s="52" t="s">
        <v>941</v>
      </c>
      <c r="N5944" s="52" t="s">
        <v>117</v>
      </c>
    </row>
    <row r="5945" spans="1:14" ht="14.25" x14ac:dyDescent="0.2">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1.5</v>
      </c>
      <c r="H5945" s="238" t="s">
        <v>60</v>
      </c>
      <c r="I5945" s="187">
        <v>84.104046240000002</v>
      </c>
      <c r="J5945" s="239" t="s">
        <v>941</v>
      </c>
      <c r="K5945" s="239" t="s">
        <v>116</v>
      </c>
      <c r="L5945" s="195">
        <v>26.01156069</v>
      </c>
      <c r="M5945" s="52" t="s">
        <v>941</v>
      </c>
      <c r="N5945" s="52" t="s">
        <v>117</v>
      </c>
    </row>
    <row r="5946" spans="1:14" ht="14.25" x14ac:dyDescent="0.2">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2</v>
      </c>
      <c r="H5946" s="238" t="s">
        <v>60</v>
      </c>
      <c r="I5946" s="187">
        <v>69.364161850000002</v>
      </c>
      <c r="J5946" s="239" t="s">
        <v>941</v>
      </c>
      <c r="K5946" s="239" t="s">
        <v>116</v>
      </c>
      <c r="L5946" s="195">
        <v>29.479768790000001</v>
      </c>
      <c r="M5946" s="52" t="s">
        <v>941</v>
      </c>
      <c r="N5946" s="52" t="s">
        <v>117</v>
      </c>
    </row>
    <row r="5947" spans="1:14" ht="14.25" x14ac:dyDescent="0.2">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3</v>
      </c>
      <c r="H5947" s="238" t="s">
        <v>60</v>
      </c>
      <c r="I5947" s="187">
        <v>46.820809250000003</v>
      </c>
      <c r="J5947" s="239" t="s">
        <v>941</v>
      </c>
      <c r="K5947" s="239" t="s">
        <v>116</v>
      </c>
      <c r="L5947" s="195">
        <v>14.73988439</v>
      </c>
      <c r="M5947" s="52" t="s">
        <v>941</v>
      </c>
      <c r="N5947" s="52" t="s">
        <v>117</v>
      </c>
    </row>
    <row r="5948" spans="1:14" ht="14.25" x14ac:dyDescent="0.2">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4</v>
      </c>
      <c r="H5948" s="238" t="s">
        <v>60</v>
      </c>
      <c r="I5948" s="187">
        <v>32.947976879999999</v>
      </c>
      <c r="J5948" s="239" t="s">
        <v>941</v>
      </c>
      <c r="K5948" s="239" t="s">
        <v>116</v>
      </c>
    </row>
    <row r="5949" spans="1:14" ht="14.25" x14ac:dyDescent="0.2">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6</v>
      </c>
      <c r="H5949" s="238" t="s">
        <v>60</v>
      </c>
      <c r="I5949" s="187">
        <v>19.075144510000001</v>
      </c>
      <c r="J5949" s="239" t="s">
        <v>941</v>
      </c>
      <c r="K5949" s="239" t="s">
        <v>116</v>
      </c>
    </row>
    <row r="5950" spans="1:14" ht="14.25" x14ac:dyDescent="0.2">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8</v>
      </c>
      <c r="H5950" s="238" t="s">
        <v>60</v>
      </c>
      <c r="I5950" s="187">
        <v>12.518750259999999</v>
      </c>
      <c r="J5950" s="239" t="s">
        <v>941</v>
      </c>
      <c r="K5950" s="239" t="s">
        <v>116</v>
      </c>
      <c r="L5950" s="195">
        <v>3.534941238</v>
      </c>
      <c r="M5950" s="52" t="s">
        <v>941</v>
      </c>
      <c r="N5950" s="52" t="s">
        <v>117</v>
      </c>
    </row>
    <row r="5951" spans="1:14" ht="14.25" x14ac:dyDescent="0.2">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12</v>
      </c>
      <c r="H5951" s="238" t="s">
        <v>60</v>
      </c>
      <c r="I5951" s="187">
        <v>7.6739227249999997</v>
      </c>
      <c r="J5951" s="239" t="s">
        <v>941</v>
      </c>
      <c r="K5951" s="239" t="s">
        <v>116</v>
      </c>
      <c r="L5951" s="195">
        <v>1.4082164619999999</v>
      </c>
      <c r="M5951" s="52" t="s">
        <v>941</v>
      </c>
      <c r="N5951" s="52" t="s">
        <v>117</v>
      </c>
    </row>
    <row r="5952" spans="1:14" ht="14.25" x14ac:dyDescent="0.2">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16</v>
      </c>
      <c r="H5952" s="238" t="s">
        <v>60</v>
      </c>
      <c r="I5952" s="187">
        <v>4.3414085980000001</v>
      </c>
      <c r="J5952" s="239" t="s">
        <v>941</v>
      </c>
      <c r="K5952" s="239" t="s">
        <v>116</v>
      </c>
      <c r="L5952" s="195">
        <v>0.1057603</v>
      </c>
      <c r="M5952" s="52" t="s">
        <v>941</v>
      </c>
      <c r="N5952" s="52" t="s">
        <v>117</v>
      </c>
    </row>
    <row r="5953" spans="1:14" ht="14.25" x14ac:dyDescent="0.2">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24</v>
      </c>
      <c r="H5953" s="238" t="s">
        <v>60</v>
      </c>
      <c r="I5953" s="187">
        <v>2.7924990329999999</v>
      </c>
      <c r="J5953" s="239" t="s">
        <v>941</v>
      </c>
      <c r="K5953" s="239" t="s">
        <v>116</v>
      </c>
      <c r="L5953" s="195">
        <v>0.59295346699999996</v>
      </c>
      <c r="M5953" s="52" t="s">
        <v>941</v>
      </c>
      <c r="N5953" s="52" t="s">
        <v>117</v>
      </c>
    </row>
    <row r="5954" spans="1:14" ht="14.25" x14ac:dyDescent="0.2">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36</v>
      </c>
      <c r="H5954" s="238" t="s">
        <v>60</v>
      </c>
      <c r="I5954" s="187">
        <v>1.9619273740000001</v>
      </c>
      <c r="J5954" s="239" t="s">
        <v>941</v>
      </c>
      <c r="K5954" s="239" t="s">
        <v>116</v>
      </c>
      <c r="L5954" s="195">
        <v>0.59468864200000005</v>
      </c>
      <c r="M5954" s="52" t="s">
        <v>941</v>
      </c>
      <c r="N5954" s="52" t="s">
        <v>117</v>
      </c>
    </row>
    <row r="5955" spans="1:14" ht="14.25" x14ac:dyDescent="0.2">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48</v>
      </c>
      <c r="H5955" s="238" t="s">
        <v>60</v>
      </c>
      <c r="I5955" s="187">
        <v>1.3894954939999999</v>
      </c>
      <c r="J5955" s="239" t="s">
        <v>941</v>
      </c>
      <c r="K5955" s="239" t="s">
        <v>116</v>
      </c>
      <c r="L5955" s="195">
        <v>3.3849258E-2</v>
      </c>
      <c r="M5955" s="52" t="s">
        <v>941</v>
      </c>
      <c r="N5955" s="52" t="s">
        <v>117</v>
      </c>
    </row>
    <row r="5956" spans="1:14" ht="14.25" x14ac:dyDescent="0.2">
      <c r="A5956" s="30">
        <v>655</v>
      </c>
      <c r="B5956" s="249" t="str">
        <f>IF(AND(A5956&lt;&gt;"",ISNUMBER(A5956)),VLOOKUP(A5956,Studies!A:BR,2,FALSE),"")</f>
        <v>Komoroski 2009</v>
      </c>
      <c r="C5956" s="250" t="str">
        <f>IF(AND(A5956&lt;&gt;"",ISNUMBER(A5956)),VLOOKUP(A5956,Studies!A:BR,3,FALSE),"")</f>
        <v>https://www.ncbi.nlm.nih.gov/pubmed/19129748</v>
      </c>
      <c r="D5956" s="250" t="str">
        <f>IF(AND(A5956&lt;&gt;"",ISNUMBER(A5956)),VLOOKUP(A5956,Studies!A:BR,4,FALSE),"")</f>
        <v>SAD 2.5 mg</v>
      </c>
      <c r="E5956" s="250" t="str">
        <f>IF(AND(A5956&lt;&gt;"",ISNUMBER(A5956)),VLOOKUP(A5956,Studies!A:BR,5,FALSE),"")</f>
        <v>Dapagliflozin</v>
      </c>
      <c r="F5956" s="251" t="str">
        <f>IF(AND(A5956&lt;&gt;"",ISNUMBER(A5956)),VLOOKUP(A5956,Studies!A:BR,6,FALSE),"")</f>
        <v>Plasma</v>
      </c>
      <c r="G5956" s="194">
        <v>0.5</v>
      </c>
      <c r="H5956" s="50" t="s">
        <v>60</v>
      </c>
      <c r="I5956" s="246">
        <v>31.72268</v>
      </c>
      <c r="J5956" s="239" t="s">
        <v>941</v>
      </c>
      <c r="K5956" s="239" t="s">
        <v>116</v>
      </c>
    </row>
    <row r="5957" spans="1:14" ht="14.25" x14ac:dyDescent="0.2">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1</v>
      </c>
      <c r="H5957" s="50" t="s">
        <v>60</v>
      </c>
      <c r="I5957" s="246">
        <v>28.317489999999999</v>
      </c>
      <c r="J5957" s="239" t="s">
        <v>941</v>
      </c>
      <c r="K5957" s="239" t="s">
        <v>116</v>
      </c>
    </row>
    <row r="5958" spans="1:14" ht="14.25" x14ac:dyDescent="0.2">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1.5</v>
      </c>
      <c r="H5958" s="50" t="s">
        <v>60</v>
      </c>
      <c r="I5958" s="246">
        <v>21.319009999999999</v>
      </c>
      <c r="J5958" s="239" t="s">
        <v>941</v>
      </c>
      <c r="K5958" s="239" t="s">
        <v>116</v>
      </c>
    </row>
    <row r="5959" spans="1:14" ht="14.25" x14ac:dyDescent="0.2">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2</v>
      </c>
      <c r="H5959" s="50" t="s">
        <v>60</v>
      </c>
      <c r="I5959" s="187">
        <v>17.312360000000002</v>
      </c>
      <c r="J5959" s="239" t="s">
        <v>941</v>
      </c>
      <c r="K5959" s="239" t="s">
        <v>116</v>
      </c>
    </row>
    <row r="5960" spans="1:14" ht="14.25" x14ac:dyDescent="0.2">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4</v>
      </c>
      <c r="H5960" s="50" t="s">
        <v>60</v>
      </c>
      <c r="I5960" s="187">
        <v>12.549609999999999</v>
      </c>
      <c r="J5960" s="239" t="s">
        <v>941</v>
      </c>
      <c r="K5960" s="239" t="s">
        <v>116</v>
      </c>
    </row>
    <row r="5961" spans="1:14" ht="14.25" x14ac:dyDescent="0.2">
      <c r="A5961" s="30">
        <v>656</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5 mg</v>
      </c>
      <c r="E5961" s="250" t="str">
        <f>IF(AND(A5961&lt;&gt;"",ISNUMBER(A5961)),VLOOKUP(A5961,Studies!A:BR,5,FALSE),"")</f>
        <v>Dapagliflozin</v>
      </c>
      <c r="F5961" s="251" t="str">
        <f>IF(AND(A5961&lt;&gt;"",ISNUMBER(A5961)),VLOOKUP(A5961,Studies!A:BR,6,FALSE),"")</f>
        <v>Plasma</v>
      </c>
      <c r="G5961" s="194">
        <v>0.5</v>
      </c>
      <c r="H5961" s="50" t="s">
        <v>60</v>
      </c>
      <c r="I5961" s="187">
        <v>65.117639999999994</v>
      </c>
      <c r="J5961" s="239" t="s">
        <v>941</v>
      </c>
      <c r="K5961" s="239" t="s">
        <v>116</v>
      </c>
    </row>
    <row r="5962" spans="1:14" ht="14.25" x14ac:dyDescent="0.2">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1</v>
      </c>
      <c r="H5962" s="50" t="s">
        <v>60</v>
      </c>
      <c r="I5962" s="187">
        <v>53.889830000000003</v>
      </c>
      <c r="J5962" s="239" t="s">
        <v>941</v>
      </c>
      <c r="K5962" s="239" t="s">
        <v>116</v>
      </c>
    </row>
    <row r="5963" spans="1:14" ht="14.25" x14ac:dyDescent="0.2">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1.5</v>
      </c>
      <c r="H5963" s="50" t="s">
        <v>60</v>
      </c>
      <c r="I5963" s="187">
        <v>36.908230000000003</v>
      </c>
      <c r="J5963" s="239" t="s">
        <v>941</v>
      </c>
      <c r="K5963" s="239" t="s">
        <v>116</v>
      </c>
    </row>
    <row r="5964" spans="1:14" ht="14.25" x14ac:dyDescent="0.2">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2</v>
      </c>
      <c r="H5964" s="50" t="s">
        <v>60</v>
      </c>
      <c r="I5964" s="187">
        <v>29.971769999999999</v>
      </c>
      <c r="J5964" s="239" t="s">
        <v>941</v>
      </c>
      <c r="K5964" s="239" t="s">
        <v>116</v>
      </c>
    </row>
    <row r="5965" spans="1:14" ht="14.25" x14ac:dyDescent="0.2">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4</v>
      </c>
      <c r="H5965" s="50" t="s">
        <v>60</v>
      </c>
      <c r="I5965" s="187">
        <v>16.669319999999999</v>
      </c>
      <c r="J5965" s="239" t="s">
        <v>941</v>
      </c>
      <c r="K5965" s="239" t="s">
        <v>116</v>
      </c>
    </row>
    <row r="5966" spans="1:14" ht="14.25" x14ac:dyDescent="0.2">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6</v>
      </c>
      <c r="H5966" s="50" t="s">
        <v>60</v>
      </c>
      <c r="I5966" s="187">
        <v>11.202500000000001</v>
      </c>
      <c r="J5966" s="239" t="s">
        <v>941</v>
      </c>
      <c r="K5966" s="239" t="s">
        <v>116</v>
      </c>
    </row>
    <row r="5967" spans="1:14" ht="14.25" x14ac:dyDescent="0.2">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8</v>
      </c>
      <c r="H5967" s="50" t="s">
        <v>60</v>
      </c>
      <c r="I5967" s="187">
        <v>12.31433</v>
      </c>
      <c r="J5967" s="239" t="s">
        <v>941</v>
      </c>
      <c r="K5967" s="239" t="s">
        <v>116</v>
      </c>
    </row>
    <row r="5968" spans="1:14" ht="14.25" x14ac:dyDescent="0.2">
      <c r="A5968" s="30">
        <v>657</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10 mg</v>
      </c>
      <c r="E5968" s="250" t="str">
        <f>IF(AND(A5968&lt;&gt;"",ISNUMBER(A5968)),VLOOKUP(A5968,Studies!A:BR,5,FALSE),"")</f>
        <v>Dapagliflozin</v>
      </c>
      <c r="F5968" s="251" t="str">
        <f>IF(AND(A5968&lt;&gt;"",ISNUMBER(A5968)),VLOOKUP(A5968,Studies!A:BR,6,FALSE),"")</f>
        <v>Plasma</v>
      </c>
      <c r="G5968" s="194">
        <v>0.5</v>
      </c>
      <c r="H5968" s="50" t="s">
        <v>60</v>
      </c>
      <c r="I5968" s="187">
        <v>61.523510000000002</v>
      </c>
      <c r="J5968" s="239" t="s">
        <v>941</v>
      </c>
      <c r="K5968" s="239" t="s">
        <v>116</v>
      </c>
    </row>
    <row r="5969" spans="1:11" ht="14.25" x14ac:dyDescent="0.2">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1</v>
      </c>
      <c r="H5969" s="50" t="s">
        <v>60</v>
      </c>
      <c r="I5969" s="187">
        <v>110.62050000000001</v>
      </c>
      <c r="J5969" s="239" t="s">
        <v>941</v>
      </c>
      <c r="K5969" s="239" t="s">
        <v>116</v>
      </c>
    </row>
    <row r="5970" spans="1:11" ht="14.25" x14ac:dyDescent="0.2">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1.5</v>
      </c>
      <c r="H5970" s="50" t="s">
        <v>60</v>
      </c>
      <c r="I5970" s="187">
        <v>86.494060000000005</v>
      </c>
      <c r="J5970" s="239" t="s">
        <v>941</v>
      </c>
      <c r="K5970" s="239" t="s">
        <v>116</v>
      </c>
    </row>
    <row r="5971" spans="1:11" ht="14.25" x14ac:dyDescent="0.2">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2</v>
      </c>
      <c r="H5971" s="50" t="s">
        <v>60</v>
      </c>
      <c r="I5971" s="187">
        <v>59.238320000000002</v>
      </c>
      <c r="J5971" s="239" t="s">
        <v>941</v>
      </c>
      <c r="K5971" s="239" t="s">
        <v>116</v>
      </c>
    </row>
    <row r="5972" spans="1:11" ht="14.25" x14ac:dyDescent="0.2">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4</v>
      </c>
      <c r="H5972" s="50" t="s">
        <v>60</v>
      </c>
      <c r="I5972" s="187">
        <v>32.328760000000003</v>
      </c>
      <c r="J5972" s="239" t="s">
        <v>941</v>
      </c>
      <c r="K5972" s="239" t="s">
        <v>116</v>
      </c>
    </row>
    <row r="5973" spans="1:11" ht="14.25" x14ac:dyDescent="0.2">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6</v>
      </c>
      <c r="H5973" s="50" t="s">
        <v>60</v>
      </c>
      <c r="I5973" s="187">
        <v>18.323720000000002</v>
      </c>
      <c r="J5973" s="239" t="s">
        <v>941</v>
      </c>
      <c r="K5973" s="239" t="s">
        <v>116</v>
      </c>
    </row>
    <row r="5974" spans="1:11" ht="14.25" x14ac:dyDescent="0.2">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8</v>
      </c>
      <c r="H5974" s="50" t="s">
        <v>60</v>
      </c>
      <c r="I5974" s="187">
        <v>14.327299999999999</v>
      </c>
      <c r="J5974" s="239" t="s">
        <v>941</v>
      </c>
      <c r="K5974" s="239" t="s">
        <v>116</v>
      </c>
    </row>
    <row r="5975" spans="1:11" ht="14.25" x14ac:dyDescent="0.2">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10</v>
      </c>
      <c r="H5975" s="50" t="s">
        <v>60</v>
      </c>
      <c r="I5975" s="187">
        <v>13.79514</v>
      </c>
      <c r="J5975" s="239" t="s">
        <v>941</v>
      </c>
      <c r="K5975" s="239" t="s">
        <v>116</v>
      </c>
    </row>
    <row r="5976" spans="1:11" ht="14.25" x14ac:dyDescent="0.2">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12</v>
      </c>
      <c r="H5976" s="50" t="s">
        <v>60</v>
      </c>
      <c r="I5976" s="187">
        <v>10.19106</v>
      </c>
      <c r="J5976" s="239" t="s">
        <v>941</v>
      </c>
      <c r="K5976" s="239" t="s">
        <v>116</v>
      </c>
    </row>
    <row r="5977" spans="1:11" ht="14.25" x14ac:dyDescent="0.2">
      <c r="A5977" s="30">
        <v>658</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20 mg</v>
      </c>
      <c r="E5977" s="250" t="str">
        <f>IF(AND(A5977&lt;&gt;"",ISNUMBER(A5977)),VLOOKUP(A5977,Studies!A:BR,5,FALSE),"")</f>
        <v>Dapagliflozin</v>
      </c>
      <c r="F5977" s="251" t="str">
        <f>IF(AND(A5977&lt;&gt;"",ISNUMBER(A5977)),VLOOKUP(A5977,Studies!A:BR,6,FALSE),"")</f>
        <v>Plasma</v>
      </c>
      <c r="G5977" s="194">
        <v>0.5</v>
      </c>
      <c r="H5977" s="50" t="s">
        <v>60</v>
      </c>
      <c r="I5977" s="187">
        <v>80.188029999999998</v>
      </c>
      <c r="J5977" s="239" t="s">
        <v>941</v>
      </c>
      <c r="K5977" s="239" t="s">
        <v>116</v>
      </c>
    </row>
    <row r="5978" spans="1:11" ht="14.25" x14ac:dyDescent="0.2">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1</v>
      </c>
      <c r="H5978" s="50" t="s">
        <v>60</v>
      </c>
      <c r="I5978" s="187">
        <v>254.37790000000001</v>
      </c>
      <c r="J5978" s="239" t="s">
        <v>941</v>
      </c>
      <c r="K5978" s="239" t="s">
        <v>116</v>
      </c>
    </row>
    <row r="5979" spans="1:11" ht="14.25" x14ac:dyDescent="0.2">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1.5</v>
      </c>
      <c r="H5979" s="50" t="s">
        <v>60</v>
      </c>
      <c r="I5979" s="187">
        <v>195.16909999999999</v>
      </c>
      <c r="J5979" s="239" t="s">
        <v>941</v>
      </c>
      <c r="K5979" s="239" t="s">
        <v>116</v>
      </c>
    </row>
    <row r="5980" spans="1:11" ht="14.25" x14ac:dyDescent="0.2">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2</v>
      </c>
      <c r="H5980" s="50" t="s">
        <v>60</v>
      </c>
      <c r="I5980" s="187">
        <v>164.60319999999999</v>
      </c>
      <c r="J5980" s="239" t="s">
        <v>941</v>
      </c>
      <c r="K5980" s="239" t="s">
        <v>116</v>
      </c>
    </row>
    <row r="5981" spans="1:11" ht="14.25" x14ac:dyDescent="0.2">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4</v>
      </c>
      <c r="H5981" s="50" t="s">
        <v>60</v>
      </c>
      <c r="I5981" s="187">
        <v>81.720079999999996</v>
      </c>
      <c r="J5981" s="239" t="s">
        <v>941</v>
      </c>
      <c r="K5981" s="239" t="s">
        <v>116</v>
      </c>
    </row>
    <row r="5982" spans="1:11" ht="14.25" x14ac:dyDescent="0.2">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6</v>
      </c>
      <c r="H5982" s="50" t="s">
        <v>60</v>
      </c>
      <c r="I5982" s="187">
        <v>40.57132</v>
      </c>
      <c r="J5982" s="239" t="s">
        <v>941</v>
      </c>
      <c r="K5982" s="239" t="s">
        <v>116</v>
      </c>
    </row>
    <row r="5983" spans="1:11" ht="14.25" x14ac:dyDescent="0.2">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8</v>
      </c>
      <c r="H5983" s="50" t="s">
        <v>60</v>
      </c>
      <c r="I5983" s="187">
        <v>31.127960000000002</v>
      </c>
      <c r="J5983" s="239" t="s">
        <v>941</v>
      </c>
      <c r="K5983" s="239" t="s">
        <v>116</v>
      </c>
    </row>
    <row r="5984" spans="1:11" ht="14.25" x14ac:dyDescent="0.2">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10</v>
      </c>
      <c r="H5984" s="50" t="s">
        <v>60</v>
      </c>
      <c r="I5984" s="187">
        <v>22.564450000000001</v>
      </c>
      <c r="J5984" s="239" t="s">
        <v>941</v>
      </c>
      <c r="K5984" s="239" t="s">
        <v>116</v>
      </c>
    </row>
    <row r="5985" spans="1:11" ht="14.25" x14ac:dyDescent="0.2">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12</v>
      </c>
      <c r="H5985" s="50" t="s">
        <v>60</v>
      </c>
      <c r="I5985" s="187">
        <v>17.312360000000002</v>
      </c>
      <c r="J5985" s="239" t="s">
        <v>941</v>
      </c>
      <c r="K5985" s="239" t="s">
        <v>116</v>
      </c>
    </row>
    <row r="5986" spans="1:11" ht="14.25" x14ac:dyDescent="0.2">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14</v>
      </c>
      <c r="H5986" s="50" t="s">
        <v>60</v>
      </c>
      <c r="I5986" s="187">
        <v>12.31433</v>
      </c>
      <c r="J5986" s="239" t="s">
        <v>941</v>
      </c>
      <c r="K5986" s="239" t="s">
        <v>116</v>
      </c>
    </row>
    <row r="5987" spans="1:11" ht="14.25" x14ac:dyDescent="0.2">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18</v>
      </c>
      <c r="H5987" s="50" t="s">
        <v>60</v>
      </c>
      <c r="I5987" s="187">
        <v>11.41653</v>
      </c>
      <c r="J5987" s="239" t="s">
        <v>941</v>
      </c>
      <c r="K5987" s="239" t="s">
        <v>116</v>
      </c>
    </row>
    <row r="5988" spans="1:11" ht="14.25" x14ac:dyDescent="0.2">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22</v>
      </c>
      <c r="H5988" s="50" t="s">
        <v>60</v>
      </c>
      <c r="I5988" s="187">
        <v>10.385759999999999</v>
      </c>
      <c r="J5988" s="239" t="s">
        <v>941</v>
      </c>
      <c r="K5988" s="239" t="s">
        <v>116</v>
      </c>
    </row>
    <row r="5989" spans="1:11" ht="14.25" x14ac:dyDescent="0.2">
      <c r="A5989" s="30">
        <v>659</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50 mg</v>
      </c>
      <c r="E5989" s="250" t="str">
        <f>IF(AND(A5989&lt;&gt;"",ISNUMBER(A5989)),VLOOKUP(A5989,Studies!A:BR,5,FALSE),"")</f>
        <v>Dapagliflozin</v>
      </c>
      <c r="F5989" s="251" t="str">
        <f>IF(AND(A5989&lt;&gt;"",ISNUMBER(A5989)),VLOOKUP(A5989,Studies!A:BR,6,FALSE),"")</f>
        <v>Plasma</v>
      </c>
      <c r="G5989" s="194">
        <v>0.5</v>
      </c>
      <c r="H5989" s="50" t="s">
        <v>60</v>
      </c>
      <c r="I5989" s="187">
        <v>279.62459999999999</v>
      </c>
      <c r="J5989" s="239" t="s">
        <v>941</v>
      </c>
      <c r="K5989" s="239" t="s">
        <v>116</v>
      </c>
    </row>
    <row r="5990" spans="1:11" ht="14.25" x14ac:dyDescent="0.2">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1</v>
      </c>
      <c r="H5990" s="50" t="s">
        <v>60</v>
      </c>
      <c r="I5990" s="187">
        <v>607.52149999999995</v>
      </c>
      <c r="J5990" s="239" t="s">
        <v>941</v>
      </c>
      <c r="K5990" s="239" t="s">
        <v>116</v>
      </c>
    </row>
    <row r="5991" spans="1:11" ht="14.25" x14ac:dyDescent="0.2">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1.5</v>
      </c>
      <c r="H5991" s="50" t="s">
        <v>60</v>
      </c>
      <c r="I5991" s="187">
        <v>466.11509999999998</v>
      </c>
      <c r="J5991" s="239" t="s">
        <v>941</v>
      </c>
      <c r="K5991" s="239" t="s">
        <v>116</v>
      </c>
    </row>
    <row r="5992" spans="1:11" ht="14.25" x14ac:dyDescent="0.2">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2</v>
      </c>
      <c r="H5992" s="50" t="s">
        <v>60</v>
      </c>
      <c r="I5992" s="187">
        <v>290.41140000000001</v>
      </c>
      <c r="J5992" s="239" t="s">
        <v>941</v>
      </c>
      <c r="K5992" s="239" t="s">
        <v>116</v>
      </c>
    </row>
    <row r="5993" spans="1:11" ht="14.25" x14ac:dyDescent="0.2">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4</v>
      </c>
      <c r="H5993" s="50" t="s">
        <v>60</v>
      </c>
      <c r="I5993" s="187">
        <v>144.1797</v>
      </c>
      <c r="J5993" s="239" t="s">
        <v>941</v>
      </c>
      <c r="K5993" s="239" t="s">
        <v>116</v>
      </c>
    </row>
    <row r="5994" spans="1:11" ht="14.25" x14ac:dyDescent="0.2">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6</v>
      </c>
      <c r="H5994" s="50" t="s">
        <v>60</v>
      </c>
      <c r="I5994" s="187">
        <v>78.684719999999999</v>
      </c>
      <c r="J5994" s="239" t="s">
        <v>941</v>
      </c>
      <c r="K5994" s="239" t="s">
        <v>116</v>
      </c>
    </row>
    <row r="5995" spans="1:11" ht="14.25" x14ac:dyDescent="0.2">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8</v>
      </c>
      <c r="H5995" s="50" t="s">
        <v>60</v>
      </c>
      <c r="I5995" s="187">
        <v>54.919429999999998</v>
      </c>
      <c r="J5995" s="239" t="s">
        <v>941</v>
      </c>
      <c r="K5995" s="239" t="s">
        <v>116</v>
      </c>
    </row>
    <row r="5996" spans="1:11" ht="14.25" x14ac:dyDescent="0.2">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10</v>
      </c>
      <c r="H5996" s="50" t="s">
        <v>60</v>
      </c>
      <c r="I5996" s="187">
        <v>43.761870000000002</v>
      </c>
      <c r="J5996" s="239" t="s">
        <v>941</v>
      </c>
      <c r="K5996" s="239" t="s">
        <v>116</v>
      </c>
    </row>
    <row r="5997" spans="1:11" ht="14.25" x14ac:dyDescent="0.2">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12</v>
      </c>
      <c r="H5997" s="50" t="s">
        <v>60</v>
      </c>
      <c r="I5997" s="187">
        <v>32.328760000000003</v>
      </c>
      <c r="J5997" s="239" t="s">
        <v>941</v>
      </c>
      <c r="K5997" s="239" t="s">
        <v>116</v>
      </c>
    </row>
    <row r="5998" spans="1:11" ht="14.25" x14ac:dyDescent="0.2">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14</v>
      </c>
      <c r="H5998" s="50" t="s">
        <v>60</v>
      </c>
      <c r="I5998" s="187">
        <v>23.434889999999999</v>
      </c>
      <c r="J5998" s="239" t="s">
        <v>941</v>
      </c>
      <c r="K5998" s="239" t="s">
        <v>116</v>
      </c>
    </row>
    <row r="5999" spans="1:11" ht="14.25" x14ac:dyDescent="0.2">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18</v>
      </c>
      <c r="H5999" s="50" t="s">
        <v>60</v>
      </c>
      <c r="I5999" s="187">
        <v>17.312360000000002</v>
      </c>
      <c r="J5999" s="239" t="s">
        <v>941</v>
      </c>
      <c r="K5999" s="239" t="s">
        <v>116</v>
      </c>
    </row>
    <row r="6000" spans="1:11" ht="14.25" x14ac:dyDescent="0.2">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22</v>
      </c>
      <c r="H6000" s="50" t="s">
        <v>60</v>
      </c>
      <c r="I6000" s="187">
        <v>14.879989999999999</v>
      </c>
      <c r="J6000" s="239" t="s">
        <v>941</v>
      </c>
      <c r="K6000" s="239" t="s">
        <v>116</v>
      </c>
    </row>
    <row r="6001" spans="1:11" ht="14.25" x14ac:dyDescent="0.2">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24</v>
      </c>
      <c r="H6001" s="50" t="s">
        <v>60</v>
      </c>
      <c r="I6001" s="187">
        <v>11.85694</v>
      </c>
      <c r="J6001" s="239" t="s">
        <v>941</v>
      </c>
      <c r="K6001" s="239" t="s">
        <v>116</v>
      </c>
    </row>
    <row r="6002" spans="1:11" ht="14.25" x14ac:dyDescent="0.2">
      <c r="A6002" s="30">
        <v>660</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100 mg</v>
      </c>
      <c r="E6002" s="250" t="str">
        <f>IF(AND(A6002&lt;&gt;"",ISNUMBER(A6002)),VLOOKUP(A6002,Studies!A:BR,5,FALSE),"")</f>
        <v>Dapagliflozin</v>
      </c>
      <c r="F6002" s="251" t="str">
        <f>IF(AND(A6002&lt;&gt;"",ISNUMBER(A6002)),VLOOKUP(A6002,Studies!A:BR,6,FALSE),"")</f>
        <v>Plasma</v>
      </c>
      <c r="G6002" s="194">
        <v>0.5</v>
      </c>
      <c r="H6002" s="50" t="s">
        <v>60</v>
      </c>
      <c r="I6002" s="187">
        <v>393.11579999999998</v>
      </c>
      <c r="J6002" s="239" t="s">
        <v>941</v>
      </c>
      <c r="K6002" s="239" t="s">
        <v>116</v>
      </c>
    </row>
    <row r="6003" spans="1:11" ht="14.25" x14ac:dyDescent="0.2">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1</v>
      </c>
      <c r="H6003" s="50" t="s">
        <v>60</v>
      </c>
      <c r="I6003" s="187">
        <v>887.04409999999996</v>
      </c>
      <c r="J6003" s="239" t="s">
        <v>941</v>
      </c>
      <c r="K6003" s="239" t="s">
        <v>116</v>
      </c>
    </row>
    <row r="6004" spans="1:11" ht="14.25" x14ac:dyDescent="0.2">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1.5</v>
      </c>
      <c r="H6004" s="50" t="s">
        <v>60</v>
      </c>
      <c r="I6004" s="187">
        <v>975.08180000000004</v>
      </c>
      <c r="J6004" s="239" t="s">
        <v>941</v>
      </c>
      <c r="K6004" s="239" t="s">
        <v>116</v>
      </c>
    </row>
    <row r="6005" spans="1:11" ht="14.25" x14ac:dyDescent="0.2">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2</v>
      </c>
      <c r="H6005" s="50" t="s">
        <v>60</v>
      </c>
      <c r="I6005" s="187">
        <v>693.57889999999998</v>
      </c>
      <c r="J6005" s="239" t="s">
        <v>941</v>
      </c>
      <c r="K6005" s="239" t="s">
        <v>116</v>
      </c>
    </row>
    <row r="6006" spans="1:11" ht="14.25" x14ac:dyDescent="0.2">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4</v>
      </c>
      <c r="H6006" s="50" t="s">
        <v>60</v>
      </c>
      <c r="I6006" s="187">
        <v>313.24950000000001</v>
      </c>
      <c r="J6006" s="239" t="s">
        <v>941</v>
      </c>
      <c r="K6006" s="239" t="s">
        <v>116</v>
      </c>
    </row>
    <row r="6007" spans="1:11" ht="14.25" x14ac:dyDescent="0.2">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6</v>
      </c>
      <c r="H6007" s="50" t="s">
        <v>60</v>
      </c>
      <c r="I6007" s="187">
        <v>158.48929999999999</v>
      </c>
      <c r="J6007" s="239" t="s">
        <v>941</v>
      </c>
      <c r="K6007" s="239" t="s">
        <v>116</v>
      </c>
    </row>
    <row r="6008" spans="1:11" ht="14.25" x14ac:dyDescent="0.2">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8</v>
      </c>
      <c r="H6008" s="50" t="s">
        <v>60</v>
      </c>
      <c r="I6008" s="187">
        <v>123.9226</v>
      </c>
      <c r="J6008" s="239" t="s">
        <v>941</v>
      </c>
      <c r="K6008" s="239" t="s">
        <v>116</v>
      </c>
    </row>
    <row r="6009" spans="1:11" ht="14.25" x14ac:dyDescent="0.2">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10</v>
      </c>
      <c r="H6009" s="50" t="s">
        <v>60</v>
      </c>
      <c r="I6009" s="187">
        <v>91.546940000000006</v>
      </c>
      <c r="J6009" s="239" t="s">
        <v>941</v>
      </c>
      <c r="K6009" s="239" t="s">
        <v>116</v>
      </c>
    </row>
    <row r="6010" spans="1:11" ht="14.25" x14ac:dyDescent="0.2">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12</v>
      </c>
      <c r="H6010" s="50" t="s">
        <v>60</v>
      </c>
      <c r="I6010" s="187">
        <v>68.921729999999997</v>
      </c>
      <c r="J6010" s="239" t="s">
        <v>941</v>
      </c>
      <c r="K6010" s="239" t="s">
        <v>116</v>
      </c>
    </row>
    <row r="6011" spans="1:11" ht="14.25" x14ac:dyDescent="0.2">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14</v>
      </c>
      <c r="H6011" s="50" t="s">
        <v>60</v>
      </c>
      <c r="I6011" s="187">
        <v>58.127749999999999</v>
      </c>
      <c r="J6011" s="239" t="s">
        <v>941</v>
      </c>
      <c r="K6011" s="239" t="s">
        <v>116</v>
      </c>
    </row>
    <row r="6012" spans="1:11" ht="14.25" x14ac:dyDescent="0.2">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18</v>
      </c>
      <c r="H6012" s="50" t="s">
        <v>60</v>
      </c>
      <c r="I6012" s="187">
        <v>45.450040000000001</v>
      </c>
      <c r="J6012" s="239" t="s">
        <v>941</v>
      </c>
      <c r="K6012" s="239" t="s">
        <v>116</v>
      </c>
    </row>
    <row r="6013" spans="1:11" ht="14.25" x14ac:dyDescent="0.2">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22</v>
      </c>
      <c r="H6013" s="50" t="s">
        <v>60</v>
      </c>
      <c r="I6013" s="187">
        <v>36.908230000000003</v>
      </c>
      <c r="J6013" s="239" t="s">
        <v>941</v>
      </c>
      <c r="K6013" s="239" t="s">
        <v>116</v>
      </c>
    </row>
    <row r="6014" spans="1:11" ht="14.25" x14ac:dyDescent="0.2">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24</v>
      </c>
      <c r="H6014" s="50" t="s">
        <v>60</v>
      </c>
      <c r="I6014" s="187">
        <v>36.216299999999997</v>
      </c>
      <c r="J6014" s="239" t="s">
        <v>941</v>
      </c>
      <c r="K6014" s="239" t="s">
        <v>116</v>
      </c>
    </row>
    <row r="6015" spans="1:11" ht="14.25" x14ac:dyDescent="0.2">
      <c r="A6015" s="30">
        <v>661</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250 mg fasted</v>
      </c>
      <c r="E6015" s="250" t="str">
        <f>IF(AND(A6015&lt;&gt;"",ISNUMBER(A6015)),VLOOKUP(A6015,Studies!A:BR,5,FALSE),"")</f>
        <v>Dapagliflozin</v>
      </c>
      <c r="F6015" s="251" t="str">
        <f>IF(AND(A6015&lt;&gt;"",ISNUMBER(A6015)),VLOOKUP(A6015,Studies!A:BR,6,FALSE),"")</f>
        <v>Plasma</v>
      </c>
      <c r="G6015" s="194">
        <v>0.5</v>
      </c>
      <c r="H6015" s="50" t="s">
        <v>60</v>
      </c>
      <c r="I6015" s="187">
        <v>563.22889999999995</v>
      </c>
      <c r="J6015" s="239" t="s">
        <v>941</v>
      </c>
      <c r="K6015" s="239" t="s">
        <v>116</v>
      </c>
    </row>
    <row r="6016" spans="1:11" ht="14.25" x14ac:dyDescent="0.2">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1</v>
      </c>
      <c r="H6016" s="50" t="s">
        <v>60</v>
      </c>
      <c r="I6016" s="187">
        <v>2559.877</v>
      </c>
      <c r="J6016" s="239" t="s">
        <v>941</v>
      </c>
      <c r="K6016" s="239" t="s">
        <v>116</v>
      </c>
    </row>
    <row r="6017" spans="1:11" ht="14.25" x14ac:dyDescent="0.2">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1.5</v>
      </c>
      <c r="H6017" s="50" t="s">
        <v>60</v>
      </c>
      <c r="I6017" s="187">
        <v>2118.4949999999999</v>
      </c>
      <c r="J6017" s="239" t="s">
        <v>941</v>
      </c>
      <c r="K6017" s="239" t="s">
        <v>116</v>
      </c>
    </row>
    <row r="6018" spans="1:11" ht="14.25" x14ac:dyDescent="0.2">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2</v>
      </c>
      <c r="H6018" s="50" t="s">
        <v>60</v>
      </c>
      <c r="I6018" s="187">
        <v>2078.779</v>
      </c>
      <c r="J6018" s="239" t="s">
        <v>941</v>
      </c>
      <c r="K6018" s="239" t="s">
        <v>116</v>
      </c>
    </row>
    <row r="6019" spans="1:11" ht="14.25" x14ac:dyDescent="0.2">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4</v>
      </c>
      <c r="H6019" s="50" t="s">
        <v>60</v>
      </c>
      <c r="I6019" s="187">
        <v>1113.2049999999999</v>
      </c>
      <c r="J6019" s="239" t="s">
        <v>941</v>
      </c>
      <c r="K6019" s="239" t="s">
        <v>116</v>
      </c>
    </row>
    <row r="6020" spans="1:11" ht="14.25" x14ac:dyDescent="0.2">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6</v>
      </c>
      <c r="H6020" s="50" t="s">
        <v>60</v>
      </c>
      <c r="I6020" s="187">
        <v>542.30870000000004</v>
      </c>
      <c r="J6020" s="239" t="s">
        <v>941</v>
      </c>
      <c r="K6020" s="239" t="s">
        <v>116</v>
      </c>
    </row>
    <row r="6021" spans="1:11" ht="14.25" x14ac:dyDescent="0.2">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8</v>
      </c>
      <c r="H6021" s="50" t="s">
        <v>60</v>
      </c>
      <c r="I6021" s="187">
        <v>371.41800000000001</v>
      </c>
      <c r="J6021" s="239" t="s">
        <v>941</v>
      </c>
      <c r="K6021" s="239" t="s">
        <v>116</v>
      </c>
    </row>
    <row r="6022" spans="1:11" ht="14.25" x14ac:dyDescent="0.2">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10</v>
      </c>
      <c r="H6022" s="50" t="s">
        <v>60</v>
      </c>
      <c r="I6022" s="187">
        <v>295.9599</v>
      </c>
      <c r="J6022" s="239" t="s">
        <v>941</v>
      </c>
      <c r="K6022" s="239" t="s">
        <v>116</v>
      </c>
    </row>
    <row r="6023" spans="1:11" ht="14.25" x14ac:dyDescent="0.2">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12</v>
      </c>
      <c r="H6023" s="50" t="s">
        <v>60</v>
      </c>
      <c r="I6023" s="187">
        <v>244.92949999999999</v>
      </c>
      <c r="J6023" s="239" t="s">
        <v>941</v>
      </c>
      <c r="K6023" s="239" t="s">
        <v>116</v>
      </c>
    </row>
    <row r="6024" spans="1:11" ht="14.25" x14ac:dyDescent="0.2">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14</v>
      </c>
      <c r="H6024" s="50" t="s">
        <v>60</v>
      </c>
      <c r="I6024" s="187">
        <v>191.51009999999999</v>
      </c>
      <c r="J6024" s="239" t="s">
        <v>941</v>
      </c>
      <c r="K6024" s="239" t="s">
        <v>116</v>
      </c>
    </row>
    <row r="6025" spans="1:11" ht="14.25" x14ac:dyDescent="0.2">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18</v>
      </c>
      <c r="H6025" s="50" t="s">
        <v>60</v>
      </c>
      <c r="I6025" s="187">
        <v>141.47669999999999</v>
      </c>
      <c r="J6025" s="239" t="s">
        <v>941</v>
      </c>
      <c r="K6025" s="239" t="s">
        <v>116</v>
      </c>
    </row>
    <row r="6026" spans="1:11" ht="14.25" x14ac:dyDescent="0.2">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22</v>
      </c>
      <c r="H6026" s="50" t="s">
        <v>60</v>
      </c>
      <c r="I6026" s="187">
        <v>100.6328</v>
      </c>
      <c r="J6026" s="239" t="s">
        <v>941</v>
      </c>
      <c r="K6026" s="239" t="s">
        <v>116</v>
      </c>
    </row>
    <row r="6027" spans="1:11" ht="14.25" x14ac:dyDescent="0.2">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24</v>
      </c>
      <c r="H6027" s="50" t="s">
        <v>60</v>
      </c>
      <c r="I6027" s="187">
        <v>93.296000000000006</v>
      </c>
      <c r="J6027" s="239" t="s">
        <v>941</v>
      </c>
      <c r="K6027" s="239" t="s">
        <v>116</v>
      </c>
    </row>
    <row r="6028" spans="1:11" ht="14.25" x14ac:dyDescent="0.2">
      <c r="A6028" s="30">
        <v>662</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500 mg</v>
      </c>
      <c r="E6028" s="250" t="str">
        <f>IF(AND(A6028&lt;&gt;"",ISNUMBER(A6028)),VLOOKUP(A6028,Studies!A:BR,5,FALSE),"")</f>
        <v>Dapagliflozin</v>
      </c>
      <c r="F6028" s="251" t="str">
        <f>IF(AND(A6028&lt;&gt;"",ISNUMBER(A6028)),VLOOKUP(A6028,Studies!A:BR,6,FALSE),"")</f>
        <v>Plasma</v>
      </c>
      <c r="G6028" s="194">
        <v>0.5</v>
      </c>
      <c r="H6028" s="50" t="s">
        <v>60</v>
      </c>
      <c r="I6028" s="187">
        <v>720.33450000000005</v>
      </c>
      <c r="J6028" s="239" t="s">
        <v>941</v>
      </c>
      <c r="K6028" s="239" t="s">
        <v>116</v>
      </c>
    </row>
    <row r="6029" spans="1:11" ht="14.25" x14ac:dyDescent="0.2">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1</v>
      </c>
      <c r="H6029" s="50" t="s">
        <v>60</v>
      </c>
      <c r="I6029" s="187">
        <v>4431.7510000000002</v>
      </c>
      <c r="J6029" s="239" t="s">
        <v>941</v>
      </c>
      <c r="K6029" s="239" t="s">
        <v>116</v>
      </c>
    </row>
    <row r="6030" spans="1:11" ht="14.25" x14ac:dyDescent="0.2">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1.5</v>
      </c>
      <c r="H6030" s="50" t="s">
        <v>60</v>
      </c>
      <c r="I6030" s="187">
        <v>4780.2659999999996</v>
      </c>
      <c r="J6030" s="239" t="s">
        <v>941</v>
      </c>
      <c r="K6030" s="239" t="s">
        <v>116</v>
      </c>
    </row>
    <row r="6031" spans="1:11" ht="14.25" x14ac:dyDescent="0.2">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2</v>
      </c>
      <c r="H6031" s="50" t="s">
        <v>60</v>
      </c>
      <c r="I6031" s="187">
        <v>4031.6190000000001</v>
      </c>
      <c r="J6031" s="239" t="s">
        <v>941</v>
      </c>
      <c r="K6031" s="239" t="s">
        <v>116</v>
      </c>
    </row>
    <row r="6032" spans="1:11" ht="14.25" x14ac:dyDescent="0.2">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4</v>
      </c>
      <c r="H6032" s="50" t="s">
        <v>60</v>
      </c>
      <c r="I6032" s="187">
        <v>1927.221</v>
      </c>
      <c r="J6032" s="239" t="s">
        <v>941</v>
      </c>
      <c r="K6032" s="239" t="s">
        <v>116</v>
      </c>
    </row>
    <row r="6033" spans="1:14" ht="14.25" x14ac:dyDescent="0.2">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6</v>
      </c>
      <c r="H6033" s="50" t="s">
        <v>60</v>
      </c>
      <c r="I6033" s="187">
        <v>1051.7629999999999</v>
      </c>
      <c r="J6033" s="239" t="s">
        <v>941</v>
      </c>
      <c r="K6033" s="239" t="s">
        <v>116</v>
      </c>
    </row>
    <row r="6034" spans="1:14" ht="14.25" x14ac:dyDescent="0.2">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8</v>
      </c>
      <c r="H6034" s="50" t="s">
        <v>60</v>
      </c>
      <c r="I6034" s="187">
        <v>734.09690000000001</v>
      </c>
      <c r="J6034" s="239" t="s">
        <v>941</v>
      </c>
      <c r="K6034" s="239" t="s">
        <v>116</v>
      </c>
    </row>
    <row r="6035" spans="1:14" ht="14.25" x14ac:dyDescent="0.2">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10</v>
      </c>
      <c r="H6035" s="50" t="s">
        <v>60</v>
      </c>
      <c r="I6035" s="187">
        <v>563.22889999999995</v>
      </c>
      <c r="J6035" s="239" t="s">
        <v>941</v>
      </c>
      <c r="K6035" s="239" t="s">
        <v>116</v>
      </c>
    </row>
    <row r="6036" spans="1:14" ht="14.25" x14ac:dyDescent="0.2">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12</v>
      </c>
      <c r="H6036" s="50" t="s">
        <v>60</v>
      </c>
      <c r="I6036" s="187">
        <v>466.11509999999998</v>
      </c>
      <c r="J6036" s="239" t="s">
        <v>941</v>
      </c>
      <c r="K6036" s="239" t="s">
        <v>116</v>
      </c>
    </row>
    <row r="6037" spans="1:14" ht="14.25" x14ac:dyDescent="0.2">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14</v>
      </c>
      <c r="H6037" s="50" t="s">
        <v>60</v>
      </c>
      <c r="I6037" s="187">
        <v>371.41800000000001</v>
      </c>
      <c r="J6037" s="239" t="s">
        <v>941</v>
      </c>
      <c r="K6037" s="239" t="s">
        <v>116</v>
      </c>
    </row>
    <row r="6038" spans="1:14" ht="14.25" x14ac:dyDescent="0.2">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18</v>
      </c>
      <c r="H6038" s="50" t="s">
        <v>60</v>
      </c>
      <c r="I6038" s="187">
        <v>259.238</v>
      </c>
      <c r="J6038" s="239" t="s">
        <v>941</v>
      </c>
      <c r="K6038" s="239" t="s">
        <v>116</v>
      </c>
    </row>
    <row r="6039" spans="1:14" ht="14.25" x14ac:dyDescent="0.2">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22</v>
      </c>
      <c r="H6039" s="50" t="s">
        <v>60</v>
      </c>
      <c r="I6039" s="187">
        <v>191.51009999999999</v>
      </c>
      <c r="J6039" s="239" t="s">
        <v>941</v>
      </c>
      <c r="K6039" s="239" t="s">
        <v>116</v>
      </c>
    </row>
    <row r="6040" spans="1:14" ht="14.25" x14ac:dyDescent="0.2">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24</v>
      </c>
      <c r="H6040" s="50" t="s">
        <v>60</v>
      </c>
      <c r="I6040" s="187">
        <v>195.16909999999999</v>
      </c>
      <c r="J6040" s="239" t="s">
        <v>941</v>
      </c>
      <c r="K6040" s="239" t="s">
        <v>116</v>
      </c>
    </row>
    <row r="6041" spans="1:14" ht="14.25" x14ac:dyDescent="0.2">
      <c r="A6041" s="30">
        <v>663</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250 mg fed</v>
      </c>
      <c r="E6041" s="250" t="str">
        <f>IF(AND(A6041&lt;&gt;"",ISNUMBER(A6041)),VLOOKUP(A6041,Studies!A:BR,5,FALSE),"")</f>
        <v>Dapagliflozin</v>
      </c>
      <c r="F6041" s="251" t="str">
        <f>IF(AND(A6041&lt;&gt;"",ISNUMBER(A6041)),VLOOKUP(A6041,Studies!A:BR,6,FALSE),"")</f>
        <v>Plasma</v>
      </c>
      <c r="G6041" s="194">
        <v>0.5</v>
      </c>
      <c r="H6041" s="50" t="s">
        <v>60</v>
      </c>
      <c r="I6041" s="187">
        <v>26.140910000000002</v>
      </c>
      <c r="J6041" s="239" t="s">
        <v>941</v>
      </c>
      <c r="K6041" s="239" t="s">
        <v>116</v>
      </c>
      <c r="L6041" s="195">
        <v>22.842210000000001</v>
      </c>
      <c r="M6041" s="52" t="s">
        <v>941</v>
      </c>
      <c r="N6041" s="52" t="s">
        <v>117</v>
      </c>
    </row>
    <row r="6042" spans="1:14" ht="14.25" x14ac:dyDescent="0.2">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1</v>
      </c>
      <c r="H6042" s="50" t="s">
        <v>60</v>
      </c>
      <c r="I6042" s="187">
        <v>125.68899999999999</v>
      </c>
      <c r="J6042" s="239" t="s">
        <v>941</v>
      </c>
      <c r="K6042" s="239" t="s">
        <v>116</v>
      </c>
      <c r="L6042" s="195">
        <v>81.257159999999999</v>
      </c>
      <c r="M6042" s="52" t="s">
        <v>941</v>
      </c>
      <c r="N6042" s="52" t="s">
        <v>117</v>
      </c>
    </row>
    <row r="6043" spans="1:14" ht="14.25" x14ac:dyDescent="0.2">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1.5</v>
      </c>
      <c r="H6043" s="50" t="s">
        <v>60</v>
      </c>
      <c r="I6043" s="187">
        <v>582.41300000000001</v>
      </c>
      <c r="J6043" s="239" t="s">
        <v>941</v>
      </c>
      <c r="K6043" s="239" t="s">
        <v>116</v>
      </c>
      <c r="L6043" s="195">
        <v>394.47550000000001</v>
      </c>
      <c r="M6043" s="52" t="s">
        <v>941</v>
      </c>
      <c r="N6043" s="52" t="s">
        <v>117</v>
      </c>
    </row>
    <row r="6044" spans="1:14" ht="14.25" x14ac:dyDescent="0.2">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2</v>
      </c>
      <c r="H6044" s="50" t="s">
        <v>60</v>
      </c>
      <c r="I6044" s="187">
        <v>977.21659999999997</v>
      </c>
      <c r="J6044" s="239" t="s">
        <v>941</v>
      </c>
      <c r="K6044" s="239" t="s">
        <v>116</v>
      </c>
      <c r="L6044" s="195">
        <v>155.64750000000001</v>
      </c>
      <c r="M6044" s="52" t="s">
        <v>941</v>
      </c>
      <c r="N6044" s="52" t="s">
        <v>117</v>
      </c>
    </row>
    <row r="6045" spans="1:14" ht="14.25" x14ac:dyDescent="0.2">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4</v>
      </c>
      <c r="H6045" s="50" t="s">
        <v>60</v>
      </c>
      <c r="I6045" s="187">
        <v>1524.6980000000001</v>
      </c>
      <c r="J6045" s="239" t="s">
        <v>941</v>
      </c>
      <c r="K6045" s="239" t="s">
        <v>116</v>
      </c>
      <c r="L6045" s="195">
        <v>378.30709999999999</v>
      </c>
      <c r="M6045" s="52" t="s">
        <v>941</v>
      </c>
      <c r="N6045" s="52" t="s">
        <v>117</v>
      </c>
    </row>
    <row r="6046" spans="1:14" ht="14.25" x14ac:dyDescent="0.2">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6</v>
      </c>
      <c r="H6046" s="50" t="s">
        <v>60</v>
      </c>
      <c r="I6046" s="187">
        <v>716.12549999999999</v>
      </c>
      <c r="J6046" s="239" t="s">
        <v>941</v>
      </c>
      <c r="K6046" s="239" t="s">
        <v>116</v>
      </c>
      <c r="L6046" s="195">
        <v>194.3467</v>
      </c>
      <c r="M6046" s="52" t="s">
        <v>941</v>
      </c>
      <c r="N6046" s="52" t="s">
        <v>117</v>
      </c>
    </row>
    <row r="6047" spans="1:14" ht="14.25" x14ac:dyDescent="0.2">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8</v>
      </c>
      <c r="H6047" s="50" t="s">
        <v>60</v>
      </c>
      <c r="I6047" s="187">
        <v>533.71820000000002</v>
      </c>
      <c r="J6047" s="239" t="s">
        <v>941</v>
      </c>
      <c r="K6047" s="239" t="s">
        <v>116</v>
      </c>
      <c r="L6047" s="195">
        <v>132.40100000000001</v>
      </c>
      <c r="M6047" s="52" t="s">
        <v>941</v>
      </c>
      <c r="N6047" s="52" t="s">
        <v>117</v>
      </c>
    </row>
    <row r="6048" spans="1:14" ht="14.25" x14ac:dyDescent="0.2">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10</v>
      </c>
      <c r="H6048" s="50" t="s">
        <v>60</v>
      </c>
      <c r="I6048" s="187">
        <v>369.44470000000001</v>
      </c>
      <c r="J6048" s="239" t="s">
        <v>941</v>
      </c>
      <c r="K6048" s="239" t="s">
        <v>116</v>
      </c>
      <c r="L6048" s="195">
        <v>91.666439999999994</v>
      </c>
      <c r="M6048" s="52" t="s">
        <v>941</v>
      </c>
      <c r="N6048" s="52" t="s">
        <v>117</v>
      </c>
    </row>
    <row r="6049" spans="1:14" ht="14.25" x14ac:dyDescent="0.2">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12</v>
      </c>
      <c r="H6049" s="50" t="s">
        <v>60</v>
      </c>
      <c r="I6049" s="187">
        <v>296.46530000000001</v>
      </c>
      <c r="J6049" s="239" t="s">
        <v>941</v>
      </c>
      <c r="K6049" s="239" t="s">
        <v>116</v>
      </c>
      <c r="L6049" s="195">
        <v>60.126339999999999</v>
      </c>
      <c r="M6049" s="52" t="s">
        <v>941</v>
      </c>
      <c r="N6049" s="52" t="s">
        <v>117</v>
      </c>
    </row>
    <row r="6050" spans="1:14" ht="14.25" x14ac:dyDescent="0.2">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14</v>
      </c>
      <c r="H6050" s="50" t="s">
        <v>60</v>
      </c>
      <c r="I6050" s="187">
        <v>225.0702</v>
      </c>
      <c r="J6050" s="239" t="s">
        <v>941</v>
      </c>
      <c r="K6050" s="239" t="s">
        <v>116</v>
      </c>
      <c r="L6050" s="195">
        <v>40.712299999999999</v>
      </c>
      <c r="M6050" s="52" t="s">
        <v>941</v>
      </c>
      <c r="N6050" s="52" t="s">
        <v>117</v>
      </c>
    </row>
    <row r="6051" spans="1:14" ht="14.25" x14ac:dyDescent="0.2">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18</v>
      </c>
      <c r="H6051" s="50" t="s">
        <v>60</v>
      </c>
      <c r="I6051" s="187">
        <v>153.18450000000001</v>
      </c>
      <c r="J6051" s="239" t="s">
        <v>941</v>
      </c>
      <c r="K6051" s="239" t="s">
        <v>116</v>
      </c>
    </row>
    <row r="6052" spans="1:14" ht="14.25" x14ac:dyDescent="0.2">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22</v>
      </c>
      <c r="H6052" s="50" t="s">
        <v>60</v>
      </c>
      <c r="I6052" s="187">
        <v>116.4725</v>
      </c>
      <c r="J6052" s="239" t="s">
        <v>941</v>
      </c>
      <c r="K6052" s="239" t="s">
        <v>116</v>
      </c>
    </row>
    <row r="6053" spans="1:14" ht="14.25" x14ac:dyDescent="0.2">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24</v>
      </c>
      <c r="H6053" s="50" t="s">
        <v>60</v>
      </c>
      <c r="I6053" s="187">
        <v>116.65519999999999</v>
      </c>
      <c r="J6053" s="239" t="s">
        <v>941</v>
      </c>
      <c r="K6053" s="239" t="s">
        <v>116</v>
      </c>
    </row>
    <row r="6054" spans="1:14" ht="14.25" x14ac:dyDescent="0.2">
      <c r="A6054" s="30">
        <v>664</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MAD 2.5 mg (day 1)</v>
      </c>
      <c r="E6054" s="250" t="str">
        <f>IF(AND(A6054&lt;&gt;"",ISNUMBER(A6054)),VLOOKUP(A6054,Studies!A:BR,5,FALSE),"")</f>
        <v>Dapagliflozin</v>
      </c>
      <c r="F6054" s="251" t="str">
        <f>IF(AND(A6054&lt;&gt;"",ISNUMBER(A6054)),VLOOKUP(A6054,Studies!A:BR,6,FALSE),"")</f>
        <v>Plasma</v>
      </c>
      <c r="G6054" s="194">
        <v>0.5</v>
      </c>
      <c r="H6054" s="50" t="s">
        <v>60</v>
      </c>
      <c r="I6054" s="187">
        <v>17.999870000000001</v>
      </c>
      <c r="J6054" s="239" t="s">
        <v>941</v>
      </c>
      <c r="K6054" s="239" t="s">
        <v>116</v>
      </c>
    </row>
    <row r="6055" spans="1:14" ht="14.25" x14ac:dyDescent="0.2">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1</v>
      </c>
      <c r="H6055" s="50" t="s">
        <v>60</v>
      </c>
      <c r="I6055" s="187">
        <v>24.87623</v>
      </c>
      <c r="J6055" s="239" t="s">
        <v>941</v>
      </c>
      <c r="K6055" s="239" t="s">
        <v>116</v>
      </c>
    </row>
    <row r="6056" spans="1:14" ht="14.25" x14ac:dyDescent="0.2">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1.5</v>
      </c>
      <c r="H6056" s="50" t="s">
        <v>60</v>
      </c>
      <c r="I6056" s="187">
        <v>20.049689999999998</v>
      </c>
      <c r="J6056" s="239" t="s">
        <v>941</v>
      </c>
      <c r="K6056" s="239" t="s">
        <v>116</v>
      </c>
    </row>
    <row r="6057" spans="1:14" ht="14.25" x14ac:dyDescent="0.2">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2</v>
      </c>
      <c r="H6057" s="50" t="s">
        <v>60</v>
      </c>
      <c r="I6057" s="187">
        <v>13.59845</v>
      </c>
      <c r="J6057" s="239" t="s">
        <v>941</v>
      </c>
      <c r="K6057" s="239" t="s">
        <v>116</v>
      </c>
    </row>
    <row r="6058" spans="1:14" ht="14.25" x14ac:dyDescent="0.2">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4</v>
      </c>
      <c r="H6058" s="50" t="s">
        <v>60</v>
      </c>
      <c r="I6058" s="187">
        <v>6.8190460000000002</v>
      </c>
      <c r="J6058" s="239" t="s">
        <v>941</v>
      </c>
      <c r="K6058" s="239" t="s">
        <v>116</v>
      </c>
    </row>
    <row r="6059" spans="1:14" ht="14.25" x14ac:dyDescent="0.2">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6</v>
      </c>
      <c r="H6059" s="50" t="s">
        <v>60</v>
      </c>
      <c r="I6059" s="187">
        <v>5.3787229999999999</v>
      </c>
      <c r="J6059" s="239" t="s">
        <v>941</v>
      </c>
      <c r="K6059" s="239" t="s">
        <v>116</v>
      </c>
    </row>
    <row r="6060" spans="1:14" ht="14.25" x14ac:dyDescent="0.2">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8</v>
      </c>
      <c r="H6060" s="50" t="s">
        <v>60</v>
      </c>
      <c r="I6060" s="187">
        <v>3.8919199999999998</v>
      </c>
      <c r="J6060" s="239" t="s">
        <v>941</v>
      </c>
      <c r="K6060" s="239" t="s">
        <v>116</v>
      </c>
    </row>
    <row r="6061" spans="1:14" ht="14.25" x14ac:dyDescent="0.2">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10</v>
      </c>
      <c r="H6061" s="50" t="s">
        <v>60</v>
      </c>
      <c r="I6061" s="187">
        <v>2.8161040000000002</v>
      </c>
      <c r="J6061" s="239" t="s">
        <v>941</v>
      </c>
      <c r="K6061" s="239" t="s">
        <v>116</v>
      </c>
    </row>
    <row r="6062" spans="1:14" ht="14.25" x14ac:dyDescent="0.2">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12</v>
      </c>
      <c r="H6062" s="50" t="s">
        <v>60</v>
      </c>
      <c r="I6062" s="187">
        <v>2.2697180000000001</v>
      </c>
      <c r="J6062" s="239" t="s">
        <v>941</v>
      </c>
      <c r="K6062" s="239" t="s">
        <v>116</v>
      </c>
    </row>
    <row r="6063" spans="1:14" ht="14.25" x14ac:dyDescent="0.2">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14</v>
      </c>
      <c r="H6063" s="50" t="s">
        <v>60</v>
      </c>
      <c r="I6063" s="187">
        <v>2.0820979999999998</v>
      </c>
      <c r="J6063" s="239" t="s">
        <v>941</v>
      </c>
      <c r="K6063" s="239" t="s">
        <v>116</v>
      </c>
    </row>
    <row r="6064" spans="1:14" ht="14.25" x14ac:dyDescent="0.2">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18</v>
      </c>
      <c r="H6064" s="50" t="s">
        <v>60</v>
      </c>
      <c r="I6064" s="187">
        <v>1.3525320000000001</v>
      </c>
      <c r="J6064" s="239" t="s">
        <v>941</v>
      </c>
      <c r="K6064" s="239" t="s">
        <v>116</v>
      </c>
    </row>
    <row r="6065" spans="1:11" ht="14.25" x14ac:dyDescent="0.2">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22</v>
      </c>
      <c r="H6065" s="50" t="s">
        <v>60</v>
      </c>
      <c r="I6065" s="187">
        <v>1.3525320000000001</v>
      </c>
      <c r="J6065" s="239" t="s">
        <v>941</v>
      </c>
      <c r="K6065" s="239" t="s">
        <v>116</v>
      </c>
    </row>
    <row r="6066" spans="1:11" ht="14.25" x14ac:dyDescent="0.2">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24</v>
      </c>
      <c r="H6066" s="50" t="s">
        <v>60</v>
      </c>
      <c r="I6066" s="187">
        <v>1.162984</v>
      </c>
      <c r="J6066" s="239" t="s">
        <v>941</v>
      </c>
      <c r="K6066" s="239" t="s">
        <v>116</v>
      </c>
    </row>
    <row r="6067" spans="1:11" ht="14.25" x14ac:dyDescent="0.2">
      <c r="A6067" s="30">
        <v>665</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10 mg (day 1)</v>
      </c>
      <c r="E6067" s="250" t="str">
        <f>IF(AND(A6067&lt;&gt;"",ISNUMBER(A6067)),VLOOKUP(A6067,Studies!A:BR,5,FALSE),"")</f>
        <v>Dapagliflozin</v>
      </c>
      <c r="F6067" s="251" t="str">
        <f>IF(AND(A6067&lt;&gt;"",ISNUMBER(A6067)),VLOOKUP(A6067,Studies!A:BR,6,FALSE),"")</f>
        <v>Plasma</v>
      </c>
      <c r="G6067" s="194">
        <v>0.5</v>
      </c>
      <c r="H6067" s="50" t="s">
        <v>60</v>
      </c>
      <c r="I6067" s="187">
        <v>67.096190000000007</v>
      </c>
      <c r="J6067" s="239" t="s">
        <v>941</v>
      </c>
      <c r="K6067" s="239" t="s">
        <v>116</v>
      </c>
    </row>
    <row r="6068" spans="1:11" ht="14.25" x14ac:dyDescent="0.2">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1</v>
      </c>
      <c r="H6068" s="50" t="s">
        <v>60</v>
      </c>
      <c r="I6068" s="187">
        <v>98.927300000000002</v>
      </c>
      <c r="J6068" s="239" t="s">
        <v>941</v>
      </c>
      <c r="K6068" s="239" t="s">
        <v>116</v>
      </c>
    </row>
    <row r="6069" spans="1:11" ht="14.25" x14ac:dyDescent="0.2">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1.5</v>
      </c>
      <c r="H6069" s="50" t="s">
        <v>60</v>
      </c>
      <c r="I6069" s="187">
        <v>83.248170000000002</v>
      </c>
      <c r="J6069" s="239" t="s">
        <v>941</v>
      </c>
      <c r="K6069" s="239" t="s">
        <v>116</v>
      </c>
    </row>
    <row r="6070" spans="1:11" ht="14.25" x14ac:dyDescent="0.2">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2</v>
      </c>
      <c r="H6070" s="50" t="s">
        <v>60</v>
      </c>
      <c r="I6070" s="187">
        <v>68.559169999999995</v>
      </c>
      <c r="J6070" s="239" t="s">
        <v>941</v>
      </c>
      <c r="K6070" s="239" t="s">
        <v>116</v>
      </c>
    </row>
    <row r="6071" spans="1:11" ht="14.25" x14ac:dyDescent="0.2">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4</v>
      </c>
      <c r="H6071" s="50" t="s">
        <v>60</v>
      </c>
      <c r="I6071" s="187">
        <v>32.927930000000003</v>
      </c>
      <c r="J6071" s="239" t="s">
        <v>941</v>
      </c>
      <c r="K6071" s="239" t="s">
        <v>116</v>
      </c>
    </row>
    <row r="6072" spans="1:11" ht="14.25" x14ac:dyDescent="0.2">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6</v>
      </c>
      <c r="H6072" s="50" t="s">
        <v>60</v>
      </c>
      <c r="I6072" s="187">
        <v>21.39</v>
      </c>
      <c r="J6072" s="239" t="s">
        <v>941</v>
      </c>
      <c r="K6072" s="239" t="s">
        <v>116</v>
      </c>
    </row>
    <row r="6073" spans="1:11" ht="14.25" x14ac:dyDescent="0.2">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8</v>
      </c>
      <c r="H6073" s="50" t="s">
        <v>60</v>
      </c>
      <c r="I6073" s="187">
        <v>15.814780000000001</v>
      </c>
      <c r="J6073" s="239" t="s">
        <v>941</v>
      </c>
      <c r="K6073" s="239" t="s">
        <v>116</v>
      </c>
    </row>
    <row r="6074" spans="1:11" ht="14.25" x14ac:dyDescent="0.2">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10</v>
      </c>
      <c r="H6074" s="50" t="s">
        <v>60</v>
      </c>
      <c r="I6074" s="187">
        <v>11.69272</v>
      </c>
      <c r="J6074" s="239" t="s">
        <v>941</v>
      </c>
      <c r="K6074" s="239" t="s">
        <v>116</v>
      </c>
    </row>
    <row r="6075" spans="1:11" ht="14.25" x14ac:dyDescent="0.2">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12</v>
      </c>
      <c r="H6075" s="50" t="s">
        <v>60</v>
      </c>
      <c r="I6075" s="187">
        <v>8.8335609999999996</v>
      </c>
      <c r="J6075" s="239" t="s">
        <v>941</v>
      </c>
      <c r="K6075" s="239" t="s">
        <v>116</v>
      </c>
    </row>
    <row r="6076" spans="1:11" ht="14.25" x14ac:dyDescent="0.2">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14</v>
      </c>
      <c r="H6076" s="50" t="s">
        <v>60</v>
      </c>
      <c r="I6076" s="187">
        <v>7.9304420000000002</v>
      </c>
      <c r="J6076" s="239" t="s">
        <v>941</v>
      </c>
      <c r="K6076" s="239" t="s">
        <v>116</v>
      </c>
    </row>
    <row r="6077" spans="1:11" ht="14.25" x14ac:dyDescent="0.2">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18</v>
      </c>
      <c r="H6077" s="50" t="s">
        <v>60</v>
      </c>
      <c r="I6077" s="187">
        <v>5.1516200000000003</v>
      </c>
      <c r="J6077" s="239" t="s">
        <v>941</v>
      </c>
      <c r="K6077" s="239" t="s">
        <v>116</v>
      </c>
    </row>
    <row r="6078" spans="1:11" ht="14.25" x14ac:dyDescent="0.2">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22</v>
      </c>
      <c r="H6078" s="50" t="s">
        <v>60</v>
      </c>
      <c r="I6078" s="187">
        <v>4.1520919999999997</v>
      </c>
      <c r="J6078" s="239" t="s">
        <v>941</v>
      </c>
      <c r="K6078" s="239" t="s">
        <v>116</v>
      </c>
    </row>
    <row r="6079" spans="1:11" ht="14.25" x14ac:dyDescent="0.2">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24</v>
      </c>
      <c r="H6079" s="50" t="s">
        <v>60</v>
      </c>
      <c r="I6079" s="187">
        <v>3.8088709999999999</v>
      </c>
      <c r="J6079" s="239" t="s">
        <v>941</v>
      </c>
      <c r="K6079" s="239" t="s">
        <v>116</v>
      </c>
    </row>
    <row r="6080" spans="1:11" ht="14.25" x14ac:dyDescent="0.2">
      <c r="A6080" s="30">
        <v>666</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20 mg (day 1)</v>
      </c>
      <c r="E6080" s="250" t="str">
        <f>IF(AND(A6080&lt;&gt;"",ISNUMBER(A6080)),VLOOKUP(A6080,Studies!A:BR,5,FALSE),"")</f>
        <v>Dapagliflozin</v>
      </c>
      <c r="F6080" s="251" t="str">
        <f>IF(AND(A6080&lt;&gt;"",ISNUMBER(A6080)),VLOOKUP(A6080,Studies!A:BR,6,FALSE),"")</f>
        <v>Plasma</v>
      </c>
      <c r="G6080" s="194">
        <v>0.5</v>
      </c>
      <c r="H6080" s="50" t="s">
        <v>60</v>
      </c>
      <c r="I6080" s="187">
        <v>101.0843</v>
      </c>
      <c r="J6080" s="239" t="s">
        <v>941</v>
      </c>
      <c r="K6080" s="239" t="s">
        <v>116</v>
      </c>
    </row>
    <row r="6081" spans="1:11" ht="14.25" x14ac:dyDescent="0.2">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1</v>
      </c>
      <c r="H6081" s="50" t="s">
        <v>60</v>
      </c>
      <c r="I6081" s="187">
        <v>229.43289999999999</v>
      </c>
      <c r="J6081" s="239" t="s">
        <v>941</v>
      </c>
      <c r="K6081" s="239" t="s">
        <v>116</v>
      </c>
    </row>
    <row r="6082" spans="1:11" ht="14.25" x14ac:dyDescent="0.2">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1.5</v>
      </c>
      <c r="H6082" s="50" t="s">
        <v>60</v>
      </c>
      <c r="I6082" s="187">
        <v>155.61000000000001</v>
      </c>
      <c r="J6082" s="239" t="s">
        <v>941</v>
      </c>
      <c r="K6082" s="239" t="s">
        <v>116</v>
      </c>
    </row>
    <row r="6083" spans="1:11" ht="14.25" x14ac:dyDescent="0.2">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2</v>
      </c>
      <c r="H6083" s="50" t="s">
        <v>60</v>
      </c>
      <c r="I6083" s="187">
        <v>105.54049999999999</v>
      </c>
      <c r="J6083" s="239" t="s">
        <v>941</v>
      </c>
      <c r="K6083" s="239" t="s">
        <v>116</v>
      </c>
    </row>
    <row r="6084" spans="1:11" ht="14.25" x14ac:dyDescent="0.2">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4</v>
      </c>
      <c r="H6084" s="50" t="s">
        <v>60</v>
      </c>
      <c r="I6084" s="187">
        <v>51.794750000000001</v>
      </c>
      <c r="J6084" s="239" t="s">
        <v>941</v>
      </c>
      <c r="K6084" s="239" t="s">
        <v>116</v>
      </c>
    </row>
    <row r="6085" spans="1:11" ht="14.25" x14ac:dyDescent="0.2">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6</v>
      </c>
      <c r="H6085" s="50" t="s">
        <v>60</v>
      </c>
      <c r="I6085" s="187">
        <v>33.645890000000001</v>
      </c>
      <c r="J6085" s="239" t="s">
        <v>941</v>
      </c>
      <c r="K6085" s="239" t="s">
        <v>116</v>
      </c>
    </row>
    <row r="6086" spans="1:11" ht="14.25" x14ac:dyDescent="0.2">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8</v>
      </c>
      <c r="H6086" s="50" t="s">
        <v>60</v>
      </c>
      <c r="I6086" s="187">
        <v>23.31747</v>
      </c>
      <c r="J6086" s="239" t="s">
        <v>941</v>
      </c>
      <c r="K6086" s="239" t="s">
        <v>116</v>
      </c>
    </row>
    <row r="6087" spans="1:11" ht="14.25" x14ac:dyDescent="0.2">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10</v>
      </c>
      <c r="H6087" s="50" t="s">
        <v>60</v>
      </c>
      <c r="I6087" s="187">
        <v>20.48686</v>
      </c>
      <c r="J6087" s="239" t="s">
        <v>941</v>
      </c>
      <c r="K6087" s="239" t="s">
        <v>116</v>
      </c>
    </row>
    <row r="6088" spans="1:11" ht="14.25" x14ac:dyDescent="0.2">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12</v>
      </c>
      <c r="H6088" s="50" t="s">
        <v>60</v>
      </c>
      <c r="I6088" s="187">
        <v>12.20818</v>
      </c>
      <c r="J6088" s="239" t="s">
        <v>941</v>
      </c>
      <c r="K6088" s="239" t="s">
        <v>116</v>
      </c>
    </row>
    <row r="6089" spans="1:11" ht="14.25" x14ac:dyDescent="0.2">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14</v>
      </c>
      <c r="H6089" s="50" t="s">
        <v>60</v>
      </c>
      <c r="I6089" s="187">
        <v>11.443210000000001</v>
      </c>
      <c r="J6089" s="239" t="s">
        <v>941</v>
      </c>
      <c r="K6089" s="239" t="s">
        <v>116</v>
      </c>
    </row>
    <row r="6090" spans="1:11" ht="14.25" x14ac:dyDescent="0.2">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18</v>
      </c>
      <c r="H6090" s="50" t="s">
        <v>60</v>
      </c>
      <c r="I6090" s="187">
        <v>8.4605870000000003</v>
      </c>
      <c r="J6090" s="239" t="s">
        <v>941</v>
      </c>
      <c r="K6090" s="239" t="s">
        <v>116</v>
      </c>
    </row>
    <row r="6091" spans="1:11" ht="14.25" x14ac:dyDescent="0.2">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22</v>
      </c>
      <c r="H6091" s="50" t="s">
        <v>60</v>
      </c>
      <c r="I6091" s="187">
        <v>6.1218859999999999</v>
      </c>
      <c r="J6091" s="239" t="s">
        <v>941</v>
      </c>
      <c r="K6091" s="239" t="s">
        <v>116</v>
      </c>
    </row>
    <row r="6092" spans="1:11" ht="14.25" x14ac:dyDescent="0.2">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24</v>
      </c>
      <c r="H6092" s="50" t="s">
        <v>60</v>
      </c>
      <c r="I6092" s="187">
        <v>5.3787229999999999</v>
      </c>
      <c r="J6092" s="239" t="s">
        <v>941</v>
      </c>
      <c r="K6092" s="239" t="s">
        <v>116</v>
      </c>
    </row>
    <row r="6093" spans="1:11" ht="14.25" x14ac:dyDescent="0.2">
      <c r="A6093" s="30">
        <v>667</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50 mg (day 1)</v>
      </c>
      <c r="E6093" s="250" t="str">
        <f>IF(AND(A6093&lt;&gt;"",ISNUMBER(A6093)),VLOOKUP(A6093,Studies!A:BR,5,FALSE),"")</f>
        <v>Dapagliflozin</v>
      </c>
      <c r="F6093" s="251" t="str">
        <f>IF(AND(A6093&lt;&gt;"",ISNUMBER(A6093)),VLOOKUP(A6093,Studies!A:BR,6,FALSE),"")</f>
        <v>Plasma</v>
      </c>
      <c r="G6093" s="194">
        <v>0.5</v>
      </c>
      <c r="H6093" s="50" t="s">
        <v>60</v>
      </c>
      <c r="I6093" s="187">
        <v>345.65410000000003</v>
      </c>
      <c r="J6093" s="239" t="s">
        <v>941</v>
      </c>
      <c r="K6093" s="239" t="s">
        <v>116</v>
      </c>
    </row>
    <row r="6094" spans="1:11" ht="14.25" x14ac:dyDescent="0.2">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1</v>
      </c>
      <c r="H6094" s="50" t="s">
        <v>60</v>
      </c>
      <c r="I6094" s="187">
        <v>532.10249999999996</v>
      </c>
      <c r="J6094" s="239" t="s">
        <v>941</v>
      </c>
      <c r="K6094" s="239" t="s">
        <v>116</v>
      </c>
    </row>
    <row r="6095" spans="1:11" ht="14.25" x14ac:dyDescent="0.2">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1.5</v>
      </c>
      <c r="H6095" s="50" t="s">
        <v>60</v>
      </c>
      <c r="I6095" s="187">
        <v>428.86290000000002</v>
      </c>
      <c r="J6095" s="239" t="s">
        <v>941</v>
      </c>
      <c r="K6095" s="239" t="s">
        <v>116</v>
      </c>
    </row>
    <row r="6096" spans="1:11" ht="14.25" x14ac:dyDescent="0.2">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2</v>
      </c>
      <c r="H6096" s="50" t="s">
        <v>60</v>
      </c>
      <c r="I6096" s="187">
        <v>323.99520000000001</v>
      </c>
      <c r="J6096" s="239" t="s">
        <v>941</v>
      </c>
      <c r="K6096" s="239" t="s">
        <v>116</v>
      </c>
    </row>
    <row r="6097" spans="1:11" ht="14.25" x14ac:dyDescent="0.2">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4</v>
      </c>
      <c r="H6097" s="50" t="s">
        <v>60</v>
      </c>
      <c r="I6097" s="187">
        <v>155.61000000000001</v>
      </c>
      <c r="J6097" s="239" t="s">
        <v>941</v>
      </c>
      <c r="K6097" s="239" t="s">
        <v>116</v>
      </c>
    </row>
    <row r="6098" spans="1:11" ht="14.25" x14ac:dyDescent="0.2">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6</v>
      </c>
      <c r="H6098" s="50" t="s">
        <v>60</v>
      </c>
      <c r="I6098" s="187">
        <v>117.5595</v>
      </c>
      <c r="J6098" s="239" t="s">
        <v>941</v>
      </c>
      <c r="K6098" s="239" t="s">
        <v>116</v>
      </c>
    </row>
    <row r="6099" spans="1:11" ht="14.25" x14ac:dyDescent="0.2">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8</v>
      </c>
      <c r="H6099" s="50" t="s">
        <v>60</v>
      </c>
      <c r="I6099" s="187">
        <v>74.737110000000001</v>
      </c>
      <c r="J6099" s="239" t="s">
        <v>941</v>
      </c>
      <c r="K6099" s="239" t="s">
        <v>116</v>
      </c>
    </row>
    <row r="6100" spans="1:11" ht="14.25" x14ac:dyDescent="0.2">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10</v>
      </c>
      <c r="H6100" s="50" t="s">
        <v>60</v>
      </c>
      <c r="I6100" s="187">
        <v>51.794750000000001</v>
      </c>
      <c r="J6100" s="239" t="s">
        <v>941</v>
      </c>
      <c r="K6100" s="239" t="s">
        <v>116</v>
      </c>
    </row>
    <row r="6101" spans="1:11" ht="14.25" x14ac:dyDescent="0.2">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12</v>
      </c>
      <c r="H6101" s="50" t="s">
        <v>60</v>
      </c>
      <c r="I6101" s="187">
        <v>39.98283</v>
      </c>
      <c r="J6101" s="239" t="s">
        <v>941</v>
      </c>
      <c r="K6101" s="239" t="s">
        <v>116</v>
      </c>
    </row>
    <row r="6102" spans="1:11" ht="14.25" x14ac:dyDescent="0.2">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14</v>
      </c>
      <c r="H6102" s="50" t="s">
        <v>60</v>
      </c>
      <c r="I6102" s="187">
        <v>30.206029999999998</v>
      </c>
      <c r="J6102" s="239" t="s">
        <v>941</v>
      </c>
      <c r="K6102" s="239" t="s">
        <v>116</v>
      </c>
    </row>
    <row r="6103" spans="1:11" ht="14.25" x14ac:dyDescent="0.2">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18</v>
      </c>
      <c r="H6103" s="50" t="s">
        <v>60</v>
      </c>
      <c r="I6103" s="187">
        <v>20.93356</v>
      </c>
      <c r="J6103" s="239" t="s">
        <v>941</v>
      </c>
      <c r="K6103" s="239" t="s">
        <v>116</v>
      </c>
    </row>
    <row r="6104" spans="1:11" ht="14.25" x14ac:dyDescent="0.2">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22</v>
      </c>
      <c r="H6104" s="50" t="s">
        <v>60</v>
      </c>
      <c r="I6104" s="187">
        <v>15.814780000000001</v>
      </c>
      <c r="J6104" s="239" t="s">
        <v>941</v>
      </c>
      <c r="K6104" s="239" t="s">
        <v>116</v>
      </c>
    </row>
    <row r="6105" spans="1:11" ht="14.25" x14ac:dyDescent="0.2">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24</v>
      </c>
      <c r="H6105" s="50" t="s">
        <v>60</v>
      </c>
      <c r="I6105" s="187">
        <v>14.82382</v>
      </c>
      <c r="J6105" s="239" t="s">
        <v>941</v>
      </c>
      <c r="K6105" s="239" t="s">
        <v>116</v>
      </c>
    </row>
    <row r="6106" spans="1:11" ht="14.25" x14ac:dyDescent="0.2">
      <c r="A6106" s="30">
        <v>668</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100 mg (day 1)</v>
      </c>
      <c r="E6106" s="250" t="str">
        <f>IF(AND(A6106&lt;&gt;"",ISNUMBER(A6106)),VLOOKUP(A6106,Studies!A:BR,5,FALSE),"")</f>
        <v>Dapagliflozin</v>
      </c>
      <c r="F6106" s="251" t="str">
        <f>IF(AND(A6106&lt;&gt;"",ISNUMBER(A6106)),VLOOKUP(A6106,Studies!A:BR,6,FALSE),"")</f>
        <v>Plasma</v>
      </c>
      <c r="G6106" s="194">
        <v>0.5</v>
      </c>
      <c r="H6106" s="50" t="s">
        <v>60</v>
      </c>
      <c r="I6106" s="187">
        <v>385.0172</v>
      </c>
      <c r="J6106" s="239" t="s">
        <v>941</v>
      </c>
      <c r="K6106" s="239" t="s">
        <v>116</v>
      </c>
    </row>
    <row r="6107" spans="1:11" ht="14.25" x14ac:dyDescent="0.2">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1</v>
      </c>
      <c r="H6107" s="50" t="s">
        <v>60</v>
      </c>
      <c r="I6107" s="187">
        <v>801.64350000000002</v>
      </c>
      <c r="J6107" s="239" t="s">
        <v>941</v>
      </c>
      <c r="K6107" s="239" t="s">
        <v>116</v>
      </c>
    </row>
    <row r="6108" spans="1:11" ht="14.25" x14ac:dyDescent="0.2">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1.5</v>
      </c>
      <c r="H6108" s="50" t="s">
        <v>60</v>
      </c>
      <c r="I6108" s="187">
        <v>892.93460000000005</v>
      </c>
      <c r="J6108" s="239" t="s">
        <v>941</v>
      </c>
      <c r="K6108" s="239" t="s">
        <v>116</v>
      </c>
    </row>
    <row r="6109" spans="1:11" ht="14.25" x14ac:dyDescent="0.2">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2</v>
      </c>
      <c r="H6109" s="194" t="s">
        <v>60</v>
      </c>
      <c r="I6109" s="187">
        <v>784.53729999999996</v>
      </c>
      <c r="J6109" s="239" t="s">
        <v>941</v>
      </c>
      <c r="K6109" s="239" t="s">
        <v>116</v>
      </c>
    </row>
    <row r="6110" spans="1:11" ht="14.25" x14ac:dyDescent="0.2">
      <c r="A6110" s="183">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4</v>
      </c>
      <c r="H6110" s="194" t="s">
        <v>60</v>
      </c>
      <c r="I6110" s="187">
        <v>368.76080000000002</v>
      </c>
      <c r="J6110" s="239" t="s">
        <v>941</v>
      </c>
      <c r="K6110" s="239" t="s">
        <v>116</v>
      </c>
    </row>
    <row r="6111" spans="1:11" ht="14.25" x14ac:dyDescent="0.2">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6</v>
      </c>
      <c r="H6111" s="194" t="s">
        <v>60</v>
      </c>
      <c r="I6111" s="187">
        <v>219.7457</v>
      </c>
      <c r="J6111" s="239" t="s">
        <v>941</v>
      </c>
      <c r="K6111" s="239" t="s">
        <v>116</v>
      </c>
    </row>
    <row r="6112" spans="1:11" ht="14.25" x14ac:dyDescent="0.2">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8</v>
      </c>
      <c r="H6112" s="194" t="s">
        <v>60</v>
      </c>
      <c r="I6112" s="187">
        <v>152.2894</v>
      </c>
      <c r="J6112" s="239" t="s">
        <v>941</v>
      </c>
      <c r="K6112" s="239" t="s">
        <v>116</v>
      </c>
    </row>
    <row r="6113" spans="1:16" ht="14.25" x14ac:dyDescent="0.2">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10</v>
      </c>
      <c r="H6113" s="194" t="s">
        <v>60</v>
      </c>
      <c r="I6113" s="187">
        <v>122.7419</v>
      </c>
      <c r="J6113" s="239" t="s">
        <v>941</v>
      </c>
      <c r="K6113" s="239" t="s">
        <v>116</v>
      </c>
    </row>
    <row r="6114" spans="1:16" ht="14.25" x14ac:dyDescent="0.2">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12</v>
      </c>
      <c r="H6114" s="194" t="s">
        <v>60</v>
      </c>
      <c r="I6114" s="187">
        <v>79.733230000000006</v>
      </c>
      <c r="J6114" s="239" t="s">
        <v>941</v>
      </c>
      <c r="K6114" s="239" t="s">
        <v>116</v>
      </c>
    </row>
    <row r="6115" spans="1:16" ht="14.25" x14ac:dyDescent="0.2">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14</v>
      </c>
      <c r="H6115" s="194" t="s">
        <v>60</v>
      </c>
      <c r="I6115" s="187">
        <v>68.559169999999995</v>
      </c>
      <c r="J6115" s="239" t="s">
        <v>941</v>
      </c>
      <c r="K6115" s="239" t="s">
        <v>116</v>
      </c>
    </row>
    <row r="6116" spans="1:16" ht="14.25" x14ac:dyDescent="0.2">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18</v>
      </c>
      <c r="H6116" s="194" t="s">
        <v>60</v>
      </c>
      <c r="I6116" s="187">
        <v>51.794750000000001</v>
      </c>
      <c r="J6116" s="239" t="s">
        <v>941</v>
      </c>
      <c r="K6116" s="239" t="s">
        <v>116</v>
      </c>
    </row>
    <row r="6117" spans="1:16" ht="14.25" x14ac:dyDescent="0.2">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22</v>
      </c>
      <c r="H6117" s="194" t="s">
        <v>60</v>
      </c>
      <c r="I6117" s="187">
        <v>43.585720000000002</v>
      </c>
      <c r="J6117" s="239" t="s">
        <v>941</v>
      </c>
      <c r="K6117" s="239" t="s">
        <v>116</v>
      </c>
    </row>
    <row r="6118" spans="1:16" ht="14.25" x14ac:dyDescent="0.2">
      <c r="A6118" s="30">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24</v>
      </c>
      <c r="H6118" s="50" t="s">
        <v>60</v>
      </c>
      <c r="I6118" s="187">
        <v>39.98283</v>
      </c>
      <c r="J6118" s="239" t="s">
        <v>941</v>
      </c>
      <c r="K6118" s="239" t="s">
        <v>116</v>
      </c>
    </row>
    <row r="6119" spans="1:16" ht="14.25" x14ac:dyDescent="0.2">
      <c r="A6119" s="91">
        <v>670</v>
      </c>
      <c r="B6119" s="249" t="str">
        <f>IF(AND(A6119&lt;&gt;"",ISNUMBER(A6119)),VLOOKUP(A6119,Studies!A:BR,2,FALSE),"")</f>
        <v>Kasichayanula 2008</v>
      </c>
      <c r="C6119" s="250" t="str">
        <f>IF(AND(A6119&lt;&gt;"",ISNUMBER(A6119)),VLOOKUP(A6119,Studies!A:BR,3,FALSE),"")</f>
        <v>https://scholar.google.com/scholar?q=Kasichayanula+S.+Disposition+and+mass+balance+of+[14C]-dapagliflozin+after+single+oral+doses+in+healthy+male+volunteers.+American+Association+of+Pharmaceutical+Scientists,+Atlanta,+GA+2008+</v>
      </c>
      <c r="D6119" s="250" t="str">
        <f>IF(AND(A6119&lt;&gt;"",ISNUMBER(A6119)),VLOOKUP(A6119,Studies!A:BR,4,FALSE),"")</f>
        <v>Mass Balance of 14C-dapagliflozin 3OG Gluc</v>
      </c>
      <c r="E6119" s="250" t="str">
        <f>IF(AND(A6119&lt;&gt;"",ISNUMBER(A6119)),VLOOKUP(A6119,Studies!A:BR,5,FALSE),"")</f>
        <v>Dapagliflozin-3-O-glucuronide</v>
      </c>
      <c r="F6119" s="251" t="str">
        <f>IF(AND(A6119&lt;&gt;"",ISNUMBER(A6119)),VLOOKUP(A6119,Studies!A:BR,6,FALSE),"")</f>
        <v>Fraction</v>
      </c>
      <c r="G6119" s="194">
        <v>312</v>
      </c>
      <c r="H6119" s="50" t="s">
        <v>60</v>
      </c>
      <c r="I6119" s="246">
        <f>60.7/(SUM(60.7,5.4,9)/SUM(72/(SUM(1.2,72)/75.16),1.7/(SUM(15.4,1.7)/20.99)))</f>
        <v>61.439225775213458</v>
      </c>
      <c r="J6119" s="41" t="s">
        <v>447</v>
      </c>
      <c r="K6119" s="239" t="s">
        <v>116</v>
      </c>
      <c r="P6119" s="42">
        <v>63.899350780253215</v>
      </c>
    </row>
    <row r="6120" spans="1:16" ht="14.25" x14ac:dyDescent="0.2">
      <c r="A6120" s="91">
        <v>671</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2OG Gluc</v>
      </c>
      <c r="E6120" s="250" t="str">
        <f>IF(AND(A6120&lt;&gt;"",ISNUMBER(A6120)),VLOOKUP(A6120,Studies!A:BR,5,FALSE),"")</f>
        <v>Dapagliflozin-2-O-glucuronide</v>
      </c>
      <c r="F6120" s="251" t="str">
        <f>IF(AND(A6120&lt;&gt;"",ISNUMBER(A6120)),VLOOKUP(A6120,Studies!A:BR,6,FALSE),"")</f>
        <v>Fraction</v>
      </c>
      <c r="G6120" s="194">
        <v>312</v>
      </c>
      <c r="H6120" s="50" t="s">
        <v>60</v>
      </c>
      <c r="I6120" s="246">
        <f>5.4/(SUM(60.7,5.4,9)/SUM(72/(SUM(1.2,72)/75.16),1.7/(SUM(15.4,1.7)/20.99)))</f>
        <v>5.465763083791642</v>
      </c>
      <c r="J6120" s="41" t="s">
        <v>447</v>
      </c>
      <c r="K6120" s="239" t="s">
        <v>116</v>
      </c>
      <c r="P6120" s="42">
        <v>5.684620991982988</v>
      </c>
    </row>
    <row r="6121" spans="1:16" ht="14.25" x14ac:dyDescent="0.2">
      <c r="A6121" s="91">
        <v>672</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oxid Metab</v>
      </c>
      <c r="E6121" s="250" t="str">
        <f>IF(AND(A6121&lt;&gt;"",ISNUMBER(A6121)),VLOOKUP(A6121,Studies!A:BR,5,FALSE),"")</f>
        <v>Dapagliflozin oxidative metabolites</v>
      </c>
      <c r="F6121" s="251" t="str">
        <f>IF(AND(A6121&lt;&gt;"",ISNUMBER(A6121)),VLOOKUP(A6121,Studies!A:BR,6,FALSE),"")</f>
        <v>Fraction</v>
      </c>
      <c r="G6121" s="194">
        <v>312</v>
      </c>
      <c r="H6121" s="50" t="s">
        <v>60</v>
      </c>
      <c r="I6121" s="246">
        <f>9/(SUM(60.7,5.4,9)/SUM(72/(SUM(1.2,72)/75.16),1.7/(SUM(15.4,1.7)/20.99)))</f>
        <v>9.1096051396527358</v>
      </c>
      <c r="J6121" s="41" t="s">
        <v>447</v>
      </c>
      <c r="K6121" s="239" t="s">
        <v>116</v>
      </c>
      <c r="P6121" s="42">
        <v>9.4743683199716457</v>
      </c>
    </row>
    <row r="6122" spans="1:16" ht="14.25" x14ac:dyDescent="0.2">
      <c r="A6122" s="91">
        <v>673</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Urine</v>
      </c>
      <c r="E6122" s="250" t="str">
        <f>IF(AND(A6122&lt;&gt;"",ISNUMBER(A6122)),VLOOKUP(A6122,Studies!A:BR,5,FALSE),"")</f>
        <v>Dapagliflozin</v>
      </c>
      <c r="F6122" s="251" t="str">
        <f>IF(AND(A6122&lt;&gt;"",ISNUMBER(A6122)),VLOOKUP(A6122,Studies!A:BR,6,FALSE),"")</f>
        <v>Urine</v>
      </c>
      <c r="G6122" s="194">
        <v>312</v>
      </c>
      <c r="H6122" s="50" t="s">
        <v>60</v>
      </c>
      <c r="I6122" s="245">
        <f>SUM(1.2/(SUM(1.2,72)/75.16))</f>
        <v>1.2321311475409835</v>
      </c>
      <c r="J6122" s="41" t="s">
        <v>447</v>
      </c>
      <c r="K6122" s="239" t="s">
        <v>116</v>
      </c>
      <c r="P6122" s="42">
        <v>1.2814676521487089</v>
      </c>
    </row>
    <row r="6123" spans="1:16" ht="14.25" x14ac:dyDescent="0.2">
      <c r="A6123" s="91">
        <v>674</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Feces</v>
      </c>
      <c r="E6123" s="250" t="str">
        <f>IF(AND(A6123&lt;&gt;"",ISNUMBER(A6123)),VLOOKUP(A6123,Studies!A:BR,5,FALSE),"")</f>
        <v>Dapagliflozin</v>
      </c>
      <c r="F6123" s="251" t="str">
        <f>IF(AND(A6123&lt;&gt;"",ISNUMBER(A6123)),VLOOKUP(A6123,Studies!A:BR,6,FALSE),"")</f>
        <v>Feces</v>
      </c>
      <c r="G6123" s="194">
        <v>312</v>
      </c>
      <c r="H6123" s="50" t="s">
        <v>60</v>
      </c>
      <c r="I6123" s="246">
        <f>15.4/(SUM(15.4,1.7)/20.99)</f>
        <v>18.903274853801168</v>
      </c>
      <c r="J6123" s="41" t="s">
        <v>447</v>
      </c>
      <c r="K6123" s="239" t="s">
        <v>116</v>
      </c>
      <c r="P6123" s="42">
        <v>19.660192255643441</v>
      </c>
    </row>
    <row r="6124" spans="1:16" ht="14.25" x14ac:dyDescent="0.2">
      <c r="A6124" s="91">
        <v>675</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3OG Gluc (incl. unchanged feces exret.)</v>
      </c>
      <c r="E6124" s="250" t="str">
        <f>IF(AND(A6124&lt;&gt;"",ISNUMBER(A6124)),VLOOKUP(A6124,Studies!A:BR,5,FALSE),"")</f>
        <v>Dapagliflozin-3-O-glucuronide</v>
      </c>
      <c r="F6124" s="251" t="str">
        <f>IF(AND(A6124&lt;&gt;"",ISNUMBER(A6124)),VLOOKUP(A6124,Studies!A:BR,6,FALSE),"")</f>
        <v>Fraction</v>
      </c>
      <c r="G6124" s="194">
        <v>312</v>
      </c>
      <c r="H6124" s="50" t="s">
        <v>60</v>
      </c>
      <c r="I6124" s="246">
        <f>60.7/(SUM(60.7,5.4,9)/SUM(72/(SUM(1.2,72)/75.16),1.7/(SUM(15.4,1.7)/20.99)))+I6119/(I6119+I6120)*I6123</f>
        <v>78.798208886041465</v>
      </c>
      <c r="J6124" s="41" t="s">
        <v>447</v>
      </c>
      <c r="K6124" s="239" t="s">
        <v>116</v>
      </c>
      <c r="P6124" s="42">
        <v>81.953415378098256</v>
      </c>
    </row>
    <row r="6125" spans="1:16" ht="14.25" x14ac:dyDescent="0.2">
      <c r="A6125" s="91">
        <v>676</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2OG Gluc (incl. unchanged feces exret.)</v>
      </c>
      <c r="E6125" s="250" t="str">
        <f>IF(AND(A6125&lt;&gt;"",ISNUMBER(A6125)),VLOOKUP(A6125,Studies!A:BR,5,FALSE),"")</f>
        <v>Dapagliflozin-2-O-glucuronide</v>
      </c>
      <c r="F6125" s="251" t="str">
        <f>IF(AND(A6125&lt;&gt;"",ISNUMBER(A6125)),VLOOKUP(A6125,Studies!A:BR,6,FALSE),"")</f>
        <v>Fraction</v>
      </c>
      <c r="G6125" s="194">
        <v>312</v>
      </c>
      <c r="H6125" s="50" t="s">
        <v>60</v>
      </c>
      <c r="I6125" s="246">
        <f>5.4/(SUM(60.7,5.4,9)/SUM(72/(SUM(1.2,72)/75.16),1.7/(SUM(15.4,1.7)/20.99)))+I6120/(I6119+I6120)*I6123</f>
        <v>7.010054826764808</v>
      </c>
      <c r="J6125" s="41" t="s">
        <v>447</v>
      </c>
      <c r="K6125" s="239" t="s">
        <v>116</v>
      </c>
      <c r="P6125" s="42">
        <v>7.2907486497813938</v>
      </c>
    </row>
    <row r="6126" spans="1:16" ht="14.25" x14ac:dyDescent="0.2">
      <c r="A6126" s="91">
        <v>677</v>
      </c>
      <c r="B6126" s="249" t="str">
        <f>IF(AND(A6126&lt;&gt;"",ISNUMBER(A6126)),VLOOKUP(A6126,Studies!A:BR,2,FALSE),"")</f>
        <v>Komoroski 2009</v>
      </c>
      <c r="C6126" s="250" t="str">
        <f>IF(AND(A6126&lt;&gt;"",ISNUMBER(A6126)),VLOOKUP(A6126,Studies!A:BR,3,FALSE),"")</f>
        <v>https://www.ncbi.nlm.nih.gov/pubmed/19129748</v>
      </c>
      <c r="D6126" s="250" t="str">
        <f>IF(AND(A6126&lt;&gt;"",ISNUMBER(A6126)),VLOOKUP(A6126,Studies!A:BR,4,FALSE),"")</f>
        <v>SAD 2.5 mg (Urine)</v>
      </c>
      <c r="E6126" s="250" t="str">
        <f>IF(AND(A6126&lt;&gt;"",ISNUMBER(A6126)),VLOOKUP(A6126,Studies!A:BR,5,FALSE),"")</f>
        <v>Dapagliflozin</v>
      </c>
      <c r="F6126" s="251" t="str">
        <f>IF(AND(A6126&lt;&gt;"",ISNUMBER(A6126)),VLOOKUP(A6126,Studies!A:BR,6,FALSE),"")</f>
        <v>Urine</v>
      </c>
      <c r="G6126" s="194">
        <v>120</v>
      </c>
      <c r="H6126" s="50" t="s">
        <v>60</v>
      </c>
      <c r="I6126" s="187">
        <v>1.54</v>
      </c>
      <c r="J6126" s="41" t="s">
        <v>447</v>
      </c>
      <c r="K6126" s="239" t="s">
        <v>116</v>
      </c>
      <c r="L6126" s="195">
        <v>0.89</v>
      </c>
      <c r="M6126" s="52" t="s">
        <v>447</v>
      </c>
      <c r="N6126" s="52" t="s">
        <v>117</v>
      </c>
    </row>
    <row r="6127" spans="1:16" ht="14.25" x14ac:dyDescent="0.2">
      <c r="A6127" s="91">
        <v>678</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5 mg (Urine)</v>
      </c>
      <c r="E6127" s="250" t="str">
        <f>IF(AND(A6127&lt;&gt;"",ISNUMBER(A6127)),VLOOKUP(A6127,Studies!A:BR,5,FALSE),"")</f>
        <v>Dapagliflozin</v>
      </c>
      <c r="F6127" s="251" t="str">
        <f>IF(AND(A6127&lt;&gt;"",ISNUMBER(A6127)),VLOOKUP(A6127,Studies!A:BR,6,FALSE),"")</f>
        <v>Urine</v>
      </c>
      <c r="G6127" s="194">
        <v>120</v>
      </c>
      <c r="H6127" s="50" t="s">
        <v>60</v>
      </c>
      <c r="I6127" s="187">
        <v>0.46</v>
      </c>
      <c r="J6127" s="41" t="s">
        <v>447</v>
      </c>
      <c r="K6127" s="239" t="s">
        <v>116</v>
      </c>
      <c r="L6127" s="195">
        <v>0.19</v>
      </c>
      <c r="M6127" s="52" t="s">
        <v>447</v>
      </c>
      <c r="N6127" s="52" t="s">
        <v>117</v>
      </c>
    </row>
    <row r="6128" spans="1:16" ht="14.25" x14ac:dyDescent="0.2">
      <c r="A6128" s="91">
        <v>679</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10 mg (Urine)</v>
      </c>
      <c r="E6128" s="250" t="str">
        <f>IF(AND(A6128&lt;&gt;"",ISNUMBER(A6128)),VLOOKUP(A6128,Studies!A:BR,5,FALSE),"")</f>
        <v>Dapagliflozin</v>
      </c>
      <c r="F6128" s="251" t="str">
        <f>IF(AND(A6128&lt;&gt;"",ISNUMBER(A6128)),VLOOKUP(A6128,Studies!A:BR,6,FALSE),"")</f>
        <v>Urine</v>
      </c>
      <c r="G6128" s="194">
        <v>120</v>
      </c>
      <c r="H6128" s="50" t="s">
        <v>60</v>
      </c>
      <c r="I6128" s="187">
        <v>3.2</v>
      </c>
      <c r="J6128" s="41" t="s">
        <v>447</v>
      </c>
      <c r="K6128" s="239" t="s">
        <v>116</v>
      </c>
      <c r="L6128" s="195">
        <v>1.39</v>
      </c>
      <c r="M6128" s="52" t="s">
        <v>447</v>
      </c>
      <c r="N6128" s="52" t="s">
        <v>117</v>
      </c>
    </row>
    <row r="6129" spans="1:14" ht="14.25" x14ac:dyDescent="0.2">
      <c r="A6129" s="91">
        <v>680</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20 mg (Urine)</v>
      </c>
      <c r="E6129" s="250" t="str">
        <f>IF(AND(A6129&lt;&gt;"",ISNUMBER(A6129)),VLOOKUP(A6129,Studies!A:BR,5,FALSE),"")</f>
        <v>Dapagliflozin</v>
      </c>
      <c r="F6129" s="251" t="str">
        <f>IF(AND(A6129&lt;&gt;"",ISNUMBER(A6129)),VLOOKUP(A6129,Studies!A:BR,6,FALSE),"")</f>
        <v>Urine</v>
      </c>
      <c r="G6129" s="194">
        <v>120</v>
      </c>
      <c r="H6129" s="50" t="s">
        <v>60</v>
      </c>
      <c r="I6129" s="187">
        <v>0.61</v>
      </c>
      <c r="J6129" s="41" t="s">
        <v>447</v>
      </c>
      <c r="K6129" s="239" t="s">
        <v>116</v>
      </c>
      <c r="L6129" s="195">
        <v>0.16</v>
      </c>
      <c r="M6129" s="52" t="s">
        <v>447</v>
      </c>
      <c r="N6129" s="52" t="s">
        <v>117</v>
      </c>
    </row>
    <row r="6130" spans="1:14" ht="14.25" x14ac:dyDescent="0.2">
      <c r="A6130" s="91">
        <v>681</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50 mg (Urine)</v>
      </c>
      <c r="E6130" s="250" t="str">
        <f>IF(AND(A6130&lt;&gt;"",ISNUMBER(A6130)),VLOOKUP(A6130,Studies!A:BR,5,FALSE),"")</f>
        <v>Dapagliflozin</v>
      </c>
      <c r="F6130" s="251" t="str">
        <f>IF(AND(A6130&lt;&gt;"",ISNUMBER(A6130)),VLOOKUP(A6130,Studies!A:BR,6,FALSE),"")</f>
        <v>Urine</v>
      </c>
      <c r="G6130" s="194">
        <v>120</v>
      </c>
      <c r="H6130" s="50" t="s">
        <v>60</v>
      </c>
      <c r="I6130" s="187">
        <v>0.72</v>
      </c>
      <c r="J6130" s="41" t="s">
        <v>447</v>
      </c>
      <c r="K6130" s="239" t="s">
        <v>116</v>
      </c>
      <c r="L6130" s="195">
        <v>0.17</v>
      </c>
      <c r="M6130" s="52" t="s">
        <v>447</v>
      </c>
      <c r="N6130" s="52" t="s">
        <v>117</v>
      </c>
    </row>
    <row r="6131" spans="1:14" ht="14.25" x14ac:dyDescent="0.2">
      <c r="A6131" s="91">
        <v>682</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100 mg (Urine)</v>
      </c>
      <c r="E6131" s="250" t="str">
        <f>IF(AND(A6131&lt;&gt;"",ISNUMBER(A6131)),VLOOKUP(A6131,Studies!A:BR,5,FALSE),"")</f>
        <v>Dapagliflozin</v>
      </c>
      <c r="F6131" s="251" t="str">
        <f>IF(AND(A6131&lt;&gt;"",ISNUMBER(A6131)),VLOOKUP(A6131,Studies!A:BR,6,FALSE),"")</f>
        <v>Urine</v>
      </c>
      <c r="G6131" s="194">
        <v>120</v>
      </c>
      <c r="H6131" s="50" t="s">
        <v>60</v>
      </c>
      <c r="I6131" s="187">
        <v>1.04</v>
      </c>
      <c r="J6131" s="41" t="s">
        <v>447</v>
      </c>
      <c r="K6131" s="239" t="s">
        <v>116</v>
      </c>
      <c r="L6131" s="195">
        <v>0.21</v>
      </c>
      <c r="M6131" s="52" t="s">
        <v>447</v>
      </c>
      <c r="N6131" s="52" t="s">
        <v>117</v>
      </c>
    </row>
    <row r="6132" spans="1:14" ht="14.25" x14ac:dyDescent="0.2">
      <c r="A6132" s="91">
        <v>683</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250 mg fasted (Urine)</v>
      </c>
      <c r="E6132" s="250" t="str">
        <f>IF(AND(A6132&lt;&gt;"",ISNUMBER(A6132)),VLOOKUP(A6132,Studies!A:BR,5,FALSE),"")</f>
        <v>Dapagliflozin</v>
      </c>
      <c r="F6132" s="251" t="str">
        <f>IF(AND(A6132&lt;&gt;"",ISNUMBER(A6132)),VLOOKUP(A6132,Studies!A:BR,6,FALSE),"")</f>
        <v>Urine</v>
      </c>
      <c r="G6132" s="194">
        <v>120</v>
      </c>
      <c r="H6132" s="50" t="s">
        <v>60</v>
      </c>
      <c r="I6132" s="187">
        <v>1.54</v>
      </c>
      <c r="J6132" s="41" t="s">
        <v>447</v>
      </c>
      <c r="K6132" s="239" t="s">
        <v>116</v>
      </c>
      <c r="L6132" s="195">
        <v>0.4</v>
      </c>
      <c r="M6132" s="52" t="s">
        <v>447</v>
      </c>
      <c r="N6132" s="52" t="s">
        <v>117</v>
      </c>
    </row>
    <row r="6133" spans="1:14" ht="14.25" x14ac:dyDescent="0.2">
      <c r="A6133" s="91">
        <v>684</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500 mg (Urine)</v>
      </c>
      <c r="E6133" s="250" t="str">
        <f>IF(AND(A6133&lt;&gt;"",ISNUMBER(A6133)),VLOOKUP(A6133,Studies!A:BR,5,FALSE),"")</f>
        <v>Dapagliflozin</v>
      </c>
      <c r="F6133" s="251" t="str">
        <f>IF(AND(A6133&lt;&gt;"",ISNUMBER(A6133)),VLOOKUP(A6133,Studies!A:BR,6,FALSE),"")</f>
        <v>Urine</v>
      </c>
      <c r="G6133" s="194">
        <v>120</v>
      </c>
      <c r="H6133" s="50" t="s">
        <v>60</v>
      </c>
      <c r="I6133" s="187">
        <v>1.17</v>
      </c>
      <c r="J6133" s="41" t="s">
        <v>447</v>
      </c>
      <c r="K6133" s="239" t="s">
        <v>116</v>
      </c>
      <c r="L6133" s="195">
        <v>0.54</v>
      </c>
      <c r="M6133" s="52" t="s">
        <v>447</v>
      </c>
      <c r="N6133" s="52" t="s">
        <v>117</v>
      </c>
    </row>
    <row r="6134" spans="1:14" ht="14.25" x14ac:dyDescent="0.2">
      <c r="A6134" s="30">
        <v>685</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MAD 2.5 mg (day 7 and day 14)</v>
      </c>
      <c r="E6134" s="250" t="str">
        <f>IF(AND(A6134&lt;&gt;"",ISNUMBER(A6134)),VLOOKUP(A6134,Studies!A:BR,5,FALSE),"")</f>
        <v>Dapagliflozin</v>
      </c>
      <c r="F6134" s="251" t="str">
        <f>IF(AND(A6134&lt;&gt;"",ISNUMBER(A6134)),VLOOKUP(A6134,Studies!A:BR,6,FALSE),"")</f>
        <v>Plasma</v>
      </c>
      <c r="G6134" s="194">
        <v>144.25</v>
      </c>
      <c r="H6134" s="50" t="s">
        <v>60</v>
      </c>
      <c r="I6134" s="187">
        <v>2.6250309999999999</v>
      </c>
      <c r="J6134" s="239" t="s">
        <v>941</v>
      </c>
      <c r="K6134" s="239" t="s">
        <v>116</v>
      </c>
    </row>
    <row r="6135" spans="1:14" ht="14.25" x14ac:dyDescent="0.2">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144.5</v>
      </c>
      <c r="H6135" s="50" t="s">
        <v>60</v>
      </c>
      <c r="I6135" s="187">
        <v>14.36069</v>
      </c>
      <c r="J6135" s="239" t="s">
        <v>941</v>
      </c>
      <c r="K6135" s="239" t="s">
        <v>116</v>
      </c>
    </row>
    <row r="6136" spans="1:14" ht="14.25" x14ac:dyDescent="0.2">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145</v>
      </c>
      <c r="H6136" s="50" t="s">
        <v>60</v>
      </c>
      <c r="I6136" s="187">
        <v>27.519179999999999</v>
      </c>
      <c r="J6136" s="239" t="s">
        <v>941</v>
      </c>
      <c r="K6136" s="239" t="s">
        <v>116</v>
      </c>
    </row>
    <row r="6137" spans="1:14" ht="14.25" x14ac:dyDescent="0.2">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145.5</v>
      </c>
      <c r="H6137" s="50" t="s">
        <v>60</v>
      </c>
      <c r="I6137" s="187">
        <v>22.784050000000001</v>
      </c>
      <c r="J6137" s="239" t="s">
        <v>941</v>
      </c>
      <c r="K6137" s="239" t="s">
        <v>116</v>
      </c>
    </row>
    <row r="6138" spans="1:14" ht="14.25" x14ac:dyDescent="0.2">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146</v>
      </c>
      <c r="H6138" s="50" t="s">
        <v>60</v>
      </c>
      <c r="I6138" s="187">
        <v>16.632470000000001</v>
      </c>
      <c r="J6138" s="239" t="s">
        <v>941</v>
      </c>
      <c r="K6138" s="239" t="s">
        <v>116</v>
      </c>
    </row>
    <row r="6139" spans="1:14" ht="14.25" x14ac:dyDescent="0.2">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148</v>
      </c>
      <c r="H6139" s="50" t="s">
        <v>60</v>
      </c>
      <c r="I6139" s="187">
        <v>9.4393709999999995</v>
      </c>
      <c r="J6139" s="239" t="s">
        <v>941</v>
      </c>
      <c r="K6139" s="239" t="s">
        <v>116</v>
      </c>
    </row>
    <row r="6140" spans="1:14" ht="14.25" x14ac:dyDescent="0.2">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150</v>
      </c>
      <c r="H6140" s="50" t="s">
        <v>60</v>
      </c>
      <c r="I6140" s="187">
        <v>6.7477220000000004</v>
      </c>
      <c r="J6140" s="239" t="s">
        <v>941</v>
      </c>
      <c r="K6140" s="239" t="s">
        <v>116</v>
      </c>
    </row>
    <row r="6141" spans="1:14" ht="14.25" x14ac:dyDescent="0.2">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152</v>
      </c>
      <c r="H6141" s="50" t="s">
        <v>60</v>
      </c>
      <c r="I6141" s="187">
        <v>5.1369600000000002</v>
      </c>
      <c r="J6141" s="239" t="s">
        <v>941</v>
      </c>
      <c r="K6141" s="239" t="s">
        <v>116</v>
      </c>
    </row>
    <row r="6142" spans="1:14" ht="14.25" x14ac:dyDescent="0.2">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154</v>
      </c>
      <c r="H6142" s="50" t="s">
        <v>60</v>
      </c>
      <c r="I6142" s="187">
        <v>3.6721490000000001</v>
      </c>
      <c r="J6142" s="239" t="s">
        <v>941</v>
      </c>
      <c r="K6142" s="239" t="s">
        <v>116</v>
      </c>
    </row>
    <row r="6143" spans="1:14" ht="14.25" x14ac:dyDescent="0.2">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156</v>
      </c>
      <c r="H6143" s="50" t="s">
        <v>60</v>
      </c>
      <c r="I6143" s="187">
        <v>3.3765550000000002</v>
      </c>
      <c r="J6143" s="239" t="s">
        <v>941</v>
      </c>
      <c r="K6143" s="239" t="s">
        <v>116</v>
      </c>
    </row>
    <row r="6144" spans="1:14" ht="14.25" x14ac:dyDescent="0.2">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158</v>
      </c>
      <c r="H6144" s="50" t="s">
        <v>60</v>
      </c>
      <c r="I6144" s="187">
        <v>2.795563</v>
      </c>
      <c r="J6144" s="239" t="s">
        <v>941</v>
      </c>
      <c r="K6144" s="239" t="s">
        <v>116</v>
      </c>
    </row>
    <row r="6145" spans="1:11" ht="14.25" x14ac:dyDescent="0.2">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162</v>
      </c>
      <c r="H6145" s="50" t="s">
        <v>60</v>
      </c>
      <c r="I6145" s="187">
        <v>1.6545460000000001</v>
      </c>
      <c r="J6145" s="239" t="s">
        <v>941</v>
      </c>
      <c r="K6145" s="239" t="s">
        <v>116</v>
      </c>
    </row>
    <row r="6146" spans="1:11" ht="14.25" x14ac:dyDescent="0.2">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166</v>
      </c>
      <c r="H6146" s="50" t="s">
        <v>60</v>
      </c>
      <c r="I6146" s="187">
        <v>1.6201950000000001</v>
      </c>
      <c r="J6146" s="239" t="s">
        <v>941</v>
      </c>
      <c r="K6146" s="239" t="s">
        <v>116</v>
      </c>
    </row>
    <row r="6147" spans="1:11" ht="14.25" x14ac:dyDescent="0.2">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168</v>
      </c>
      <c r="H6147" s="50" t="s">
        <v>60</v>
      </c>
      <c r="I6147" s="187">
        <v>1.586557</v>
      </c>
      <c r="J6147" s="239" t="s">
        <v>941</v>
      </c>
      <c r="K6147" s="239" t="s">
        <v>116</v>
      </c>
    </row>
    <row r="6148" spans="1:11" ht="14.25" x14ac:dyDescent="0.2">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312.25</v>
      </c>
      <c r="H6148" s="50" t="s">
        <v>60</v>
      </c>
      <c r="I6148" s="187">
        <v>1.7025939999999999</v>
      </c>
      <c r="J6148" s="239" t="s">
        <v>941</v>
      </c>
      <c r="K6148" s="239" t="s">
        <v>116</v>
      </c>
    </row>
    <row r="6149" spans="1:11" ht="14.25" x14ac:dyDescent="0.2">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312.5</v>
      </c>
      <c r="H6149" s="50" t="s">
        <v>60</v>
      </c>
      <c r="I6149" s="187">
        <v>10.525</v>
      </c>
      <c r="J6149" s="239" t="s">
        <v>941</v>
      </c>
      <c r="K6149" s="239" t="s">
        <v>116</v>
      </c>
    </row>
    <row r="6150" spans="1:11" ht="14.25" x14ac:dyDescent="0.2">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313</v>
      </c>
      <c r="H6150" s="50" t="s">
        <v>60</v>
      </c>
      <c r="I6150" s="187">
        <v>31.14106</v>
      </c>
      <c r="J6150" s="239" t="s">
        <v>941</v>
      </c>
      <c r="K6150" s="239" t="s">
        <v>116</v>
      </c>
    </row>
    <row r="6151" spans="1:11" ht="14.25" x14ac:dyDescent="0.2">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313.5</v>
      </c>
      <c r="H6151" s="50" t="s">
        <v>60</v>
      </c>
      <c r="I6151" s="187">
        <v>21.544350000000001</v>
      </c>
      <c r="J6151" s="239" t="s">
        <v>941</v>
      </c>
      <c r="K6151" s="239" t="s">
        <v>116</v>
      </c>
    </row>
    <row r="6152" spans="1:11" ht="14.25" x14ac:dyDescent="0.2">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314</v>
      </c>
      <c r="H6152" s="50" t="s">
        <v>60</v>
      </c>
      <c r="I6152" s="187">
        <v>16.51117</v>
      </c>
      <c r="J6152" s="239" t="s">
        <v>941</v>
      </c>
      <c r="K6152" s="239" t="s">
        <v>116</v>
      </c>
    </row>
    <row r="6153" spans="1:11" ht="14.25" x14ac:dyDescent="0.2">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316</v>
      </c>
      <c r="H6153" s="50" t="s">
        <v>60</v>
      </c>
      <c r="I6153" s="187">
        <v>8.9353409999999993</v>
      </c>
      <c r="J6153" s="239" t="s">
        <v>941</v>
      </c>
      <c r="K6153" s="239" t="s">
        <v>116</v>
      </c>
    </row>
    <row r="6154" spans="1:11" ht="14.25" x14ac:dyDescent="0.2">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318</v>
      </c>
      <c r="H6154" s="50" t="s">
        <v>60</v>
      </c>
      <c r="I6154" s="187">
        <v>6.4400449999999996</v>
      </c>
      <c r="J6154" s="239" t="s">
        <v>941</v>
      </c>
      <c r="K6154" s="239" t="s">
        <v>116</v>
      </c>
    </row>
    <row r="6155" spans="1:11" ht="14.25" x14ac:dyDescent="0.2">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320</v>
      </c>
      <c r="H6155" s="50" t="s">
        <v>60</v>
      </c>
      <c r="I6155" s="187">
        <v>4.9355250000000002</v>
      </c>
      <c r="J6155" s="239" t="s">
        <v>941</v>
      </c>
      <c r="K6155" s="239" t="s">
        <v>116</v>
      </c>
    </row>
    <row r="6156" spans="1:11" ht="14.25" x14ac:dyDescent="0.2">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322</v>
      </c>
      <c r="H6156" s="50" t="s">
        <v>60</v>
      </c>
      <c r="I6156" s="187">
        <v>3.9405380000000001</v>
      </c>
      <c r="J6156" s="239" t="s">
        <v>941</v>
      </c>
      <c r="K6156" s="239" t="s">
        <v>116</v>
      </c>
    </row>
    <row r="6157" spans="1:11" ht="14.25" x14ac:dyDescent="0.2">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324</v>
      </c>
      <c r="H6157" s="50" t="s">
        <v>60</v>
      </c>
      <c r="I6157" s="187">
        <v>3.7058589999999998</v>
      </c>
      <c r="J6157" s="239" t="s">
        <v>941</v>
      </c>
      <c r="K6157" s="239" t="s">
        <v>116</v>
      </c>
    </row>
    <row r="6158" spans="1:11" ht="14.25" x14ac:dyDescent="0.2">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326</v>
      </c>
      <c r="H6158" s="50" t="s">
        <v>60</v>
      </c>
      <c r="I6158" s="187">
        <v>2.782559</v>
      </c>
      <c r="J6158" s="239" t="s">
        <v>941</v>
      </c>
      <c r="K6158" s="239" t="s">
        <v>116</v>
      </c>
    </row>
    <row r="6159" spans="1:11" ht="14.25" x14ac:dyDescent="0.2">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330</v>
      </c>
      <c r="H6159" s="50" t="s">
        <v>60</v>
      </c>
      <c r="I6159" s="187">
        <v>1.9648680000000001</v>
      </c>
      <c r="J6159" s="239" t="s">
        <v>941</v>
      </c>
      <c r="K6159" s="239" t="s">
        <v>116</v>
      </c>
    </row>
    <row r="6160" spans="1:11" ht="14.25" x14ac:dyDescent="0.2">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334</v>
      </c>
      <c r="H6160" s="50" t="s">
        <v>60</v>
      </c>
      <c r="I6160" s="187">
        <v>1.84785</v>
      </c>
      <c r="J6160" s="239" t="s">
        <v>941</v>
      </c>
      <c r="K6160" s="239" t="s">
        <v>116</v>
      </c>
    </row>
    <row r="6161" spans="1:11" ht="14.25" x14ac:dyDescent="0.2">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336</v>
      </c>
      <c r="H6161" s="50" t="s">
        <v>60</v>
      </c>
      <c r="I6161" s="187">
        <v>1.416156</v>
      </c>
      <c r="J6161" s="239" t="s">
        <v>941</v>
      </c>
      <c r="K6161" s="239" t="s">
        <v>116</v>
      </c>
    </row>
    <row r="6162" spans="1:11" ht="14.25" x14ac:dyDescent="0.2">
      <c r="A6162" s="30">
        <v>686</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10 mg (day 7 and day 14)</v>
      </c>
      <c r="E6162" s="250" t="str">
        <f>IF(AND(A6162&lt;&gt;"",ISNUMBER(A6162)),VLOOKUP(A6162,Studies!A:BR,5,FALSE),"")</f>
        <v>Dapagliflozin</v>
      </c>
      <c r="F6162" s="251" t="str">
        <f>IF(AND(A6162&lt;&gt;"",ISNUMBER(A6162)),VLOOKUP(A6162,Studies!A:BR,6,FALSE),"")</f>
        <v>Plasma</v>
      </c>
      <c r="G6162" s="194">
        <v>144.25</v>
      </c>
      <c r="H6162" s="50" t="s">
        <v>60</v>
      </c>
      <c r="I6162" s="187">
        <v>6.0757389999999996</v>
      </c>
      <c r="J6162" s="239" t="s">
        <v>941</v>
      </c>
      <c r="K6162" s="239" t="s">
        <v>116</v>
      </c>
    </row>
    <row r="6163" spans="1:11" ht="14.25" x14ac:dyDescent="0.2">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144.5</v>
      </c>
      <c r="H6163" s="50" t="s">
        <v>60</v>
      </c>
      <c r="I6163" s="187">
        <v>81.929370000000006</v>
      </c>
      <c r="J6163" s="239" t="s">
        <v>941</v>
      </c>
      <c r="K6163" s="239" t="s">
        <v>116</v>
      </c>
    </row>
    <row r="6164" spans="1:11" ht="14.25" x14ac:dyDescent="0.2">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145</v>
      </c>
      <c r="H6164" s="50" t="s">
        <v>60</v>
      </c>
      <c r="I6164" s="187">
        <v>129.98560000000001</v>
      </c>
      <c r="J6164" s="239" t="s">
        <v>941</v>
      </c>
      <c r="K6164" s="239" t="s">
        <v>116</v>
      </c>
    </row>
    <row r="6165" spans="1:11" ht="14.25" x14ac:dyDescent="0.2">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145.5</v>
      </c>
      <c r="H6165" s="50" t="s">
        <v>60</v>
      </c>
      <c r="I6165" s="187">
        <v>92.920029999999997</v>
      </c>
      <c r="J6165" s="239" t="s">
        <v>941</v>
      </c>
      <c r="K6165" s="239" t="s">
        <v>116</v>
      </c>
    </row>
    <row r="6166" spans="1:11" ht="14.25" x14ac:dyDescent="0.2">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146</v>
      </c>
      <c r="H6166" s="50" t="s">
        <v>60</v>
      </c>
      <c r="I6166" s="187">
        <v>67.832070000000002</v>
      </c>
      <c r="J6166" s="239" t="s">
        <v>941</v>
      </c>
      <c r="K6166" s="239" t="s">
        <v>116</v>
      </c>
    </row>
    <row r="6167" spans="1:11" ht="14.25" x14ac:dyDescent="0.2">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148</v>
      </c>
      <c r="H6167" s="50" t="s">
        <v>60</v>
      </c>
      <c r="I6167" s="187">
        <v>37.69726</v>
      </c>
      <c r="J6167" s="239" t="s">
        <v>941</v>
      </c>
      <c r="K6167" s="239" t="s">
        <v>116</v>
      </c>
    </row>
    <row r="6168" spans="1:11" ht="14.25" x14ac:dyDescent="0.2">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150</v>
      </c>
      <c r="H6168" s="50" t="s">
        <v>60</v>
      </c>
      <c r="I6168" s="187">
        <v>24.778639999999999</v>
      </c>
      <c r="J6168" s="239" t="s">
        <v>941</v>
      </c>
      <c r="K6168" s="239" t="s">
        <v>116</v>
      </c>
    </row>
    <row r="6169" spans="1:11" ht="14.25" x14ac:dyDescent="0.2">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152</v>
      </c>
      <c r="H6169" s="50" t="s">
        <v>60</v>
      </c>
      <c r="I6169" s="187">
        <v>21.394200000000001</v>
      </c>
      <c r="J6169" s="239" t="s">
        <v>941</v>
      </c>
      <c r="K6169" s="239" t="s">
        <v>116</v>
      </c>
    </row>
    <row r="6170" spans="1:11" ht="14.25" x14ac:dyDescent="0.2">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154</v>
      </c>
      <c r="H6170" s="50" t="s">
        <v>60</v>
      </c>
      <c r="I6170" s="187">
        <v>14.06254</v>
      </c>
      <c r="J6170" s="239" t="s">
        <v>941</v>
      </c>
      <c r="K6170" s="239" t="s">
        <v>116</v>
      </c>
    </row>
    <row r="6171" spans="1:11" ht="14.25" x14ac:dyDescent="0.2">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156</v>
      </c>
      <c r="H6171" s="50" t="s">
        <v>60</v>
      </c>
      <c r="I6171" s="187">
        <v>12.39921</v>
      </c>
      <c r="J6171" s="239" t="s">
        <v>941</v>
      </c>
      <c r="K6171" s="239" t="s">
        <v>116</v>
      </c>
    </row>
    <row r="6172" spans="1:11" ht="14.25" x14ac:dyDescent="0.2">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158</v>
      </c>
      <c r="H6172" s="50" t="s">
        <v>60</v>
      </c>
      <c r="I6172" s="187">
        <v>10.48338</v>
      </c>
      <c r="J6172" s="239" t="s">
        <v>941</v>
      </c>
      <c r="K6172" s="239" t="s">
        <v>116</v>
      </c>
    </row>
    <row r="6173" spans="1:11" ht="14.25" x14ac:dyDescent="0.2">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162</v>
      </c>
      <c r="H6173" s="50" t="s">
        <v>60</v>
      </c>
      <c r="I6173" s="187">
        <v>7.494027</v>
      </c>
      <c r="J6173" s="239" t="s">
        <v>941</v>
      </c>
      <c r="K6173" s="239" t="s">
        <v>116</v>
      </c>
    </row>
    <row r="6174" spans="1:11" ht="14.25" x14ac:dyDescent="0.2">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166</v>
      </c>
      <c r="H6174" s="50" t="s">
        <v>60</v>
      </c>
      <c r="I6174" s="187">
        <v>7.0368839999999997</v>
      </c>
      <c r="J6174" s="239" t="s">
        <v>941</v>
      </c>
      <c r="K6174" s="239" t="s">
        <v>116</v>
      </c>
    </row>
    <row r="6175" spans="1:11" ht="14.25" x14ac:dyDescent="0.2">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168</v>
      </c>
      <c r="H6175" s="50" t="s">
        <v>60</v>
      </c>
      <c r="I6175" s="187">
        <v>6.0757389999999996</v>
      </c>
      <c r="J6175" s="239" t="s">
        <v>941</v>
      </c>
      <c r="K6175" s="239" t="s">
        <v>116</v>
      </c>
    </row>
    <row r="6176" spans="1:11" ht="14.25" x14ac:dyDescent="0.2">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312.25</v>
      </c>
      <c r="H6176" s="50" t="s">
        <v>60</v>
      </c>
      <c r="I6176" s="187">
        <v>6.5732140000000001</v>
      </c>
      <c r="J6176" s="239" t="s">
        <v>941</v>
      </c>
      <c r="K6176" s="239" t="s">
        <v>116</v>
      </c>
    </row>
    <row r="6177" spans="1:11" ht="14.25" x14ac:dyDescent="0.2">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312.5</v>
      </c>
      <c r="H6177" s="50" t="s">
        <v>60</v>
      </c>
      <c r="I6177" s="187">
        <v>54.116950000000003</v>
      </c>
      <c r="J6177" s="239" t="s">
        <v>941</v>
      </c>
      <c r="K6177" s="239" t="s">
        <v>116</v>
      </c>
    </row>
    <row r="6178" spans="1:11" ht="14.25" x14ac:dyDescent="0.2">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313</v>
      </c>
      <c r="H6178" s="50" t="s">
        <v>60</v>
      </c>
      <c r="I6178" s="187">
        <v>106.3327</v>
      </c>
      <c r="J6178" s="239" t="s">
        <v>941</v>
      </c>
      <c r="K6178" s="239" t="s">
        <v>116</v>
      </c>
    </row>
    <row r="6179" spans="1:11" ht="14.25" x14ac:dyDescent="0.2">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313.5</v>
      </c>
      <c r="H6179" s="50" t="s">
        <v>60</v>
      </c>
      <c r="I6179" s="187">
        <v>86.651840000000007</v>
      </c>
      <c r="J6179" s="239" t="s">
        <v>941</v>
      </c>
      <c r="K6179" s="239" t="s">
        <v>116</v>
      </c>
    </row>
    <row r="6180" spans="1:11" ht="14.25" x14ac:dyDescent="0.2">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314</v>
      </c>
      <c r="H6180" s="50" t="s">
        <v>60</v>
      </c>
      <c r="I6180" s="187">
        <v>72.073859999999996</v>
      </c>
      <c r="J6180" s="239" t="s">
        <v>941</v>
      </c>
      <c r="K6180" s="239" t="s">
        <v>116</v>
      </c>
    </row>
    <row r="6181" spans="1:11" ht="14.25" x14ac:dyDescent="0.2">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316</v>
      </c>
      <c r="H6181" s="50" t="s">
        <v>60</v>
      </c>
      <c r="I6181" s="187">
        <v>35.210050000000003</v>
      </c>
      <c r="J6181" s="239" t="s">
        <v>941</v>
      </c>
      <c r="K6181" s="239" t="s">
        <v>116</v>
      </c>
    </row>
    <row r="6182" spans="1:11" ht="14.25" x14ac:dyDescent="0.2">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318</v>
      </c>
      <c r="H6182" s="50" t="s">
        <v>60</v>
      </c>
      <c r="I6182" s="187">
        <v>26.437609999999999</v>
      </c>
      <c r="J6182" s="239" t="s">
        <v>941</v>
      </c>
      <c r="K6182" s="239" t="s">
        <v>116</v>
      </c>
    </row>
    <row r="6183" spans="1:11" ht="14.25" x14ac:dyDescent="0.2">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320</v>
      </c>
      <c r="H6183" s="50" t="s">
        <v>60</v>
      </c>
      <c r="I6183" s="187">
        <v>21.107869999999998</v>
      </c>
      <c r="J6183" s="239" t="s">
        <v>941</v>
      </c>
      <c r="K6183" s="239" t="s">
        <v>116</v>
      </c>
    </row>
    <row r="6184" spans="1:11" ht="14.25" x14ac:dyDescent="0.2">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322</v>
      </c>
      <c r="H6184" s="50" t="s">
        <v>60</v>
      </c>
      <c r="I6184" s="187">
        <v>16.852589999999999</v>
      </c>
      <c r="J6184" s="239" t="s">
        <v>941</v>
      </c>
      <c r="K6184" s="239" t="s">
        <v>116</v>
      </c>
    </row>
    <row r="6185" spans="1:11" ht="14.25" x14ac:dyDescent="0.2">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324</v>
      </c>
      <c r="H6185" s="50" t="s">
        <v>60</v>
      </c>
      <c r="I6185" s="187">
        <v>13.73339</v>
      </c>
      <c r="J6185" s="239" t="s">
        <v>941</v>
      </c>
      <c r="K6185" s="239" t="s">
        <v>116</v>
      </c>
    </row>
    <row r="6186" spans="1:11" ht="14.25" x14ac:dyDescent="0.2">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326</v>
      </c>
      <c r="H6186" s="50" t="s">
        <v>60</v>
      </c>
      <c r="I6186" s="187">
        <v>10.964779999999999</v>
      </c>
      <c r="J6186" s="239" t="s">
        <v>941</v>
      </c>
      <c r="K6186" s="239" t="s">
        <v>116</v>
      </c>
    </row>
    <row r="6187" spans="1:11" ht="14.25" x14ac:dyDescent="0.2">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330</v>
      </c>
      <c r="H6187" s="50" t="s">
        <v>60</v>
      </c>
      <c r="I6187" s="187">
        <v>8.2329509999999999</v>
      </c>
      <c r="J6187" s="239" t="s">
        <v>941</v>
      </c>
      <c r="K6187" s="239" t="s">
        <v>116</v>
      </c>
    </row>
    <row r="6188" spans="1:11" ht="14.25" x14ac:dyDescent="0.2">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334</v>
      </c>
      <c r="H6188" s="50" t="s">
        <v>60</v>
      </c>
      <c r="I6188" s="187">
        <v>6.5732140000000001</v>
      </c>
      <c r="J6188" s="239" t="s">
        <v>941</v>
      </c>
      <c r="K6188" s="239" t="s">
        <v>116</v>
      </c>
    </row>
    <row r="6189" spans="1:11" ht="14.25" x14ac:dyDescent="0.2">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336</v>
      </c>
      <c r="H6189" s="50" t="s">
        <v>60</v>
      </c>
      <c r="I6189" s="187">
        <v>6.0565069999999999</v>
      </c>
      <c r="J6189" s="239" t="s">
        <v>941</v>
      </c>
      <c r="K6189" s="239" t="s">
        <v>116</v>
      </c>
    </row>
    <row r="6190" spans="1:11" ht="14.25" x14ac:dyDescent="0.2">
      <c r="A6190" s="30">
        <v>687</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20 mg (day 7 and day 14)</v>
      </c>
      <c r="E6190" s="250" t="str">
        <f>IF(AND(A6190&lt;&gt;"",ISNUMBER(A6190)),VLOOKUP(A6190,Studies!A:BR,5,FALSE),"")</f>
        <v>Dapagliflozin</v>
      </c>
      <c r="F6190" s="251" t="str">
        <f>IF(AND(A6190&lt;&gt;"",ISNUMBER(A6190)),VLOOKUP(A6190,Studies!A:BR,6,FALSE),"")</f>
        <v>Plasma</v>
      </c>
      <c r="G6190" s="194">
        <v>144.5</v>
      </c>
      <c r="H6190" s="50" t="s">
        <v>60</v>
      </c>
      <c r="I6190" s="187">
        <v>92.920029999999997</v>
      </c>
      <c r="J6190" s="239" t="s">
        <v>941</v>
      </c>
      <c r="K6190" s="239" t="s">
        <v>116</v>
      </c>
    </row>
    <row r="6191" spans="1:11" ht="14.25" x14ac:dyDescent="0.2">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145</v>
      </c>
      <c r="H6191" s="50" t="s">
        <v>60</v>
      </c>
      <c r="I6191" s="187">
        <v>249.08949999999999</v>
      </c>
      <c r="J6191" s="239" t="s">
        <v>941</v>
      </c>
      <c r="K6191" s="239" t="s">
        <v>116</v>
      </c>
    </row>
    <row r="6192" spans="1:11" ht="14.25" x14ac:dyDescent="0.2">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145.5</v>
      </c>
      <c r="H6192" s="50" t="s">
        <v>60</v>
      </c>
      <c r="I6192" s="187">
        <v>163.72800000000001</v>
      </c>
      <c r="J6192" s="239" t="s">
        <v>941</v>
      </c>
      <c r="K6192" s="239" t="s">
        <v>116</v>
      </c>
    </row>
    <row r="6193" spans="1:16" ht="14.25" x14ac:dyDescent="0.2">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146</v>
      </c>
      <c r="H6193" s="50" t="s">
        <v>60</v>
      </c>
      <c r="I6193" s="187">
        <v>112.2313</v>
      </c>
      <c r="J6193" s="239" t="s">
        <v>941</v>
      </c>
      <c r="K6193" s="239" t="s">
        <v>116</v>
      </c>
    </row>
    <row r="6194" spans="1:16" ht="14.25" x14ac:dyDescent="0.2">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148</v>
      </c>
      <c r="H6194" s="50" t="s">
        <v>60</v>
      </c>
      <c r="I6194" s="187">
        <v>57.351149999999997</v>
      </c>
      <c r="J6194" s="239" t="s">
        <v>941</v>
      </c>
      <c r="K6194" s="239" t="s">
        <v>116</v>
      </c>
    </row>
    <row r="6195" spans="1:16" ht="14.25" x14ac:dyDescent="0.2">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150</v>
      </c>
      <c r="H6195" s="50" t="s">
        <v>60</v>
      </c>
      <c r="I6195" s="187">
        <v>50.567610000000002</v>
      </c>
      <c r="J6195" s="239" t="s">
        <v>941</v>
      </c>
      <c r="K6195" s="239" t="s">
        <v>116</v>
      </c>
    </row>
    <row r="6196" spans="1:16" ht="14.25" x14ac:dyDescent="0.2">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152</v>
      </c>
      <c r="H6196" s="50" t="s">
        <v>60</v>
      </c>
      <c r="I6196" s="187">
        <v>26.388349999999999</v>
      </c>
      <c r="J6196" s="239" t="s">
        <v>941</v>
      </c>
      <c r="K6196" s="239" t="s">
        <v>116</v>
      </c>
    </row>
    <row r="6197" spans="1:16" ht="14.25" x14ac:dyDescent="0.2">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154</v>
      </c>
      <c r="H6197" s="50" t="s">
        <v>60</v>
      </c>
      <c r="I6197" s="187">
        <v>25.303989999999999</v>
      </c>
      <c r="J6197" s="239" t="s">
        <v>941</v>
      </c>
      <c r="K6197" s="239" t="s">
        <v>116</v>
      </c>
    </row>
    <row r="6198" spans="1:16" ht="14.25" x14ac:dyDescent="0.2">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156</v>
      </c>
      <c r="H6198" s="50" t="s">
        <v>60</v>
      </c>
      <c r="I6198" s="187">
        <v>19.263629999999999</v>
      </c>
      <c r="J6198" s="239" t="s">
        <v>941</v>
      </c>
      <c r="K6198" s="239" t="s">
        <v>116</v>
      </c>
    </row>
    <row r="6199" spans="1:16" ht="14.25" x14ac:dyDescent="0.2">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158</v>
      </c>
      <c r="H6199" s="50" t="s">
        <v>60</v>
      </c>
      <c r="I6199" s="187">
        <v>19.672049999999999</v>
      </c>
      <c r="J6199" s="239" t="s">
        <v>941</v>
      </c>
      <c r="K6199" s="239" t="s">
        <v>116</v>
      </c>
    </row>
    <row r="6200" spans="1:16" ht="14.25" x14ac:dyDescent="0.2">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162</v>
      </c>
      <c r="H6200" s="50" t="s">
        <v>60</v>
      </c>
      <c r="I6200" s="187">
        <v>12.141780000000001</v>
      </c>
      <c r="J6200" s="239" t="s">
        <v>941</v>
      </c>
      <c r="K6200" s="239" t="s">
        <v>116</v>
      </c>
      <c r="M6200" s="195"/>
      <c r="N6200" s="195"/>
    </row>
    <row r="6201" spans="1:16" ht="14.25" x14ac:dyDescent="0.2">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166</v>
      </c>
      <c r="H6201" s="50" t="s">
        <v>60</v>
      </c>
      <c r="I6201" s="187">
        <v>9.0514849999999996</v>
      </c>
      <c r="J6201" s="239" t="s">
        <v>941</v>
      </c>
      <c r="K6201" s="239" t="s">
        <v>116</v>
      </c>
      <c r="M6201" s="195"/>
      <c r="N6201" s="195"/>
      <c r="P6201" s="188"/>
    </row>
    <row r="6202" spans="1:16" ht="14.25" x14ac:dyDescent="0.2">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168</v>
      </c>
      <c r="H6202" s="50" t="s">
        <v>60</v>
      </c>
      <c r="I6202" s="187">
        <v>8.6795380000000009</v>
      </c>
      <c r="J6202" s="239" t="s">
        <v>941</v>
      </c>
      <c r="K6202" s="239" t="s">
        <v>116</v>
      </c>
      <c r="M6202" s="195"/>
      <c r="N6202" s="195"/>
      <c r="P6202" s="188"/>
    </row>
    <row r="6203" spans="1:16" ht="14.25" x14ac:dyDescent="0.2">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312.25</v>
      </c>
      <c r="H6203" s="50" t="s">
        <v>60</v>
      </c>
      <c r="I6203" s="187">
        <v>10.74264</v>
      </c>
      <c r="J6203" s="239" t="s">
        <v>941</v>
      </c>
      <c r="K6203" s="239" t="s">
        <v>116</v>
      </c>
      <c r="M6203" s="195"/>
      <c r="N6203" s="195"/>
      <c r="P6203" s="188"/>
    </row>
    <row r="6204" spans="1:16" ht="14.25" x14ac:dyDescent="0.2">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312.5</v>
      </c>
      <c r="H6204" s="50" t="s">
        <v>60</v>
      </c>
      <c r="I6204" s="187">
        <v>97.974059999999994</v>
      </c>
      <c r="J6204" s="239" t="s">
        <v>941</v>
      </c>
      <c r="K6204" s="239" t="s">
        <v>116</v>
      </c>
      <c r="M6204" s="195"/>
      <c r="N6204" s="195"/>
      <c r="P6204" s="188"/>
    </row>
    <row r="6205" spans="1:16" ht="14.25" x14ac:dyDescent="0.2">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313</v>
      </c>
      <c r="H6205" s="50" t="s">
        <v>60</v>
      </c>
      <c r="I6205" s="187">
        <v>208.92959999999999</v>
      </c>
      <c r="J6205" s="239" t="s">
        <v>941</v>
      </c>
      <c r="K6205" s="239" t="s">
        <v>116</v>
      </c>
      <c r="M6205" s="195"/>
      <c r="N6205" s="195"/>
      <c r="P6205" s="188"/>
    </row>
    <row r="6206" spans="1:16" ht="14.25" x14ac:dyDescent="0.2">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313.5</v>
      </c>
      <c r="H6206" s="50" t="s">
        <v>60</v>
      </c>
      <c r="I6206" s="187">
        <v>160.11959999999999</v>
      </c>
      <c r="J6206" s="239" t="s">
        <v>941</v>
      </c>
      <c r="K6206" s="239" t="s">
        <v>116</v>
      </c>
      <c r="M6206" s="195"/>
      <c r="N6206" s="195"/>
      <c r="P6206" s="188"/>
    </row>
    <row r="6207" spans="1:16" ht="14.25" x14ac:dyDescent="0.2">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314</v>
      </c>
      <c r="H6207" s="50" t="s">
        <v>60</v>
      </c>
      <c r="I6207" s="187">
        <v>138.7466</v>
      </c>
      <c r="J6207" s="239" t="s">
        <v>941</v>
      </c>
      <c r="K6207" s="239" t="s">
        <v>116</v>
      </c>
      <c r="M6207" s="195"/>
      <c r="N6207" s="195"/>
      <c r="P6207" s="188"/>
    </row>
    <row r="6208" spans="1:16" ht="14.25" x14ac:dyDescent="0.2">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316</v>
      </c>
      <c r="H6208" s="50" t="s">
        <v>60</v>
      </c>
      <c r="I6208" s="187">
        <v>67.781490000000005</v>
      </c>
      <c r="J6208" s="239" t="s">
        <v>941</v>
      </c>
      <c r="K6208" s="239" t="s">
        <v>116</v>
      </c>
      <c r="M6208" s="195"/>
      <c r="N6208" s="195"/>
      <c r="P6208" s="188"/>
    </row>
    <row r="6209" spans="1:16" ht="14.25" x14ac:dyDescent="0.2">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318</v>
      </c>
      <c r="H6209" s="50" t="s">
        <v>60</v>
      </c>
      <c r="I6209" s="187">
        <v>46.893329999999999</v>
      </c>
      <c r="J6209" s="239" t="s">
        <v>941</v>
      </c>
      <c r="K6209" s="239" t="s">
        <v>116</v>
      </c>
      <c r="M6209" s="195"/>
      <c r="N6209" s="195"/>
      <c r="P6209" s="188"/>
    </row>
    <row r="6210" spans="1:16" ht="14.25" x14ac:dyDescent="0.2">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320</v>
      </c>
      <c r="H6210" s="50" t="s">
        <v>60</v>
      </c>
      <c r="I6210" s="187">
        <v>35.938139999999997</v>
      </c>
      <c r="J6210" s="239" t="s">
        <v>941</v>
      </c>
      <c r="K6210" s="239" t="s">
        <v>116</v>
      </c>
      <c r="M6210" s="195"/>
      <c r="N6210" s="195"/>
      <c r="P6210" s="188"/>
    </row>
    <row r="6211" spans="1:16" ht="14.25" x14ac:dyDescent="0.2">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322</v>
      </c>
      <c r="H6211" s="50" t="s">
        <v>60</v>
      </c>
      <c r="I6211" s="187">
        <v>27.542290000000001</v>
      </c>
      <c r="J6211" s="239" t="s">
        <v>941</v>
      </c>
      <c r="K6211" s="239" t="s">
        <v>116</v>
      </c>
      <c r="M6211" s="195"/>
      <c r="N6211" s="195"/>
      <c r="P6211" s="188"/>
    </row>
    <row r="6212" spans="1:16" ht="14.25" x14ac:dyDescent="0.2">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324</v>
      </c>
      <c r="H6212" s="50" t="s">
        <v>60</v>
      </c>
      <c r="I6212" s="187">
        <v>22.90868</v>
      </c>
      <c r="J6212" s="239" t="s">
        <v>941</v>
      </c>
      <c r="K6212" s="239" t="s">
        <v>116</v>
      </c>
      <c r="M6212" s="195"/>
      <c r="N6212" s="195"/>
      <c r="P6212" s="188"/>
    </row>
    <row r="6213" spans="1:16" ht="14.25" x14ac:dyDescent="0.2">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326</v>
      </c>
      <c r="H6213" s="50" t="s">
        <v>60</v>
      </c>
      <c r="I6213" s="187">
        <v>17.919809999999998</v>
      </c>
      <c r="J6213" s="239" t="s">
        <v>941</v>
      </c>
      <c r="K6213" s="239" t="s">
        <v>116</v>
      </c>
      <c r="M6213" s="195"/>
      <c r="N6213" s="195"/>
      <c r="P6213" s="188"/>
    </row>
    <row r="6214" spans="1:16" ht="14.25" x14ac:dyDescent="0.2">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330</v>
      </c>
      <c r="H6214" s="50" t="s">
        <v>60</v>
      </c>
      <c r="I6214" s="187">
        <v>11.659140000000001</v>
      </c>
      <c r="J6214" s="239" t="s">
        <v>941</v>
      </c>
      <c r="K6214" s="239" t="s">
        <v>116</v>
      </c>
      <c r="M6214" s="195"/>
      <c r="N6214" s="195"/>
      <c r="P6214" s="188"/>
    </row>
    <row r="6215" spans="1:16" ht="14.25" x14ac:dyDescent="0.2">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334</v>
      </c>
      <c r="H6215" s="50" t="s">
        <v>60</v>
      </c>
      <c r="I6215" s="187">
        <v>11.191509999999999</v>
      </c>
      <c r="J6215" s="239" t="s">
        <v>941</v>
      </c>
      <c r="K6215" s="239" t="s">
        <v>116</v>
      </c>
      <c r="M6215" s="195"/>
      <c r="N6215" s="195"/>
      <c r="P6215" s="188"/>
    </row>
    <row r="6216" spans="1:16" ht="14.25" x14ac:dyDescent="0.2">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336</v>
      </c>
      <c r="H6216" s="50" t="s">
        <v>60</v>
      </c>
      <c r="I6216" s="187">
        <v>8.7543159999999993</v>
      </c>
      <c r="J6216" s="239" t="s">
        <v>941</v>
      </c>
      <c r="K6216" s="239" t="s">
        <v>116</v>
      </c>
      <c r="M6216" s="195"/>
      <c r="N6216" s="195"/>
      <c r="P6216" s="188"/>
    </row>
    <row r="6217" spans="1:16" ht="14.25" x14ac:dyDescent="0.2">
      <c r="A6217" s="30">
        <v>688</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50 mg (day 7 and day 14)</v>
      </c>
      <c r="E6217" s="250" t="str">
        <f>IF(AND(A6217&lt;&gt;"",ISNUMBER(A6217)),VLOOKUP(A6217,Studies!A:BR,5,FALSE),"")</f>
        <v>Dapagliflozin</v>
      </c>
      <c r="F6217" s="251" t="str">
        <f>IF(AND(A6217&lt;&gt;"",ISNUMBER(A6217)),VLOOKUP(A6217,Studies!A:BR,6,FALSE),"")</f>
        <v>Plasma</v>
      </c>
      <c r="G6217" s="194">
        <v>144.5</v>
      </c>
      <c r="H6217" s="50" t="s">
        <v>60</v>
      </c>
      <c r="I6217" s="187">
        <v>355.83839999999998</v>
      </c>
      <c r="J6217" s="239" t="s">
        <v>941</v>
      </c>
      <c r="K6217" s="239" t="s">
        <v>116</v>
      </c>
      <c r="M6217" s="195"/>
      <c r="N6217" s="195"/>
      <c r="P6217" s="188"/>
    </row>
    <row r="6218" spans="1:16" ht="14.25" x14ac:dyDescent="0.2">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145</v>
      </c>
      <c r="H6218" s="50" t="s">
        <v>60</v>
      </c>
      <c r="I6218" s="187">
        <v>711.10910000000001</v>
      </c>
      <c r="J6218" s="239" t="s">
        <v>941</v>
      </c>
      <c r="K6218" s="239" t="s">
        <v>116</v>
      </c>
      <c r="M6218" s="195"/>
      <c r="N6218" s="195"/>
      <c r="P6218" s="188"/>
    </row>
    <row r="6219" spans="1:16" ht="14.25" x14ac:dyDescent="0.2">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145.5</v>
      </c>
      <c r="H6219" s="50" t="s">
        <v>60</v>
      </c>
      <c r="I6219" s="187">
        <v>420.86790000000002</v>
      </c>
      <c r="J6219" s="239" t="s">
        <v>941</v>
      </c>
      <c r="K6219" s="239" t="s">
        <v>116</v>
      </c>
      <c r="M6219" s="195"/>
      <c r="N6219" s="195"/>
      <c r="P6219" s="188"/>
    </row>
    <row r="6220" spans="1:16" ht="14.25" x14ac:dyDescent="0.2">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146</v>
      </c>
      <c r="H6220" s="50" t="s">
        <v>60</v>
      </c>
      <c r="I6220" s="187">
        <v>348.45060000000001</v>
      </c>
      <c r="J6220" s="239" t="s">
        <v>941</v>
      </c>
      <c r="K6220" s="239" t="s">
        <v>116</v>
      </c>
      <c r="M6220" s="195"/>
      <c r="N6220" s="195"/>
      <c r="P6220" s="188"/>
    </row>
    <row r="6221" spans="1:16" ht="14.25" x14ac:dyDescent="0.2">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148</v>
      </c>
      <c r="H6221" s="50" t="s">
        <v>60</v>
      </c>
      <c r="I6221" s="187">
        <v>185.6918</v>
      </c>
      <c r="J6221" s="239" t="s">
        <v>941</v>
      </c>
      <c r="K6221" s="239" t="s">
        <v>116</v>
      </c>
      <c r="M6221" s="195"/>
      <c r="N6221" s="195"/>
      <c r="P6221" s="188"/>
    </row>
    <row r="6222" spans="1:16" ht="14.25" x14ac:dyDescent="0.2">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150</v>
      </c>
      <c r="H6222" s="50" t="s">
        <v>60</v>
      </c>
      <c r="I6222" s="187">
        <v>112.2313</v>
      </c>
      <c r="J6222" s="239" t="s">
        <v>941</v>
      </c>
      <c r="K6222" s="239" t="s">
        <v>116</v>
      </c>
      <c r="M6222" s="195"/>
      <c r="N6222" s="195"/>
      <c r="P6222" s="188"/>
    </row>
    <row r="6223" spans="1:16" ht="14.25" x14ac:dyDescent="0.2">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152</v>
      </c>
      <c r="H6223" s="50" t="s">
        <v>60</v>
      </c>
      <c r="I6223" s="187">
        <v>101.0545</v>
      </c>
      <c r="J6223" s="239" t="s">
        <v>941</v>
      </c>
      <c r="K6223" s="239" t="s">
        <v>116</v>
      </c>
      <c r="M6223" s="195"/>
      <c r="N6223" s="195"/>
      <c r="P6223" s="188"/>
    </row>
    <row r="6224" spans="1:16" ht="14.25" x14ac:dyDescent="0.2">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154</v>
      </c>
      <c r="H6224" s="50" t="s">
        <v>60</v>
      </c>
      <c r="I6224" s="187">
        <v>62.371850000000002</v>
      </c>
      <c r="J6224" s="239" t="s">
        <v>941</v>
      </c>
      <c r="K6224" s="239" t="s">
        <v>116</v>
      </c>
      <c r="M6224" s="195"/>
      <c r="N6224" s="195"/>
      <c r="P6224" s="188"/>
    </row>
    <row r="6225" spans="1:11" ht="14.25" x14ac:dyDescent="0.2">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156</v>
      </c>
      <c r="H6225" s="50" t="s">
        <v>60</v>
      </c>
      <c r="I6225" s="187">
        <v>51.639740000000003</v>
      </c>
      <c r="J6225" s="239" t="s">
        <v>941</v>
      </c>
      <c r="K6225" s="239" t="s">
        <v>116</v>
      </c>
    </row>
    <row r="6226" spans="1:11" ht="14.25" x14ac:dyDescent="0.2">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158</v>
      </c>
      <c r="H6226" s="50" t="s">
        <v>60</v>
      </c>
      <c r="I6226" s="187">
        <v>40.14622</v>
      </c>
      <c r="J6226" s="239" t="s">
        <v>941</v>
      </c>
      <c r="K6226" s="239" t="s">
        <v>116</v>
      </c>
    </row>
    <row r="6227" spans="1:11" ht="14.25" x14ac:dyDescent="0.2">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162</v>
      </c>
      <c r="H6227" s="50" t="s">
        <v>60</v>
      </c>
      <c r="I6227" s="187">
        <v>30.562830000000002</v>
      </c>
      <c r="J6227" s="239" t="s">
        <v>941</v>
      </c>
      <c r="K6227" s="239" t="s">
        <v>116</v>
      </c>
    </row>
    <row r="6228" spans="1:11" ht="14.25" x14ac:dyDescent="0.2">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166</v>
      </c>
      <c r="H6228" s="50" t="s">
        <v>60</v>
      </c>
      <c r="I6228" s="187">
        <v>22.784050000000001</v>
      </c>
      <c r="J6228" s="239" t="s">
        <v>941</v>
      </c>
      <c r="K6228" s="239" t="s">
        <v>116</v>
      </c>
    </row>
    <row r="6229" spans="1:11" ht="14.25" x14ac:dyDescent="0.2">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168</v>
      </c>
      <c r="H6229" s="50" t="s">
        <v>60</v>
      </c>
      <c r="I6229" s="187">
        <v>22.784050000000001</v>
      </c>
      <c r="J6229" s="239" t="s">
        <v>941</v>
      </c>
      <c r="K6229" s="239" t="s">
        <v>116</v>
      </c>
    </row>
    <row r="6230" spans="1:11" ht="14.25" x14ac:dyDescent="0.2">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312.25</v>
      </c>
      <c r="H6230" s="50" t="s">
        <v>60</v>
      </c>
      <c r="I6230" s="187">
        <v>29.892040000000001</v>
      </c>
      <c r="J6230" s="239" t="s">
        <v>941</v>
      </c>
      <c r="K6230" s="239" t="s">
        <v>116</v>
      </c>
    </row>
    <row r="6231" spans="1:11" ht="14.25" x14ac:dyDescent="0.2">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312.5</v>
      </c>
      <c r="H6231" s="50" t="s">
        <v>60</v>
      </c>
      <c r="I6231" s="187">
        <v>370.58589999999998</v>
      </c>
      <c r="J6231" s="239" t="s">
        <v>941</v>
      </c>
      <c r="K6231" s="239" t="s">
        <v>116</v>
      </c>
    </row>
    <row r="6232" spans="1:11" ht="14.25" x14ac:dyDescent="0.2">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313</v>
      </c>
      <c r="H6232" s="50" t="s">
        <v>60</v>
      </c>
      <c r="I6232" s="187">
        <v>630.95730000000003</v>
      </c>
      <c r="J6232" s="239" t="s">
        <v>941</v>
      </c>
      <c r="K6232" s="239" t="s">
        <v>116</v>
      </c>
    </row>
    <row r="6233" spans="1:11" ht="14.25" x14ac:dyDescent="0.2">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313.5</v>
      </c>
      <c r="H6233" s="50" t="s">
        <v>60</v>
      </c>
      <c r="I6233" s="187">
        <v>546.73609999999996</v>
      </c>
      <c r="J6233" s="239" t="s">
        <v>941</v>
      </c>
      <c r="K6233" s="239" t="s">
        <v>116</v>
      </c>
    </row>
    <row r="6234" spans="1:11" ht="14.25" x14ac:dyDescent="0.2">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314</v>
      </c>
      <c r="H6234" s="50" t="s">
        <v>60</v>
      </c>
      <c r="I6234" s="187">
        <v>370.58589999999998</v>
      </c>
      <c r="J6234" s="239" t="s">
        <v>941</v>
      </c>
      <c r="K6234" s="239" t="s">
        <v>116</v>
      </c>
    </row>
    <row r="6235" spans="1:11" ht="14.25" x14ac:dyDescent="0.2">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316</v>
      </c>
      <c r="H6235" s="50" t="s">
        <v>60</v>
      </c>
      <c r="I6235" s="187">
        <v>192.5061</v>
      </c>
      <c r="J6235" s="239" t="s">
        <v>941</v>
      </c>
      <c r="K6235" s="239" t="s">
        <v>116</v>
      </c>
    </row>
    <row r="6236" spans="1:11" ht="14.25" x14ac:dyDescent="0.2">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318</v>
      </c>
      <c r="H6236" s="50" t="s">
        <v>60</v>
      </c>
      <c r="I6236" s="187">
        <v>122.71250000000001</v>
      </c>
      <c r="J6236" s="239" t="s">
        <v>941</v>
      </c>
      <c r="K6236" s="239" t="s">
        <v>116</v>
      </c>
    </row>
    <row r="6237" spans="1:11" ht="14.25" x14ac:dyDescent="0.2">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320</v>
      </c>
      <c r="H6237" s="50" t="s">
        <v>60</v>
      </c>
      <c r="I6237" s="187">
        <v>102.06780000000001</v>
      </c>
      <c r="J6237" s="239" t="s">
        <v>941</v>
      </c>
      <c r="K6237" s="239" t="s">
        <v>116</v>
      </c>
    </row>
    <row r="6238" spans="1:11" ht="14.25" x14ac:dyDescent="0.2">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322</v>
      </c>
      <c r="H6238" s="50" t="s">
        <v>60</v>
      </c>
      <c r="I6238" s="187">
        <v>69.183099999999996</v>
      </c>
      <c r="J6238" s="239" t="s">
        <v>941</v>
      </c>
      <c r="K6238" s="239" t="s">
        <v>116</v>
      </c>
    </row>
    <row r="6239" spans="1:11" ht="14.25" x14ac:dyDescent="0.2">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324</v>
      </c>
      <c r="H6239" s="50" t="s">
        <v>60</v>
      </c>
      <c r="I6239" s="187">
        <v>58.733910000000002</v>
      </c>
      <c r="J6239" s="239" t="s">
        <v>941</v>
      </c>
      <c r="K6239" s="239" t="s">
        <v>116</v>
      </c>
    </row>
    <row r="6240" spans="1:11" ht="14.25" x14ac:dyDescent="0.2">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326</v>
      </c>
      <c r="H6240" s="50" t="s">
        <v>60</v>
      </c>
      <c r="I6240" s="187">
        <v>43.207140000000003</v>
      </c>
      <c r="J6240" s="239" t="s">
        <v>941</v>
      </c>
      <c r="K6240" s="239" t="s">
        <v>116</v>
      </c>
    </row>
    <row r="6241" spans="1:14" ht="14.25" x14ac:dyDescent="0.2">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330</v>
      </c>
      <c r="H6241" s="50" t="s">
        <v>60</v>
      </c>
      <c r="I6241" s="187">
        <v>33.113109999999999</v>
      </c>
      <c r="J6241" s="239" t="s">
        <v>941</v>
      </c>
      <c r="K6241" s="239" t="s">
        <v>116</v>
      </c>
    </row>
    <row r="6242" spans="1:14" ht="14.25" x14ac:dyDescent="0.2">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334</v>
      </c>
      <c r="H6242" s="50" t="s">
        <v>60</v>
      </c>
      <c r="I6242" s="187">
        <v>21.544350000000001</v>
      </c>
      <c r="J6242" s="239" t="s">
        <v>941</v>
      </c>
      <c r="K6242" s="239" t="s">
        <v>116</v>
      </c>
    </row>
    <row r="6243" spans="1:14" ht="14.25" x14ac:dyDescent="0.2">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336</v>
      </c>
      <c r="H6243" s="50" t="s">
        <v>60</v>
      </c>
      <c r="I6243" s="187">
        <v>21.544350000000001</v>
      </c>
      <c r="J6243" s="239" t="s">
        <v>941</v>
      </c>
      <c r="K6243" s="239" t="s">
        <v>116</v>
      </c>
    </row>
    <row r="6244" spans="1:14" ht="14.25" x14ac:dyDescent="0.2">
      <c r="A6244" s="30">
        <v>689</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100 mg (day 7 and day 14)</v>
      </c>
      <c r="E6244" s="250" t="str">
        <f>IF(AND(A6244&lt;&gt;"",ISNUMBER(A6244)),VLOOKUP(A6244,Studies!A:BR,5,FALSE),"")</f>
        <v>Dapagliflozin</v>
      </c>
      <c r="F6244" s="251" t="str">
        <f>IF(AND(A6244&lt;&gt;"",ISNUMBER(A6244)),VLOOKUP(A6244,Studies!A:BR,6,FALSE),"")</f>
        <v>Plasma</v>
      </c>
      <c r="G6244" s="194">
        <v>144.25</v>
      </c>
      <c r="H6244" s="50" t="s">
        <v>60</v>
      </c>
      <c r="I6244" s="187">
        <v>61.076900000000002</v>
      </c>
      <c r="J6244" s="239" t="s">
        <v>941</v>
      </c>
      <c r="K6244" s="239" t="s">
        <v>116</v>
      </c>
    </row>
    <row r="6245" spans="1:14" ht="14.25" x14ac:dyDescent="0.2">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144.5</v>
      </c>
      <c r="H6245" s="50" t="s">
        <v>60</v>
      </c>
      <c r="I6245" s="187">
        <v>552.83659999999998</v>
      </c>
      <c r="J6245" s="239" t="s">
        <v>941</v>
      </c>
      <c r="K6245" s="239" t="s">
        <v>116</v>
      </c>
    </row>
    <row r="6246" spans="1:14" ht="14.25" x14ac:dyDescent="0.2">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145</v>
      </c>
      <c r="H6246" s="50" t="s">
        <v>60</v>
      </c>
      <c r="I6246" s="187">
        <v>1037.3979999999999</v>
      </c>
      <c r="J6246" s="239" t="s">
        <v>941</v>
      </c>
      <c r="K6246" s="239" t="s">
        <v>116</v>
      </c>
    </row>
    <row r="6247" spans="1:14" ht="14.25" x14ac:dyDescent="0.2">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145.5</v>
      </c>
      <c r="H6247" s="50" t="s">
        <v>60</v>
      </c>
      <c r="I6247" s="187">
        <v>895.7029</v>
      </c>
      <c r="J6247" s="239" t="s">
        <v>941</v>
      </c>
      <c r="K6247" s="239" t="s">
        <v>116</v>
      </c>
    </row>
    <row r="6248" spans="1:14" ht="14.25" x14ac:dyDescent="0.2">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146</v>
      </c>
      <c r="H6248" s="50" t="s">
        <v>60</v>
      </c>
      <c r="I6248" s="187">
        <v>806.50289999999995</v>
      </c>
      <c r="J6248" s="239" t="s">
        <v>941</v>
      </c>
      <c r="K6248" s="239" t="s">
        <v>116</v>
      </c>
      <c r="N6248" s="195"/>
    </row>
    <row r="6249" spans="1:14" ht="14.25" x14ac:dyDescent="0.2">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148</v>
      </c>
      <c r="H6249" s="50" t="s">
        <v>60</v>
      </c>
      <c r="I6249" s="187">
        <v>386.9896</v>
      </c>
      <c r="J6249" s="239" t="s">
        <v>941</v>
      </c>
      <c r="K6249" s="239" t="s">
        <v>116</v>
      </c>
      <c r="M6249" s="195"/>
      <c r="N6249" s="195"/>
    </row>
    <row r="6250" spans="1:14" ht="14.25" x14ac:dyDescent="0.2">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150</v>
      </c>
      <c r="H6250" s="50" t="s">
        <v>60</v>
      </c>
      <c r="I6250" s="187">
        <v>243.9179</v>
      </c>
      <c r="J6250" s="239" t="s">
        <v>941</v>
      </c>
      <c r="K6250" s="239" t="s">
        <v>116</v>
      </c>
      <c r="M6250" s="195"/>
      <c r="N6250" s="195"/>
    </row>
    <row r="6251" spans="1:14" ht="14.25" x14ac:dyDescent="0.2">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152</v>
      </c>
      <c r="H6251" s="50" t="s">
        <v>60</v>
      </c>
      <c r="I6251" s="187">
        <v>201.9478</v>
      </c>
      <c r="J6251" s="239" t="s">
        <v>941</v>
      </c>
      <c r="K6251" s="239" t="s">
        <v>116</v>
      </c>
      <c r="M6251" s="195"/>
      <c r="N6251" s="195"/>
    </row>
    <row r="6252" spans="1:14" ht="14.25" x14ac:dyDescent="0.2">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154</v>
      </c>
      <c r="H6252" s="50" t="s">
        <v>60</v>
      </c>
      <c r="I6252" s="187">
        <v>138.4299</v>
      </c>
      <c r="J6252" s="239" t="s">
        <v>941</v>
      </c>
      <c r="K6252" s="239" t="s">
        <v>116</v>
      </c>
      <c r="M6252" s="195"/>
      <c r="N6252" s="195"/>
    </row>
    <row r="6253" spans="1:14" ht="14.25" x14ac:dyDescent="0.2">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156</v>
      </c>
      <c r="H6253" s="50" t="s">
        <v>60</v>
      </c>
      <c r="I6253" s="187">
        <v>122.05629999999999</v>
      </c>
      <c r="J6253" s="239" t="s">
        <v>941</v>
      </c>
      <c r="K6253" s="239" t="s">
        <v>116</v>
      </c>
      <c r="M6253" s="195"/>
      <c r="N6253" s="195"/>
    </row>
    <row r="6254" spans="1:14" ht="14.25" x14ac:dyDescent="0.2">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158</v>
      </c>
      <c r="H6254" s="50" t="s">
        <v>60</v>
      </c>
      <c r="I6254" s="187">
        <v>109.9012</v>
      </c>
      <c r="J6254" s="239" t="s">
        <v>941</v>
      </c>
      <c r="K6254" s="239" t="s">
        <v>116</v>
      </c>
      <c r="M6254" s="195"/>
      <c r="N6254" s="195"/>
    </row>
    <row r="6255" spans="1:14" ht="14.25" x14ac:dyDescent="0.2">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162</v>
      </c>
      <c r="H6255" s="50" t="s">
        <v>60</v>
      </c>
      <c r="I6255" s="187">
        <v>67.832070000000002</v>
      </c>
      <c r="J6255" s="239" t="s">
        <v>941</v>
      </c>
      <c r="K6255" s="239" t="s">
        <v>116</v>
      </c>
      <c r="M6255" s="195"/>
      <c r="N6255" s="195"/>
    </row>
    <row r="6256" spans="1:14" ht="14.25" x14ac:dyDescent="0.2">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166</v>
      </c>
      <c r="H6256" s="50" t="s">
        <v>60</v>
      </c>
      <c r="I6256" s="187">
        <v>56.160440000000001</v>
      </c>
      <c r="J6256" s="239" t="s">
        <v>941</v>
      </c>
      <c r="K6256" s="239" t="s">
        <v>116</v>
      </c>
      <c r="M6256" s="195"/>
      <c r="N6256" s="195"/>
    </row>
    <row r="6257" spans="1:14" ht="14.25" x14ac:dyDescent="0.2">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168</v>
      </c>
      <c r="H6257" s="50" t="s">
        <v>60</v>
      </c>
      <c r="I6257" s="187">
        <v>54.994459999999997</v>
      </c>
      <c r="J6257" s="239" t="s">
        <v>941</v>
      </c>
      <c r="K6257" s="239" t="s">
        <v>116</v>
      </c>
      <c r="M6257" s="195"/>
      <c r="N6257" s="195"/>
    </row>
    <row r="6258" spans="1:14" ht="14.25" x14ac:dyDescent="0.2">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312.25</v>
      </c>
      <c r="H6258" s="50" t="s">
        <v>60</v>
      </c>
      <c r="I6258" s="187">
        <v>62.453319999999998</v>
      </c>
      <c r="J6258" s="239" t="s">
        <v>941</v>
      </c>
      <c r="K6258" s="239" t="s">
        <v>116</v>
      </c>
      <c r="M6258" s="195"/>
      <c r="N6258" s="195"/>
    </row>
    <row r="6259" spans="1:14" ht="14.25" x14ac:dyDescent="0.2">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312.5</v>
      </c>
      <c r="H6259" s="50" t="s">
        <v>60</v>
      </c>
      <c r="I6259" s="187">
        <v>605.65070000000003</v>
      </c>
      <c r="J6259" s="239" t="s">
        <v>941</v>
      </c>
      <c r="K6259" s="239" t="s">
        <v>116</v>
      </c>
      <c r="M6259" s="195"/>
      <c r="N6259" s="195"/>
    </row>
    <row r="6260" spans="1:14" ht="14.25" x14ac:dyDescent="0.2">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313</v>
      </c>
      <c r="H6260" s="50" t="s">
        <v>60</v>
      </c>
      <c r="I6260" s="187">
        <v>1265.384</v>
      </c>
      <c r="J6260" s="239" t="s">
        <v>941</v>
      </c>
      <c r="K6260" s="239" t="s">
        <v>116</v>
      </c>
      <c r="M6260" s="195"/>
      <c r="N6260" s="195"/>
    </row>
    <row r="6261" spans="1:14" ht="14.25" x14ac:dyDescent="0.2">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313.5</v>
      </c>
      <c r="H6261" s="50" t="s">
        <v>60</v>
      </c>
      <c r="I6261" s="187">
        <v>1031.1769999999999</v>
      </c>
      <c r="J6261" s="239" t="s">
        <v>941</v>
      </c>
      <c r="K6261" s="239" t="s">
        <v>116</v>
      </c>
    </row>
    <row r="6262" spans="1:14" ht="14.25" x14ac:dyDescent="0.2">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314</v>
      </c>
      <c r="H6262" s="50" t="s">
        <v>60</v>
      </c>
      <c r="I6262" s="187">
        <v>743.20920000000001</v>
      </c>
      <c r="J6262" s="239" t="s">
        <v>941</v>
      </c>
      <c r="K6262" s="239" t="s">
        <v>116</v>
      </c>
    </row>
    <row r="6263" spans="1:14" ht="14.25" x14ac:dyDescent="0.2">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316</v>
      </c>
      <c r="H6263" s="50" t="s">
        <v>60</v>
      </c>
      <c r="I6263" s="187">
        <v>427.67230000000001</v>
      </c>
      <c r="J6263" s="239" t="s">
        <v>941</v>
      </c>
      <c r="K6263" s="239" t="s">
        <v>116</v>
      </c>
    </row>
    <row r="6264" spans="1:14" ht="14.25" x14ac:dyDescent="0.2">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318</v>
      </c>
      <c r="H6264" s="50" t="s">
        <v>60</v>
      </c>
      <c r="I6264" s="187">
        <v>284.00979999999998</v>
      </c>
      <c r="J6264" s="239" t="s">
        <v>941</v>
      </c>
      <c r="K6264" s="239" t="s">
        <v>116</v>
      </c>
    </row>
    <row r="6265" spans="1:14" ht="14.25" x14ac:dyDescent="0.2">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320</v>
      </c>
      <c r="H6265" s="50" t="s">
        <v>60</v>
      </c>
      <c r="I6265" s="187">
        <v>226.7543</v>
      </c>
      <c r="J6265" s="239" t="s">
        <v>941</v>
      </c>
      <c r="K6265" s="239" t="s">
        <v>116</v>
      </c>
    </row>
    <row r="6266" spans="1:14" ht="14.25" x14ac:dyDescent="0.2">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322</v>
      </c>
      <c r="H6266" s="50" t="s">
        <v>60</v>
      </c>
      <c r="I6266" s="187">
        <v>163.4306</v>
      </c>
      <c r="J6266" s="239" t="s">
        <v>941</v>
      </c>
      <c r="K6266" s="239" t="s">
        <v>116</v>
      </c>
    </row>
    <row r="6267" spans="1:14" ht="14.25" x14ac:dyDescent="0.2">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324</v>
      </c>
      <c r="H6267" s="50" t="s">
        <v>60</v>
      </c>
      <c r="I6267" s="187">
        <v>144.54400000000001</v>
      </c>
      <c r="J6267" s="239" t="s">
        <v>941</v>
      </c>
      <c r="K6267" s="239" t="s">
        <v>116</v>
      </c>
    </row>
    <row r="6268" spans="1:14" ht="14.25" x14ac:dyDescent="0.2">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326</v>
      </c>
      <c r="H6268" s="50" t="s">
        <v>60</v>
      </c>
      <c r="I6268" s="187">
        <v>117.7907</v>
      </c>
      <c r="J6268" s="239" t="s">
        <v>941</v>
      </c>
      <c r="K6268" s="239" t="s">
        <v>116</v>
      </c>
    </row>
    <row r="6269" spans="1:14" ht="14.25" x14ac:dyDescent="0.2">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330</v>
      </c>
      <c r="H6269" s="50" t="s">
        <v>60</v>
      </c>
      <c r="I6269" s="187">
        <v>72.073859999999996</v>
      </c>
      <c r="J6269" s="239" t="s">
        <v>941</v>
      </c>
      <c r="K6269" s="239" t="s">
        <v>116</v>
      </c>
    </row>
    <row r="6270" spans="1:14" ht="14.25" x14ac:dyDescent="0.2">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334</v>
      </c>
      <c r="H6270" s="50" t="s">
        <v>60</v>
      </c>
      <c r="I6270" s="187">
        <v>63.744750000000003</v>
      </c>
      <c r="J6270" s="239" t="s">
        <v>941</v>
      </c>
      <c r="K6270" s="239" t="s">
        <v>116</v>
      </c>
    </row>
    <row r="6271" spans="1:14" ht="14.25" x14ac:dyDescent="0.2">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336</v>
      </c>
      <c r="H6271" s="50" t="s">
        <v>60</v>
      </c>
      <c r="I6271" s="187">
        <v>62.453319999999998</v>
      </c>
      <c r="J6271" s="239" t="s">
        <v>941</v>
      </c>
      <c r="K6271" s="239" t="s">
        <v>116</v>
      </c>
    </row>
    <row r="6272" spans="1:14" x14ac:dyDescent="0.2">
      <c r="A6272" s="30">
        <v>690</v>
      </c>
      <c r="B6272" s="249" t="str">
        <f>IF(AND(A6272&lt;&gt;"",ISNUMBER(A6272)),VLOOKUP(A6272,Studies!A:BR,2,FALSE),"")</f>
        <v>Goosen 2017</v>
      </c>
      <c r="C6272" s="250" t="str">
        <f>IF(AND(A6272&lt;&gt;"",ISNUMBER(A6272)),VLOOKUP(A6272,Studies!A:BR,3,FALSE),"")</f>
        <v>https://www.ifscomm.org/wp-content/uploads/2015/04/2017-06-21-GOOSEN_UGT-DDI_FINAL.pdf</v>
      </c>
      <c r="D6272" s="250" t="str">
        <f>IF(AND(A6272&lt;&gt;"",ISNUMBER(A6272)),VLOOKUP(A6272,Studies!A:BR,4,FALSE),"")</f>
        <v>500 mg SD</v>
      </c>
      <c r="E6272" s="250" t="str">
        <f>IF(AND(A6272&lt;&gt;"",ISNUMBER(A6272)),VLOOKUP(A6272,Studies!A:BR,5,FALSE),"")</f>
        <v>Mefenamic acid</v>
      </c>
      <c r="F6272" s="251" t="str">
        <f>IF(AND(A6272&lt;&gt;"",ISNUMBER(A6272)),VLOOKUP(A6272,Studies!A:BR,6,FALSE),"")</f>
        <v>Plasma</v>
      </c>
      <c r="G6272" s="194">
        <v>0.25</v>
      </c>
      <c r="H6272" s="50" t="s">
        <v>60</v>
      </c>
      <c r="I6272" s="187">
        <v>1006.741</v>
      </c>
      <c r="J6272" s="41" t="s">
        <v>941</v>
      </c>
      <c r="K6272" s="41" t="s">
        <v>116</v>
      </c>
    </row>
    <row r="6273" spans="1:16" x14ac:dyDescent="0.2">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0.5</v>
      </c>
      <c r="H6273" s="50" t="s">
        <v>60</v>
      </c>
      <c r="I6273" s="187">
        <v>2292.1840000000002</v>
      </c>
      <c r="J6273" s="41" t="s">
        <v>941</v>
      </c>
      <c r="K6273" s="41" t="s">
        <v>116</v>
      </c>
    </row>
    <row r="6274" spans="1:16" x14ac:dyDescent="0.2">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0.75</v>
      </c>
      <c r="H6274" s="50" t="s">
        <v>60</v>
      </c>
      <c r="I6274" s="187">
        <v>3515.76</v>
      </c>
      <c r="J6274" s="41" t="s">
        <v>941</v>
      </c>
      <c r="K6274" s="41" t="s">
        <v>116</v>
      </c>
      <c r="M6274" s="195"/>
      <c r="N6274" s="195"/>
    </row>
    <row r="6275" spans="1:16" x14ac:dyDescent="0.2">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1</v>
      </c>
      <c r="H6275" s="50" t="s">
        <v>60</v>
      </c>
      <c r="I6275" s="187">
        <v>4538.1289999999999</v>
      </c>
      <c r="J6275" s="41" t="s">
        <v>941</v>
      </c>
      <c r="K6275" s="41" t="s">
        <v>116</v>
      </c>
      <c r="M6275" s="195"/>
      <c r="N6275" s="195"/>
    </row>
    <row r="6276" spans="1:16" x14ac:dyDescent="0.2">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1.5</v>
      </c>
      <c r="H6276" s="50" t="s">
        <v>60</v>
      </c>
      <c r="I6276" s="187">
        <v>5188.7960000000003</v>
      </c>
      <c r="J6276" s="41" t="s">
        <v>941</v>
      </c>
      <c r="K6276" s="41" t="s">
        <v>116</v>
      </c>
      <c r="M6276" s="195"/>
      <c r="N6276" s="195"/>
    </row>
    <row r="6277" spans="1:16" x14ac:dyDescent="0.2">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2</v>
      </c>
      <c r="H6277" s="50" t="s">
        <v>60</v>
      </c>
      <c r="I6277" s="187">
        <v>6102.8190000000004</v>
      </c>
      <c r="J6277" s="41" t="s">
        <v>941</v>
      </c>
      <c r="K6277" s="41" t="s">
        <v>116</v>
      </c>
      <c r="M6277" s="195"/>
      <c r="N6277" s="195"/>
    </row>
    <row r="6278" spans="1:16" x14ac:dyDescent="0.2">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3</v>
      </c>
      <c r="H6278" s="50" t="s">
        <v>60</v>
      </c>
      <c r="I6278" s="187">
        <v>5886.6909999999998</v>
      </c>
      <c r="J6278" s="41" t="s">
        <v>941</v>
      </c>
      <c r="K6278" s="41" t="s">
        <v>116</v>
      </c>
      <c r="M6278" s="195"/>
      <c r="N6278" s="195"/>
    </row>
    <row r="6279" spans="1:16" x14ac:dyDescent="0.2">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5</v>
      </c>
      <c r="H6279" s="50" t="s">
        <v>60</v>
      </c>
      <c r="I6279" s="187">
        <v>2093.7869999999998</v>
      </c>
      <c r="J6279" s="41" t="s">
        <v>941</v>
      </c>
      <c r="K6279" s="41" t="s">
        <v>116</v>
      </c>
      <c r="M6279" s="195"/>
      <c r="N6279" s="195"/>
    </row>
    <row r="6280" spans="1:16" x14ac:dyDescent="0.2">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8</v>
      </c>
      <c r="H6280" s="50" t="s">
        <v>60</v>
      </c>
      <c r="I6280" s="187">
        <v>872.31359999999995</v>
      </c>
      <c r="J6280" s="41" t="s">
        <v>941</v>
      </c>
      <c r="K6280" s="41" t="s">
        <v>116</v>
      </c>
      <c r="M6280" s="195"/>
      <c r="N6280" s="195"/>
    </row>
    <row r="6281" spans="1:16" x14ac:dyDescent="0.2">
      <c r="A6281" s="30">
        <v>691</v>
      </c>
      <c r="B6281" s="249" t="str">
        <f>IF(AND(A6281&lt;&gt;"",ISNUMBER(A6281)),VLOOKUP(A6281,Studies!A:BR,2,FALSE),"")</f>
        <v>Austin 1980</v>
      </c>
      <c r="C6281" s="250" t="str">
        <f>IF(AND(A6281&lt;&gt;"",ISNUMBER(A6281)),VLOOKUP(A6281,Studies!A:BR,3,FALSE),"")</f>
        <v>https://www.ncbi.nlm.nih.gov/pubmed/7437245</v>
      </c>
      <c r="D6281" s="250" t="str">
        <f>IF(AND(A6281&lt;&gt;"",ISNUMBER(A6281)),VLOOKUP(A6281,Studies!A:BR,4,FALSE),"")</f>
        <v>250 mg over 3 min (Regimen 1)</v>
      </c>
      <c r="E6281" s="250" t="str">
        <f>IF(AND(A6281&lt;&gt;"",ISNUMBER(A6281)),VLOOKUP(A6281,Studies!A:BR,5,FALSE),"")</f>
        <v>Erythromycin</v>
      </c>
      <c r="F6281" s="251" t="str">
        <f>IF(AND(A6281&lt;&gt;"",ISNUMBER(A6281)),VLOOKUP(A6281,Studies!A:BR,6,FALSE),"")</f>
        <v>Urine</v>
      </c>
      <c r="G6281" s="194">
        <v>7</v>
      </c>
      <c r="H6281" s="50" t="s">
        <v>60</v>
      </c>
      <c r="I6281" s="187">
        <v>12</v>
      </c>
      <c r="J6281" s="41" t="s">
        <v>447</v>
      </c>
      <c r="K6281" s="41" t="s">
        <v>116</v>
      </c>
      <c r="L6281" s="195">
        <v>7</v>
      </c>
      <c r="M6281" s="195" t="s">
        <v>447</v>
      </c>
      <c r="N6281" s="195" t="s">
        <v>117</v>
      </c>
      <c r="P6281" s="42" t="s">
        <v>1964</v>
      </c>
    </row>
    <row r="6282" spans="1:16" x14ac:dyDescent="0.2">
      <c r="A6282" s="30">
        <v>692</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125 mg over 15 min (Regimen 2)</v>
      </c>
      <c r="E6282" s="250" t="str">
        <f>IF(AND(A6282&lt;&gt;"",ISNUMBER(A6282)),VLOOKUP(A6282,Studies!A:BR,5,FALSE),"")</f>
        <v>Erythromycin</v>
      </c>
      <c r="F6282" s="251" t="str">
        <f>IF(AND(A6282&lt;&gt;"",ISNUMBER(A6282)),VLOOKUP(A6282,Studies!A:BR,6,FALSE),"")</f>
        <v>Urine</v>
      </c>
      <c r="G6282" s="194">
        <v>7</v>
      </c>
      <c r="H6282" s="50" t="s">
        <v>60</v>
      </c>
      <c r="I6282" s="187">
        <v>5.6</v>
      </c>
      <c r="J6282" s="41" t="s">
        <v>447</v>
      </c>
      <c r="K6282" s="41" t="s">
        <v>116</v>
      </c>
      <c r="L6282" s="195">
        <v>2.2999999999999998</v>
      </c>
      <c r="M6282" s="52" t="s">
        <v>447</v>
      </c>
      <c r="N6282" s="52" t="s">
        <v>117</v>
      </c>
      <c r="P6282" s="42" t="s">
        <v>1964</v>
      </c>
    </row>
    <row r="6283" spans="1:16" x14ac:dyDescent="0.2">
      <c r="A6283" s="30">
        <v>693</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250 mg over 15 min (Regimen 2)</v>
      </c>
      <c r="E6283" s="250" t="str">
        <f>IF(AND(A6283&lt;&gt;"",ISNUMBER(A6283)),VLOOKUP(A6283,Studies!A:BR,5,FALSE),"")</f>
        <v>Erythromycin</v>
      </c>
      <c r="F6283" s="251" t="str">
        <f>IF(AND(A6283&lt;&gt;"",ISNUMBER(A6283)),VLOOKUP(A6283,Studies!A:BR,6,FALSE),"")</f>
        <v>Urine</v>
      </c>
      <c r="G6283" s="194">
        <v>7</v>
      </c>
      <c r="H6283" s="50" t="s">
        <v>60</v>
      </c>
      <c r="I6283" s="187">
        <v>4.8</v>
      </c>
      <c r="J6283" s="41" t="s">
        <v>447</v>
      </c>
      <c r="K6283" s="41" t="s">
        <v>116</v>
      </c>
      <c r="L6283" s="195">
        <v>1.2</v>
      </c>
      <c r="M6283" s="52" t="s">
        <v>447</v>
      </c>
      <c r="N6283" s="52" t="s">
        <v>117</v>
      </c>
      <c r="P6283" s="42" t="s">
        <v>1964</v>
      </c>
    </row>
    <row r="6284" spans="1:16" x14ac:dyDescent="0.2">
      <c r="A6284" s="30">
        <v>694</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500 mg over 15 min (Regimen 2)</v>
      </c>
      <c r="E6284" s="250" t="str">
        <f>IF(AND(A6284&lt;&gt;"",ISNUMBER(A6284)),VLOOKUP(A6284,Studies!A:BR,5,FALSE),"")</f>
        <v>Erythromycin</v>
      </c>
      <c r="F6284" s="251" t="str">
        <f>IF(AND(A6284&lt;&gt;"",ISNUMBER(A6284)),VLOOKUP(A6284,Studies!A:BR,6,FALSE),"")</f>
        <v>Urine</v>
      </c>
      <c r="G6284" s="194">
        <v>7</v>
      </c>
      <c r="H6284" s="50" t="s">
        <v>60</v>
      </c>
      <c r="I6284" s="187">
        <v>10.3</v>
      </c>
      <c r="J6284" s="41" t="s">
        <v>447</v>
      </c>
      <c r="K6284" s="41" t="s">
        <v>116</v>
      </c>
      <c r="L6284" s="195">
        <v>2.2999999999999998</v>
      </c>
      <c r="M6284" s="52" t="s">
        <v>447</v>
      </c>
      <c r="N6284" s="52" t="s">
        <v>117</v>
      </c>
      <c r="P6284" s="42" t="s">
        <v>1964</v>
      </c>
    </row>
    <row r="6285" spans="1:16" x14ac:dyDescent="0.2">
      <c r="A6285" s="30">
        <v>695</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900 mg over 15 min (Regimen 2)</v>
      </c>
      <c r="E6285" s="250" t="str">
        <f>IF(AND(A6285&lt;&gt;"",ISNUMBER(A6285)),VLOOKUP(A6285,Studies!A:BR,5,FALSE),"")</f>
        <v>Erythromycin</v>
      </c>
      <c r="F6285" s="251" t="str">
        <f>IF(AND(A6285&lt;&gt;"",ISNUMBER(A6285)),VLOOKUP(A6285,Studies!A:BR,6,FALSE),"")</f>
        <v>Urine</v>
      </c>
      <c r="G6285" s="194">
        <v>7</v>
      </c>
      <c r="H6285" s="50" t="s">
        <v>60</v>
      </c>
      <c r="I6285" s="187">
        <v>17.100000000000001</v>
      </c>
      <c r="J6285" s="41" t="s">
        <v>447</v>
      </c>
      <c r="K6285" s="41" t="s">
        <v>116</v>
      </c>
      <c r="L6285" s="195">
        <v>11</v>
      </c>
      <c r="M6285" s="52" t="s">
        <v>447</v>
      </c>
      <c r="N6285" s="52" t="s">
        <v>117</v>
      </c>
      <c r="P6285" s="42" t="s">
        <v>1964</v>
      </c>
    </row>
    <row r="6286" spans="1:16" x14ac:dyDescent="0.2">
      <c r="A6286" s="30">
        <v>696</v>
      </c>
      <c r="B6286" s="249" t="str">
        <f>IF(AND(A6286&lt;&gt;"",ISNUMBER(A6286)),VLOOKUP(A6286,Studies!A:BR,2,FALSE),"")</f>
        <v>Barre 1987</v>
      </c>
      <c r="C6286" s="250" t="str">
        <f>IF(AND(A6286&lt;&gt;"",ISNUMBER(A6286)),VLOOKUP(A6286,Studies!A:BR,3,FALSE),"")</f>
        <v>https://www.ncbi.nlm.nih.gov/pubmed/3606934</v>
      </c>
      <c r="D6286" s="250" t="str">
        <f>IF(AND(A6286&lt;&gt;"",ISNUMBER(A6286)),VLOOKUP(A6286,Studies!A:BR,4,FALSE),"")</f>
        <v>500 mg over 30 min, total concentrations</v>
      </c>
      <c r="E6286" s="250" t="str">
        <f>IF(AND(A6286&lt;&gt;"",ISNUMBER(A6286)),VLOOKUP(A6286,Studies!A:BR,5,FALSE),"")</f>
        <v>Erythromycin</v>
      </c>
      <c r="F6286" s="251" t="str">
        <f>IF(AND(A6286&lt;&gt;"",ISNUMBER(A6286)),VLOOKUP(A6286,Studies!A:BR,6,FALSE),"")</f>
        <v>Urine</v>
      </c>
      <c r="G6286" s="194">
        <v>48</v>
      </c>
      <c r="H6286" s="50" t="s">
        <v>60</v>
      </c>
      <c r="I6286" s="187">
        <v>12.809189999999999</v>
      </c>
      <c r="J6286" s="41" t="s">
        <v>447</v>
      </c>
      <c r="K6286" s="41" t="s">
        <v>116</v>
      </c>
      <c r="P6286" s="42" t="s">
        <v>1965</v>
      </c>
    </row>
    <row r="6287" spans="1:16" x14ac:dyDescent="0.2">
      <c r="A6287" s="30">
        <v>697</v>
      </c>
      <c r="B6287" s="249" t="str">
        <f>IF(AND(A6287&lt;&gt;"",ISNUMBER(A6287)),VLOOKUP(A6287,Studies!A:BR,2,FALSE),"")</f>
        <v>Pasic 1987</v>
      </c>
      <c r="C6287" s="250" t="str">
        <f>IF(AND(A6287&lt;&gt;"",ISNUMBER(A6287)),VLOOKUP(A6287,Studies!A:BR,3,FALSE),"")</f>
        <v>https://www.ncbi.nlm.nih.gov/pubmed/3604256</v>
      </c>
      <c r="D6287" s="250" t="str">
        <f>IF(AND(A6287&lt;&gt;"",ISNUMBER(A6287)),VLOOKUP(A6287,Studies!A:BR,4,FALSE),"")</f>
        <v>Without oral theophylline co-administration</v>
      </c>
      <c r="E6287" s="250" t="str">
        <f>IF(AND(A6287&lt;&gt;"",ISNUMBER(A6287)),VLOOKUP(A6287,Studies!A:BR,5,FALSE),"")</f>
        <v>Erythromycin</v>
      </c>
      <c r="F6287" s="251" t="str">
        <f>IF(AND(A6287&lt;&gt;"",ISNUMBER(A6287)),VLOOKUP(A6287,Studies!A:BR,6,FALSE),"")</f>
        <v>Urine</v>
      </c>
      <c r="G6287" s="194">
        <v>12</v>
      </c>
      <c r="H6287" s="50" t="s">
        <v>60</v>
      </c>
      <c r="I6287" s="187">
        <v>1.8333299999999999</v>
      </c>
      <c r="J6287" s="41" t="s">
        <v>447</v>
      </c>
      <c r="K6287" s="41" t="s">
        <v>116</v>
      </c>
      <c r="L6287" s="195">
        <v>0.466667</v>
      </c>
      <c r="M6287" s="52" t="s">
        <v>447</v>
      </c>
      <c r="N6287" s="52" t="s">
        <v>949</v>
      </c>
      <c r="P6287" s="42" t="s">
        <v>1966</v>
      </c>
    </row>
    <row r="6288" spans="1:16" x14ac:dyDescent="0.2">
      <c r="A6288" s="30">
        <v>698</v>
      </c>
      <c r="B6288" s="249" t="str">
        <f>IF(AND(A6288&lt;&gt;"",ISNUMBER(A6288)),VLOOKUP(A6288,Studies!A:BR,2,FALSE),"")</f>
        <v>Sun 2010</v>
      </c>
      <c r="C6288" s="250" t="str">
        <f>IF(AND(A6288&lt;&gt;"",ISNUMBER(A6288)),VLOOKUP(A6288,Studies!A:BR,3,FALSE),"")</f>
        <v>https://www.ncbi.nlm.nih.gov/pubmed/20090676</v>
      </c>
      <c r="D6288" s="250" t="str">
        <f>IF(AND(A6288&lt;&gt;"",ISNUMBER(A6288)),VLOOKUP(A6288,Studies!A:BR,4,FALSE),"")</f>
        <v>Subjects with normal renal function</v>
      </c>
      <c r="E6288" s="250" t="str">
        <f>IF(AND(A6288&lt;&gt;"",ISNUMBER(A6288)),VLOOKUP(A6288,Studies!A:BR,5,FALSE),"")</f>
        <v>Erythromycin</v>
      </c>
      <c r="F6288" s="251" t="str">
        <f>IF(AND(A6288&lt;&gt;"",ISNUMBER(A6288)),VLOOKUP(A6288,Studies!A:BR,6,FALSE),"")</f>
        <v>Urine</v>
      </c>
      <c r="G6288" s="194">
        <v>24</v>
      </c>
      <c r="H6288" s="50" t="s">
        <v>60</v>
      </c>
      <c r="I6288" s="187">
        <v>5.6603770000000004</v>
      </c>
      <c r="J6288" s="41" t="s">
        <v>447</v>
      </c>
      <c r="K6288" s="41" t="s">
        <v>116</v>
      </c>
      <c r="P6288" s="42" t="s">
        <v>1968</v>
      </c>
    </row>
    <row r="6289" spans="1:14" x14ac:dyDescent="0.2">
      <c r="A6289" s="30">
        <v>699</v>
      </c>
      <c r="B6289" s="249" t="str">
        <f>IF(AND(A6289&lt;&gt;"",ISNUMBER(A6289)),VLOOKUP(A6289,Studies!A:BR,2,FALSE),"")</f>
        <v>Friedman 1986</v>
      </c>
      <c r="C6289" s="250" t="str">
        <f>IF(AND(A6289&lt;&gt;"",ISNUMBER(A6289)),VLOOKUP(A6289,Studies!A:BR,3,FALSE),"")</f>
        <v>https://www.ncbi.nlm.nih.gov/pubmed/3567010</v>
      </c>
      <c r="D6289" s="250" t="str">
        <f>IF(AND(A6289&lt;&gt;"",ISNUMBER(A6289)),VLOOKUP(A6289,Studies!A:BR,4,FALSE),"")</f>
        <v>Figure 1</v>
      </c>
      <c r="E6289" s="250" t="str">
        <f>IF(AND(A6289&lt;&gt;"",ISNUMBER(A6289)),VLOOKUP(A6289,Studies!A:BR,5,FALSE),"")</f>
        <v>Triazolam</v>
      </c>
      <c r="F6289" s="251" t="str">
        <f>IF(AND(A6289&lt;&gt;"",ISNUMBER(A6289)),VLOOKUP(A6289,Studies!A:BR,6,FALSE),"")</f>
        <v>Plasma</v>
      </c>
      <c r="G6289" s="194">
        <v>0.25</v>
      </c>
      <c r="H6289" s="50" t="s">
        <v>60</v>
      </c>
      <c r="I6289" s="187">
        <v>0.4195353</v>
      </c>
      <c r="J6289" s="41" t="s">
        <v>941</v>
      </c>
      <c r="K6289" s="41" t="s">
        <v>116</v>
      </c>
      <c r="L6289" s="195">
        <v>6.6400000000000001E-2</v>
      </c>
      <c r="M6289" s="52" t="s">
        <v>941</v>
      </c>
      <c r="N6289" s="52" t="s">
        <v>949</v>
      </c>
    </row>
    <row r="6290" spans="1:14" x14ac:dyDescent="0.2">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0.5</v>
      </c>
      <c r="H6290" s="50" t="s">
        <v>60</v>
      </c>
      <c r="I6290" s="187">
        <v>2.98088</v>
      </c>
      <c r="J6290" s="41" t="s">
        <v>941</v>
      </c>
      <c r="K6290" s="41" t="s">
        <v>116</v>
      </c>
      <c r="L6290" s="195">
        <v>0.29973499999999997</v>
      </c>
      <c r="M6290" s="52" t="s">
        <v>941</v>
      </c>
      <c r="N6290" s="52" t="s">
        <v>949</v>
      </c>
    </row>
    <row r="6291" spans="1:14" x14ac:dyDescent="0.2">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0.75</v>
      </c>
      <c r="H6291" s="50" t="s">
        <v>60</v>
      </c>
      <c r="I6291" s="187">
        <v>3.6797430000000002</v>
      </c>
      <c r="J6291" s="41" t="s">
        <v>941</v>
      </c>
      <c r="K6291" s="41" t="s">
        <v>116</v>
      </c>
      <c r="L6291" s="195">
        <v>0.29320200000000002</v>
      </c>
      <c r="M6291" s="52" t="s">
        <v>941</v>
      </c>
      <c r="N6291" s="52" t="s">
        <v>949</v>
      </c>
    </row>
    <row r="6292" spans="1:14" x14ac:dyDescent="0.2">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1</v>
      </c>
      <c r="H6292" s="50" t="s">
        <v>60</v>
      </c>
      <c r="I6292" s="187">
        <v>3.496019</v>
      </c>
      <c r="J6292" s="41" t="s">
        <v>941</v>
      </c>
      <c r="K6292" s="41" t="s">
        <v>116</v>
      </c>
      <c r="L6292" s="195">
        <v>0.20692099999999999</v>
      </c>
      <c r="M6292" s="52" t="s">
        <v>941</v>
      </c>
      <c r="N6292" s="52" t="s">
        <v>949</v>
      </c>
    </row>
    <row r="6293" spans="1:14" x14ac:dyDescent="0.2">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1.5</v>
      </c>
      <c r="H6293" s="50" t="s">
        <v>60</v>
      </c>
      <c r="I6293" s="187">
        <v>3.4728859999999999</v>
      </c>
      <c r="J6293" s="41" t="s">
        <v>941</v>
      </c>
      <c r="K6293" s="41" t="s">
        <v>116</v>
      </c>
      <c r="L6293" s="195">
        <v>0.25273499999999999</v>
      </c>
      <c r="M6293" s="52" t="s">
        <v>941</v>
      </c>
      <c r="N6293" s="52" t="s">
        <v>949</v>
      </c>
    </row>
    <row r="6294" spans="1:14" x14ac:dyDescent="0.2">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2</v>
      </c>
      <c r="H6294" s="50" t="s">
        <v>60</v>
      </c>
      <c r="I6294" s="187">
        <v>3.2778999999999998</v>
      </c>
      <c r="J6294" s="41" t="s">
        <v>941</v>
      </c>
      <c r="K6294" s="41" t="s">
        <v>116</v>
      </c>
      <c r="L6294" s="195">
        <v>0.21625800000000001</v>
      </c>
      <c r="M6294" s="52" t="s">
        <v>941</v>
      </c>
      <c r="N6294" s="52" t="s">
        <v>949</v>
      </c>
    </row>
    <row r="6295" spans="1:14" x14ac:dyDescent="0.2">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2.5</v>
      </c>
      <c r="H6295" s="50" t="s">
        <v>60</v>
      </c>
      <c r="I6295" s="187">
        <v>3.0352739999999998</v>
      </c>
      <c r="J6295" s="41" t="s">
        <v>941</v>
      </c>
      <c r="K6295" s="41" t="s">
        <v>116</v>
      </c>
      <c r="L6295" s="195">
        <v>0.159133</v>
      </c>
      <c r="M6295" s="52" t="s">
        <v>941</v>
      </c>
      <c r="N6295" s="52" t="s">
        <v>949</v>
      </c>
    </row>
    <row r="6296" spans="1:14" x14ac:dyDescent="0.2">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3</v>
      </c>
      <c r="H6296" s="50" t="s">
        <v>60</v>
      </c>
      <c r="I6296" s="187">
        <v>2.6876259999999998</v>
      </c>
      <c r="J6296" s="41" t="s">
        <v>941</v>
      </c>
      <c r="K6296" s="41" t="s">
        <v>116</v>
      </c>
      <c r="L6296" s="195">
        <v>0.14094899999999999</v>
      </c>
      <c r="M6296" s="52" t="s">
        <v>941</v>
      </c>
      <c r="N6296" s="52" t="s">
        <v>949</v>
      </c>
    </row>
    <row r="6297" spans="1:14" x14ac:dyDescent="0.2">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4</v>
      </c>
      <c r="H6297" s="50" t="s">
        <v>60</v>
      </c>
      <c r="I6297" s="187">
        <v>2.0541589999999998</v>
      </c>
      <c r="J6297" s="41" t="s">
        <v>941</v>
      </c>
      <c r="K6297" s="41" t="s">
        <v>116</v>
      </c>
      <c r="L6297" s="195">
        <v>0.16361000000000001</v>
      </c>
      <c r="M6297" s="52" t="s">
        <v>941</v>
      </c>
      <c r="N6297" s="52" t="s">
        <v>949</v>
      </c>
    </row>
    <row r="6298" spans="1:14" x14ac:dyDescent="0.2">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5</v>
      </c>
      <c r="H6298" s="50" t="s">
        <v>60</v>
      </c>
      <c r="I6298" s="187">
        <v>1.5401769999999999</v>
      </c>
      <c r="J6298" s="41" t="s">
        <v>941</v>
      </c>
      <c r="K6298" s="41" t="s">
        <v>116</v>
      </c>
      <c r="L6298" s="195">
        <v>0.112109</v>
      </c>
      <c r="M6298" s="52" t="s">
        <v>941</v>
      </c>
      <c r="N6298" s="52" t="s">
        <v>949</v>
      </c>
    </row>
    <row r="6299" spans="1:14" x14ac:dyDescent="0.2">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6</v>
      </c>
      <c r="H6299" s="50" t="s">
        <v>60</v>
      </c>
      <c r="I6299" s="187">
        <v>1.169665</v>
      </c>
      <c r="J6299" s="41" t="s">
        <v>941</v>
      </c>
      <c r="K6299" s="41" t="s">
        <v>116</v>
      </c>
      <c r="L6299" s="195">
        <v>8.5121000000000002E-2</v>
      </c>
      <c r="M6299" s="52" t="s">
        <v>941</v>
      </c>
      <c r="N6299" s="52" t="s">
        <v>949</v>
      </c>
    </row>
    <row r="6300" spans="1:14" x14ac:dyDescent="0.2">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7</v>
      </c>
      <c r="H6300" s="50" t="s">
        <v>60</v>
      </c>
      <c r="I6300" s="187">
        <v>0.87699689999999997</v>
      </c>
      <c r="J6300" s="41" t="s">
        <v>941</v>
      </c>
      <c r="K6300" s="41" t="s">
        <v>116</v>
      </c>
      <c r="L6300" s="195">
        <v>6.9864999999999997E-2</v>
      </c>
      <c r="M6300" s="52" t="s">
        <v>941</v>
      </c>
      <c r="N6300" s="52" t="s">
        <v>949</v>
      </c>
    </row>
    <row r="6301" spans="1:14" x14ac:dyDescent="0.2">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8</v>
      </c>
      <c r="H6301" s="50" t="s">
        <v>60</v>
      </c>
      <c r="I6301" s="187">
        <v>0.6575588</v>
      </c>
      <c r="J6301" s="41" t="s">
        <v>941</v>
      </c>
      <c r="K6301" s="41" t="s">
        <v>116</v>
      </c>
      <c r="L6301" s="195">
        <v>6.6118999999999997E-2</v>
      </c>
      <c r="M6301" s="52" t="s">
        <v>941</v>
      </c>
      <c r="N6301" s="52" t="s">
        <v>949</v>
      </c>
    </row>
    <row r="6302" spans="1:14" x14ac:dyDescent="0.2">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10</v>
      </c>
      <c r="H6302" s="50" t="s">
        <v>60</v>
      </c>
      <c r="I6302" s="187">
        <v>0.38656810000000003</v>
      </c>
      <c r="J6302" s="41" t="s">
        <v>941</v>
      </c>
      <c r="K6302" s="41" t="s">
        <v>116</v>
      </c>
      <c r="L6302" s="195">
        <v>3.8877000000000002E-2</v>
      </c>
      <c r="M6302" s="52" t="s">
        <v>941</v>
      </c>
      <c r="N6302" s="52" t="s">
        <v>949</v>
      </c>
    </row>
    <row r="6303" spans="1:14" x14ac:dyDescent="0.2">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12</v>
      </c>
      <c r="H6303" s="50" t="s">
        <v>60</v>
      </c>
      <c r="I6303" s="187">
        <v>0.20257439999999999</v>
      </c>
      <c r="J6303" s="41" t="s">
        <v>941</v>
      </c>
      <c r="K6303" s="41" t="s">
        <v>116</v>
      </c>
      <c r="L6303" s="195">
        <v>3.056E-2</v>
      </c>
      <c r="M6303" s="52" t="s">
        <v>941</v>
      </c>
      <c r="N6303" s="52" t="s">
        <v>949</v>
      </c>
    </row>
    <row r="6304" spans="1:14" x14ac:dyDescent="0.2">
      <c r="A6304" s="30">
        <v>700</v>
      </c>
      <c r="B6304" s="249" t="str">
        <f>IF(AND(A6304&lt;&gt;"",ISNUMBER(A6304)),VLOOKUP(A6304,Studies!A:BR,2,FALSE),"")</f>
        <v>Friedman 1988</v>
      </c>
      <c r="C6304" s="250" t="str">
        <f>IF(AND(A6304&lt;&gt;"",ISNUMBER(A6304)),VLOOKUP(A6304,Studies!A:BR,3,FALSE),"")</f>
        <v>https://www.ncbi.nlm.nih.gov/pubmed/3360971</v>
      </c>
      <c r="D6304" s="250" t="str">
        <f>IF(AND(A6304&lt;&gt;"",ISNUMBER(A6304)),VLOOKUP(A6304,Studies!A:BR,4,FALSE),"")</f>
        <v>Control</v>
      </c>
      <c r="E6304" s="250" t="str">
        <f>IF(AND(A6304&lt;&gt;"",ISNUMBER(A6304)),VLOOKUP(A6304,Studies!A:BR,5,FALSE),"")</f>
        <v>Triazolam</v>
      </c>
      <c r="F6304" s="251" t="str">
        <f>IF(AND(A6304&lt;&gt;"",ISNUMBER(A6304)),VLOOKUP(A6304,Studies!A:BR,6,FALSE),"")</f>
        <v>Plasma</v>
      </c>
      <c r="G6304" s="194">
        <v>0.25</v>
      </c>
      <c r="H6304" s="50" t="s">
        <v>60</v>
      </c>
      <c r="I6304" s="187">
        <v>0.56371150000000003</v>
      </c>
      <c r="J6304" s="41" t="s">
        <v>941</v>
      </c>
      <c r="K6304" s="41" t="s">
        <v>116</v>
      </c>
    </row>
    <row r="6305" spans="1:14" x14ac:dyDescent="0.2">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0.5</v>
      </c>
      <c r="H6305" s="50" t="s">
        <v>60</v>
      </c>
      <c r="I6305" s="187">
        <v>2.3148520000000001</v>
      </c>
      <c r="J6305" s="41" t="s">
        <v>941</v>
      </c>
      <c r="K6305" s="41" t="s">
        <v>116</v>
      </c>
    </row>
    <row r="6306" spans="1:14" x14ac:dyDescent="0.2">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0.75</v>
      </c>
      <c r="H6306" s="50" t="s">
        <v>60</v>
      </c>
      <c r="I6306" s="187">
        <v>2.4864830000000002</v>
      </c>
      <c r="J6306" s="41" t="s">
        <v>941</v>
      </c>
      <c r="K6306" s="41" t="s">
        <v>116</v>
      </c>
    </row>
    <row r="6307" spans="1:14" x14ac:dyDescent="0.2">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1</v>
      </c>
      <c r="H6307" s="50" t="s">
        <v>60</v>
      </c>
      <c r="I6307" s="187">
        <v>2.9334959999999999</v>
      </c>
      <c r="J6307" s="41" t="s">
        <v>941</v>
      </c>
      <c r="K6307" s="41" t="s">
        <v>116</v>
      </c>
    </row>
    <row r="6308" spans="1:14" x14ac:dyDescent="0.2">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1.5</v>
      </c>
      <c r="H6308" s="50" t="s">
        <v>60</v>
      </c>
      <c r="I6308" s="187">
        <v>2.7993649999999999</v>
      </c>
      <c r="J6308" s="41" t="s">
        <v>941</v>
      </c>
      <c r="K6308" s="41" t="s">
        <v>116</v>
      </c>
    </row>
    <row r="6309" spans="1:14" x14ac:dyDescent="0.2">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2</v>
      </c>
      <c r="H6309" s="50" t="s">
        <v>60</v>
      </c>
      <c r="I6309" s="187">
        <v>2.569906</v>
      </c>
      <c r="J6309" s="41" t="s">
        <v>941</v>
      </c>
      <c r="K6309" s="41" t="s">
        <v>116</v>
      </c>
    </row>
    <row r="6310" spans="1:14" x14ac:dyDescent="0.2">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2.5</v>
      </c>
      <c r="H6310" s="50" t="s">
        <v>60</v>
      </c>
      <c r="I6310" s="187">
        <v>2.255636</v>
      </c>
      <c r="J6310" s="41" t="s">
        <v>941</v>
      </c>
      <c r="K6310" s="41" t="s">
        <v>116</v>
      </c>
    </row>
    <row r="6311" spans="1:14" x14ac:dyDescent="0.2">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3</v>
      </c>
      <c r="H6311" s="50" t="s">
        <v>60</v>
      </c>
      <c r="I6311" s="187">
        <v>2.2169159999999999</v>
      </c>
      <c r="J6311" s="41" t="s">
        <v>941</v>
      </c>
      <c r="K6311" s="41" t="s">
        <v>116</v>
      </c>
      <c r="M6311" s="195"/>
      <c r="N6311" s="195"/>
    </row>
    <row r="6312" spans="1:14" x14ac:dyDescent="0.2">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4</v>
      </c>
      <c r="H6312" s="50" t="s">
        <v>60</v>
      </c>
      <c r="I6312" s="187">
        <v>1.620012</v>
      </c>
      <c r="J6312" s="41" t="s">
        <v>941</v>
      </c>
      <c r="K6312" s="41" t="s">
        <v>116</v>
      </c>
      <c r="M6312" s="195"/>
      <c r="N6312" s="195"/>
    </row>
    <row r="6313" spans="1:14" x14ac:dyDescent="0.2">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5</v>
      </c>
      <c r="H6313" s="50" t="s">
        <v>60</v>
      </c>
      <c r="I6313" s="187">
        <v>1.309428</v>
      </c>
      <c r="J6313" s="41" t="s">
        <v>941</v>
      </c>
      <c r="K6313" s="41" t="s">
        <v>116</v>
      </c>
      <c r="M6313" s="195"/>
      <c r="N6313" s="195"/>
    </row>
    <row r="6314" spans="1:14" x14ac:dyDescent="0.2">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6</v>
      </c>
      <c r="H6314" s="50" t="s">
        <v>60</v>
      </c>
      <c r="I6314" s="187">
        <v>1.0836539999999999</v>
      </c>
      <c r="J6314" s="41" t="s">
        <v>941</v>
      </c>
      <c r="K6314" s="41" t="s">
        <v>116</v>
      </c>
      <c r="M6314" s="195"/>
      <c r="N6314" s="195"/>
    </row>
    <row r="6315" spans="1:14" x14ac:dyDescent="0.2">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8</v>
      </c>
      <c r="H6315" s="50" t="s">
        <v>60</v>
      </c>
      <c r="I6315" s="187">
        <v>0.60013399999999995</v>
      </c>
      <c r="J6315" s="41" t="s">
        <v>941</v>
      </c>
      <c r="K6315" s="41" t="s">
        <v>116</v>
      </c>
      <c r="M6315" s="195"/>
      <c r="N6315" s="195"/>
    </row>
    <row r="6316" spans="1:14" x14ac:dyDescent="0.2">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10</v>
      </c>
      <c r="H6316" s="50" t="s">
        <v>60</v>
      </c>
      <c r="I6316" s="187">
        <v>0.3286403</v>
      </c>
      <c r="J6316" s="41" t="s">
        <v>941</v>
      </c>
      <c r="K6316" s="41" t="s">
        <v>116</v>
      </c>
      <c r="M6316" s="195"/>
      <c r="N6316" s="195"/>
    </row>
    <row r="6317" spans="1:14" x14ac:dyDescent="0.2">
      <c r="A6317" s="30">
        <v>701</v>
      </c>
      <c r="B6317" s="249" t="str">
        <f>IF(AND(A6317&lt;&gt;"",ISNUMBER(A6317)),VLOOKUP(A6317,Studies!A:BR,2,FALSE),"")</f>
        <v>Greenblatt 1991</v>
      </c>
      <c r="C6317" s="250" t="str">
        <f>IF(AND(A6317&lt;&gt;"",ISNUMBER(A6317)),VLOOKUP(A6317,Studies!A:BR,3,FALSE),"")</f>
        <v>https://www.ncbi.nlm.nih.gov/pubmed/2034245</v>
      </c>
      <c r="D6317" s="250" t="str">
        <f>IF(AND(A6317&lt;&gt;"",ISNUMBER(A6317)),VLOOKUP(A6317,Studies!A:BR,4,FALSE),"")</f>
        <v>Young subjects, 0.125 mg</v>
      </c>
      <c r="E6317" s="250" t="str">
        <f>IF(AND(A6317&lt;&gt;"",ISNUMBER(A6317)),VLOOKUP(A6317,Studies!A:BR,5,FALSE),"")</f>
        <v>Triazolam</v>
      </c>
      <c r="F6317" s="251" t="str">
        <f>IF(AND(A6317&lt;&gt;"",ISNUMBER(A6317)),VLOOKUP(A6317,Studies!A:BR,6,FALSE),"")</f>
        <v>Plasma</v>
      </c>
      <c r="G6317" s="194">
        <v>0.5</v>
      </c>
      <c r="H6317" s="50" t="s">
        <v>60</v>
      </c>
      <c r="I6317" s="187">
        <v>0.7602409</v>
      </c>
      <c r="J6317" s="41" t="s">
        <v>941</v>
      </c>
      <c r="K6317" s="41" t="s">
        <v>116</v>
      </c>
      <c r="M6317" s="195"/>
      <c r="N6317" s="195"/>
    </row>
    <row r="6318" spans="1:14" x14ac:dyDescent="0.2">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1</v>
      </c>
      <c r="H6318" s="50" t="s">
        <v>60</v>
      </c>
      <c r="I6318" s="187">
        <v>0.97014889999999998</v>
      </c>
      <c r="J6318" s="41" t="s">
        <v>941</v>
      </c>
      <c r="K6318" s="41" t="s">
        <v>116</v>
      </c>
      <c r="M6318" s="195"/>
      <c r="N6318" s="195"/>
    </row>
    <row r="6319" spans="1:14" x14ac:dyDescent="0.2">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1.5</v>
      </c>
      <c r="H6319" s="50" t="s">
        <v>60</v>
      </c>
      <c r="I6319" s="187">
        <v>0.78014380000000005</v>
      </c>
      <c r="J6319" s="41" t="s">
        <v>941</v>
      </c>
      <c r="K6319" s="41" t="s">
        <v>116</v>
      </c>
      <c r="M6319" s="195"/>
      <c r="N6319" s="195"/>
    </row>
    <row r="6320" spans="1:14" x14ac:dyDescent="0.2">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2</v>
      </c>
      <c r="H6320" s="50" t="s">
        <v>60</v>
      </c>
      <c r="I6320" s="187">
        <v>0.67194370000000003</v>
      </c>
      <c r="J6320" s="41" t="s">
        <v>941</v>
      </c>
      <c r="K6320" s="41" t="s">
        <v>116</v>
      </c>
      <c r="M6320" s="195"/>
      <c r="N6320" s="195"/>
    </row>
    <row r="6321" spans="1:14" x14ac:dyDescent="0.2">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2.5</v>
      </c>
      <c r="H6321" s="50" t="s">
        <v>60</v>
      </c>
      <c r="I6321" s="187">
        <v>0.57873520000000001</v>
      </c>
      <c r="J6321" s="41" t="s">
        <v>941</v>
      </c>
      <c r="K6321" s="41" t="s">
        <v>116</v>
      </c>
      <c r="M6321" s="195"/>
      <c r="N6321" s="195"/>
    </row>
    <row r="6322" spans="1:14" x14ac:dyDescent="0.2">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3</v>
      </c>
      <c r="H6322" s="50" t="s">
        <v>60</v>
      </c>
      <c r="I6322" s="187">
        <v>0.45109280000000002</v>
      </c>
      <c r="J6322" s="41" t="s">
        <v>941</v>
      </c>
      <c r="K6322" s="41" t="s">
        <v>116</v>
      </c>
      <c r="M6322" s="195"/>
      <c r="N6322" s="195"/>
    </row>
    <row r="6323" spans="1:14" x14ac:dyDescent="0.2">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4</v>
      </c>
      <c r="H6323" s="50" t="s">
        <v>60</v>
      </c>
      <c r="I6323" s="187">
        <v>0.35396620000000001</v>
      </c>
      <c r="J6323" s="41" t="s">
        <v>941</v>
      </c>
      <c r="K6323" s="41" t="s">
        <v>116</v>
      </c>
      <c r="M6323" s="195"/>
      <c r="N6323" s="195"/>
    </row>
    <row r="6324" spans="1:14" x14ac:dyDescent="0.2">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6</v>
      </c>
      <c r="H6324" s="50" t="s">
        <v>60</v>
      </c>
      <c r="I6324" s="187">
        <v>0.2034899</v>
      </c>
      <c r="J6324" s="41" t="s">
        <v>941</v>
      </c>
      <c r="K6324" s="41" t="s">
        <v>116</v>
      </c>
      <c r="M6324" s="195"/>
      <c r="N6324" s="195"/>
    </row>
    <row r="6325" spans="1:14" x14ac:dyDescent="0.2">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8</v>
      </c>
      <c r="H6325" s="50" t="s">
        <v>60</v>
      </c>
      <c r="I6325" s="187">
        <v>0.13089129999999999</v>
      </c>
      <c r="J6325" s="41" t="s">
        <v>941</v>
      </c>
      <c r="K6325" s="41" t="s">
        <v>116</v>
      </c>
      <c r="M6325" s="195"/>
      <c r="N6325" s="195"/>
    </row>
    <row r="6326" spans="1:14" x14ac:dyDescent="0.2">
      <c r="A6326" s="30">
        <v>702</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0.25 mg</v>
      </c>
      <c r="E6326" s="250" t="str">
        <f>IF(AND(A6326&lt;&gt;"",ISNUMBER(A6326)),VLOOKUP(A6326,Studies!A:BR,5,FALSE),"")</f>
        <v>Triazolam</v>
      </c>
      <c r="F6326" s="251" t="str">
        <f>IF(AND(A6326&lt;&gt;"",ISNUMBER(A6326)),VLOOKUP(A6326,Studies!A:BR,6,FALSE),"")</f>
        <v>Plasma</v>
      </c>
      <c r="G6326" s="194">
        <v>0.5</v>
      </c>
      <c r="H6326" s="50" t="s">
        <v>60</v>
      </c>
      <c r="I6326" s="187">
        <v>1.4451909999999999</v>
      </c>
      <c r="J6326" s="41" t="s">
        <v>941</v>
      </c>
      <c r="K6326" s="41" t="s">
        <v>116</v>
      </c>
      <c r="M6326" s="195"/>
      <c r="N6326" s="195"/>
    </row>
    <row r="6327" spans="1:14" x14ac:dyDescent="0.2">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1</v>
      </c>
      <c r="H6327" s="50" t="s">
        <v>60</v>
      </c>
      <c r="I6327" s="187">
        <v>1.606182</v>
      </c>
      <c r="J6327" s="41" t="s">
        <v>941</v>
      </c>
      <c r="K6327" s="41" t="s">
        <v>116</v>
      </c>
      <c r="M6327" s="195"/>
      <c r="N6327" s="195"/>
    </row>
    <row r="6328" spans="1:14" x14ac:dyDescent="0.2">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1.5</v>
      </c>
      <c r="H6328" s="50" t="s">
        <v>60</v>
      </c>
      <c r="I6328" s="187">
        <v>1.5083219999999999</v>
      </c>
      <c r="J6328" s="41" t="s">
        <v>941</v>
      </c>
      <c r="K6328" s="41" t="s">
        <v>116</v>
      </c>
      <c r="M6328" s="195"/>
      <c r="N6328" s="195"/>
    </row>
    <row r="6329" spans="1:14" x14ac:dyDescent="0.2">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2</v>
      </c>
      <c r="H6329" s="50" t="s">
        <v>60</v>
      </c>
      <c r="I6329" s="187">
        <v>1.2502549999999999</v>
      </c>
      <c r="J6329" s="41" t="s">
        <v>941</v>
      </c>
      <c r="K6329" s="41" t="s">
        <v>116</v>
      </c>
      <c r="M6329" s="195"/>
      <c r="N6329" s="195"/>
    </row>
    <row r="6330" spans="1:14" x14ac:dyDescent="0.2">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2.5</v>
      </c>
      <c r="H6330" s="50" t="s">
        <v>60</v>
      </c>
      <c r="I6330" s="187">
        <v>1.1309640000000001</v>
      </c>
      <c r="J6330" s="41" t="s">
        <v>941</v>
      </c>
      <c r="K6330" s="41" t="s">
        <v>116</v>
      </c>
    </row>
    <row r="6331" spans="1:14" x14ac:dyDescent="0.2">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3</v>
      </c>
      <c r="H6331" s="50" t="s">
        <v>60</v>
      </c>
      <c r="I6331" s="187">
        <v>0.9671708</v>
      </c>
      <c r="J6331" s="41" t="s">
        <v>941</v>
      </c>
      <c r="K6331" s="41" t="s">
        <v>116</v>
      </c>
    </row>
    <row r="6332" spans="1:14" x14ac:dyDescent="0.2">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4</v>
      </c>
      <c r="H6332" s="50" t="s">
        <v>60</v>
      </c>
      <c r="I6332" s="187">
        <v>0.69419620000000004</v>
      </c>
      <c r="J6332" s="41" t="s">
        <v>941</v>
      </c>
      <c r="K6332" s="41" t="s">
        <v>116</v>
      </c>
    </row>
    <row r="6333" spans="1:14" x14ac:dyDescent="0.2">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6</v>
      </c>
      <c r="H6333" s="50" t="s">
        <v>60</v>
      </c>
      <c r="I6333" s="187">
        <v>0.36667420000000001</v>
      </c>
      <c r="J6333" s="41" t="s">
        <v>941</v>
      </c>
      <c r="K6333" s="41" t="s">
        <v>116</v>
      </c>
    </row>
    <row r="6334" spans="1:14" x14ac:dyDescent="0.2">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8</v>
      </c>
      <c r="H6334" s="50" t="s">
        <v>60</v>
      </c>
      <c r="I6334" s="187">
        <v>0.23796880000000001</v>
      </c>
      <c r="J6334" s="41" t="s">
        <v>941</v>
      </c>
      <c r="K6334" s="41" t="s">
        <v>116</v>
      </c>
    </row>
    <row r="6335" spans="1:14" x14ac:dyDescent="0.2">
      <c r="A6335" s="30">
        <v>703</v>
      </c>
      <c r="B6335" s="249" t="str">
        <f>IF(AND(A6335&lt;&gt;"",ISNUMBER(A6335)),VLOOKUP(A6335,Studies!A:BR,2,FALSE),"")</f>
        <v>Greenblatt 1989</v>
      </c>
      <c r="C6335" s="250" t="str">
        <f>IF(AND(A6335&lt;&gt;"",ISNUMBER(A6335)),VLOOKUP(A6335,Studies!A:BR,3,FALSE),"")</f>
        <v>https://www.ncbi.nlm.nih.gov/pubmed/2564763</v>
      </c>
      <c r="D6335" s="250" t="str">
        <f>IF(AND(A6335&lt;&gt;"",ISNUMBER(A6335)),VLOOKUP(A6335,Studies!A:BR,4,FALSE),"")</f>
        <v>Triazolam group</v>
      </c>
      <c r="E6335" s="250" t="str">
        <f>IF(AND(A6335&lt;&gt;"",ISNUMBER(A6335)),VLOOKUP(A6335,Studies!A:BR,5,FALSE),"")</f>
        <v>Triazolam</v>
      </c>
      <c r="F6335" s="251" t="str">
        <f>IF(AND(A6335&lt;&gt;"",ISNUMBER(A6335)),VLOOKUP(A6335,Studies!A:BR,6,FALSE),"")</f>
        <v>Plasma</v>
      </c>
      <c r="G6335" s="194">
        <v>0.5</v>
      </c>
      <c r="H6335" s="50" t="s">
        <v>60</v>
      </c>
      <c r="I6335" s="187">
        <v>1.4351849999999999</v>
      </c>
      <c r="J6335" s="41" t="s">
        <v>941</v>
      </c>
      <c r="K6335" s="41" t="s">
        <v>116</v>
      </c>
      <c r="L6335" s="195">
        <v>0.25215100000000001</v>
      </c>
      <c r="M6335" s="52" t="s">
        <v>941</v>
      </c>
      <c r="N6335" s="52" t="s">
        <v>949</v>
      </c>
    </row>
    <row r="6336" spans="1:14" x14ac:dyDescent="0.2">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1</v>
      </c>
      <c r="H6336" s="50" t="s">
        <v>60</v>
      </c>
      <c r="I6336" s="187">
        <v>1.9538530000000001</v>
      </c>
      <c r="J6336" s="41" t="s">
        <v>941</v>
      </c>
      <c r="K6336" s="41" t="s">
        <v>116</v>
      </c>
      <c r="L6336" s="195">
        <v>0.32640799999999998</v>
      </c>
      <c r="M6336" s="52" t="s">
        <v>941</v>
      </c>
      <c r="N6336" s="52" t="s">
        <v>949</v>
      </c>
    </row>
    <row r="6337" spans="1:16" x14ac:dyDescent="0.2">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1.5</v>
      </c>
      <c r="H6337" s="50" t="s">
        <v>60</v>
      </c>
      <c r="I6337" s="187">
        <v>1.554686</v>
      </c>
      <c r="J6337" s="41" t="s">
        <v>941</v>
      </c>
      <c r="K6337" s="41" t="s">
        <v>116</v>
      </c>
      <c r="L6337" s="195">
        <v>0.155999</v>
      </c>
      <c r="M6337" s="52" t="s">
        <v>941</v>
      </c>
      <c r="N6337" s="52" t="s">
        <v>949</v>
      </c>
    </row>
    <row r="6338" spans="1:16" x14ac:dyDescent="0.2">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2</v>
      </c>
      <c r="H6338" s="50" t="s">
        <v>60</v>
      </c>
      <c r="I6338" s="187">
        <v>1.3613150000000001</v>
      </c>
      <c r="J6338" s="41" t="s">
        <v>941</v>
      </c>
      <c r="K6338" s="41" t="s">
        <v>116</v>
      </c>
      <c r="L6338" s="195">
        <v>0.15879799999999999</v>
      </c>
      <c r="M6338" s="52" t="s">
        <v>941</v>
      </c>
      <c r="N6338" s="52" t="s">
        <v>949</v>
      </c>
    </row>
    <row r="6339" spans="1:16" x14ac:dyDescent="0.2">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2.5</v>
      </c>
      <c r="H6339" s="50" t="s">
        <v>60</v>
      </c>
      <c r="I6339" s="187">
        <v>1.115486</v>
      </c>
      <c r="J6339" s="41" t="s">
        <v>941</v>
      </c>
      <c r="K6339" s="41" t="s">
        <v>116</v>
      </c>
      <c r="L6339" s="195">
        <v>0.14862</v>
      </c>
      <c r="M6339" s="52" t="s">
        <v>941</v>
      </c>
      <c r="N6339" s="52" t="s">
        <v>949</v>
      </c>
    </row>
    <row r="6340" spans="1:16" x14ac:dyDescent="0.2">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3</v>
      </c>
      <c r="H6340" s="50" t="s">
        <v>60</v>
      </c>
      <c r="I6340" s="187">
        <v>0.96958319999999998</v>
      </c>
      <c r="J6340" s="41" t="s">
        <v>941</v>
      </c>
      <c r="K6340" s="41" t="s">
        <v>116</v>
      </c>
      <c r="L6340" s="195">
        <v>9.7304000000000002E-2</v>
      </c>
      <c r="M6340" s="52" t="s">
        <v>941</v>
      </c>
      <c r="N6340" s="52" t="s">
        <v>949</v>
      </c>
    </row>
    <row r="6341" spans="1:16" x14ac:dyDescent="0.2">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4</v>
      </c>
      <c r="H6341" s="50" t="s">
        <v>60</v>
      </c>
      <c r="I6341" s="187">
        <v>0.73247989999999996</v>
      </c>
      <c r="J6341" s="41" t="s">
        <v>941</v>
      </c>
      <c r="K6341" s="41" t="s">
        <v>116</v>
      </c>
      <c r="L6341" s="195">
        <v>0.10988199999999999</v>
      </c>
      <c r="M6341" s="52" t="s">
        <v>941</v>
      </c>
      <c r="N6341" s="52" t="s">
        <v>949</v>
      </c>
    </row>
    <row r="6342" spans="1:16" x14ac:dyDescent="0.2">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6</v>
      </c>
      <c r="H6342" s="50" t="s">
        <v>60</v>
      </c>
      <c r="I6342" s="187">
        <v>0.34779700000000002</v>
      </c>
      <c r="J6342" s="41" t="s">
        <v>941</v>
      </c>
      <c r="K6342" s="41" t="s">
        <v>116</v>
      </c>
      <c r="L6342" s="195">
        <v>6.4125000000000001E-2</v>
      </c>
      <c r="M6342" s="52" t="s">
        <v>941</v>
      </c>
      <c r="N6342" s="52" t="s">
        <v>949</v>
      </c>
    </row>
    <row r="6343" spans="1:16" x14ac:dyDescent="0.2">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8</v>
      </c>
      <c r="H6343" s="50" t="s">
        <v>60</v>
      </c>
      <c r="I6343" s="187">
        <v>0.17386570000000001</v>
      </c>
      <c r="J6343" s="41" t="s">
        <v>941</v>
      </c>
      <c r="K6343" s="41" t="s">
        <v>116</v>
      </c>
      <c r="L6343" s="195">
        <v>5.1061000000000002E-2</v>
      </c>
      <c r="M6343" s="52" t="s">
        <v>941</v>
      </c>
      <c r="N6343" s="52" t="s">
        <v>949</v>
      </c>
    </row>
    <row r="6344" spans="1:16" x14ac:dyDescent="0.2">
      <c r="A6344" s="30">
        <v>704</v>
      </c>
      <c r="B6344" s="249" t="str">
        <f>IF(AND(A6344&lt;&gt;"",ISNUMBER(A6344)),VLOOKUP(A6344,Studies!A:BR,2,FALSE),"")</f>
        <v>Greenblatt 1998a</v>
      </c>
      <c r="C6344" s="250" t="str">
        <f>IF(AND(A6344&lt;&gt;"",ISNUMBER(A6344)),VLOOKUP(A6344,Studies!A:BR,3,FALSE),"")</f>
        <v>https://www.ncbi.nlm.nih.gov/pubmed/9757151</v>
      </c>
      <c r="D6344" s="250" t="str">
        <f>IF(AND(A6344&lt;&gt;"",ISNUMBER(A6344)),VLOOKUP(A6344,Studies!A:BR,4,FALSE),"")</f>
        <v>Triazolam + Placebo (Trial B)</v>
      </c>
      <c r="E6344" s="250" t="str">
        <f>IF(AND(A6344&lt;&gt;"",ISNUMBER(A6344)),VLOOKUP(A6344,Studies!A:BR,5,FALSE),"")</f>
        <v>Triazolam</v>
      </c>
      <c r="F6344" s="251" t="str">
        <f>IF(AND(A6344&lt;&gt;"",ISNUMBER(A6344)),VLOOKUP(A6344,Studies!A:BR,6,FALSE),"")</f>
        <v>Plasma</v>
      </c>
      <c r="G6344" s="194">
        <v>0.5</v>
      </c>
      <c r="H6344" s="50" t="s">
        <v>60</v>
      </c>
      <c r="I6344" s="187">
        <v>0.54638359999999997</v>
      </c>
      <c r="J6344" s="41" t="s">
        <v>941</v>
      </c>
      <c r="K6344" s="41" t="s">
        <v>116</v>
      </c>
      <c r="N6344" s="195"/>
      <c r="P6344" s="42" t="s">
        <v>2631</v>
      </c>
    </row>
    <row r="6345" spans="1:16" x14ac:dyDescent="0.2">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1</v>
      </c>
      <c r="H6345" s="50" t="s">
        <v>60</v>
      </c>
      <c r="I6345" s="187">
        <v>1.1438680000000001</v>
      </c>
      <c r="J6345" s="41" t="s">
        <v>941</v>
      </c>
      <c r="K6345" s="187" t="s">
        <v>116</v>
      </c>
      <c r="N6345" s="195"/>
      <c r="P6345" s="42" t="s">
        <v>2631</v>
      </c>
    </row>
    <row r="6346" spans="1:16" x14ac:dyDescent="0.2">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1.5</v>
      </c>
      <c r="H6346" s="50" t="s">
        <v>60</v>
      </c>
      <c r="I6346" s="187">
        <v>1.0770439999999999</v>
      </c>
      <c r="J6346" s="41" t="s">
        <v>941</v>
      </c>
      <c r="K6346" s="187" t="s">
        <v>116</v>
      </c>
      <c r="N6346" s="195"/>
      <c r="P6346" s="42" t="s">
        <v>2631</v>
      </c>
    </row>
    <row r="6347" spans="1:16" x14ac:dyDescent="0.2">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v>
      </c>
      <c r="H6347" s="50" t="s">
        <v>60</v>
      </c>
      <c r="I6347" s="187">
        <v>0.96698110000000004</v>
      </c>
      <c r="J6347" s="41" t="s">
        <v>941</v>
      </c>
      <c r="K6347" s="187" t="s">
        <v>116</v>
      </c>
      <c r="N6347" s="195"/>
      <c r="P6347" s="42" t="s">
        <v>2631</v>
      </c>
    </row>
    <row r="6348" spans="1:16" x14ac:dyDescent="0.2">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2.5</v>
      </c>
      <c r="H6348" s="50" t="s">
        <v>60</v>
      </c>
      <c r="I6348" s="187">
        <v>0.83726420000000001</v>
      </c>
      <c r="J6348" s="41" t="s">
        <v>941</v>
      </c>
      <c r="K6348" s="187" t="s">
        <v>116</v>
      </c>
      <c r="N6348" s="195"/>
      <c r="P6348" s="42" t="s">
        <v>2631</v>
      </c>
    </row>
    <row r="6349" spans="1:16" x14ac:dyDescent="0.2">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3</v>
      </c>
      <c r="H6349" s="50" t="s">
        <v>60</v>
      </c>
      <c r="I6349" s="187">
        <v>0.75078619999999996</v>
      </c>
      <c r="J6349" s="41" t="s">
        <v>941</v>
      </c>
      <c r="K6349" s="187" t="s">
        <v>116</v>
      </c>
      <c r="N6349" s="195"/>
      <c r="P6349" s="42" t="s">
        <v>2631</v>
      </c>
    </row>
    <row r="6350" spans="1:16" x14ac:dyDescent="0.2">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4</v>
      </c>
      <c r="H6350" s="50" t="s">
        <v>60</v>
      </c>
      <c r="I6350" s="187">
        <v>0.57389939999999995</v>
      </c>
      <c r="J6350" s="41" t="s">
        <v>941</v>
      </c>
      <c r="K6350" s="187" t="s">
        <v>116</v>
      </c>
      <c r="N6350" s="195"/>
      <c r="P6350" s="42" t="s">
        <v>2631</v>
      </c>
    </row>
    <row r="6351" spans="1:16" x14ac:dyDescent="0.2">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5</v>
      </c>
      <c r="H6351" s="50" t="s">
        <v>60</v>
      </c>
      <c r="I6351" s="187">
        <v>0.40487420000000002</v>
      </c>
      <c r="J6351" s="41" t="s">
        <v>941</v>
      </c>
      <c r="K6351" s="187" t="s">
        <v>116</v>
      </c>
      <c r="M6351" s="195"/>
      <c r="N6351" s="195"/>
      <c r="P6351" s="42" t="s">
        <v>2631</v>
      </c>
    </row>
    <row r="6352" spans="1:16" x14ac:dyDescent="0.2">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6</v>
      </c>
      <c r="H6352" s="50" t="s">
        <v>60</v>
      </c>
      <c r="I6352" s="187">
        <v>0.31446540000000001</v>
      </c>
      <c r="J6352" s="41" t="s">
        <v>941</v>
      </c>
      <c r="K6352" s="187" t="s">
        <v>116</v>
      </c>
      <c r="M6352" s="195"/>
      <c r="N6352" s="195"/>
      <c r="P6352" s="42" t="s">
        <v>2631</v>
      </c>
    </row>
    <row r="6353" spans="1:16" x14ac:dyDescent="0.2">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8</v>
      </c>
      <c r="H6353" s="50" t="s">
        <v>60</v>
      </c>
      <c r="I6353" s="187">
        <v>0.19654089999999999</v>
      </c>
      <c r="J6353" s="41" t="s">
        <v>941</v>
      </c>
      <c r="K6353" s="187" t="s">
        <v>116</v>
      </c>
      <c r="M6353" s="195"/>
      <c r="N6353" s="195"/>
      <c r="P6353" s="42" t="s">
        <v>2631</v>
      </c>
    </row>
    <row r="6354" spans="1:16" x14ac:dyDescent="0.2">
      <c r="A6354" s="30">
        <v>705</v>
      </c>
      <c r="B6354" s="249" t="str">
        <f>IF(AND(A6354&lt;&gt;"",ISNUMBER(A6354)),VLOOKUP(A6354,Studies!A:BR,2,FALSE),"")</f>
        <v>Greenblatt 2000</v>
      </c>
      <c r="C6354" s="250" t="str">
        <f>IF(AND(A6354&lt;&gt;"",ISNUMBER(A6354)),VLOOKUP(A6354,Studies!A:BR,3,FALSE),"")</f>
        <v>https://www.ncbi.nlm.nih.gov/pubmed/10773013</v>
      </c>
      <c r="D6354" s="250" t="str">
        <f>IF(AND(A6354&lt;&gt;"",ISNUMBER(A6354)),VLOOKUP(A6354,Studies!A:BR,4,FALSE),"")</f>
        <v>Triazolam males</v>
      </c>
      <c r="E6354" s="250" t="str">
        <f>IF(AND(A6354&lt;&gt;"",ISNUMBER(A6354)),VLOOKUP(A6354,Studies!A:BR,5,FALSE),"")</f>
        <v>Triazolam</v>
      </c>
      <c r="F6354" s="251" t="str">
        <f>IF(AND(A6354&lt;&gt;"",ISNUMBER(A6354)),VLOOKUP(A6354,Studies!A:BR,6,FALSE),"")</f>
        <v>Plasma</v>
      </c>
      <c r="G6354" s="194">
        <v>0.25</v>
      </c>
      <c r="H6354" s="50" t="s">
        <v>60</v>
      </c>
      <c r="I6354" s="187">
        <v>1.8080000000000001</v>
      </c>
      <c r="J6354" s="41" t="s">
        <v>941</v>
      </c>
      <c r="K6354" s="41" t="s">
        <v>116</v>
      </c>
      <c r="M6354" s="195"/>
      <c r="N6354" s="195"/>
    </row>
    <row r="6355" spans="1:16" x14ac:dyDescent="0.2">
      <c r="A6355" s="30">
        <v>705</v>
      </c>
      <c r="B6355" s="249" t="str">
        <f>IF(AND(A6355&lt;&gt;"",ISNUMBER(A6355)),VLOOKUP(A6355,Studies!A:BR,2,FALSE),"")</f>
        <v>Greenblatt 2000</v>
      </c>
      <c r="C6355" s="250" t="str">
        <f>IF(AND(A6355&lt;&gt;"",ISNUMBER(A6355)),VLOOKUP(A6355,Studies!A:BR,3,FALSE),"")</f>
        <v>https://www.ncbi.nlm.nih.gov/pubmed/10773013</v>
      </c>
      <c r="D6355" s="250" t="str">
        <f>IF(AND(A6355&lt;&gt;"",ISNUMBER(A6355)),VLOOKUP(A6355,Studies!A:BR,4,FALSE),"")</f>
        <v>Triazolam males</v>
      </c>
      <c r="E6355" s="250" t="str">
        <f>IF(AND(A6355&lt;&gt;"",ISNUMBER(A6355)),VLOOKUP(A6355,Studies!A:BR,5,FALSE),"")</f>
        <v>Triazolam</v>
      </c>
      <c r="F6355" s="251" t="str">
        <f>IF(AND(A6355&lt;&gt;"",ISNUMBER(A6355)),VLOOKUP(A6355,Studies!A:BR,6,FALSE),"")</f>
        <v>Plasma</v>
      </c>
      <c r="G6355" s="194">
        <v>0.5</v>
      </c>
      <c r="H6355" s="50" t="s">
        <v>60</v>
      </c>
      <c r="I6355" s="187">
        <v>2.234</v>
      </c>
      <c r="J6355" s="41" t="s">
        <v>941</v>
      </c>
      <c r="K6355" s="41" t="s">
        <v>116</v>
      </c>
      <c r="L6355" s="195">
        <v>0.59075999999999995</v>
      </c>
      <c r="M6355" s="195" t="s">
        <v>941</v>
      </c>
      <c r="N6355" s="195" t="s">
        <v>949</v>
      </c>
    </row>
    <row r="6356" spans="1:16" x14ac:dyDescent="0.2">
      <c r="A6356" s="30">
        <v>705</v>
      </c>
      <c r="B6356" s="249" t="str">
        <f>IF(AND(A6356&lt;&gt;"",ISNUMBER(A6356)),VLOOKUP(A6356,Studies!A:BR,2,FALSE),"")</f>
        <v>Greenblatt 2000</v>
      </c>
      <c r="C6356" s="250" t="str">
        <f>IF(AND(A6356&lt;&gt;"",ISNUMBER(A6356)),VLOOKUP(A6356,Studies!A:BR,3,FALSE),"")</f>
        <v>https://www.ncbi.nlm.nih.gov/pubmed/10773013</v>
      </c>
      <c r="D6356" s="250" t="str">
        <f>IF(AND(A6356&lt;&gt;"",ISNUMBER(A6356)),VLOOKUP(A6356,Studies!A:BR,4,FALSE),"")</f>
        <v>Triazolam males</v>
      </c>
      <c r="E6356" s="250" t="str">
        <f>IF(AND(A6356&lt;&gt;"",ISNUMBER(A6356)),VLOOKUP(A6356,Studies!A:BR,5,FALSE),"")</f>
        <v>Triazolam</v>
      </c>
      <c r="F6356" s="251" t="str">
        <f>IF(AND(A6356&lt;&gt;"",ISNUMBER(A6356)),VLOOKUP(A6356,Studies!A:BR,6,FALSE),"")</f>
        <v>Plasma</v>
      </c>
      <c r="G6356" s="194">
        <v>1</v>
      </c>
      <c r="H6356" s="50" t="s">
        <v>60</v>
      </c>
      <c r="I6356" s="187">
        <v>2.085</v>
      </c>
      <c r="J6356" s="41" t="s">
        <v>941</v>
      </c>
      <c r="K6356" s="41" t="s">
        <v>116</v>
      </c>
      <c r="L6356" s="195">
        <v>0.31953399999999998</v>
      </c>
      <c r="M6356" s="195" t="s">
        <v>941</v>
      </c>
      <c r="N6356" s="195" t="s">
        <v>949</v>
      </c>
    </row>
    <row r="6357" spans="1:16" x14ac:dyDescent="0.2">
      <c r="A6357" s="30">
        <v>705</v>
      </c>
      <c r="B6357" s="249" t="str">
        <f>IF(AND(A6357&lt;&gt;"",ISNUMBER(A6357)),VLOOKUP(A6357,Studies!A:BR,2,FALSE),"")</f>
        <v>Greenblatt 2000</v>
      </c>
      <c r="C6357" s="250" t="str">
        <f>IF(AND(A6357&lt;&gt;"",ISNUMBER(A6357)),VLOOKUP(A6357,Studies!A:BR,3,FALSE),"")</f>
        <v>https://www.ncbi.nlm.nih.gov/pubmed/10773013</v>
      </c>
      <c r="D6357" s="250" t="str">
        <f>IF(AND(A6357&lt;&gt;"",ISNUMBER(A6357)),VLOOKUP(A6357,Studies!A:BR,4,FALSE),"")</f>
        <v>Triazolam males</v>
      </c>
      <c r="E6357" s="250" t="str">
        <f>IF(AND(A6357&lt;&gt;"",ISNUMBER(A6357)),VLOOKUP(A6357,Studies!A:BR,5,FALSE),"")</f>
        <v>Triazolam</v>
      </c>
      <c r="F6357" s="251" t="str">
        <f>IF(AND(A6357&lt;&gt;"",ISNUMBER(A6357)),VLOOKUP(A6357,Studies!A:BR,6,FALSE),"")</f>
        <v>Plasma</v>
      </c>
      <c r="G6357" s="194">
        <v>1.5</v>
      </c>
      <c r="H6357" s="50" t="s">
        <v>60</v>
      </c>
      <c r="I6357" s="187">
        <v>2.0089999999999999</v>
      </c>
      <c r="J6357" s="41" t="s">
        <v>941</v>
      </c>
      <c r="K6357" s="41" t="s">
        <v>116</v>
      </c>
      <c r="L6357" s="195">
        <v>0.35088399999999997</v>
      </c>
      <c r="M6357" s="195" t="s">
        <v>941</v>
      </c>
      <c r="N6357" s="195" t="s">
        <v>949</v>
      </c>
    </row>
    <row r="6358" spans="1:16" x14ac:dyDescent="0.2">
      <c r="A6358" s="30">
        <v>705</v>
      </c>
      <c r="B6358" s="249" t="str">
        <f>IF(AND(A6358&lt;&gt;"",ISNUMBER(A6358)),VLOOKUP(A6358,Studies!A:BR,2,FALSE),"")</f>
        <v>Greenblatt 2000</v>
      </c>
      <c r="C6358" s="250" t="str">
        <f>IF(AND(A6358&lt;&gt;"",ISNUMBER(A6358)),VLOOKUP(A6358,Studies!A:BR,3,FALSE),"")</f>
        <v>https://www.ncbi.nlm.nih.gov/pubmed/10773013</v>
      </c>
      <c r="D6358" s="250" t="str">
        <f>IF(AND(A6358&lt;&gt;"",ISNUMBER(A6358)),VLOOKUP(A6358,Studies!A:BR,4,FALSE),"")</f>
        <v>Triazolam males</v>
      </c>
      <c r="E6358" s="250" t="str">
        <f>IF(AND(A6358&lt;&gt;"",ISNUMBER(A6358)),VLOOKUP(A6358,Studies!A:BR,5,FALSE),"")</f>
        <v>Triazolam</v>
      </c>
      <c r="F6358" s="251" t="str">
        <f>IF(AND(A6358&lt;&gt;"",ISNUMBER(A6358)),VLOOKUP(A6358,Studies!A:BR,6,FALSE),"")</f>
        <v>Plasma</v>
      </c>
      <c r="G6358" s="194">
        <v>2</v>
      </c>
      <c r="H6358" s="50" t="s">
        <v>60</v>
      </c>
      <c r="I6358" s="187">
        <v>1.9179999999999999</v>
      </c>
      <c r="J6358" s="41" t="s">
        <v>941</v>
      </c>
      <c r="K6358" s="41" t="s">
        <v>116</v>
      </c>
      <c r="M6358" s="195"/>
      <c r="N6358" s="195"/>
    </row>
    <row r="6359" spans="1:16" x14ac:dyDescent="0.2">
      <c r="A6359" s="30">
        <v>705</v>
      </c>
      <c r="B6359" s="249" t="str">
        <f>IF(AND(A6359&lt;&gt;"",ISNUMBER(A6359)),VLOOKUP(A6359,Studies!A:BR,2,FALSE),"")</f>
        <v>Greenblatt 2000</v>
      </c>
      <c r="C6359" s="250" t="str">
        <f>IF(AND(A6359&lt;&gt;"",ISNUMBER(A6359)),VLOOKUP(A6359,Studies!A:BR,3,FALSE),"")</f>
        <v>https://www.ncbi.nlm.nih.gov/pubmed/10773013</v>
      </c>
      <c r="D6359" s="250" t="str">
        <f>IF(AND(A6359&lt;&gt;"",ISNUMBER(A6359)),VLOOKUP(A6359,Studies!A:BR,4,FALSE),"")</f>
        <v>Triazolam males</v>
      </c>
      <c r="E6359" s="250" t="str">
        <f>IF(AND(A6359&lt;&gt;"",ISNUMBER(A6359)),VLOOKUP(A6359,Studies!A:BR,5,FALSE),"")</f>
        <v>Triazolam</v>
      </c>
      <c r="F6359" s="251" t="str">
        <f>IF(AND(A6359&lt;&gt;"",ISNUMBER(A6359)),VLOOKUP(A6359,Studies!A:BR,6,FALSE),"")</f>
        <v>Plasma</v>
      </c>
      <c r="G6359" s="194">
        <v>2.5</v>
      </c>
      <c r="H6359" s="50" t="s">
        <v>60</v>
      </c>
      <c r="I6359" s="187">
        <v>1.6930000000000001</v>
      </c>
      <c r="J6359" s="41" t="s">
        <v>941</v>
      </c>
      <c r="K6359" s="41" t="s">
        <v>116</v>
      </c>
      <c r="L6359" s="195">
        <v>0.20463400000000001</v>
      </c>
      <c r="M6359" s="195" t="s">
        <v>941</v>
      </c>
      <c r="N6359" s="195" t="s">
        <v>949</v>
      </c>
    </row>
    <row r="6360" spans="1:16" x14ac:dyDescent="0.2">
      <c r="A6360" s="30">
        <v>705</v>
      </c>
      <c r="B6360" s="249" t="str">
        <f>IF(AND(A6360&lt;&gt;"",ISNUMBER(A6360)),VLOOKUP(A6360,Studies!A:BR,2,FALSE),"")</f>
        <v>Greenblatt 2000</v>
      </c>
      <c r="C6360" s="250" t="str">
        <f>IF(AND(A6360&lt;&gt;"",ISNUMBER(A6360)),VLOOKUP(A6360,Studies!A:BR,3,FALSE),"")</f>
        <v>https://www.ncbi.nlm.nih.gov/pubmed/10773013</v>
      </c>
      <c r="D6360" s="250" t="str">
        <f>IF(AND(A6360&lt;&gt;"",ISNUMBER(A6360)),VLOOKUP(A6360,Studies!A:BR,4,FALSE),"")</f>
        <v>Triazolam males</v>
      </c>
      <c r="E6360" s="250" t="str">
        <f>IF(AND(A6360&lt;&gt;"",ISNUMBER(A6360)),VLOOKUP(A6360,Studies!A:BR,5,FALSE),"")</f>
        <v>Triazolam</v>
      </c>
      <c r="F6360" s="251" t="str">
        <f>IF(AND(A6360&lt;&gt;"",ISNUMBER(A6360)),VLOOKUP(A6360,Studies!A:BR,6,FALSE),"")</f>
        <v>Plasma</v>
      </c>
      <c r="G6360" s="194">
        <v>3</v>
      </c>
      <c r="H6360" s="50" t="s">
        <v>60</v>
      </c>
      <c r="I6360" s="187">
        <v>1.6240000000000001</v>
      </c>
      <c r="J6360" s="41" t="s">
        <v>941</v>
      </c>
      <c r="K6360" s="41" t="s">
        <v>116</v>
      </c>
      <c r="L6360" s="195">
        <v>0.108025</v>
      </c>
      <c r="M6360" s="195" t="s">
        <v>941</v>
      </c>
      <c r="N6360" s="195" t="s">
        <v>949</v>
      </c>
    </row>
    <row r="6361" spans="1:16" x14ac:dyDescent="0.2">
      <c r="A6361" s="30">
        <v>705</v>
      </c>
      <c r="B6361" s="249" t="str">
        <f>IF(AND(A6361&lt;&gt;"",ISNUMBER(A6361)),VLOOKUP(A6361,Studies!A:BR,2,FALSE),"")</f>
        <v>Greenblatt 2000</v>
      </c>
      <c r="C6361" s="250" t="str">
        <f>IF(AND(A6361&lt;&gt;"",ISNUMBER(A6361)),VLOOKUP(A6361,Studies!A:BR,3,FALSE),"")</f>
        <v>https://www.ncbi.nlm.nih.gov/pubmed/10773013</v>
      </c>
      <c r="D6361" s="250" t="str">
        <f>IF(AND(A6361&lt;&gt;"",ISNUMBER(A6361)),VLOOKUP(A6361,Studies!A:BR,4,FALSE),"")</f>
        <v>Triazolam males</v>
      </c>
      <c r="E6361" s="250" t="str">
        <f>IF(AND(A6361&lt;&gt;"",ISNUMBER(A6361)),VLOOKUP(A6361,Studies!A:BR,5,FALSE),"")</f>
        <v>Triazolam</v>
      </c>
      <c r="F6361" s="251" t="str">
        <f>IF(AND(A6361&lt;&gt;"",ISNUMBER(A6361)),VLOOKUP(A6361,Studies!A:BR,6,FALSE),"")</f>
        <v>Plasma</v>
      </c>
      <c r="G6361" s="194">
        <v>4</v>
      </c>
      <c r="H6361" s="50" t="s">
        <v>60</v>
      </c>
      <c r="I6361" s="187">
        <v>1.2090000000000001</v>
      </c>
      <c r="J6361" s="41" t="s">
        <v>941</v>
      </c>
      <c r="K6361" s="41" t="s">
        <v>116</v>
      </c>
      <c r="L6361" s="195">
        <v>0.10438</v>
      </c>
      <c r="M6361" s="195" t="s">
        <v>941</v>
      </c>
      <c r="N6361" s="195" t="s">
        <v>949</v>
      </c>
    </row>
    <row r="6362" spans="1:16" x14ac:dyDescent="0.2">
      <c r="A6362" s="30">
        <v>705</v>
      </c>
      <c r="B6362" s="249" t="str">
        <f>IF(AND(A6362&lt;&gt;"",ISNUMBER(A6362)),VLOOKUP(A6362,Studies!A:BR,2,FALSE),"")</f>
        <v>Greenblatt 2000</v>
      </c>
      <c r="C6362" s="250" t="str">
        <f>IF(AND(A6362&lt;&gt;"",ISNUMBER(A6362)),VLOOKUP(A6362,Studies!A:BR,3,FALSE),"")</f>
        <v>https://www.ncbi.nlm.nih.gov/pubmed/10773013</v>
      </c>
      <c r="D6362" s="250" t="str">
        <f>IF(AND(A6362&lt;&gt;"",ISNUMBER(A6362)),VLOOKUP(A6362,Studies!A:BR,4,FALSE),"")</f>
        <v>Triazolam males</v>
      </c>
      <c r="E6362" s="250" t="str">
        <f>IF(AND(A6362&lt;&gt;"",ISNUMBER(A6362)),VLOOKUP(A6362,Studies!A:BR,5,FALSE),"")</f>
        <v>Triazolam</v>
      </c>
      <c r="F6362" s="251" t="str">
        <f>IF(AND(A6362&lt;&gt;"",ISNUMBER(A6362)),VLOOKUP(A6362,Studies!A:BR,6,FALSE),"")</f>
        <v>Plasma</v>
      </c>
      <c r="G6362" s="194">
        <v>5</v>
      </c>
      <c r="H6362" s="50" t="s">
        <v>60</v>
      </c>
      <c r="I6362" s="187">
        <v>0.94699999999999995</v>
      </c>
      <c r="J6362" s="41" t="s">
        <v>941</v>
      </c>
      <c r="K6362" s="41" t="s">
        <v>116</v>
      </c>
      <c r="L6362" s="195">
        <v>8.1741999999999995E-2</v>
      </c>
      <c r="M6362" s="195" t="s">
        <v>941</v>
      </c>
      <c r="N6362" s="195" t="s">
        <v>949</v>
      </c>
    </row>
    <row r="6363" spans="1:16" x14ac:dyDescent="0.2">
      <c r="A6363" s="30">
        <v>705</v>
      </c>
      <c r="B6363" s="249" t="str">
        <f>IF(AND(A6363&lt;&gt;"",ISNUMBER(A6363)),VLOOKUP(A6363,Studies!A:BR,2,FALSE),"")</f>
        <v>Greenblatt 2000</v>
      </c>
      <c r="C6363" s="250" t="str">
        <f>IF(AND(A6363&lt;&gt;"",ISNUMBER(A6363)),VLOOKUP(A6363,Studies!A:BR,3,FALSE),"")</f>
        <v>https://www.ncbi.nlm.nih.gov/pubmed/10773013</v>
      </c>
      <c r="D6363" s="250" t="str">
        <f>IF(AND(A6363&lt;&gt;"",ISNUMBER(A6363)),VLOOKUP(A6363,Studies!A:BR,4,FALSE),"")</f>
        <v>Triazolam males</v>
      </c>
      <c r="E6363" s="250" t="str">
        <f>IF(AND(A6363&lt;&gt;"",ISNUMBER(A6363)),VLOOKUP(A6363,Studies!A:BR,5,FALSE),"")</f>
        <v>Triazolam</v>
      </c>
      <c r="F6363" s="251" t="str">
        <f>IF(AND(A6363&lt;&gt;"",ISNUMBER(A6363)),VLOOKUP(A6363,Studies!A:BR,6,FALSE),"")</f>
        <v>Plasma</v>
      </c>
      <c r="G6363" s="194">
        <v>6</v>
      </c>
      <c r="H6363" s="50" t="s">
        <v>60</v>
      </c>
      <c r="I6363" s="187">
        <v>0.72099999999999997</v>
      </c>
      <c r="J6363" s="41" t="s">
        <v>941</v>
      </c>
      <c r="K6363" s="41" t="s">
        <v>116</v>
      </c>
      <c r="L6363" s="195">
        <v>6.037E-2</v>
      </c>
      <c r="M6363" s="195" t="s">
        <v>941</v>
      </c>
      <c r="N6363" s="195" t="s">
        <v>949</v>
      </c>
    </row>
    <row r="6364" spans="1:16" x14ac:dyDescent="0.2">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8</v>
      </c>
      <c r="H6364" s="50" t="s">
        <v>60</v>
      </c>
      <c r="I6364" s="187">
        <v>0.436</v>
      </c>
      <c r="J6364" s="41" t="s">
        <v>941</v>
      </c>
      <c r="K6364" s="41" t="s">
        <v>116</v>
      </c>
      <c r="L6364" s="195">
        <v>4.7393999999999999E-2</v>
      </c>
      <c r="M6364" s="195" t="s">
        <v>941</v>
      </c>
      <c r="N6364" s="195" t="s">
        <v>949</v>
      </c>
    </row>
    <row r="6365" spans="1:16" x14ac:dyDescent="0.2">
      <c r="A6365" s="30">
        <v>706</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females</v>
      </c>
      <c r="E6365" s="250" t="str">
        <f>IF(AND(A6365&lt;&gt;"",ISNUMBER(A6365)),VLOOKUP(A6365,Studies!A:BR,5,FALSE),"")</f>
        <v>Triazolam</v>
      </c>
      <c r="F6365" s="251" t="str">
        <f>IF(AND(A6365&lt;&gt;"",ISNUMBER(A6365)),VLOOKUP(A6365,Studies!A:BR,6,FALSE),"")</f>
        <v>Plasma</v>
      </c>
      <c r="G6365" s="194">
        <v>0.5</v>
      </c>
      <c r="H6365" s="50" t="s">
        <v>60</v>
      </c>
      <c r="I6365" s="187">
        <v>1.6719999999999999</v>
      </c>
      <c r="J6365" s="41" t="s">
        <v>941</v>
      </c>
      <c r="K6365" s="41" t="s">
        <v>116</v>
      </c>
      <c r="L6365" s="195">
        <v>0.60678699999999997</v>
      </c>
      <c r="M6365" s="195" t="s">
        <v>941</v>
      </c>
      <c r="N6365" s="195" t="s">
        <v>949</v>
      </c>
    </row>
    <row r="6366" spans="1:16" x14ac:dyDescent="0.2">
      <c r="A6366" s="30">
        <v>706</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females</v>
      </c>
      <c r="E6366" s="250" t="str">
        <f>IF(AND(A6366&lt;&gt;"",ISNUMBER(A6366)),VLOOKUP(A6366,Studies!A:BR,5,FALSE),"")</f>
        <v>Triazolam</v>
      </c>
      <c r="F6366" s="251" t="str">
        <f>IF(AND(A6366&lt;&gt;"",ISNUMBER(A6366)),VLOOKUP(A6366,Studies!A:BR,6,FALSE),"")</f>
        <v>Plasma</v>
      </c>
      <c r="G6366" s="194">
        <v>1</v>
      </c>
      <c r="H6366" s="50" t="s">
        <v>60</v>
      </c>
      <c r="I6366" s="187">
        <v>1.9279999999999999</v>
      </c>
      <c r="J6366" s="41" t="s">
        <v>941</v>
      </c>
      <c r="K6366" s="41" t="s">
        <v>116</v>
      </c>
      <c r="L6366" s="195">
        <v>0.40314800000000001</v>
      </c>
      <c r="M6366" s="195" t="s">
        <v>941</v>
      </c>
      <c r="N6366" s="195" t="s">
        <v>949</v>
      </c>
    </row>
    <row r="6367" spans="1:16" x14ac:dyDescent="0.2">
      <c r="A6367" s="30">
        <v>706</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females</v>
      </c>
      <c r="E6367" s="250" t="str">
        <f>IF(AND(A6367&lt;&gt;"",ISNUMBER(A6367)),VLOOKUP(A6367,Studies!A:BR,5,FALSE),"")</f>
        <v>Triazolam</v>
      </c>
      <c r="F6367" s="251" t="str">
        <f>IF(AND(A6367&lt;&gt;"",ISNUMBER(A6367)),VLOOKUP(A6367,Studies!A:BR,6,FALSE),"")</f>
        <v>Plasma</v>
      </c>
      <c r="G6367" s="194">
        <v>1.5</v>
      </c>
      <c r="H6367" s="50" t="s">
        <v>60</v>
      </c>
      <c r="I6367" s="187">
        <v>1.9990000000000001</v>
      </c>
      <c r="J6367" s="41" t="s">
        <v>941</v>
      </c>
      <c r="K6367" s="41" t="s">
        <v>116</v>
      </c>
      <c r="L6367" s="195">
        <v>0.25772600000000001</v>
      </c>
      <c r="M6367" s="195" t="s">
        <v>941</v>
      </c>
      <c r="N6367" s="195" t="s">
        <v>949</v>
      </c>
    </row>
    <row r="6368" spans="1:16" x14ac:dyDescent="0.2">
      <c r="A6368" s="30">
        <v>706</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females</v>
      </c>
      <c r="E6368" s="250" t="str">
        <f>IF(AND(A6368&lt;&gt;"",ISNUMBER(A6368)),VLOOKUP(A6368,Studies!A:BR,5,FALSE),"")</f>
        <v>Triazolam</v>
      </c>
      <c r="F6368" s="251" t="str">
        <f>IF(AND(A6368&lt;&gt;"",ISNUMBER(A6368)),VLOOKUP(A6368,Studies!A:BR,6,FALSE),"")</f>
        <v>Plasma</v>
      </c>
      <c r="G6368" s="194">
        <v>2</v>
      </c>
      <c r="H6368" s="50" t="s">
        <v>60</v>
      </c>
      <c r="I6368" s="187">
        <v>1.9179999999999999</v>
      </c>
      <c r="J6368" s="41" t="s">
        <v>941</v>
      </c>
      <c r="K6368" s="41" t="s">
        <v>116</v>
      </c>
      <c r="M6368" s="195"/>
      <c r="N6368" s="195"/>
    </row>
    <row r="6369" spans="1:14" x14ac:dyDescent="0.2">
      <c r="A6369" s="30">
        <v>706</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females</v>
      </c>
      <c r="E6369" s="250" t="str">
        <f>IF(AND(A6369&lt;&gt;"",ISNUMBER(A6369)),VLOOKUP(A6369,Studies!A:BR,5,FALSE),"")</f>
        <v>Triazolam</v>
      </c>
      <c r="F6369" s="251" t="str">
        <f>IF(AND(A6369&lt;&gt;"",ISNUMBER(A6369)),VLOOKUP(A6369,Studies!A:BR,6,FALSE),"")</f>
        <v>Plasma</v>
      </c>
      <c r="G6369" s="194">
        <v>2.5</v>
      </c>
      <c r="H6369" s="50" t="s">
        <v>60</v>
      </c>
      <c r="I6369" s="187">
        <v>1.724</v>
      </c>
      <c r="J6369" s="41" t="s">
        <v>941</v>
      </c>
      <c r="K6369" s="41" t="s">
        <v>116</v>
      </c>
      <c r="L6369" s="195">
        <v>0.32945099999999999</v>
      </c>
      <c r="M6369" s="195" t="s">
        <v>941</v>
      </c>
      <c r="N6369" s="195" t="s">
        <v>949</v>
      </c>
    </row>
    <row r="6370" spans="1:14" x14ac:dyDescent="0.2">
      <c r="A6370" s="30">
        <v>706</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females</v>
      </c>
      <c r="E6370" s="250" t="str">
        <f>IF(AND(A6370&lt;&gt;"",ISNUMBER(A6370)),VLOOKUP(A6370,Studies!A:BR,5,FALSE),"")</f>
        <v>Triazolam</v>
      </c>
      <c r="F6370" s="251" t="str">
        <f>IF(AND(A6370&lt;&gt;"",ISNUMBER(A6370)),VLOOKUP(A6370,Studies!A:BR,6,FALSE),"")</f>
        <v>Plasma</v>
      </c>
      <c r="G6370" s="194">
        <v>3</v>
      </c>
      <c r="H6370" s="50" t="s">
        <v>60</v>
      </c>
      <c r="I6370" s="187">
        <v>1.5509999999999999</v>
      </c>
      <c r="J6370" s="41" t="s">
        <v>941</v>
      </c>
      <c r="K6370" s="41" t="s">
        <v>116</v>
      </c>
      <c r="L6370" s="195">
        <v>0.31865399999999999</v>
      </c>
      <c r="M6370" s="195" t="s">
        <v>941</v>
      </c>
      <c r="N6370" s="195" t="s">
        <v>949</v>
      </c>
    </row>
    <row r="6371" spans="1:14" x14ac:dyDescent="0.2">
      <c r="A6371" s="30">
        <v>706</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females</v>
      </c>
      <c r="E6371" s="250" t="str">
        <f>IF(AND(A6371&lt;&gt;"",ISNUMBER(A6371)),VLOOKUP(A6371,Studies!A:BR,5,FALSE),"")</f>
        <v>Triazolam</v>
      </c>
      <c r="F6371" s="251" t="str">
        <f>IF(AND(A6371&lt;&gt;"",ISNUMBER(A6371)),VLOOKUP(A6371,Studies!A:BR,6,FALSE),"")</f>
        <v>Plasma</v>
      </c>
      <c r="G6371" s="194">
        <v>4</v>
      </c>
      <c r="H6371" s="50" t="s">
        <v>60</v>
      </c>
      <c r="I6371" s="187">
        <v>1.1919999999999999</v>
      </c>
      <c r="J6371" s="41" t="s">
        <v>941</v>
      </c>
      <c r="K6371" s="41" t="s">
        <v>116</v>
      </c>
      <c r="L6371" s="195">
        <v>0.28758899999999998</v>
      </c>
      <c r="M6371" s="195" t="s">
        <v>941</v>
      </c>
      <c r="N6371" s="195" t="s">
        <v>949</v>
      </c>
    </row>
    <row r="6372" spans="1:14" x14ac:dyDescent="0.2">
      <c r="A6372" s="30">
        <v>706</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females</v>
      </c>
      <c r="E6372" s="250" t="str">
        <f>IF(AND(A6372&lt;&gt;"",ISNUMBER(A6372)),VLOOKUP(A6372,Studies!A:BR,5,FALSE),"")</f>
        <v>Triazolam</v>
      </c>
      <c r="F6372" s="251" t="str">
        <f>IF(AND(A6372&lt;&gt;"",ISNUMBER(A6372)),VLOOKUP(A6372,Studies!A:BR,6,FALSE),"")</f>
        <v>Plasma</v>
      </c>
      <c r="G6372" s="194">
        <v>5</v>
      </c>
      <c r="H6372" s="50" t="s">
        <v>60</v>
      </c>
      <c r="I6372" s="187">
        <v>0.91700000000000004</v>
      </c>
      <c r="J6372" s="41" t="s">
        <v>941</v>
      </c>
      <c r="K6372" s="41" t="s">
        <v>116</v>
      </c>
      <c r="L6372" s="195">
        <v>0.236928</v>
      </c>
      <c r="M6372" s="195" t="s">
        <v>941</v>
      </c>
      <c r="N6372" s="195" t="s">
        <v>949</v>
      </c>
    </row>
    <row r="6373" spans="1:14" x14ac:dyDescent="0.2">
      <c r="A6373" s="30">
        <v>706</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females</v>
      </c>
      <c r="E6373" s="250" t="str">
        <f>IF(AND(A6373&lt;&gt;"",ISNUMBER(A6373)),VLOOKUP(A6373,Studies!A:BR,5,FALSE),"")</f>
        <v>Triazolam</v>
      </c>
      <c r="F6373" s="251" t="str">
        <f>IF(AND(A6373&lt;&gt;"",ISNUMBER(A6373)),VLOOKUP(A6373,Studies!A:BR,6,FALSE),"")</f>
        <v>Plasma</v>
      </c>
      <c r="G6373" s="194">
        <v>6</v>
      </c>
      <c r="H6373" s="50" t="s">
        <v>60</v>
      </c>
      <c r="I6373" s="187">
        <v>0.76600000000000001</v>
      </c>
      <c r="J6373" s="41" t="s">
        <v>941</v>
      </c>
      <c r="K6373" s="41" t="s">
        <v>116</v>
      </c>
      <c r="L6373" s="195">
        <v>0.206924</v>
      </c>
      <c r="M6373" s="195" t="s">
        <v>941</v>
      </c>
      <c r="N6373" s="195" t="s">
        <v>949</v>
      </c>
    </row>
    <row r="6374" spans="1:14" x14ac:dyDescent="0.2">
      <c r="A6374" s="30">
        <v>706</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females</v>
      </c>
      <c r="E6374" s="250" t="str">
        <f>IF(AND(A6374&lt;&gt;"",ISNUMBER(A6374)),VLOOKUP(A6374,Studies!A:BR,5,FALSE),"")</f>
        <v>Triazolam</v>
      </c>
      <c r="F6374" s="251" t="str">
        <f>IF(AND(A6374&lt;&gt;"",ISNUMBER(A6374)),VLOOKUP(A6374,Studies!A:BR,6,FALSE),"")</f>
        <v>Plasma</v>
      </c>
      <c r="G6374" s="194">
        <v>8</v>
      </c>
      <c r="H6374" s="50" t="s">
        <v>60</v>
      </c>
      <c r="I6374" s="187">
        <v>0.48699999999999999</v>
      </c>
      <c r="J6374" s="41" t="s">
        <v>941</v>
      </c>
      <c r="K6374" s="41" t="s">
        <v>116</v>
      </c>
      <c r="L6374" s="195">
        <v>0.172821</v>
      </c>
      <c r="M6374" s="195" t="s">
        <v>941</v>
      </c>
      <c r="N6374" s="195" t="s">
        <v>949</v>
      </c>
    </row>
    <row r="6375" spans="1:14" x14ac:dyDescent="0.2">
      <c r="A6375" s="30">
        <v>707</v>
      </c>
      <c r="B6375" s="249" t="str">
        <f>IF(AND(A6375&lt;&gt;"",ISNUMBER(A6375)),VLOOKUP(A6375,Studies!A:BR,2,FALSE),"")</f>
        <v>Greenblatt 2004</v>
      </c>
      <c r="C6375" s="250" t="str">
        <f>IF(AND(A6375&lt;&gt;"",ISNUMBER(A6375)),VLOOKUP(A6375,Studies!A:BR,3,FALSE),"")</f>
        <v>https://www.ncbi.nlm.nih.gov/pubmed/15536461</v>
      </c>
      <c r="D6375" s="250" t="str">
        <f>IF(AND(A6375&lt;&gt;"",ISNUMBER(A6375)),VLOOKUP(A6375,Studies!A:BR,4,FALSE),"")</f>
        <v>Young males</v>
      </c>
      <c r="E6375" s="250" t="str">
        <f>IF(AND(A6375&lt;&gt;"",ISNUMBER(A6375)),VLOOKUP(A6375,Studies!A:BR,5,FALSE),"")</f>
        <v>Triazolam</v>
      </c>
      <c r="F6375" s="251" t="str">
        <f>IF(AND(A6375&lt;&gt;"",ISNUMBER(A6375)),VLOOKUP(A6375,Studies!A:BR,6,FALSE),"")</f>
        <v>Plasma</v>
      </c>
      <c r="G6375" s="194">
        <v>0.5</v>
      </c>
      <c r="H6375" s="50" t="s">
        <v>60</v>
      </c>
      <c r="I6375" s="187">
        <v>1.657486</v>
      </c>
      <c r="J6375" s="41" t="s">
        <v>941</v>
      </c>
      <c r="K6375" s="41" t="s">
        <v>116</v>
      </c>
      <c r="M6375" s="195"/>
      <c r="N6375" s="195"/>
    </row>
    <row r="6376" spans="1:14" x14ac:dyDescent="0.2">
      <c r="A6376" s="30">
        <v>707</v>
      </c>
      <c r="B6376" s="249" t="str">
        <f>IF(AND(A6376&lt;&gt;"",ISNUMBER(A6376)),VLOOKUP(A6376,Studies!A:BR,2,FALSE),"")</f>
        <v>Greenblatt 2004</v>
      </c>
      <c r="C6376" s="250" t="str">
        <f>IF(AND(A6376&lt;&gt;"",ISNUMBER(A6376)),VLOOKUP(A6376,Studies!A:BR,3,FALSE),"")</f>
        <v>https://www.ncbi.nlm.nih.gov/pubmed/15536461</v>
      </c>
      <c r="D6376" s="250" t="str">
        <f>IF(AND(A6376&lt;&gt;"",ISNUMBER(A6376)),VLOOKUP(A6376,Studies!A:BR,4,FALSE),"")</f>
        <v>Young males</v>
      </c>
      <c r="E6376" s="250" t="str">
        <f>IF(AND(A6376&lt;&gt;"",ISNUMBER(A6376)),VLOOKUP(A6376,Studies!A:BR,5,FALSE),"")</f>
        <v>Triazolam</v>
      </c>
      <c r="F6376" s="251" t="str">
        <f>IF(AND(A6376&lt;&gt;"",ISNUMBER(A6376)),VLOOKUP(A6376,Studies!A:BR,6,FALSE),"")</f>
        <v>Plasma</v>
      </c>
      <c r="G6376" s="194">
        <v>1</v>
      </c>
      <c r="H6376" s="50" t="s">
        <v>60</v>
      </c>
      <c r="I6376" s="187">
        <v>2.097855</v>
      </c>
      <c r="J6376" s="41" t="s">
        <v>941</v>
      </c>
      <c r="K6376" s="41" t="s">
        <v>116</v>
      </c>
      <c r="M6376" s="195"/>
      <c r="N6376" s="195"/>
    </row>
    <row r="6377" spans="1:14" x14ac:dyDescent="0.2">
      <c r="A6377" s="30">
        <v>707</v>
      </c>
      <c r="B6377" s="249" t="str">
        <f>IF(AND(A6377&lt;&gt;"",ISNUMBER(A6377)),VLOOKUP(A6377,Studies!A:BR,2,FALSE),"")</f>
        <v>Greenblatt 2004</v>
      </c>
      <c r="C6377" s="250" t="str">
        <f>IF(AND(A6377&lt;&gt;"",ISNUMBER(A6377)),VLOOKUP(A6377,Studies!A:BR,3,FALSE),"")</f>
        <v>https://www.ncbi.nlm.nih.gov/pubmed/15536461</v>
      </c>
      <c r="D6377" s="250" t="str">
        <f>IF(AND(A6377&lt;&gt;"",ISNUMBER(A6377)),VLOOKUP(A6377,Studies!A:BR,4,FALSE),"")</f>
        <v>Young males</v>
      </c>
      <c r="E6377" s="250" t="str">
        <f>IF(AND(A6377&lt;&gt;"",ISNUMBER(A6377)),VLOOKUP(A6377,Studies!A:BR,5,FALSE),"")</f>
        <v>Triazolam</v>
      </c>
      <c r="F6377" s="251" t="str">
        <f>IF(AND(A6377&lt;&gt;"",ISNUMBER(A6377)),VLOOKUP(A6377,Studies!A:BR,6,FALSE),"")</f>
        <v>Plasma</v>
      </c>
      <c r="G6377" s="194">
        <v>1.5</v>
      </c>
      <c r="H6377" s="50" t="s">
        <v>60</v>
      </c>
      <c r="I6377" s="187">
        <v>1.83429</v>
      </c>
      <c r="J6377" s="41" t="s">
        <v>941</v>
      </c>
      <c r="K6377" s="41" t="s">
        <v>116</v>
      </c>
      <c r="L6377" s="195">
        <v>0.15131600000000001</v>
      </c>
      <c r="M6377" s="195" t="s">
        <v>941</v>
      </c>
      <c r="N6377" s="195" t="s">
        <v>949</v>
      </c>
    </row>
    <row r="6378" spans="1:14" x14ac:dyDescent="0.2">
      <c r="A6378" s="30">
        <v>707</v>
      </c>
      <c r="B6378" s="249" t="str">
        <f>IF(AND(A6378&lt;&gt;"",ISNUMBER(A6378)),VLOOKUP(A6378,Studies!A:BR,2,FALSE),"")</f>
        <v>Greenblatt 2004</v>
      </c>
      <c r="C6378" s="250" t="str">
        <f>IF(AND(A6378&lt;&gt;"",ISNUMBER(A6378)),VLOOKUP(A6378,Studies!A:BR,3,FALSE),"")</f>
        <v>https://www.ncbi.nlm.nih.gov/pubmed/15536461</v>
      </c>
      <c r="D6378" s="250" t="str">
        <f>IF(AND(A6378&lt;&gt;"",ISNUMBER(A6378)),VLOOKUP(A6378,Studies!A:BR,4,FALSE),"")</f>
        <v>Young males</v>
      </c>
      <c r="E6378" s="250" t="str">
        <f>IF(AND(A6378&lt;&gt;"",ISNUMBER(A6378)),VLOOKUP(A6378,Studies!A:BR,5,FALSE),"")</f>
        <v>Triazolam</v>
      </c>
      <c r="F6378" s="251" t="str">
        <f>IF(AND(A6378&lt;&gt;"",ISNUMBER(A6378)),VLOOKUP(A6378,Studies!A:BR,6,FALSE),"")</f>
        <v>Plasma</v>
      </c>
      <c r="G6378" s="194">
        <v>2</v>
      </c>
      <c r="H6378" s="50" t="s">
        <v>60</v>
      </c>
      <c r="I6378" s="187">
        <v>1.603612</v>
      </c>
      <c r="J6378" s="41" t="s">
        <v>941</v>
      </c>
      <c r="K6378" s="41" t="s">
        <v>116</v>
      </c>
      <c r="L6378" s="195">
        <v>0.17763200000000001</v>
      </c>
      <c r="M6378" s="195" t="s">
        <v>941</v>
      </c>
      <c r="N6378" s="195" t="s">
        <v>949</v>
      </c>
    </row>
    <row r="6379" spans="1:14" x14ac:dyDescent="0.2">
      <c r="A6379" s="30">
        <v>707</v>
      </c>
      <c r="B6379" s="249" t="str">
        <f>IF(AND(A6379&lt;&gt;"",ISNUMBER(A6379)),VLOOKUP(A6379,Studies!A:BR,2,FALSE),"")</f>
        <v>Greenblatt 2004</v>
      </c>
      <c r="C6379" s="250" t="str">
        <f>IF(AND(A6379&lt;&gt;"",ISNUMBER(A6379)),VLOOKUP(A6379,Studies!A:BR,3,FALSE),"")</f>
        <v>https://www.ncbi.nlm.nih.gov/pubmed/15536461</v>
      </c>
      <c r="D6379" s="250" t="str">
        <f>IF(AND(A6379&lt;&gt;"",ISNUMBER(A6379)),VLOOKUP(A6379,Studies!A:BR,4,FALSE),"")</f>
        <v>Young males</v>
      </c>
      <c r="E6379" s="250" t="str">
        <f>IF(AND(A6379&lt;&gt;"",ISNUMBER(A6379)),VLOOKUP(A6379,Studies!A:BR,5,FALSE),"")</f>
        <v>Triazolam</v>
      </c>
      <c r="F6379" s="251" t="str">
        <f>IF(AND(A6379&lt;&gt;"",ISNUMBER(A6379)),VLOOKUP(A6379,Studies!A:BR,6,FALSE),"")</f>
        <v>Plasma</v>
      </c>
      <c r="G6379" s="194">
        <v>2.5</v>
      </c>
      <c r="H6379" s="50" t="s">
        <v>60</v>
      </c>
      <c r="I6379" s="187">
        <v>1.5834619999999999</v>
      </c>
      <c r="J6379" s="41" t="s">
        <v>941</v>
      </c>
      <c r="K6379" s="41" t="s">
        <v>116</v>
      </c>
      <c r="L6379" s="195">
        <v>0.17763300000000001</v>
      </c>
      <c r="M6379" s="195" t="s">
        <v>941</v>
      </c>
      <c r="N6379" s="195" t="s">
        <v>949</v>
      </c>
    </row>
    <row r="6380" spans="1:14" x14ac:dyDescent="0.2">
      <c r="A6380" s="30">
        <v>707</v>
      </c>
      <c r="B6380" s="249" t="str">
        <f>IF(AND(A6380&lt;&gt;"",ISNUMBER(A6380)),VLOOKUP(A6380,Studies!A:BR,2,FALSE),"")</f>
        <v>Greenblatt 2004</v>
      </c>
      <c r="C6380" s="250" t="str">
        <f>IF(AND(A6380&lt;&gt;"",ISNUMBER(A6380)),VLOOKUP(A6380,Studies!A:BR,3,FALSE),"")</f>
        <v>https://www.ncbi.nlm.nih.gov/pubmed/15536461</v>
      </c>
      <c r="D6380" s="250" t="str">
        <f>IF(AND(A6380&lt;&gt;"",ISNUMBER(A6380)),VLOOKUP(A6380,Studies!A:BR,4,FALSE),"")</f>
        <v>Young males</v>
      </c>
      <c r="E6380" s="250" t="str">
        <f>IF(AND(A6380&lt;&gt;"",ISNUMBER(A6380)),VLOOKUP(A6380,Studies!A:BR,5,FALSE),"")</f>
        <v>Triazolam</v>
      </c>
      <c r="F6380" s="251" t="str">
        <f>IF(AND(A6380&lt;&gt;"",ISNUMBER(A6380)),VLOOKUP(A6380,Studies!A:BR,6,FALSE),"")</f>
        <v>Plasma</v>
      </c>
      <c r="G6380" s="194">
        <v>3</v>
      </c>
      <c r="H6380" s="50" t="s">
        <v>60</v>
      </c>
      <c r="I6380" s="187">
        <v>1.2409410000000001</v>
      </c>
      <c r="J6380" s="41" t="s">
        <v>941</v>
      </c>
      <c r="K6380" s="41" t="s">
        <v>116</v>
      </c>
      <c r="L6380" s="195">
        <v>0.16447500000000001</v>
      </c>
      <c r="M6380" s="195" t="s">
        <v>941</v>
      </c>
      <c r="N6380" s="195" t="s">
        <v>949</v>
      </c>
    </row>
    <row r="6381" spans="1:14" x14ac:dyDescent="0.2">
      <c r="A6381" s="30">
        <v>707</v>
      </c>
      <c r="B6381" s="249" t="str">
        <f>IF(AND(A6381&lt;&gt;"",ISNUMBER(A6381)),VLOOKUP(A6381,Studies!A:BR,2,FALSE),"")</f>
        <v>Greenblatt 2004</v>
      </c>
      <c r="C6381" s="250" t="str">
        <f>IF(AND(A6381&lt;&gt;"",ISNUMBER(A6381)),VLOOKUP(A6381,Studies!A:BR,3,FALSE),"")</f>
        <v>https://www.ncbi.nlm.nih.gov/pubmed/15536461</v>
      </c>
      <c r="D6381" s="250" t="str">
        <f>IF(AND(A6381&lt;&gt;"",ISNUMBER(A6381)),VLOOKUP(A6381,Studies!A:BR,4,FALSE),"")</f>
        <v>Young males</v>
      </c>
      <c r="E6381" s="250" t="str">
        <f>IF(AND(A6381&lt;&gt;"",ISNUMBER(A6381)),VLOOKUP(A6381,Studies!A:BR,5,FALSE),"")</f>
        <v>Triazolam</v>
      </c>
      <c r="F6381" s="251" t="str">
        <f>IF(AND(A6381&lt;&gt;"",ISNUMBER(A6381)),VLOOKUP(A6381,Studies!A:BR,6,FALSE),"")</f>
        <v>Plasma</v>
      </c>
      <c r="G6381" s="194">
        <v>4</v>
      </c>
      <c r="H6381" s="50" t="s">
        <v>60</v>
      </c>
      <c r="I6381" s="187">
        <v>1.003279</v>
      </c>
      <c r="J6381" s="41" t="s">
        <v>941</v>
      </c>
      <c r="K6381" s="41" t="s">
        <v>116</v>
      </c>
      <c r="L6381" s="195">
        <v>0.118439</v>
      </c>
      <c r="M6381" s="195" t="s">
        <v>941</v>
      </c>
      <c r="N6381" s="195" t="s">
        <v>949</v>
      </c>
    </row>
    <row r="6382" spans="1:14" x14ac:dyDescent="0.2">
      <c r="A6382" s="30">
        <v>707</v>
      </c>
      <c r="B6382" s="249" t="str">
        <f>IF(AND(A6382&lt;&gt;"",ISNUMBER(A6382)),VLOOKUP(A6382,Studies!A:BR,2,FALSE),"")</f>
        <v>Greenblatt 2004</v>
      </c>
      <c r="C6382" s="250" t="str">
        <f>IF(AND(A6382&lt;&gt;"",ISNUMBER(A6382)),VLOOKUP(A6382,Studies!A:BR,3,FALSE),"")</f>
        <v>https://www.ncbi.nlm.nih.gov/pubmed/15536461</v>
      </c>
      <c r="D6382" s="250" t="str">
        <f>IF(AND(A6382&lt;&gt;"",ISNUMBER(A6382)),VLOOKUP(A6382,Studies!A:BR,4,FALSE),"")</f>
        <v>Young males</v>
      </c>
      <c r="E6382" s="250" t="str">
        <f>IF(AND(A6382&lt;&gt;"",ISNUMBER(A6382)),VLOOKUP(A6382,Studies!A:BR,5,FALSE),"")</f>
        <v>Triazolam</v>
      </c>
      <c r="F6382" s="251" t="str">
        <f>IF(AND(A6382&lt;&gt;"",ISNUMBER(A6382)),VLOOKUP(A6382,Studies!A:BR,6,FALSE),"")</f>
        <v>Plasma</v>
      </c>
      <c r="G6382" s="194">
        <v>6</v>
      </c>
      <c r="H6382" s="50" t="s">
        <v>60</v>
      </c>
      <c r="I6382" s="187">
        <v>0.59372670000000005</v>
      </c>
      <c r="J6382" s="41" t="s">
        <v>941</v>
      </c>
      <c r="K6382" s="41" t="s">
        <v>116</v>
      </c>
      <c r="L6382" s="195">
        <v>9.2105999999999993E-2</v>
      </c>
      <c r="M6382" s="195" t="s">
        <v>941</v>
      </c>
      <c r="N6382" s="195" t="s">
        <v>949</v>
      </c>
    </row>
    <row r="6383" spans="1:14" x14ac:dyDescent="0.2">
      <c r="A6383" s="30">
        <v>707</v>
      </c>
      <c r="B6383" s="249" t="str">
        <f>IF(AND(A6383&lt;&gt;"",ISNUMBER(A6383)),VLOOKUP(A6383,Studies!A:BR,2,FALSE),"")</f>
        <v>Greenblatt 2004</v>
      </c>
      <c r="C6383" s="250" t="str">
        <f>IF(AND(A6383&lt;&gt;"",ISNUMBER(A6383)),VLOOKUP(A6383,Studies!A:BR,3,FALSE),"")</f>
        <v>https://www.ncbi.nlm.nih.gov/pubmed/15536461</v>
      </c>
      <c r="D6383" s="250" t="str">
        <f>IF(AND(A6383&lt;&gt;"",ISNUMBER(A6383)),VLOOKUP(A6383,Studies!A:BR,4,FALSE),"")</f>
        <v>Young males</v>
      </c>
      <c r="E6383" s="250" t="str">
        <f>IF(AND(A6383&lt;&gt;"",ISNUMBER(A6383)),VLOOKUP(A6383,Studies!A:BR,5,FALSE),"")</f>
        <v>Triazolam</v>
      </c>
      <c r="F6383" s="251" t="str">
        <f>IF(AND(A6383&lt;&gt;"",ISNUMBER(A6383)),VLOOKUP(A6383,Studies!A:BR,6,FALSE),"")</f>
        <v>Plasma</v>
      </c>
      <c r="G6383" s="194">
        <v>8</v>
      </c>
      <c r="H6383" s="50" t="s">
        <v>60</v>
      </c>
      <c r="I6383" s="187">
        <v>0.38156119999999999</v>
      </c>
      <c r="J6383" s="41" t="s">
        <v>941</v>
      </c>
      <c r="K6383" s="41" t="s">
        <v>116</v>
      </c>
      <c r="L6383" s="195">
        <v>7.8955999999999998E-2</v>
      </c>
      <c r="M6383" s="195" t="s">
        <v>941</v>
      </c>
      <c r="N6383" s="195" t="s">
        <v>949</v>
      </c>
    </row>
    <row r="6384" spans="1:14" x14ac:dyDescent="0.2">
      <c r="A6384" s="30">
        <v>708</v>
      </c>
      <c r="B6384" s="249" t="str">
        <f>IF(AND(A6384&lt;&gt;"",ISNUMBER(A6384)),VLOOKUP(A6384,Studies!A:BR,2,FALSE),"")</f>
        <v>Greenblatt 2004</v>
      </c>
      <c r="C6384" s="250" t="str">
        <f>IF(AND(A6384&lt;&gt;"",ISNUMBER(A6384)),VLOOKUP(A6384,Studies!A:BR,3,FALSE),"")</f>
        <v>https://www.ncbi.nlm.nih.gov/pubmed/15536461</v>
      </c>
      <c r="D6384" s="250" t="str">
        <f>IF(AND(A6384&lt;&gt;"",ISNUMBER(A6384)),VLOOKUP(A6384,Studies!A:BR,4,FALSE),"")</f>
        <v>Young females</v>
      </c>
      <c r="E6384" s="250" t="str">
        <f>IF(AND(A6384&lt;&gt;"",ISNUMBER(A6384)),VLOOKUP(A6384,Studies!A:BR,5,FALSE),"")</f>
        <v>Triazolam</v>
      </c>
      <c r="F6384" s="251" t="str">
        <f>IF(AND(A6384&lt;&gt;"",ISNUMBER(A6384)),VLOOKUP(A6384,Studies!A:BR,6,FALSE),"")</f>
        <v>Plasma</v>
      </c>
      <c r="G6384" s="194">
        <v>0.5</v>
      </c>
      <c r="H6384" s="50" t="s">
        <v>60</v>
      </c>
      <c r="I6384" s="187">
        <v>1.598271</v>
      </c>
      <c r="J6384" s="41" t="s">
        <v>941</v>
      </c>
      <c r="K6384" s="41" t="s">
        <v>116</v>
      </c>
      <c r="M6384" s="195"/>
      <c r="N6384" s="195"/>
    </row>
    <row r="6385" spans="1:14" x14ac:dyDescent="0.2">
      <c r="A6385" s="30">
        <v>708</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females</v>
      </c>
      <c r="E6385" s="250" t="str">
        <f>IF(AND(A6385&lt;&gt;"",ISNUMBER(A6385)),VLOOKUP(A6385,Studies!A:BR,5,FALSE),"")</f>
        <v>Triazolam</v>
      </c>
      <c r="F6385" s="251" t="str">
        <f>IF(AND(A6385&lt;&gt;"",ISNUMBER(A6385)),VLOOKUP(A6385,Studies!A:BR,6,FALSE),"")</f>
        <v>Plasma</v>
      </c>
      <c r="G6385" s="194">
        <v>1</v>
      </c>
      <c r="H6385" s="50" t="s">
        <v>60</v>
      </c>
      <c r="I6385" s="187">
        <v>2.4399549999999999</v>
      </c>
      <c r="J6385" s="41" t="s">
        <v>941</v>
      </c>
      <c r="K6385" s="41" t="s">
        <v>116</v>
      </c>
      <c r="L6385" s="195">
        <v>0.27754299999999998</v>
      </c>
      <c r="M6385" s="195" t="s">
        <v>941</v>
      </c>
      <c r="N6385" s="195" t="s">
        <v>949</v>
      </c>
    </row>
    <row r="6386" spans="1:14" x14ac:dyDescent="0.2">
      <c r="A6386" s="30">
        <v>708</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females</v>
      </c>
      <c r="E6386" s="250" t="str">
        <f>IF(AND(A6386&lt;&gt;"",ISNUMBER(A6386)),VLOOKUP(A6386,Studies!A:BR,5,FALSE),"")</f>
        <v>Triazolam</v>
      </c>
      <c r="F6386" s="251" t="str">
        <f>IF(AND(A6386&lt;&gt;"",ISNUMBER(A6386)),VLOOKUP(A6386,Studies!A:BR,6,FALSE),"")</f>
        <v>Plasma</v>
      </c>
      <c r="G6386" s="194">
        <v>1.5</v>
      </c>
      <c r="H6386" s="50" t="s">
        <v>60</v>
      </c>
      <c r="I6386" s="187">
        <v>2.3869189999999998</v>
      </c>
      <c r="J6386" s="41" t="s">
        <v>941</v>
      </c>
      <c r="K6386" s="41" t="s">
        <v>116</v>
      </c>
      <c r="L6386" s="195">
        <v>0.240037</v>
      </c>
      <c r="M6386" s="195" t="s">
        <v>941</v>
      </c>
      <c r="N6386" s="195" t="s">
        <v>949</v>
      </c>
    </row>
    <row r="6387" spans="1:14" x14ac:dyDescent="0.2">
      <c r="A6387" s="30">
        <v>708</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females</v>
      </c>
      <c r="E6387" s="250" t="str">
        <f>IF(AND(A6387&lt;&gt;"",ISNUMBER(A6387)),VLOOKUP(A6387,Studies!A:BR,5,FALSE),"")</f>
        <v>Triazolam</v>
      </c>
      <c r="F6387" s="251" t="str">
        <f>IF(AND(A6387&lt;&gt;"",ISNUMBER(A6387)),VLOOKUP(A6387,Studies!A:BR,6,FALSE),"")</f>
        <v>Plasma</v>
      </c>
      <c r="G6387" s="194">
        <v>2</v>
      </c>
      <c r="H6387" s="50" t="s">
        <v>60</v>
      </c>
      <c r="I6387" s="187">
        <v>2.1694100000000001</v>
      </c>
      <c r="J6387" s="41" t="s">
        <v>941</v>
      </c>
      <c r="K6387" s="41" t="s">
        <v>116</v>
      </c>
      <c r="L6387" s="195">
        <v>0.25502999999999998</v>
      </c>
      <c r="M6387" s="195" t="s">
        <v>941</v>
      </c>
      <c r="N6387" s="195" t="s">
        <v>949</v>
      </c>
    </row>
    <row r="6388" spans="1:14" x14ac:dyDescent="0.2">
      <c r="A6388" s="30">
        <v>708</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females</v>
      </c>
      <c r="E6388" s="250" t="str">
        <f>IF(AND(A6388&lt;&gt;"",ISNUMBER(A6388)),VLOOKUP(A6388,Studies!A:BR,5,FALSE),"")</f>
        <v>Triazolam</v>
      </c>
      <c r="F6388" s="251" t="str">
        <f>IF(AND(A6388&lt;&gt;"",ISNUMBER(A6388)),VLOOKUP(A6388,Studies!A:BR,6,FALSE),"")</f>
        <v>Plasma</v>
      </c>
      <c r="G6388" s="194">
        <v>2.5</v>
      </c>
      <c r="H6388" s="50" t="s">
        <v>60</v>
      </c>
      <c r="I6388" s="187">
        <v>1.826883</v>
      </c>
      <c r="J6388" s="41" t="s">
        <v>941</v>
      </c>
      <c r="K6388" s="41" t="s">
        <v>116</v>
      </c>
      <c r="L6388" s="195">
        <v>0.232546</v>
      </c>
      <c r="M6388" s="195" t="s">
        <v>941</v>
      </c>
      <c r="N6388" s="195" t="s">
        <v>949</v>
      </c>
    </row>
    <row r="6389" spans="1:14" x14ac:dyDescent="0.2">
      <c r="A6389" s="30">
        <v>708</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females</v>
      </c>
      <c r="E6389" s="250" t="str">
        <f>IF(AND(A6389&lt;&gt;"",ISNUMBER(A6389)),VLOOKUP(A6389,Studies!A:BR,5,FALSE),"")</f>
        <v>Triazolam</v>
      </c>
      <c r="F6389" s="251" t="str">
        <f>IF(AND(A6389&lt;&gt;"",ISNUMBER(A6389)),VLOOKUP(A6389,Studies!A:BR,6,FALSE),"")</f>
        <v>Plasma</v>
      </c>
      <c r="G6389" s="194">
        <v>3</v>
      </c>
      <c r="H6389" s="50" t="s">
        <v>60</v>
      </c>
      <c r="I6389" s="187">
        <v>1.688321</v>
      </c>
      <c r="J6389" s="41" t="s">
        <v>941</v>
      </c>
      <c r="K6389" s="41" t="s">
        <v>116</v>
      </c>
      <c r="L6389" s="195">
        <v>0.23253599999999999</v>
      </c>
      <c r="M6389" s="195" t="s">
        <v>941</v>
      </c>
      <c r="N6389" s="195" t="s">
        <v>949</v>
      </c>
    </row>
    <row r="6390" spans="1:14" x14ac:dyDescent="0.2">
      <c r="A6390" s="30">
        <v>708</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females</v>
      </c>
      <c r="E6390" s="250" t="str">
        <f>IF(AND(A6390&lt;&gt;"",ISNUMBER(A6390)),VLOOKUP(A6390,Studies!A:BR,5,FALSE),"")</f>
        <v>Triazolam</v>
      </c>
      <c r="F6390" s="251" t="str">
        <f>IF(AND(A6390&lt;&gt;"",ISNUMBER(A6390)),VLOOKUP(A6390,Studies!A:BR,6,FALSE),"")</f>
        <v>Plasma</v>
      </c>
      <c r="G6390" s="194">
        <v>4</v>
      </c>
      <c r="H6390" s="50" t="s">
        <v>60</v>
      </c>
      <c r="I6390" s="187">
        <v>1.226969</v>
      </c>
      <c r="J6390" s="41" t="s">
        <v>941</v>
      </c>
      <c r="K6390" s="41" t="s">
        <v>116</v>
      </c>
      <c r="M6390" s="195"/>
      <c r="N6390" s="195"/>
    </row>
    <row r="6391" spans="1:14" x14ac:dyDescent="0.2">
      <c r="A6391" s="30">
        <v>708</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females</v>
      </c>
      <c r="E6391" s="250" t="str">
        <f>IF(AND(A6391&lt;&gt;"",ISNUMBER(A6391)),VLOOKUP(A6391,Studies!A:BR,5,FALSE),"")</f>
        <v>Triazolam</v>
      </c>
      <c r="F6391" s="251" t="str">
        <f>IF(AND(A6391&lt;&gt;"",ISNUMBER(A6391)),VLOOKUP(A6391,Studies!A:BR,6,FALSE),"")</f>
        <v>Plasma</v>
      </c>
      <c r="G6391" s="194">
        <v>6</v>
      </c>
      <c r="H6391" s="50" t="s">
        <v>60</v>
      </c>
      <c r="I6391" s="187">
        <v>0.72532680000000005</v>
      </c>
      <c r="J6391" s="41" t="s">
        <v>941</v>
      </c>
      <c r="K6391" s="41" t="s">
        <v>116</v>
      </c>
      <c r="L6391" s="195">
        <v>0.14252200000000001</v>
      </c>
      <c r="M6391" s="195" t="s">
        <v>941</v>
      </c>
      <c r="N6391" s="195" t="s">
        <v>949</v>
      </c>
    </row>
    <row r="6392" spans="1:14" x14ac:dyDescent="0.2">
      <c r="A6392" s="30">
        <v>708</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females</v>
      </c>
      <c r="E6392" s="250" t="str">
        <f>IF(AND(A6392&lt;&gt;"",ISNUMBER(A6392)),VLOOKUP(A6392,Studies!A:BR,5,FALSE),"")</f>
        <v>Triazolam</v>
      </c>
      <c r="F6392" s="251" t="str">
        <f>IF(AND(A6392&lt;&gt;"",ISNUMBER(A6392)),VLOOKUP(A6392,Studies!A:BR,6,FALSE),"")</f>
        <v>Plasma</v>
      </c>
      <c r="G6392" s="194">
        <v>8</v>
      </c>
      <c r="H6392" s="50" t="s">
        <v>60</v>
      </c>
      <c r="I6392" s="187">
        <v>0.43420189999999997</v>
      </c>
      <c r="J6392" s="41" t="s">
        <v>941</v>
      </c>
      <c r="K6392" s="41" t="s">
        <v>116</v>
      </c>
      <c r="L6392" s="195">
        <v>0.120018</v>
      </c>
      <c r="M6392" s="195" t="s">
        <v>941</v>
      </c>
      <c r="N6392" s="195" t="s">
        <v>949</v>
      </c>
    </row>
    <row r="6393" spans="1:14" x14ac:dyDescent="0.2">
      <c r="A6393" s="30">
        <v>709</v>
      </c>
      <c r="B6393" s="249" t="str">
        <f>IF(AND(A6393&lt;&gt;"",ISNUMBER(A6393)),VLOOKUP(A6393,Studies!A:BR,2,FALSE),"")</f>
        <v>Hukkinen 1995</v>
      </c>
      <c r="C6393" s="250" t="str">
        <f>IF(AND(A6393&lt;&gt;"",ISNUMBER(A6393)),VLOOKUP(A6393,Studies!A:BR,3,FALSE),"")</f>
        <v>https://www.ncbi.nlm.nih.gov/pubmed/7648762</v>
      </c>
      <c r="D6393" s="250" t="str">
        <f>IF(AND(A6393&lt;&gt;"",ISNUMBER(A6393)),VLOOKUP(A6393,Studies!A:BR,4,FALSE),"")</f>
        <v>Triazolam with 250 mL water</v>
      </c>
      <c r="E6393" s="250" t="str">
        <f>IF(AND(A6393&lt;&gt;"",ISNUMBER(A6393)),VLOOKUP(A6393,Studies!A:BR,5,FALSE),"")</f>
        <v>Triazolam</v>
      </c>
      <c r="F6393" s="251" t="str">
        <f>IF(AND(A6393&lt;&gt;"",ISNUMBER(A6393)),VLOOKUP(A6393,Studies!A:BR,6,FALSE),"")</f>
        <v>Plasma</v>
      </c>
      <c r="G6393" s="194">
        <v>0.5</v>
      </c>
      <c r="H6393" s="50" t="s">
        <v>60</v>
      </c>
      <c r="I6393" s="187">
        <v>0.80779809999999996</v>
      </c>
      <c r="J6393" s="41" t="s">
        <v>941</v>
      </c>
      <c r="K6393" s="41" t="s">
        <v>116</v>
      </c>
      <c r="L6393" s="195">
        <v>0.360462</v>
      </c>
      <c r="M6393" s="195" t="s">
        <v>941</v>
      </c>
      <c r="N6393" s="195" t="s">
        <v>949</v>
      </c>
    </row>
    <row r="6394" spans="1:14" x14ac:dyDescent="0.2">
      <c r="A6394" s="30">
        <v>709</v>
      </c>
      <c r="B6394" s="249" t="str">
        <f>IF(AND(A6394&lt;&gt;"",ISNUMBER(A6394)),VLOOKUP(A6394,Studies!A:BR,2,FALSE),"")</f>
        <v>Hukkinen 1995</v>
      </c>
      <c r="C6394" s="250" t="str">
        <f>IF(AND(A6394&lt;&gt;"",ISNUMBER(A6394)),VLOOKUP(A6394,Studies!A:BR,3,FALSE),"")</f>
        <v>https://www.ncbi.nlm.nih.gov/pubmed/7648762</v>
      </c>
      <c r="D6394" s="250" t="str">
        <f>IF(AND(A6394&lt;&gt;"",ISNUMBER(A6394)),VLOOKUP(A6394,Studies!A:BR,4,FALSE),"")</f>
        <v>Triazolam with 250 mL water</v>
      </c>
      <c r="E6394" s="250" t="str">
        <f>IF(AND(A6394&lt;&gt;"",ISNUMBER(A6394)),VLOOKUP(A6394,Studies!A:BR,5,FALSE),"")</f>
        <v>Triazolam</v>
      </c>
      <c r="F6394" s="251" t="str">
        <f>IF(AND(A6394&lt;&gt;"",ISNUMBER(A6394)),VLOOKUP(A6394,Studies!A:BR,6,FALSE),"")</f>
        <v>Plasma</v>
      </c>
      <c r="G6394" s="194">
        <v>1</v>
      </c>
      <c r="H6394" s="50" t="s">
        <v>60</v>
      </c>
      <c r="I6394" s="187">
        <v>1.185535</v>
      </c>
      <c r="J6394" s="41" t="s">
        <v>941</v>
      </c>
      <c r="K6394" s="41" t="s">
        <v>116</v>
      </c>
      <c r="L6394" s="195">
        <v>0.401175</v>
      </c>
      <c r="M6394" s="195" t="s">
        <v>941</v>
      </c>
      <c r="N6394" s="195" t="s">
        <v>949</v>
      </c>
    </row>
    <row r="6395" spans="1:14" x14ac:dyDescent="0.2">
      <c r="A6395" s="30">
        <v>709</v>
      </c>
      <c r="B6395" s="249" t="str">
        <f>IF(AND(A6395&lt;&gt;"",ISNUMBER(A6395)),VLOOKUP(A6395,Studies!A:BR,2,FALSE),"")</f>
        <v>Hukkinen 1995</v>
      </c>
      <c r="C6395" s="250" t="str">
        <f>IF(AND(A6395&lt;&gt;"",ISNUMBER(A6395)),VLOOKUP(A6395,Studies!A:BR,3,FALSE),"")</f>
        <v>https://www.ncbi.nlm.nih.gov/pubmed/7648762</v>
      </c>
      <c r="D6395" s="250" t="str">
        <f>IF(AND(A6395&lt;&gt;"",ISNUMBER(A6395)),VLOOKUP(A6395,Studies!A:BR,4,FALSE),"")</f>
        <v>Triazolam with 250 mL water</v>
      </c>
      <c r="E6395" s="250" t="str">
        <f>IF(AND(A6395&lt;&gt;"",ISNUMBER(A6395)),VLOOKUP(A6395,Studies!A:BR,5,FALSE),"")</f>
        <v>Triazolam</v>
      </c>
      <c r="F6395" s="251" t="str">
        <f>IF(AND(A6395&lt;&gt;"",ISNUMBER(A6395)),VLOOKUP(A6395,Studies!A:BR,6,FALSE),"")</f>
        <v>Plasma</v>
      </c>
      <c r="G6395" s="194">
        <v>1.5</v>
      </c>
      <c r="H6395" s="50" t="s">
        <v>60</v>
      </c>
      <c r="I6395" s="187">
        <v>1.3016449999999999</v>
      </c>
      <c r="J6395" s="41" t="s">
        <v>941</v>
      </c>
      <c r="K6395" s="41" t="s">
        <v>116</v>
      </c>
      <c r="L6395" s="195">
        <v>0.26744699999999999</v>
      </c>
      <c r="M6395" s="195" t="s">
        <v>941</v>
      </c>
      <c r="N6395" s="195" t="s">
        <v>949</v>
      </c>
    </row>
    <row r="6396" spans="1:14" x14ac:dyDescent="0.2">
      <c r="A6396" s="30">
        <v>709</v>
      </c>
      <c r="B6396" s="249" t="str">
        <f>IF(AND(A6396&lt;&gt;"",ISNUMBER(A6396)),VLOOKUP(A6396,Studies!A:BR,2,FALSE),"")</f>
        <v>Hukkinen 1995</v>
      </c>
      <c r="C6396" s="250" t="str">
        <f>IF(AND(A6396&lt;&gt;"",ISNUMBER(A6396)),VLOOKUP(A6396,Studies!A:BR,3,FALSE),"")</f>
        <v>https://www.ncbi.nlm.nih.gov/pubmed/7648762</v>
      </c>
      <c r="D6396" s="250" t="str">
        <f>IF(AND(A6396&lt;&gt;"",ISNUMBER(A6396)),VLOOKUP(A6396,Studies!A:BR,4,FALSE),"")</f>
        <v>Triazolam with 250 mL water</v>
      </c>
      <c r="E6396" s="250" t="str">
        <f>IF(AND(A6396&lt;&gt;"",ISNUMBER(A6396)),VLOOKUP(A6396,Studies!A:BR,5,FALSE),"")</f>
        <v>Triazolam</v>
      </c>
      <c r="F6396" s="251" t="str">
        <f>IF(AND(A6396&lt;&gt;"",ISNUMBER(A6396)),VLOOKUP(A6396,Studies!A:BR,6,FALSE),"")</f>
        <v>Plasma</v>
      </c>
      <c r="G6396" s="194">
        <v>2</v>
      </c>
      <c r="H6396" s="50" t="s">
        <v>60</v>
      </c>
      <c r="I6396" s="187">
        <v>1.3189040000000001</v>
      </c>
      <c r="J6396" s="41" t="s">
        <v>941</v>
      </c>
      <c r="K6396" s="41" t="s">
        <v>116</v>
      </c>
      <c r="L6396" s="195">
        <v>0.215115</v>
      </c>
      <c r="M6396" s="195" t="s">
        <v>941</v>
      </c>
      <c r="N6396" s="195" t="s">
        <v>949</v>
      </c>
    </row>
    <row r="6397" spans="1:14" x14ac:dyDescent="0.2">
      <c r="A6397" s="30">
        <v>709</v>
      </c>
      <c r="B6397" s="249" t="str">
        <f>IF(AND(A6397&lt;&gt;"",ISNUMBER(A6397)),VLOOKUP(A6397,Studies!A:BR,2,FALSE),"")</f>
        <v>Hukkinen 1995</v>
      </c>
      <c r="C6397" s="250" t="str">
        <f>IF(AND(A6397&lt;&gt;"",ISNUMBER(A6397)),VLOOKUP(A6397,Studies!A:BR,3,FALSE),"")</f>
        <v>https://www.ncbi.nlm.nih.gov/pubmed/7648762</v>
      </c>
      <c r="D6397" s="250" t="str">
        <f>IF(AND(A6397&lt;&gt;"",ISNUMBER(A6397)),VLOOKUP(A6397,Studies!A:BR,4,FALSE),"")</f>
        <v>Triazolam with 250 mL water</v>
      </c>
      <c r="E6397" s="250" t="str">
        <f>IF(AND(A6397&lt;&gt;"",ISNUMBER(A6397)),VLOOKUP(A6397,Studies!A:BR,5,FALSE),"")</f>
        <v>Triazolam</v>
      </c>
      <c r="F6397" s="251" t="str">
        <f>IF(AND(A6397&lt;&gt;"",ISNUMBER(A6397)),VLOOKUP(A6397,Studies!A:BR,6,FALSE),"")</f>
        <v>Plasma</v>
      </c>
      <c r="G6397" s="194">
        <v>2.5</v>
      </c>
      <c r="H6397" s="50" t="s">
        <v>60</v>
      </c>
      <c r="I6397" s="187">
        <v>1.248969</v>
      </c>
      <c r="J6397" s="41" t="s">
        <v>941</v>
      </c>
      <c r="K6397" s="41" t="s">
        <v>116</v>
      </c>
      <c r="L6397" s="195">
        <v>0.197657</v>
      </c>
      <c r="M6397" s="195" t="s">
        <v>941</v>
      </c>
      <c r="N6397" s="195" t="s">
        <v>949</v>
      </c>
    </row>
    <row r="6398" spans="1:14" x14ac:dyDescent="0.2">
      <c r="A6398" s="30">
        <v>709</v>
      </c>
      <c r="B6398" s="249" t="str">
        <f>IF(AND(A6398&lt;&gt;"",ISNUMBER(A6398)),VLOOKUP(A6398,Studies!A:BR,2,FALSE),"")</f>
        <v>Hukkinen 1995</v>
      </c>
      <c r="C6398" s="250" t="str">
        <f>IF(AND(A6398&lt;&gt;"",ISNUMBER(A6398)),VLOOKUP(A6398,Studies!A:BR,3,FALSE),"")</f>
        <v>https://www.ncbi.nlm.nih.gov/pubmed/7648762</v>
      </c>
      <c r="D6398" s="250" t="str">
        <f>IF(AND(A6398&lt;&gt;"",ISNUMBER(A6398)),VLOOKUP(A6398,Studies!A:BR,4,FALSE),"")</f>
        <v>Triazolam with 250 mL water</v>
      </c>
      <c r="E6398" s="250" t="str">
        <f>IF(AND(A6398&lt;&gt;"",ISNUMBER(A6398)),VLOOKUP(A6398,Studies!A:BR,5,FALSE),"")</f>
        <v>Triazolam</v>
      </c>
      <c r="F6398" s="251" t="str">
        <f>IF(AND(A6398&lt;&gt;"",ISNUMBER(A6398)),VLOOKUP(A6398,Studies!A:BR,6,FALSE),"")</f>
        <v>Plasma</v>
      </c>
      <c r="G6398" s="194">
        <v>3</v>
      </c>
      <c r="H6398" s="50" t="s">
        <v>60</v>
      </c>
      <c r="I6398" s="187">
        <v>1.1441509999999999</v>
      </c>
      <c r="J6398" s="41" t="s">
        <v>941</v>
      </c>
      <c r="K6398" s="41" t="s">
        <v>116</v>
      </c>
      <c r="L6398" s="195">
        <v>0.180231</v>
      </c>
      <c r="M6398" s="195" t="s">
        <v>941</v>
      </c>
      <c r="N6398" s="195" t="s">
        <v>949</v>
      </c>
    </row>
    <row r="6399" spans="1:14" x14ac:dyDescent="0.2">
      <c r="A6399" s="30">
        <v>709</v>
      </c>
      <c r="B6399" s="249" t="str">
        <f>IF(AND(A6399&lt;&gt;"",ISNUMBER(A6399)),VLOOKUP(A6399,Studies!A:BR,2,FALSE),"")</f>
        <v>Hukkinen 1995</v>
      </c>
      <c r="C6399" s="250" t="str">
        <f>IF(AND(A6399&lt;&gt;"",ISNUMBER(A6399)),VLOOKUP(A6399,Studies!A:BR,3,FALSE),"")</f>
        <v>https://www.ncbi.nlm.nih.gov/pubmed/7648762</v>
      </c>
      <c r="D6399" s="250" t="str">
        <f>IF(AND(A6399&lt;&gt;"",ISNUMBER(A6399)),VLOOKUP(A6399,Studies!A:BR,4,FALSE),"")</f>
        <v>Triazolam with 250 mL water</v>
      </c>
      <c r="E6399" s="250" t="str">
        <f>IF(AND(A6399&lt;&gt;"",ISNUMBER(A6399)),VLOOKUP(A6399,Studies!A:BR,5,FALSE),"")</f>
        <v>Triazolam</v>
      </c>
      <c r="F6399" s="251" t="str">
        <f>IF(AND(A6399&lt;&gt;"",ISNUMBER(A6399)),VLOOKUP(A6399,Studies!A:BR,6,FALSE),"")</f>
        <v>Plasma</v>
      </c>
      <c r="G6399" s="194">
        <v>4</v>
      </c>
      <c r="H6399" s="50" t="s">
        <v>60</v>
      </c>
      <c r="I6399" s="187">
        <v>0.91125979999999995</v>
      </c>
      <c r="J6399" s="41" t="s">
        <v>941</v>
      </c>
      <c r="K6399" s="41" t="s">
        <v>116</v>
      </c>
      <c r="L6399" s="195">
        <v>0.12792100000000001</v>
      </c>
      <c r="M6399" s="195" t="s">
        <v>941</v>
      </c>
      <c r="N6399" s="195" t="s">
        <v>949</v>
      </c>
    </row>
    <row r="6400" spans="1:14" x14ac:dyDescent="0.2">
      <c r="A6400" s="30">
        <v>709</v>
      </c>
      <c r="B6400" s="249" t="str">
        <f>IF(AND(A6400&lt;&gt;"",ISNUMBER(A6400)),VLOOKUP(A6400,Studies!A:BR,2,FALSE),"")</f>
        <v>Hukkinen 1995</v>
      </c>
      <c r="C6400" s="250" t="str">
        <f>IF(AND(A6400&lt;&gt;"",ISNUMBER(A6400)),VLOOKUP(A6400,Studies!A:BR,3,FALSE),"")</f>
        <v>https://www.ncbi.nlm.nih.gov/pubmed/7648762</v>
      </c>
      <c r="D6400" s="250" t="str">
        <f>IF(AND(A6400&lt;&gt;"",ISNUMBER(A6400)),VLOOKUP(A6400,Studies!A:BR,4,FALSE),"")</f>
        <v>Triazolam with 250 mL water</v>
      </c>
      <c r="E6400" s="250" t="str">
        <f>IF(AND(A6400&lt;&gt;"",ISNUMBER(A6400)),VLOOKUP(A6400,Studies!A:BR,5,FALSE),"")</f>
        <v>Triazolam</v>
      </c>
      <c r="F6400" s="251" t="str">
        <f>IF(AND(A6400&lt;&gt;"",ISNUMBER(A6400)),VLOOKUP(A6400,Studies!A:BR,6,FALSE),"")</f>
        <v>Plasma</v>
      </c>
      <c r="G6400" s="194">
        <v>5</v>
      </c>
      <c r="H6400" s="50" t="s">
        <v>60</v>
      </c>
      <c r="I6400" s="187">
        <v>0.73649200000000004</v>
      </c>
      <c r="J6400" s="41" t="s">
        <v>941</v>
      </c>
      <c r="K6400" s="41" t="s">
        <v>116</v>
      </c>
      <c r="L6400" s="195">
        <v>0.122084</v>
      </c>
      <c r="M6400" s="195" t="s">
        <v>941</v>
      </c>
      <c r="N6400" s="195" t="s">
        <v>949</v>
      </c>
    </row>
    <row r="6401" spans="1:16" x14ac:dyDescent="0.2">
      <c r="A6401" s="30">
        <v>709</v>
      </c>
      <c r="B6401" s="249" t="str">
        <f>IF(AND(A6401&lt;&gt;"",ISNUMBER(A6401)),VLOOKUP(A6401,Studies!A:BR,2,FALSE),"")</f>
        <v>Hukkinen 1995</v>
      </c>
      <c r="C6401" s="250" t="str">
        <f>IF(AND(A6401&lt;&gt;"",ISNUMBER(A6401)),VLOOKUP(A6401,Studies!A:BR,3,FALSE),"")</f>
        <v>https://www.ncbi.nlm.nih.gov/pubmed/7648762</v>
      </c>
      <c r="D6401" s="250" t="str">
        <f>IF(AND(A6401&lt;&gt;"",ISNUMBER(A6401)),VLOOKUP(A6401,Studies!A:BR,4,FALSE),"")</f>
        <v>Triazolam with 250 mL water</v>
      </c>
      <c r="E6401" s="250" t="str">
        <f>IF(AND(A6401&lt;&gt;"",ISNUMBER(A6401)),VLOOKUP(A6401,Studies!A:BR,5,FALSE),"")</f>
        <v>Triazolam</v>
      </c>
      <c r="F6401" s="251" t="str">
        <f>IF(AND(A6401&lt;&gt;"",ISNUMBER(A6401)),VLOOKUP(A6401,Studies!A:BR,6,FALSE),"")</f>
        <v>Plasma</v>
      </c>
      <c r="G6401" s="194">
        <v>6</v>
      </c>
      <c r="H6401" s="50" t="s">
        <v>60</v>
      </c>
      <c r="I6401" s="187">
        <v>0.61406459999999996</v>
      </c>
      <c r="J6401" s="41" t="s">
        <v>941</v>
      </c>
      <c r="K6401" s="41" t="s">
        <v>116</v>
      </c>
      <c r="L6401" s="195">
        <v>0.10465000000000001</v>
      </c>
      <c r="M6401" s="195" t="s">
        <v>941</v>
      </c>
      <c r="N6401" s="195" t="s">
        <v>949</v>
      </c>
    </row>
    <row r="6402" spans="1:16" x14ac:dyDescent="0.2">
      <c r="A6402" s="30">
        <v>709</v>
      </c>
      <c r="B6402" s="249" t="str">
        <f>IF(AND(A6402&lt;&gt;"",ISNUMBER(A6402)),VLOOKUP(A6402,Studies!A:BR,2,FALSE),"")</f>
        <v>Hukkinen 1995</v>
      </c>
      <c r="C6402" s="250" t="str">
        <f>IF(AND(A6402&lt;&gt;"",ISNUMBER(A6402)),VLOOKUP(A6402,Studies!A:BR,3,FALSE),"")</f>
        <v>https://www.ncbi.nlm.nih.gov/pubmed/7648762</v>
      </c>
      <c r="D6402" s="250" t="str">
        <f>IF(AND(A6402&lt;&gt;"",ISNUMBER(A6402)),VLOOKUP(A6402,Studies!A:BR,4,FALSE),"")</f>
        <v>Triazolam with 250 mL water</v>
      </c>
      <c r="E6402" s="250" t="str">
        <f>IF(AND(A6402&lt;&gt;"",ISNUMBER(A6402)),VLOOKUP(A6402,Studies!A:BR,5,FALSE),"")</f>
        <v>Triazolam</v>
      </c>
      <c r="F6402" s="251" t="str">
        <f>IF(AND(A6402&lt;&gt;"",ISNUMBER(A6402)),VLOOKUP(A6402,Studies!A:BR,6,FALSE),"")</f>
        <v>Plasma</v>
      </c>
      <c r="G6402" s="194">
        <v>7</v>
      </c>
      <c r="H6402" s="50" t="s">
        <v>60</v>
      </c>
      <c r="I6402" s="187">
        <v>0.47419549999999999</v>
      </c>
      <c r="J6402" s="41" t="s">
        <v>941</v>
      </c>
      <c r="K6402" s="41" t="s">
        <v>116</v>
      </c>
      <c r="L6402" s="195">
        <v>0.11627800000000001</v>
      </c>
      <c r="M6402" s="195" t="s">
        <v>941</v>
      </c>
      <c r="N6402" s="195" t="s">
        <v>949</v>
      </c>
    </row>
    <row r="6403" spans="1:16" x14ac:dyDescent="0.2">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17</v>
      </c>
      <c r="H6403" s="50" t="s">
        <v>60</v>
      </c>
      <c r="I6403" s="187">
        <v>2.3095620000000001E-2</v>
      </c>
      <c r="J6403" s="41" t="s">
        <v>941</v>
      </c>
      <c r="K6403" s="41" t="s">
        <v>116</v>
      </c>
      <c r="M6403" s="195"/>
      <c r="N6403" s="195"/>
    </row>
    <row r="6404" spans="1:16" x14ac:dyDescent="0.2">
      <c r="A6404" s="30">
        <v>710</v>
      </c>
      <c r="B6404" s="249" t="str">
        <f>IF(AND(A6404&lt;&gt;"",ISNUMBER(A6404)),VLOOKUP(A6404,Studies!A:BR,2,FALSE),"")</f>
        <v>Kroboth 1995</v>
      </c>
      <c r="C6404" s="250" t="str">
        <f>IF(AND(A6404&lt;&gt;"",ISNUMBER(A6404)),VLOOKUP(A6404,Studies!A:BR,3,FALSE),"")</f>
        <v>https://www.ncbi.nlm.nih.gov/pubmed/7593708</v>
      </c>
      <c r="D6404" s="250" t="str">
        <f>IF(AND(A6404&lt;&gt;"",ISNUMBER(A6404)),VLOOKUP(A6404,Studies!A:BR,4,FALSE),"")</f>
        <v>IV administration</v>
      </c>
      <c r="E6404" s="250" t="str">
        <f>IF(AND(A6404&lt;&gt;"",ISNUMBER(A6404)),VLOOKUP(A6404,Studies!A:BR,5,FALSE),"")</f>
        <v>Triazolam</v>
      </c>
      <c r="F6404" s="251" t="str">
        <f>IF(AND(A6404&lt;&gt;"",ISNUMBER(A6404)),VLOOKUP(A6404,Studies!A:BR,6,FALSE),"")</f>
        <v>Plasma</v>
      </c>
      <c r="G6404" s="194">
        <v>1.6670000000000001E-2</v>
      </c>
      <c r="H6404" s="50" t="s">
        <v>60</v>
      </c>
      <c r="I6404" s="187">
        <v>14.833299999999999</v>
      </c>
      <c r="J6404" s="41" t="s">
        <v>941</v>
      </c>
      <c r="K6404" s="41" t="s">
        <v>116</v>
      </c>
      <c r="M6404" s="195"/>
      <c r="N6404" s="195"/>
    </row>
    <row r="6405" spans="1:16" x14ac:dyDescent="0.2">
      <c r="A6405" s="30">
        <v>710</v>
      </c>
      <c r="B6405" s="249" t="str">
        <f>IF(AND(A6405&lt;&gt;"",ISNUMBER(A6405)),VLOOKUP(A6405,Studies!A:BR,2,FALSE),"")</f>
        <v>Kroboth 1995</v>
      </c>
      <c r="C6405" s="250" t="str">
        <f>IF(AND(A6405&lt;&gt;"",ISNUMBER(A6405)),VLOOKUP(A6405,Studies!A:BR,3,FALSE),"")</f>
        <v>https://www.ncbi.nlm.nih.gov/pubmed/7593708</v>
      </c>
      <c r="D6405" s="250" t="str">
        <f>IF(AND(A6405&lt;&gt;"",ISNUMBER(A6405)),VLOOKUP(A6405,Studies!A:BR,4,FALSE),"")</f>
        <v>IV administration</v>
      </c>
      <c r="E6405" s="250" t="str">
        <f>IF(AND(A6405&lt;&gt;"",ISNUMBER(A6405)),VLOOKUP(A6405,Studies!A:BR,5,FALSE),"")</f>
        <v>Triazolam</v>
      </c>
      <c r="F6405" s="251" t="str">
        <f>IF(AND(A6405&lt;&gt;"",ISNUMBER(A6405)),VLOOKUP(A6405,Studies!A:BR,6,FALSE),"")</f>
        <v>Plasma</v>
      </c>
      <c r="G6405" s="194">
        <v>4.1669999999999999E-2</v>
      </c>
      <c r="H6405" s="50" t="s">
        <v>60</v>
      </c>
      <c r="I6405" s="187">
        <v>11.916700000000001</v>
      </c>
      <c r="J6405" s="41" t="s">
        <v>941</v>
      </c>
      <c r="K6405" s="41" t="s">
        <v>116</v>
      </c>
      <c r="M6405" s="195"/>
      <c r="N6405" s="195"/>
    </row>
    <row r="6406" spans="1:16" x14ac:dyDescent="0.2">
      <c r="A6406" s="30">
        <v>710</v>
      </c>
      <c r="B6406" s="249" t="str">
        <f>IF(AND(A6406&lt;&gt;"",ISNUMBER(A6406)),VLOOKUP(A6406,Studies!A:BR,2,FALSE),"")</f>
        <v>Kroboth 1995</v>
      </c>
      <c r="C6406" s="250" t="str">
        <f>IF(AND(A6406&lt;&gt;"",ISNUMBER(A6406)),VLOOKUP(A6406,Studies!A:BR,3,FALSE),"")</f>
        <v>https://www.ncbi.nlm.nih.gov/pubmed/7593708</v>
      </c>
      <c r="D6406" s="250" t="str">
        <f>IF(AND(A6406&lt;&gt;"",ISNUMBER(A6406)),VLOOKUP(A6406,Studies!A:BR,4,FALSE),"")</f>
        <v>IV administration</v>
      </c>
      <c r="E6406" s="250" t="str">
        <f>IF(AND(A6406&lt;&gt;"",ISNUMBER(A6406)),VLOOKUP(A6406,Studies!A:BR,5,FALSE),"")</f>
        <v>Triazolam</v>
      </c>
      <c r="F6406" s="251" t="str">
        <f>IF(AND(A6406&lt;&gt;"",ISNUMBER(A6406)),VLOOKUP(A6406,Studies!A:BR,6,FALSE),"")</f>
        <v>Plasma</v>
      </c>
      <c r="G6406" s="194">
        <v>0.1</v>
      </c>
      <c r="H6406" s="50" t="s">
        <v>60</v>
      </c>
      <c r="I6406" s="187">
        <v>6.3604000000000003</v>
      </c>
      <c r="J6406" s="41" t="s">
        <v>941</v>
      </c>
      <c r="K6406" s="41" t="s">
        <v>116</v>
      </c>
      <c r="M6406" s="195"/>
      <c r="N6406" s="195"/>
    </row>
    <row r="6407" spans="1:16" x14ac:dyDescent="0.2">
      <c r="A6407" s="30">
        <v>710</v>
      </c>
      <c r="B6407" s="249" t="str">
        <f>IF(AND(A6407&lt;&gt;"",ISNUMBER(A6407)),VLOOKUP(A6407,Studies!A:BR,2,FALSE),"")</f>
        <v>Kroboth 1995</v>
      </c>
      <c r="C6407" s="250" t="str">
        <f>IF(AND(A6407&lt;&gt;"",ISNUMBER(A6407)),VLOOKUP(A6407,Studies!A:BR,3,FALSE),"")</f>
        <v>https://www.ncbi.nlm.nih.gov/pubmed/7593708</v>
      </c>
      <c r="D6407" s="250" t="str">
        <f>IF(AND(A6407&lt;&gt;"",ISNUMBER(A6407)),VLOOKUP(A6407,Studies!A:BR,4,FALSE),"")</f>
        <v>IV administration</v>
      </c>
      <c r="E6407" s="250" t="str">
        <f>IF(AND(A6407&lt;&gt;"",ISNUMBER(A6407)),VLOOKUP(A6407,Studies!A:BR,5,FALSE),"")</f>
        <v>Triazolam</v>
      </c>
      <c r="F6407" s="251" t="str">
        <f>IF(AND(A6407&lt;&gt;"",ISNUMBER(A6407)),VLOOKUP(A6407,Studies!A:BR,6,FALSE),"")</f>
        <v>Plasma</v>
      </c>
      <c r="G6407" s="194">
        <v>0.25</v>
      </c>
      <c r="H6407" s="50" t="s">
        <v>60</v>
      </c>
      <c r="I6407" s="187">
        <v>4.9356</v>
      </c>
      <c r="J6407" s="41" t="s">
        <v>941</v>
      </c>
      <c r="K6407" s="41" t="s">
        <v>116</v>
      </c>
      <c r="M6407" s="195"/>
      <c r="N6407" s="195"/>
    </row>
    <row r="6408" spans="1:16" s="183" customFormat="1" x14ac:dyDescent="0.2">
      <c r="A6408" s="183">
        <v>710</v>
      </c>
      <c r="B6408" s="249" t="str">
        <f>IF(AND(A6408&lt;&gt;"",ISNUMBER(A6408)),VLOOKUP(A6408,Studies!A:BR,2,FALSE),"")</f>
        <v>Kroboth 1995</v>
      </c>
      <c r="C6408" s="250" t="str">
        <f>IF(AND(A6408&lt;&gt;"",ISNUMBER(A6408)),VLOOKUP(A6408,Studies!A:BR,3,FALSE),"")</f>
        <v>https://www.ncbi.nlm.nih.gov/pubmed/7593708</v>
      </c>
      <c r="D6408" s="250" t="str">
        <f>IF(AND(A6408&lt;&gt;"",ISNUMBER(A6408)),VLOOKUP(A6408,Studies!A:BR,4,FALSE),"")</f>
        <v>IV administration</v>
      </c>
      <c r="E6408" s="250" t="str">
        <f>IF(AND(A6408&lt;&gt;"",ISNUMBER(A6408)),VLOOKUP(A6408,Studies!A:BR,5,FALSE),"")</f>
        <v>Triazolam</v>
      </c>
      <c r="F6408" s="251" t="str">
        <f>IF(AND(A6408&lt;&gt;"",ISNUMBER(A6408)),VLOOKUP(A6408,Studies!A:BR,6,FALSE),"")</f>
        <v>Plasma</v>
      </c>
      <c r="G6408" s="194">
        <v>0.5</v>
      </c>
      <c r="H6408" s="194" t="s">
        <v>60</v>
      </c>
      <c r="I6408" s="187">
        <v>4.1523000000000003</v>
      </c>
      <c r="J6408" s="187" t="s">
        <v>941</v>
      </c>
      <c r="K6408" s="187" t="s">
        <v>116</v>
      </c>
      <c r="L6408" s="195"/>
      <c r="M6408" s="195"/>
      <c r="N6408" s="195"/>
      <c r="O6408" s="199"/>
      <c r="P6408" s="188"/>
    </row>
    <row r="6409" spans="1:16" x14ac:dyDescent="0.2">
      <c r="A6409" s="30">
        <v>710</v>
      </c>
      <c r="B6409" s="249" t="str">
        <f>IF(AND(A6409&lt;&gt;"",ISNUMBER(A6409)),VLOOKUP(A6409,Studies!A:BR,2,FALSE),"")</f>
        <v>Kroboth 1995</v>
      </c>
      <c r="C6409" s="250" t="str">
        <f>IF(AND(A6409&lt;&gt;"",ISNUMBER(A6409)),VLOOKUP(A6409,Studies!A:BR,3,FALSE),"")</f>
        <v>https://www.ncbi.nlm.nih.gov/pubmed/7593708</v>
      </c>
      <c r="D6409" s="250" t="str">
        <f>IF(AND(A6409&lt;&gt;"",ISNUMBER(A6409)),VLOOKUP(A6409,Studies!A:BR,4,FALSE),"")</f>
        <v>IV administration</v>
      </c>
      <c r="E6409" s="250" t="str">
        <f>IF(AND(A6409&lt;&gt;"",ISNUMBER(A6409)),VLOOKUP(A6409,Studies!A:BR,5,FALSE),"")</f>
        <v>Triazolam</v>
      </c>
      <c r="F6409" s="251" t="str">
        <f>IF(AND(A6409&lt;&gt;"",ISNUMBER(A6409)),VLOOKUP(A6409,Studies!A:BR,6,FALSE),"")</f>
        <v>Plasma</v>
      </c>
      <c r="G6409" s="194">
        <v>0.75</v>
      </c>
      <c r="H6409" s="50" t="s">
        <v>60</v>
      </c>
      <c r="I6409" s="187">
        <v>3.7964000000000002</v>
      </c>
      <c r="J6409" s="41" t="s">
        <v>941</v>
      </c>
      <c r="K6409" s="41" t="s">
        <v>116</v>
      </c>
      <c r="M6409" s="195"/>
      <c r="N6409" s="195"/>
    </row>
    <row r="6410" spans="1:16" x14ac:dyDescent="0.2">
      <c r="A6410" s="30">
        <v>710</v>
      </c>
      <c r="B6410" s="249" t="str">
        <f>IF(AND(A6410&lt;&gt;"",ISNUMBER(A6410)),VLOOKUP(A6410,Studies!A:BR,2,FALSE),"")</f>
        <v>Kroboth 1995</v>
      </c>
      <c r="C6410" s="250" t="str">
        <f>IF(AND(A6410&lt;&gt;"",ISNUMBER(A6410)),VLOOKUP(A6410,Studies!A:BR,3,FALSE),"")</f>
        <v>https://www.ncbi.nlm.nih.gov/pubmed/7593708</v>
      </c>
      <c r="D6410" s="250" t="str">
        <f>IF(AND(A6410&lt;&gt;"",ISNUMBER(A6410)),VLOOKUP(A6410,Studies!A:BR,4,FALSE),"")</f>
        <v>IV administration</v>
      </c>
      <c r="E6410" s="250" t="str">
        <f>IF(AND(A6410&lt;&gt;"",ISNUMBER(A6410)),VLOOKUP(A6410,Studies!A:BR,5,FALSE),"")</f>
        <v>Triazolam</v>
      </c>
      <c r="F6410" s="251" t="str">
        <f>IF(AND(A6410&lt;&gt;"",ISNUMBER(A6410)),VLOOKUP(A6410,Studies!A:BR,6,FALSE),"")</f>
        <v>Plasma</v>
      </c>
      <c r="G6410" s="194">
        <v>1</v>
      </c>
      <c r="H6410" s="50" t="s">
        <v>60</v>
      </c>
      <c r="I6410" s="187">
        <v>3.5118</v>
      </c>
      <c r="J6410" s="41" t="s">
        <v>941</v>
      </c>
      <c r="K6410" s="41" t="s">
        <v>116</v>
      </c>
      <c r="M6410" s="195"/>
      <c r="N6410" s="195"/>
    </row>
    <row r="6411" spans="1:16" x14ac:dyDescent="0.2">
      <c r="A6411" s="30">
        <v>710</v>
      </c>
      <c r="B6411" s="249" t="str">
        <f>IF(AND(A6411&lt;&gt;"",ISNUMBER(A6411)),VLOOKUP(A6411,Studies!A:BR,2,FALSE),"")</f>
        <v>Kroboth 1995</v>
      </c>
      <c r="C6411" s="250" t="str">
        <f>IF(AND(A6411&lt;&gt;"",ISNUMBER(A6411)),VLOOKUP(A6411,Studies!A:BR,3,FALSE),"")</f>
        <v>https://www.ncbi.nlm.nih.gov/pubmed/7593708</v>
      </c>
      <c r="D6411" s="250" t="str">
        <f>IF(AND(A6411&lt;&gt;"",ISNUMBER(A6411)),VLOOKUP(A6411,Studies!A:BR,4,FALSE),"")</f>
        <v>IV administration</v>
      </c>
      <c r="E6411" s="250" t="str">
        <f>IF(AND(A6411&lt;&gt;"",ISNUMBER(A6411)),VLOOKUP(A6411,Studies!A:BR,5,FALSE),"")</f>
        <v>Triazolam</v>
      </c>
      <c r="F6411" s="251" t="str">
        <f>IF(AND(A6411&lt;&gt;"",ISNUMBER(A6411)),VLOOKUP(A6411,Studies!A:BR,6,FALSE),"")</f>
        <v>Plasma</v>
      </c>
      <c r="G6411" s="194">
        <v>1.5</v>
      </c>
      <c r="H6411" s="50" t="s">
        <v>60</v>
      </c>
      <c r="I6411" s="187">
        <v>3.4056999999999999</v>
      </c>
      <c r="J6411" s="41" t="s">
        <v>941</v>
      </c>
      <c r="K6411" s="41" t="s">
        <v>116</v>
      </c>
      <c r="M6411" s="195"/>
      <c r="N6411" s="195"/>
    </row>
    <row r="6412" spans="1:16" x14ac:dyDescent="0.2">
      <c r="A6412" s="30">
        <v>710</v>
      </c>
      <c r="B6412" s="249" t="str">
        <f>IF(AND(A6412&lt;&gt;"",ISNUMBER(A6412)),VLOOKUP(A6412,Studies!A:BR,2,FALSE),"")</f>
        <v>Kroboth 1995</v>
      </c>
      <c r="C6412" s="250" t="str">
        <f>IF(AND(A6412&lt;&gt;"",ISNUMBER(A6412)),VLOOKUP(A6412,Studies!A:BR,3,FALSE),"")</f>
        <v>https://www.ncbi.nlm.nih.gov/pubmed/7593708</v>
      </c>
      <c r="D6412" s="250" t="str">
        <f>IF(AND(A6412&lt;&gt;"",ISNUMBER(A6412)),VLOOKUP(A6412,Studies!A:BR,4,FALSE),"")</f>
        <v>IV administration</v>
      </c>
      <c r="E6412" s="250" t="str">
        <f>IF(AND(A6412&lt;&gt;"",ISNUMBER(A6412)),VLOOKUP(A6412,Studies!A:BR,5,FALSE),"")</f>
        <v>Triazolam</v>
      </c>
      <c r="F6412" s="251" t="str">
        <f>IF(AND(A6412&lt;&gt;"",ISNUMBER(A6412)),VLOOKUP(A6412,Studies!A:BR,6,FALSE),"")</f>
        <v>Plasma</v>
      </c>
      <c r="G6412" s="194">
        <v>2</v>
      </c>
      <c r="H6412" s="50" t="s">
        <v>60</v>
      </c>
      <c r="I6412" s="187">
        <v>3.0680000000000001</v>
      </c>
      <c r="J6412" s="41" t="s">
        <v>941</v>
      </c>
      <c r="K6412" s="41" t="s">
        <v>116</v>
      </c>
      <c r="M6412" s="195"/>
      <c r="N6412" s="195"/>
    </row>
    <row r="6413" spans="1:16" x14ac:dyDescent="0.2">
      <c r="A6413" s="30">
        <v>710</v>
      </c>
      <c r="B6413" s="249" t="str">
        <f>IF(AND(A6413&lt;&gt;"",ISNUMBER(A6413)),VLOOKUP(A6413,Studies!A:BR,2,FALSE),"")</f>
        <v>Kroboth 1995</v>
      </c>
      <c r="C6413" s="250" t="str">
        <f>IF(AND(A6413&lt;&gt;"",ISNUMBER(A6413)),VLOOKUP(A6413,Studies!A:BR,3,FALSE),"")</f>
        <v>https://www.ncbi.nlm.nih.gov/pubmed/7593708</v>
      </c>
      <c r="D6413" s="250" t="str">
        <f>IF(AND(A6413&lt;&gt;"",ISNUMBER(A6413)),VLOOKUP(A6413,Studies!A:BR,4,FALSE),"")</f>
        <v>IV administration</v>
      </c>
      <c r="E6413" s="250" t="str">
        <f>IF(AND(A6413&lt;&gt;"",ISNUMBER(A6413)),VLOOKUP(A6413,Studies!A:BR,5,FALSE),"")</f>
        <v>Triazolam</v>
      </c>
      <c r="F6413" s="251" t="str">
        <f>IF(AND(A6413&lt;&gt;"",ISNUMBER(A6413)),VLOOKUP(A6413,Studies!A:BR,6,FALSE),"")</f>
        <v>Plasma</v>
      </c>
      <c r="G6413" s="194">
        <v>3</v>
      </c>
      <c r="H6413" s="50" t="s">
        <v>60</v>
      </c>
      <c r="I6413" s="187">
        <v>2.6063999999999998</v>
      </c>
      <c r="J6413" s="41" t="s">
        <v>941</v>
      </c>
      <c r="K6413" s="41" t="s">
        <v>116</v>
      </c>
      <c r="M6413" s="195"/>
      <c r="N6413" s="195"/>
    </row>
    <row r="6414" spans="1:16" x14ac:dyDescent="0.2">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4</v>
      </c>
      <c r="H6414" s="50" t="s">
        <v>60</v>
      </c>
      <c r="I6414" s="187">
        <v>2.1625999999999999</v>
      </c>
      <c r="J6414" s="41" t="s">
        <v>941</v>
      </c>
      <c r="K6414" s="41" t="s">
        <v>116</v>
      </c>
      <c r="M6414" s="195"/>
      <c r="N6414" s="195"/>
    </row>
    <row r="6415" spans="1:16" x14ac:dyDescent="0.2">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6</v>
      </c>
      <c r="H6415" s="50" t="s">
        <v>60</v>
      </c>
      <c r="I6415" s="187">
        <v>1.2749999999999999</v>
      </c>
      <c r="J6415" s="41" t="s">
        <v>941</v>
      </c>
      <c r="K6415" s="41" t="s">
        <v>116</v>
      </c>
      <c r="M6415" s="195"/>
      <c r="N6415" s="195"/>
    </row>
    <row r="6416" spans="1:16" x14ac:dyDescent="0.2">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8</v>
      </c>
      <c r="H6416" s="50" t="s">
        <v>60</v>
      </c>
      <c r="I6416" s="187">
        <v>0.86829999999999996</v>
      </c>
      <c r="J6416" s="41" t="s">
        <v>941</v>
      </c>
      <c r="K6416" s="41" t="s">
        <v>116</v>
      </c>
      <c r="M6416" s="195"/>
      <c r="N6416" s="195"/>
    </row>
    <row r="6417" spans="1:16" x14ac:dyDescent="0.2">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10</v>
      </c>
      <c r="H6417" s="50" t="s">
        <v>60</v>
      </c>
      <c r="I6417" s="187">
        <v>0.47939999999999999</v>
      </c>
      <c r="J6417" s="41" t="s">
        <v>941</v>
      </c>
      <c r="K6417" s="41" t="s">
        <v>116</v>
      </c>
      <c r="M6417" s="195"/>
      <c r="N6417" s="195"/>
    </row>
    <row r="6418" spans="1:16" x14ac:dyDescent="0.2">
      <c r="A6418" s="30">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12</v>
      </c>
      <c r="H6418" s="50" t="s">
        <v>60</v>
      </c>
      <c r="I6418" s="187">
        <v>0.26860000000000001</v>
      </c>
      <c r="J6418" s="41" t="s">
        <v>941</v>
      </c>
      <c r="K6418" s="41" t="s">
        <v>116</v>
      </c>
      <c r="M6418" s="195"/>
      <c r="N6418" s="195"/>
    </row>
    <row r="6419" spans="1:16" x14ac:dyDescent="0.2">
      <c r="A6419" s="30">
        <v>711</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Oral administration</v>
      </c>
      <c r="E6419" s="250" t="str">
        <f>IF(AND(A6419&lt;&gt;"",ISNUMBER(A6419)),VLOOKUP(A6419,Studies!A:BR,5,FALSE),"")</f>
        <v>Triazolam</v>
      </c>
      <c r="F6419" s="251" t="str">
        <f>IF(AND(A6419&lt;&gt;"",ISNUMBER(A6419)),VLOOKUP(A6419,Studies!A:BR,6,FALSE),"")</f>
        <v>Plasma</v>
      </c>
      <c r="G6419" s="194">
        <v>0.25</v>
      </c>
      <c r="H6419" s="50" t="s">
        <v>60</v>
      </c>
      <c r="I6419" s="187">
        <v>0.26900000000000002</v>
      </c>
      <c r="J6419" s="41" t="s">
        <v>941</v>
      </c>
      <c r="K6419" s="41" t="s">
        <v>116</v>
      </c>
      <c r="M6419" s="195"/>
      <c r="N6419" s="195"/>
    </row>
    <row r="6420" spans="1:16" x14ac:dyDescent="0.2">
      <c r="A6420" s="30">
        <v>711</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Oral administration</v>
      </c>
      <c r="E6420" s="250" t="str">
        <f>IF(AND(A6420&lt;&gt;"",ISNUMBER(A6420)),VLOOKUP(A6420,Studies!A:BR,5,FALSE),"")</f>
        <v>Triazolam</v>
      </c>
      <c r="F6420" s="251" t="str">
        <f>IF(AND(A6420&lt;&gt;"",ISNUMBER(A6420)),VLOOKUP(A6420,Studies!A:BR,6,FALSE),"")</f>
        <v>Plasma</v>
      </c>
      <c r="G6420" s="194">
        <v>0.5</v>
      </c>
      <c r="H6420" s="50" t="s">
        <v>60</v>
      </c>
      <c r="I6420" s="187">
        <v>1.2133</v>
      </c>
      <c r="J6420" s="41" t="s">
        <v>941</v>
      </c>
      <c r="K6420" s="41" t="s">
        <v>116</v>
      </c>
      <c r="M6420" s="195"/>
      <c r="N6420" s="195"/>
    </row>
    <row r="6421" spans="1:16" x14ac:dyDescent="0.2">
      <c r="A6421" s="30">
        <v>711</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Oral administration</v>
      </c>
      <c r="E6421" s="250" t="str">
        <f>IF(AND(A6421&lt;&gt;"",ISNUMBER(A6421)),VLOOKUP(A6421,Studies!A:BR,5,FALSE),"")</f>
        <v>Triazolam</v>
      </c>
      <c r="F6421" s="251" t="str">
        <f>IF(AND(A6421&lt;&gt;"",ISNUMBER(A6421)),VLOOKUP(A6421,Studies!A:BR,6,FALSE),"")</f>
        <v>Plasma</v>
      </c>
      <c r="G6421" s="194">
        <v>0.75</v>
      </c>
      <c r="H6421" s="50" t="s">
        <v>60</v>
      </c>
      <c r="I6421" s="187">
        <v>1.4275</v>
      </c>
      <c r="J6421" s="41" t="s">
        <v>941</v>
      </c>
      <c r="K6421" s="41" t="s">
        <v>116</v>
      </c>
      <c r="M6421" s="195"/>
      <c r="N6421" s="195"/>
    </row>
    <row r="6422" spans="1:16" x14ac:dyDescent="0.2">
      <c r="A6422" s="30">
        <v>711</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Oral administration</v>
      </c>
      <c r="E6422" s="250" t="str">
        <f>IF(AND(A6422&lt;&gt;"",ISNUMBER(A6422)),VLOOKUP(A6422,Studies!A:BR,5,FALSE),"")</f>
        <v>Triazolam</v>
      </c>
      <c r="F6422" s="251" t="str">
        <f>IF(AND(A6422&lt;&gt;"",ISNUMBER(A6422)),VLOOKUP(A6422,Studies!A:BR,6,FALSE),"")</f>
        <v>Plasma</v>
      </c>
      <c r="G6422" s="194">
        <v>1</v>
      </c>
      <c r="H6422" s="50" t="s">
        <v>60</v>
      </c>
      <c r="I6422" s="187">
        <v>1.3922000000000001</v>
      </c>
      <c r="J6422" s="41" t="s">
        <v>941</v>
      </c>
      <c r="K6422" s="41" t="s">
        <v>116</v>
      </c>
      <c r="N6422" s="195"/>
    </row>
    <row r="6423" spans="1:16" x14ac:dyDescent="0.2">
      <c r="A6423" s="30">
        <v>711</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Oral administration</v>
      </c>
      <c r="E6423" s="250" t="str">
        <f>IF(AND(A6423&lt;&gt;"",ISNUMBER(A6423)),VLOOKUP(A6423,Studies!A:BR,5,FALSE),"")</f>
        <v>Triazolam</v>
      </c>
      <c r="F6423" s="251" t="str">
        <f>IF(AND(A6423&lt;&gt;"",ISNUMBER(A6423)),VLOOKUP(A6423,Studies!A:BR,6,FALSE),"")</f>
        <v>Plasma</v>
      </c>
      <c r="G6423" s="194">
        <v>1.5</v>
      </c>
      <c r="H6423" s="50" t="s">
        <v>60</v>
      </c>
      <c r="I6423" s="187">
        <v>1.4286000000000001</v>
      </c>
      <c r="J6423" s="41" t="s">
        <v>941</v>
      </c>
      <c r="K6423" s="41" t="s">
        <v>116</v>
      </c>
      <c r="M6423" s="195"/>
      <c r="N6423" s="195"/>
    </row>
    <row r="6424" spans="1:16" x14ac:dyDescent="0.2">
      <c r="A6424" s="30">
        <v>711</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Oral administration</v>
      </c>
      <c r="E6424" s="250" t="str">
        <f>IF(AND(A6424&lt;&gt;"",ISNUMBER(A6424)),VLOOKUP(A6424,Studies!A:BR,5,FALSE),"")</f>
        <v>Triazolam</v>
      </c>
      <c r="F6424" s="251" t="str">
        <f>IF(AND(A6424&lt;&gt;"",ISNUMBER(A6424)),VLOOKUP(A6424,Studies!A:BR,6,FALSE),"")</f>
        <v>Plasma</v>
      </c>
      <c r="G6424" s="194">
        <v>2</v>
      </c>
      <c r="H6424" s="50" t="s">
        <v>60</v>
      </c>
      <c r="I6424" s="187">
        <v>1.4827999999999999</v>
      </c>
      <c r="J6424" s="41" t="s">
        <v>941</v>
      </c>
      <c r="K6424" s="41" t="s">
        <v>116</v>
      </c>
      <c r="M6424" s="195"/>
      <c r="N6424" s="195"/>
    </row>
    <row r="6425" spans="1:16" x14ac:dyDescent="0.2">
      <c r="A6425" s="30">
        <v>711</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Oral administration</v>
      </c>
      <c r="E6425" s="250" t="str">
        <f>IF(AND(A6425&lt;&gt;"",ISNUMBER(A6425)),VLOOKUP(A6425,Studies!A:BR,5,FALSE),"")</f>
        <v>Triazolam</v>
      </c>
      <c r="F6425" s="251" t="str">
        <f>IF(AND(A6425&lt;&gt;"",ISNUMBER(A6425)),VLOOKUP(A6425,Studies!A:BR,6,FALSE),"")</f>
        <v>Plasma</v>
      </c>
      <c r="G6425" s="194">
        <v>3</v>
      </c>
      <c r="H6425" s="50" t="s">
        <v>60</v>
      </c>
      <c r="I6425" s="187">
        <v>1.3239000000000001</v>
      </c>
      <c r="J6425" s="41" t="s">
        <v>941</v>
      </c>
      <c r="K6425" s="41" t="s">
        <v>116</v>
      </c>
      <c r="M6425" s="195"/>
      <c r="N6425" s="195"/>
    </row>
    <row r="6426" spans="1:16" x14ac:dyDescent="0.2">
      <c r="A6426" s="30">
        <v>711</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Oral administration</v>
      </c>
      <c r="E6426" s="250" t="str">
        <f>IF(AND(A6426&lt;&gt;"",ISNUMBER(A6426)),VLOOKUP(A6426,Studies!A:BR,5,FALSE),"")</f>
        <v>Triazolam</v>
      </c>
      <c r="F6426" s="251" t="str">
        <f>IF(AND(A6426&lt;&gt;"",ISNUMBER(A6426)),VLOOKUP(A6426,Studies!A:BR,6,FALSE),"")</f>
        <v>Plasma</v>
      </c>
      <c r="G6426" s="194">
        <v>4</v>
      </c>
      <c r="H6426" s="50" t="s">
        <v>60</v>
      </c>
      <c r="I6426" s="187">
        <v>1.1651</v>
      </c>
      <c r="J6426" s="41" t="s">
        <v>941</v>
      </c>
      <c r="K6426" s="41" t="s">
        <v>116</v>
      </c>
      <c r="M6426" s="195"/>
      <c r="N6426" s="195"/>
    </row>
    <row r="6427" spans="1:16" x14ac:dyDescent="0.2">
      <c r="A6427" s="30">
        <v>711</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Oral administration</v>
      </c>
      <c r="E6427" s="250" t="str">
        <f>IF(AND(A6427&lt;&gt;"",ISNUMBER(A6427)),VLOOKUP(A6427,Studies!A:BR,5,FALSE),"")</f>
        <v>Triazolam</v>
      </c>
      <c r="F6427" s="251" t="str">
        <f>IF(AND(A6427&lt;&gt;"",ISNUMBER(A6427)),VLOOKUP(A6427,Studies!A:BR,6,FALSE),"")</f>
        <v>Plasma</v>
      </c>
      <c r="G6427" s="194">
        <v>6</v>
      </c>
      <c r="H6427" s="50" t="s">
        <v>60</v>
      </c>
      <c r="I6427" s="187">
        <v>0.70499999999999996</v>
      </c>
      <c r="J6427" s="41" t="s">
        <v>941</v>
      </c>
      <c r="K6427" s="41" t="s">
        <v>116</v>
      </c>
      <c r="M6427" s="195"/>
      <c r="N6427" s="195"/>
    </row>
    <row r="6428" spans="1:16" x14ac:dyDescent="0.2">
      <c r="A6428" s="30">
        <v>711</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Oral administration</v>
      </c>
      <c r="E6428" s="250" t="str">
        <f>IF(AND(A6428&lt;&gt;"",ISNUMBER(A6428)),VLOOKUP(A6428,Studies!A:BR,5,FALSE),"")</f>
        <v>Triazolam</v>
      </c>
      <c r="F6428" s="251" t="str">
        <f>IF(AND(A6428&lt;&gt;"",ISNUMBER(A6428)),VLOOKUP(A6428,Studies!A:BR,6,FALSE),"")</f>
        <v>Plasma</v>
      </c>
      <c r="G6428" s="194">
        <v>8</v>
      </c>
      <c r="H6428" s="50" t="s">
        <v>60</v>
      </c>
      <c r="I6428" s="187">
        <v>0.3518</v>
      </c>
      <c r="J6428" s="41" t="s">
        <v>941</v>
      </c>
      <c r="K6428" s="41" t="s">
        <v>116</v>
      </c>
      <c r="M6428" s="195"/>
      <c r="N6428" s="195"/>
    </row>
    <row r="6429" spans="1:16" x14ac:dyDescent="0.2">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10</v>
      </c>
      <c r="H6429" s="50" t="s">
        <v>60</v>
      </c>
      <c r="I6429" s="187">
        <v>0.15870000000000001</v>
      </c>
      <c r="J6429" s="41" t="s">
        <v>941</v>
      </c>
      <c r="K6429" s="41" t="s">
        <v>116</v>
      </c>
      <c r="M6429" s="195"/>
      <c r="N6429" s="195"/>
    </row>
    <row r="6430" spans="1:16" x14ac:dyDescent="0.2">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12</v>
      </c>
      <c r="H6430" s="50" t="s">
        <v>60</v>
      </c>
      <c r="I6430" s="187">
        <v>7.2700000000000001E-2</v>
      </c>
      <c r="J6430" s="41" t="s">
        <v>941</v>
      </c>
      <c r="K6430" s="41" t="s">
        <v>116</v>
      </c>
      <c r="M6430" s="195"/>
      <c r="N6430" s="195"/>
    </row>
    <row r="6431" spans="1:16" x14ac:dyDescent="0.2">
      <c r="A6431" s="30">
        <v>712</v>
      </c>
      <c r="B6431" s="249" t="str">
        <f>IF(AND(A6431&lt;&gt;"",ISNUMBER(A6431)),VLOOKUP(A6431,Studies!A:BR,2,FALSE),"")</f>
        <v>Lilja 2000</v>
      </c>
      <c r="C6431" s="250" t="str">
        <f>IF(AND(A6431&lt;&gt;"",ISNUMBER(A6431)),VLOOKUP(A6431,Studies!A:BR,3,FALSE),"")</f>
        <v>https://www.ncbi.nlm.nih.gov/pubmed/11009051</v>
      </c>
      <c r="D6431" s="250" t="str">
        <f>IF(AND(A6431&lt;&gt;"",ISNUMBER(A6431)),VLOOKUP(A6431,Studies!A:BR,4,FALSE),"")</f>
        <v>Triazolam with 200 mL water</v>
      </c>
      <c r="E6431" s="250" t="str">
        <f>IF(AND(A6431&lt;&gt;"",ISNUMBER(A6431)),VLOOKUP(A6431,Studies!A:BR,5,FALSE),"")</f>
        <v>Triazolam</v>
      </c>
      <c r="F6431" s="251" t="str">
        <f>IF(AND(A6431&lt;&gt;"",ISNUMBER(A6431)),VLOOKUP(A6431,Studies!A:BR,6,FALSE),"")</f>
        <v>Plasma</v>
      </c>
      <c r="G6431" s="194">
        <v>0.5</v>
      </c>
      <c r="H6431" s="50" t="s">
        <v>60</v>
      </c>
      <c r="I6431" s="187">
        <v>0.59999259999999999</v>
      </c>
      <c r="J6431" s="41" t="s">
        <v>941</v>
      </c>
      <c r="K6431" s="41" t="s">
        <v>116</v>
      </c>
      <c r="M6431" s="195"/>
      <c r="N6431" s="195"/>
    </row>
    <row r="6432" spans="1:16" s="183" customFormat="1" x14ac:dyDescent="0.2">
      <c r="A6432" s="183">
        <v>712</v>
      </c>
      <c r="B6432" s="249" t="str">
        <f>IF(AND(A6432&lt;&gt;"",ISNUMBER(A6432)),VLOOKUP(A6432,Studies!A:BR,2,FALSE),"")</f>
        <v>Lilja 2000</v>
      </c>
      <c r="C6432" s="250" t="str">
        <f>IF(AND(A6432&lt;&gt;"",ISNUMBER(A6432)),VLOOKUP(A6432,Studies!A:BR,3,FALSE),"")</f>
        <v>https://www.ncbi.nlm.nih.gov/pubmed/11009051</v>
      </c>
      <c r="D6432" s="250" t="str">
        <f>IF(AND(A6432&lt;&gt;"",ISNUMBER(A6432)),VLOOKUP(A6432,Studies!A:BR,4,FALSE),"")</f>
        <v>Triazolam with 200 mL water</v>
      </c>
      <c r="E6432" s="250" t="str">
        <f>IF(AND(A6432&lt;&gt;"",ISNUMBER(A6432)),VLOOKUP(A6432,Studies!A:BR,5,FALSE),"")</f>
        <v>Triazolam</v>
      </c>
      <c r="F6432" s="251" t="str">
        <f>IF(AND(A6432&lt;&gt;"",ISNUMBER(A6432)),VLOOKUP(A6432,Studies!A:BR,6,FALSE),"")</f>
        <v>Plasma</v>
      </c>
      <c r="G6432" s="194">
        <v>1</v>
      </c>
      <c r="H6432" s="194" t="s">
        <v>60</v>
      </c>
      <c r="I6432" s="187">
        <v>1.4551609999999999</v>
      </c>
      <c r="J6432" s="187" t="s">
        <v>941</v>
      </c>
      <c r="K6432" s="187" t="s">
        <v>116</v>
      </c>
      <c r="L6432" s="195"/>
      <c r="M6432" s="195"/>
      <c r="N6432" s="195"/>
      <c r="O6432" s="199"/>
      <c r="P6432" s="188"/>
    </row>
    <row r="6433" spans="1:14" x14ac:dyDescent="0.2">
      <c r="A6433" s="30">
        <v>712</v>
      </c>
      <c r="B6433" s="249" t="str">
        <f>IF(AND(A6433&lt;&gt;"",ISNUMBER(A6433)),VLOOKUP(A6433,Studies!A:BR,2,FALSE),"")</f>
        <v>Lilja 2000</v>
      </c>
      <c r="C6433" s="250" t="str">
        <f>IF(AND(A6433&lt;&gt;"",ISNUMBER(A6433)),VLOOKUP(A6433,Studies!A:BR,3,FALSE),"")</f>
        <v>https://www.ncbi.nlm.nih.gov/pubmed/11009051</v>
      </c>
      <c r="D6433" s="250" t="str">
        <f>IF(AND(A6433&lt;&gt;"",ISNUMBER(A6433)),VLOOKUP(A6433,Studies!A:BR,4,FALSE),"")</f>
        <v>Triazolam with 200 mL water</v>
      </c>
      <c r="E6433" s="250" t="str">
        <f>IF(AND(A6433&lt;&gt;"",ISNUMBER(A6433)),VLOOKUP(A6433,Studies!A:BR,5,FALSE),"")</f>
        <v>Triazolam</v>
      </c>
      <c r="F6433" s="251" t="str">
        <f>IF(AND(A6433&lt;&gt;"",ISNUMBER(A6433)),VLOOKUP(A6433,Studies!A:BR,6,FALSE),"")</f>
        <v>Plasma</v>
      </c>
      <c r="G6433" s="194">
        <v>1.5</v>
      </c>
      <c r="H6433" s="50" t="s">
        <v>60</v>
      </c>
      <c r="I6433" s="187">
        <v>1.5232749999999999</v>
      </c>
      <c r="J6433" s="41" t="s">
        <v>941</v>
      </c>
      <c r="K6433" s="41" t="s">
        <v>116</v>
      </c>
      <c r="N6433" s="195"/>
    </row>
    <row r="6434" spans="1:14" x14ac:dyDescent="0.2">
      <c r="A6434" s="30">
        <v>712</v>
      </c>
      <c r="B6434" s="249" t="str">
        <f>IF(AND(A6434&lt;&gt;"",ISNUMBER(A6434)),VLOOKUP(A6434,Studies!A:BR,2,FALSE),"")</f>
        <v>Lilja 2000</v>
      </c>
      <c r="C6434" s="250" t="str">
        <f>IF(AND(A6434&lt;&gt;"",ISNUMBER(A6434)),VLOOKUP(A6434,Studies!A:BR,3,FALSE),"")</f>
        <v>https://www.ncbi.nlm.nih.gov/pubmed/11009051</v>
      </c>
      <c r="D6434" s="250" t="str">
        <f>IF(AND(A6434&lt;&gt;"",ISNUMBER(A6434)),VLOOKUP(A6434,Studies!A:BR,4,FALSE),"")</f>
        <v>Triazolam with 200 mL water</v>
      </c>
      <c r="E6434" s="250" t="str">
        <f>IF(AND(A6434&lt;&gt;"",ISNUMBER(A6434)),VLOOKUP(A6434,Studies!A:BR,5,FALSE),"")</f>
        <v>Triazolam</v>
      </c>
      <c r="F6434" s="251" t="str">
        <f>IF(AND(A6434&lt;&gt;"",ISNUMBER(A6434)),VLOOKUP(A6434,Studies!A:BR,6,FALSE),"")</f>
        <v>Plasma</v>
      </c>
      <c r="G6434" s="194">
        <v>2</v>
      </c>
      <c r="H6434" s="50" t="s">
        <v>60</v>
      </c>
      <c r="I6434" s="187">
        <v>1.42788</v>
      </c>
      <c r="J6434" s="41" t="s">
        <v>941</v>
      </c>
      <c r="K6434" s="41" t="s">
        <v>116</v>
      </c>
      <c r="N6434" s="195"/>
    </row>
    <row r="6435" spans="1:14" x14ac:dyDescent="0.2">
      <c r="A6435" s="30">
        <v>712</v>
      </c>
      <c r="B6435" s="249" t="str">
        <f>IF(AND(A6435&lt;&gt;"",ISNUMBER(A6435)),VLOOKUP(A6435,Studies!A:BR,2,FALSE),"")</f>
        <v>Lilja 2000</v>
      </c>
      <c r="C6435" s="250" t="str">
        <f>IF(AND(A6435&lt;&gt;"",ISNUMBER(A6435)),VLOOKUP(A6435,Studies!A:BR,3,FALSE),"")</f>
        <v>https://www.ncbi.nlm.nih.gov/pubmed/11009051</v>
      </c>
      <c r="D6435" s="250" t="str">
        <f>IF(AND(A6435&lt;&gt;"",ISNUMBER(A6435)),VLOOKUP(A6435,Studies!A:BR,4,FALSE),"")</f>
        <v>Triazolam with 200 mL water</v>
      </c>
      <c r="E6435" s="250" t="str">
        <f>IF(AND(A6435&lt;&gt;"",ISNUMBER(A6435)),VLOOKUP(A6435,Studies!A:BR,5,FALSE),"")</f>
        <v>Triazolam</v>
      </c>
      <c r="F6435" s="251" t="str">
        <f>IF(AND(A6435&lt;&gt;"",ISNUMBER(A6435)),VLOOKUP(A6435,Studies!A:BR,6,FALSE),"")</f>
        <v>Plasma</v>
      </c>
      <c r="G6435" s="194">
        <v>3</v>
      </c>
      <c r="H6435" s="50" t="s">
        <v>60</v>
      </c>
      <c r="I6435" s="187">
        <v>1.1724669999999999</v>
      </c>
      <c r="J6435" s="41" t="s">
        <v>941</v>
      </c>
      <c r="K6435" s="41" t="s">
        <v>116</v>
      </c>
      <c r="N6435" s="195"/>
    </row>
    <row r="6436" spans="1:14" x14ac:dyDescent="0.2">
      <c r="A6436" s="30">
        <v>712</v>
      </c>
      <c r="B6436" s="249" t="str">
        <f>IF(AND(A6436&lt;&gt;"",ISNUMBER(A6436)),VLOOKUP(A6436,Studies!A:BR,2,FALSE),"")</f>
        <v>Lilja 2000</v>
      </c>
      <c r="C6436" s="250" t="str">
        <f>IF(AND(A6436&lt;&gt;"",ISNUMBER(A6436)),VLOOKUP(A6436,Studies!A:BR,3,FALSE),"")</f>
        <v>https://www.ncbi.nlm.nih.gov/pubmed/11009051</v>
      </c>
      <c r="D6436" s="250" t="str">
        <f>IF(AND(A6436&lt;&gt;"",ISNUMBER(A6436)),VLOOKUP(A6436,Studies!A:BR,4,FALSE),"")</f>
        <v>Triazolam with 200 mL water</v>
      </c>
      <c r="E6436" s="250" t="str">
        <f>IF(AND(A6436&lt;&gt;"",ISNUMBER(A6436)),VLOOKUP(A6436,Studies!A:BR,5,FALSE),"")</f>
        <v>Triazolam</v>
      </c>
      <c r="F6436" s="251" t="str">
        <f>IF(AND(A6436&lt;&gt;"",ISNUMBER(A6436)),VLOOKUP(A6436,Studies!A:BR,6,FALSE),"")</f>
        <v>Plasma</v>
      </c>
      <c r="G6436" s="194">
        <v>4</v>
      </c>
      <c r="H6436" s="50" t="s">
        <v>60</v>
      </c>
      <c r="I6436" s="187">
        <v>0.86764059999999998</v>
      </c>
      <c r="J6436" s="41" t="s">
        <v>941</v>
      </c>
      <c r="K6436" s="41" t="s">
        <v>116</v>
      </c>
      <c r="N6436" s="195"/>
    </row>
    <row r="6437" spans="1:14" x14ac:dyDescent="0.2">
      <c r="A6437" s="30">
        <v>712</v>
      </c>
      <c r="B6437" s="249" t="str">
        <f>IF(AND(A6437&lt;&gt;"",ISNUMBER(A6437)),VLOOKUP(A6437,Studies!A:BR,2,FALSE),"")</f>
        <v>Lilja 2000</v>
      </c>
      <c r="C6437" s="250" t="str">
        <f>IF(AND(A6437&lt;&gt;"",ISNUMBER(A6437)),VLOOKUP(A6437,Studies!A:BR,3,FALSE),"")</f>
        <v>https://www.ncbi.nlm.nih.gov/pubmed/11009051</v>
      </c>
      <c r="D6437" s="250" t="str">
        <f>IF(AND(A6437&lt;&gt;"",ISNUMBER(A6437)),VLOOKUP(A6437,Studies!A:BR,4,FALSE),"")</f>
        <v>Triazolam with 200 mL water</v>
      </c>
      <c r="E6437" s="250" t="str">
        <f>IF(AND(A6437&lt;&gt;"",ISNUMBER(A6437)),VLOOKUP(A6437,Studies!A:BR,5,FALSE),"")</f>
        <v>Triazolam</v>
      </c>
      <c r="F6437" s="251" t="str">
        <f>IF(AND(A6437&lt;&gt;"",ISNUMBER(A6437)),VLOOKUP(A6437,Studies!A:BR,6,FALSE),"")</f>
        <v>Plasma</v>
      </c>
      <c r="G6437" s="194">
        <v>5</v>
      </c>
      <c r="H6437" s="50" t="s">
        <v>60</v>
      </c>
      <c r="I6437" s="187">
        <v>0.73008099999999998</v>
      </c>
      <c r="J6437" s="41" t="s">
        <v>941</v>
      </c>
      <c r="K6437" s="41" t="s">
        <v>116</v>
      </c>
      <c r="N6437" s="195"/>
    </row>
    <row r="6438" spans="1:14" x14ac:dyDescent="0.2">
      <c r="A6438" s="30">
        <v>712</v>
      </c>
      <c r="B6438" s="249" t="str">
        <f>IF(AND(A6438&lt;&gt;"",ISNUMBER(A6438)),VLOOKUP(A6438,Studies!A:BR,2,FALSE),"")</f>
        <v>Lilja 2000</v>
      </c>
      <c r="C6438" s="250" t="str">
        <f>IF(AND(A6438&lt;&gt;"",ISNUMBER(A6438)),VLOOKUP(A6438,Studies!A:BR,3,FALSE),"")</f>
        <v>https://www.ncbi.nlm.nih.gov/pubmed/11009051</v>
      </c>
      <c r="D6438" s="250" t="str">
        <f>IF(AND(A6438&lt;&gt;"",ISNUMBER(A6438)),VLOOKUP(A6438,Studies!A:BR,4,FALSE),"")</f>
        <v>Triazolam with 200 mL water</v>
      </c>
      <c r="E6438" s="250" t="str">
        <f>IF(AND(A6438&lt;&gt;"",ISNUMBER(A6438)),VLOOKUP(A6438,Studies!A:BR,5,FALSE),"")</f>
        <v>Triazolam</v>
      </c>
      <c r="F6438" s="251" t="str">
        <f>IF(AND(A6438&lt;&gt;"",ISNUMBER(A6438)),VLOOKUP(A6438,Studies!A:BR,6,FALSE),"")</f>
        <v>Plasma</v>
      </c>
      <c r="G6438" s="194">
        <v>6</v>
      </c>
      <c r="H6438" s="50" t="s">
        <v>60</v>
      </c>
      <c r="I6438" s="187">
        <v>0.57734220000000003</v>
      </c>
      <c r="J6438" s="41" t="s">
        <v>941</v>
      </c>
      <c r="K6438" s="41" t="s">
        <v>116</v>
      </c>
      <c r="N6438" s="195"/>
    </row>
    <row r="6439" spans="1:14" x14ac:dyDescent="0.2">
      <c r="A6439" s="30">
        <v>712</v>
      </c>
      <c r="B6439" s="249" t="str">
        <f>IF(AND(A6439&lt;&gt;"",ISNUMBER(A6439)),VLOOKUP(A6439,Studies!A:BR,2,FALSE),"")</f>
        <v>Lilja 2000</v>
      </c>
      <c r="C6439" s="250" t="str">
        <f>IF(AND(A6439&lt;&gt;"",ISNUMBER(A6439)),VLOOKUP(A6439,Studies!A:BR,3,FALSE),"")</f>
        <v>https://www.ncbi.nlm.nih.gov/pubmed/11009051</v>
      </c>
      <c r="D6439" s="250" t="str">
        <f>IF(AND(A6439&lt;&gt;"",ISNUMBER(A6439)),VLOOKUP(A6439,Studies!A:BR,4,FALSE),"")</f>
        <v>Triazolam with 200 mL water</v>
      </c>
      <c r="E6439" s="250" t="str">
        <f>IF(AND(A6439&lt;&gt;"",ISNUMBER(A6439)),VLOOKUP(A6439,Studies!A:BR,5,FALSE),"")</f>
        <v>Triazolam</v>
      </c>
      <c r="F6439" s="251" t="str">
        <f>IF(AND(A6439&lt;&gt;"",ISNUMBER(A6439)),VLOOKUP(A6439,Studies!A:BR,6,FALSE),"")</f>
        <v>Plasma</v>
      </c>
      <c r="G6439" s="194">
        <v>8</v>
      </c>
      <c r="H6439" s="50" t="s">
        <v>60</v>
      </c>
      <c r="I6439" s="187">
        <v>0.38968819999999998</v>
      </c>
      <c r="J6439" s="41" t="s">
        <v>941</v>
      </c>
      <c r="K6439" s="41" t="s">
        <v>116</v>
      </c>
      <c r="N6439" s="195"/>
    </row>
    <row r="6440" spans="1:14" x14ac:dyDescent="0.2">
      <c r="A6440" s="30">
        <v>712</v>
      </c>
      <c r="B6440" s="249" t="str">
        <f>IF(AND(A6440&lt;&gt;"",ISNUMBER(A6440)),VLOOKUP(A6440,Studies!A:BR,2,FALSE),"")</f>
        <v>Lilja 2000</v>
      </c>
      <c r="C6440" s="250" t="str">
        <f>IF(AND(A6440&lt;&gt;"",ISNUMBER(A6440)),VLOOKUP(A6440,Studies!A:BR,3,FALSE),"")</f>
        <v>https://www.ncbi.nlm.nih.gov/pubmed/11009051</v>
      </c>
      <c r="D6440" s="250" t="str">
        <f>IF(AND(A6440&lt;&gt;"",ISNUMBER(A6440)),VLOOKUP(A6440,Studies!A:BR,4,FALSE),"")</f>
        <v>Triazolam with 200 mL water</v>
      </c>
      <c r="E6440" s="250" t="str">
        <f>IF(AND(A6440&lt;&gt;"",ISNUMBER(A6440)),VLOOKUP(A6440,Studies!A:BR,5,FALSE),"")</f>
        <v>Triazolam</v>
      </c>
      <c r="F6440" s="251" t="str">
        <f>IF(AND(A6440&lt;&gt;"",ISNUMBER(A6440)),VLOOKUP(A6440,Studies!A:BR,6,FALSE),"")</f>
        <v>Plasma</v>
      </c>
      <c r="G6440" s="194">
        <v>10</v>
      </c>
      <c r="H6440" s="50" t="s">
        <v>60</v>
      </c>
      <c r="I6440" s="187">
        <v>0.28951440000000001</v>
      </c>
      <c r="J6440" s="41" t="s">
        <v>941</v>
      </c>
      <c r="K6440" s="41" t="s">
        <v>116</v>
      </c>
      <c r="N6440" s="195"/>
    </row>
    <row r="6441" spans="1:14" x14ac:dyDescent="0.2">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23</v>
      </c>
      <c r="H6441" s="50" t="s">
        <v>60</v>
      </c>
      <c r="I6441" s="187">
        <v>4.8984729999999997E-2</v>
      </c>
      <c r="J6441" s="41" t="s">
        <v>941</v>
      </c>
      <c r="K6441" s="41" t="s">
        <v>116</v>
      </c>
      <c r="N6441" s="195"/>
    </row>
    <row r="6442" spans="1:14" x14ac:dyDescent="0.2">
      <c r="A6442" s="30">
        <v>713</v>
      </c>
      <c r="B6442" s="249" t="str">
        <f>IF(AND(A6442&lt;&gt;"",ISNUMBER(A6442)),VLOOKUP(A6442,Studies!A:BR,2,FALSE),"")</f>
        <v>Moltke 1996</v>
      </c>
      <c r="C6442" s="250" t="str">
        <f>IF(AND(A6442&lt;&gt;"",ISNUMBER(A6442)),VLOOKUP(A6442,Studies!A:BR,3,FALSE),"")</f>
        <v>https://www.ncbi.nlm.nih.gov/pubmed/8632299</v>
      </c>
      <c r="D6442" s="250" t="str">
        <f>IF(AND(A6442&lt;&gt;"",ISNUMBER(A6442)),VLOOKUP(A6442,Studies!A:BR,4,FALSE),"")</f>
        <v>Triazolam + Placebo (Trial 2)</v>
      </c>
      <c r="E6442" s="250" t="str">
        <f>IF(AND(A6442&lt;&gt;"",ISNUMBER(A6442)),VLOOKUP(A6442,Studies!A:BR,5,FALSE),"")</f>
        <v>Triazolam</v>
      </c>
      <c r="F6442" s="251" t="str">
        <f>IF(AND(A6442&lt;&gt;"",ISNUMBER(A6442)),VLOOKUP(A6442,Studies!A:BR,6,FALSE),"")</f>
        <v>Plasma</v>
      </c>
      <c r="G6442" s="194">
        <v>0.5</v>
      </c>
      <c r="H6442" s="50" t="s">
        <v>60</v>
      </c>
      <c r="I6442" s="187">
        <v>0.75246369999999996</v>
      </c>
      <c r="J6442" s="41" t="s">
        <v>941</v>
      </c>
      <c r="K6442" s="41" t="s">
        <v>116</v>
      </c>
      <c r="L6442" s="195">
        <v>0.23969399999999999</v>
      </c>
      <c r="M6442" s="52" t="s">
        <v>941</v>
      </c>
      <c r="N6442" s="195" t="s">
        <v>949</v>
      </c>
    </row>
    <row r="6443" spans="1:14" x14ac:dyDescent="0.2">
      <c r="A6443" s="30">
        <v>713</v>
      </c>
      <c r="B6443" s="249" t="str">
        <f>IF(AND(A6443&lt;&gt;"",ISNUMBER(A6443)),VLOOKUP(A6443,Studies!A:BR,2,FALSE),"")</f>
        <v>Moltke 1996</v>
      </c>
      <c r="C6443" s="250" t="str">
        <f>IF(AND(A6443&lt;&gt;"",ISNUMBER(A6443)),VLOOKUP(A6443,Studies!A:BR,3,FALSE),"")</f>
        <v>https://www.ncbi.nlm.nih.gov/pubmed/8632299</v>
      </c>
      <c r="D6443" s="250" t="str">
        <f>IF(AND(A6443&lt;&gt;"",ISNUMBER(A6443)),VLOOKUP(A6443,Studies!A:BR,4,FALSE),"")</f>
        <v>Triazolam + Placebo (Trial 2)</v>
      </c>
      <c r="E6443" s="250" t="str">
        <f>IF(AND(A6443&lt;&gt;"",ISNUMBER(A6443)),VLOOKUP(A6443,Studies!A:BR,5,FALSE),"")</f>
        <v>Triazolam</v>
      </c>
      <c r="F6443" s="251" t="str">
        <f>IF(AND(A6443&lt;&gt;"",ISNUMBER(A6443)),VLOOKUP(A6443,Studies!A:BR,6,FALSE),"")</f>
        <v>Plasma</v>
      </c>
      <c r="G6443" s="194">
        <v>1</v>
      </c>
      <c r="H6443" s="50" t="s">
        <v>60</v>
      </c>
      <c r="I6443" s="187">
        <v>1.1262220000000001</v>
      </c>
      <c r="J6443" s="41" t="s">
        <v>941</v>
      </c>
      <c r="K6443" s="41" t="s">
        <v>116</v>
      </c>
      <c r="L6443" s="195">
        <v>0.130276</v>
      </c>
      <c r="M6443" s="52" t="s">
        <v>941</v>
      </c>
      <c r="N6443" s="195" t="s">
        <v>949</v>
      </c>
    </row>
    <row r="6444" spans="1:14" x14ac:dyDescent="0.2">
      <c r="A6444" s="30">
        <v>713</v>
      </c>
      <c r="B6444" s="249" t="str">
        <f>IF(AND(A6444&lt;&gt;"",ISNUMBER(A6444)),VLOOKUP(A6444,Studies!A:BR,2,FALSE),"")</f>
        <v>Moltke 1996</v>
      </c>
      <c r="C6444" s="250" t="str">
        <f>IF(AND(A6444&lt;&gt;"",ISNUMBER(A6444)),VLOOKUP(A6444,Studies!A:BR,3,FALSE),"")</f>
        <v>https://www.ncbi.nlm.nih.gov/pubmed/8632299</v>
      </c>
      <c r="D6444" s="250" t="str">
        <f>IF(AND(A6444&lt;&gt;"",ISNUMBER(A6444)),VLOOKUP(A6444,Studies!A:BR,4,FALSE),"")</f>
        <v>Triazolam + Placebo (Trial 2)</v>
      </c>
      <c r="E6444" s="250" t="str">
        <f>IF(AND(A6444&lt;&gt;"",ISNUMBER(A6444)),VLOOKUP(A6444,Studies!A:BR,5,FALSE),"")</f>
        <v>Triazolam</v>
      </c>
      <c r="F6444" s="251" t="str">
        <f>IF(AND(A6444&lt;&gt;"",ISNUMBER(A6444)),VLOOKUP(A6444,Studies!A:BR,6,FALSE),"")</f>
        <v>Plasma</v>
      </c>
      <c r="G6444" s="194">
        <v>1.5</v>
      </c>
      <c r="H6444" s="50" t="s">
        <v>60</v>
      </c>
      <c r="I6444" s="187">
        <v>1.152477</v>
      </c>
      <c r="J6444" s="41" t="s">
        <v>941</v>
      </c>
      <c r="K6444" s="41" t="s">
        <v>116</v>
      </c>
      <c r="L6444" s="195">
        <v>8.2491999999999996E-2</v>
      </c>
      <c r="M6444" s="52" t="s">
        <v>941</v>
      </c>
      <c r="N6444" s="195" t="s">
        <v>949</v>
      </c>
    </row>
    <row r="6445" spans="1:14" x14ac:dyDescent="0.2">
      <c r="A6445" s="30">
        <v>713</v>
      </c>
      <c r="B6445" s="249" t="str">
        <f>IF(AND(A6445&lt;&gt;"",ISNUMBER(A6445)),VLOOKUP(A6445,Studies!A:BR,2,FALSE),"")</f>
        <v>Moltke 1996</v>
      </c>
      <c r="C6445" s="250" t="str">
        <f>IF(AND(A6445&lt;&gt;"",ISNUMBER(A6445)),VLOOKUP(A6445,Studies!A:BR,3,FALSE),"")</f>
        <v>https://www.ncbi.nlm.nih.gov/pubmed/8632299</v>
      </c>
      <c r="D6445" s="250" t="str">
        <f>IF(AND(A6445&lt;&gt;"",ISNUMBER(A6445)),VLOOKUP(A6445,Studies!A:BR,4,FALSE),"")</f>
        <v>Triazolam + Placebo (Trial 2)</v>
      </c>
      <c r="E6445" s="250" t="str">
        <f>IF(AND(A6445&lt;&gt;"",ISNUMBER(A6445)),VLOOKUP(A6445,Studies!A:BR,5,FALSE),"")</f>
        <v>Triazolam</v>
      </c>
      <c r="F6445" s="251" t="str">
        <f>IF(AND(A6445&lt;&gt;"",ISNUMBER(A6445)),VLOOKUP(A6445,Studies!A:BR,6,FALSE),"")</f>
        <v>Plasma</v>
      </c>
      <c r="G6445" s="194">
        <v>2</v>
      </c>
      <c r="H6445" s="50" t="s">
        <v>60</v>
      </c>
      <c r="I6445" s="187">
        <v>1.003655</v>
      </c>
      <c r="J6445" s="41" t="s">
        <v>941</v>
      </c>
      <c r="K6445" s="41" t="s">
        <v>116</v>
      </c>
      <c r="L6445" s="195">
        <v>7.1840000000000001E-2</v>
      </c>
      <c r="M6445" s="52" t="s">
        <v>941</v>
      </c>
      <c r="N6445" s="195" t="s">
        <v>949</v>
      </c>
    </row>
    <row r="6446" spans="1:14" x14ac:dyDescent="0.2">
      <c r="A6446" s="30">
        <v>713</v>
      </c>
      <c r="B6446" s="249" t="str">
        <f>IF(AND(A6446&lt;&gt;"",ISNUMBER(A6446)),VLOOKUP(A6446,Studies!A:BR,2,FALSE),"")</f>
        <v>Moltke 1996</v>
      </c>
      <c r="C6446" s="250" t="str">
        <f>IF(AND(A6446&lt;&gt;"",ISNUMBER(A6446)),VLOOKUP(A6446,Studies!A:BR,3,FALSE),"")</f>
        <v>https://www.ncbi.nlm.nih.gov/pubmed/8632299</v>
      </c>
      <c r="D6446" s="250" t="str">
        <f>IF(AND(A6446&lt;&gt;"",ISNUMBER(A6446)),VLOOKUP(A6446,Studies!A:BR,4,FALSE),"")</f>
        <v>Triazolam + Placebo (Trial 2)</v>
      </c>
      <c r="E6446" s="250" t="str">
        <f>IF(AND(A6446&lt;&gt;"",ISNUMBER(A6446)),VLOOKUP(A6446,Studies!A:BR,5,FALSE),"")</f>
        <v>Triazolam</v>
      </c>
      <c r="F6446" s="251" t="str">
        <f>IF(AND(A6446&lt;&gt;"",ISNUMBER(A6446)),VLOOKUP(A6446,Studies!A:BR,6,FALSE),"")</f>
        <v>Plasma</v>
      </c>
      <c r="G6446" s="194">
        <v>2.5</v>
      </c>
      <c r="H6446" s="50" t="s">
        <v>60</v>
      </c>
      <c r="I6446" s="187">
        <v>0.91002000000000005</v>
      </c>
      <c r="J6446" s="41" t="s">
        <v>941</v>
      </c>
      <c r="K6446" s="41" t="s">
        <v>116</v>
      </c>
      <c r="L6446" s="195">
        <v>8.2138000000000003E-2</v>
      </c>
      <c r="M6446" s="52" t="s">
        <v>941</v>
      </c>
      <c r="N6446" s="195" t="s">
        <v>949</v>
      </c>
    </row>
    <row r="6447" spans="1:14" x14ac:dyDescent="0.2">
      <c r="A6447" s="30">
        <v>713</v>
      </c>
      <c r="B6447" s="249" t="str">
        <f>IF(AND(A6447&lt;&gt;"",ISNUMBER(A6447)),VLOOKUP(A6447,Studies!A:BR,2,FALSE),"")</f>
        <v>Moltke 1996</v>
      </c>
      <c r="C6447" s="250" t="str">
        <f>IF(AND(A6447&lt;&gt;"",ISNUMBER(A6447)),VLOOKUP(A6447,Studies!A:BR,3,FALSE),"")</f>
        <v>https://www.ncbi.nlm.nih.gov/pubmed/8632299</v>
      </c>
      <c r="D6447" s="250" t="str">
        <f>IF(AND(A6447&lt;&gt;"",ISNUMBER(A6447)),VLOOKUP(A6447,Studies!A:BR,4,FALSE),"")</f>
        <v>Triazolam + Placebo (Trial 2)</v>
      </c>
      <c r="E6447" s="250" t="str">
        <f>IF(AND(A6447&lt;&gt;"",ISNUMBER(A6447)),VLOOKUP(A6447,Studies!A:BR,5,FALSE),"")</f>
        <v>Triazolam</v>
      </c>
      <c r="F6447" s="251" t="str">
        <f>IF(AND(A6447&lt;&gt;"",ISNUMBER(A6447)),VLOOKUP(A6447,Studies!A:BR,6,FALSE),"")</f>
        <v>Plasma</v>
      </c>
      <c r="G6447" s="194">
        <v>3</v>
      </c>
      <c r="H6447" s="50" t="s">
        <v>60</v>
      </c>
      <c r="I6447" s="187">
        <v>0.80632349999999997</v>
      </c>
      <c r="J6447" s="41" t="s">
        <v>941</v>
      </c>
      <c r="K6447" s="41" t="s">
        <v>116</v>
      </c>
      <c r="L6447" s="195">
        <v>8.2965999999999998E-2</v>
      </c>
      <c r="M6447" s="52" t="s">
        <v>941</v>
      </c>
      <c r="N6447" s="195" t="s">
        <v>949</v>
      </c>
    </row>
    <row r="6448" spans="1:14" x14ac:dyDescent="0.2">
      <c r="A6448" s="30">
        <v>713</v>
      </c>
      <c r="B6448" s="249" t="str">
        <f>IF(AND(A6448&lt;&gt;"",ISNUMBER(A6448)),VLOOKUP(A6448,Studies!A:BR,2,FALSE),"")</f>
        <v>Moltke 1996</v>
      </c>
      <c r="C6448" s="250" t="str">
        <f>IF(AND(A6448&lt;&gt;"",ISNUMBER(A6448)),VLOOKUP(A6448,Studies!A:BR,3,FALSE),"")</f>
        <v>https://www.ncbi.nlm.nih.gov/pubmed/8632299</v>
      </c>
      <c r="D6448" s="250" t="str">
        <f>IF(AND(A6448&lt;&gt;"",ISNUMBER(A6448)),VLOOKUP(A6448,Studies!A:BR,4,FALSE),"")</f>
        <v>Triazolam + Placebo (Trial 2)</v>
      </c>
      <c r="E6448" s="250" t="str">
        <f>IF(AND(A6448&lt;&gt;"",ISNUMBER(A6448)),VLOOKUP(A6448,Studies!A:BR,5,FALSE),"")</f>
        <v>Triazolam</v>
      </c>
      <c r="F6448" s="251" t="str">
        <f>IF(AND(A6448&lt;&gt;"",ISNUMBER(A6448)),VLOOKUP(A6448,Studies!A:BR,6,FALSE),"")</f>
        <v>Plasma</v>
      </c>
      <c r="G6448" s="194">
        <v>4</v>
      </c>
      <c r="H6448" s="50" t="s">
        <v>60</v>
      </c>
      <c r="I6448" s="187">
        <v>0.63669010000000004</v>
      </c>
      <c r="J6448" s="41" t="s">
        <v>941</v>
      </c>
      <c r="K6448" s="41" t="s">
        <v>116</v>
      </c>
      <c r="L6448" s="195">
        <v>5.7466999999999997E-2</v>
      </c>
      <c r="M6448" s="52" t="s">
        <v>941</v>
      </c>
      <c r="N6448" s="195" t="s">
        <v>949</v>
      </c>
    </row>
    <row r="6449" spans="1:14" x14ac:dyDescent="0.2">
      <c r="A6449" s="30">
        <v>713</v>
      </c>
      <c r="B6449" s="249" t="str">
        <f>IF(AND(A6449&lt;&gt;"",ISNUMBER(A6449)),VLOOKUP(A6449,Studies!A:BR,2,FALSE),"")</f>
        <v>Moltke 1996</v>
      </c>
      <c r="C6449" s="250" t="str">
        <f>IF(AND(A6449&lt;&gt;"",ISNUMBER(A6449)),VLOOKUP(A6449,Studies!A:BR,3,FALSE),"")</f>
        <v>https://www.ncbi.nlm.nih.gov/pubmed/8632299</v>
      </c>
      <c r="D6449" s="250" t="str">
        <f>IF(AND(A6449&lt;&gt;"",ISNUMBER(A6449)),VLOOKUP(A6449,Studies!A:BR,4,FALSE),"")</f>
        <v>Triazolam + Placebo (Trial 2)</v>
      </c>
      <c r="E6449" s="250" t="str">
        <f>IF(AND(A6449&lt;&gt;"",ISNUMBER(A6449)),VLOOKUP(A6449,Studies!A:BR,5,FALSE),"")</f>
        <v>Triazolam</v>
      </c>
      <c r="F6449" s="251" t="str">
        <f>IF(AND(A6449&lt;&gt;"",ISNUMBER(A6449)),VLOOKUP(A6449,Studies!A:BR,6,FALSE),"")</f>
        <v>Plasma</v>
      </c>
      <c r="G6449" s="194">
        <v>5</v>
      </c>
      <c r="H6449" s="50" t="s">
        <v>60</v>
      </c>
      <c r="I6449" s="187">
        <v>0.55767679999999997</v>
      </c>
      <c r="J6449" s="41" t="s">
        <v>941</v>
      </c>
      <c r="K6449" s="41" t="s">
        <v>116</v>
      </c>
      <c r="L6449" s="195">
        <v>5.7381000000000001E-2</v>
      </c>
      <c r="M6449" s="52" t="s">
        <v>941</v>
      </c>
      <c r="N6449" s="195" t="s">
        <v>949</v>
      </c>
    </row>
    <row r="6450" spans="1:14" x14ac:dyDescent="0.2">
      <c r="A6450" s="30">
        <v>713</v>
      </c>
      <c r="B6450" s="249" t="str">
        <f>IF(AND(A6450&lt;&gt;"",ISNUMBER(A6450)),VLOOKUP(A6450,Studies!A:BR,2,FALSE),"")</f>
        <v>Moltke 1996</v>
      </c>
      <c r="C6450" s="250" t="str">
        <f>IF(AND(A6450&lt;&gt;"",ISNUMBER(A6450)),VLOOKUP(A6450,Studies!A:BR,3,FALSE),"")</f>
        <v>https://www.ncbi.nlm.nih.gov/pubmed/8632299</v>
      </c>
      <c r="D6450" s="250" t="str">
        <f>IF(AND(A6450&lt;&gt;"",ISNUMBER(A6450)),VLOOKUP(A6450,Studies!A:BR,4,FALSE),"")</f>
        <v>Triazolam + Placebo (Trial 2)</v>
      </c>
      <c r="E6450" s="250" t="str">
        <f>IF(AND(A6450&lt;&gt;"",ISNUMBER(A6450)),VLOOKUP(A6450,Studies!A:BR,5,FALSE),"")</f>
        <v>Triazolam</v>
      </c>
      <c r="F6450" s="251" t="str">
        <f>IF(AND(A6450&lt;&gt;"",ISNUMBER(A6450)),VLOOKUP(A6450,Studies!A:BR,6,FALSE),"")</f>
        <v>Plasma</v>
      </c>
      <c r="G6450" s="194">
        <v>6</v>
      </c>
      <c r="H6450" s="50" t="s">
        <v>60</v>
      </c>
      <c r="I6450" s="187">
        <v>0.42051889999999997</v>
      </c>
      <c r="J6450" s="41" t="s">
        <v>941</v>
      </c>
      <c r="K6450" s="41" t="s">
        <v>116</v>
      </c>
      <c r="L6450" s="195">
        <v>4.8642999999999999E-2</v>
      </c>
      <c r="M6450" s="52" t="s">
        <v>941</v>
      </c>
      <c r="N6450" s="195" t="s">
        <v>949</v>
      </c>
    </row>
    <row r="6451" spans="1:14" x14ac:dyDescent="0.2">
      <c r="A6451" s="30">
        <v>713</v>
      </c>
      <c r="B6451" s="249" t="str">
        <f>IF(AND(A6451&lt;&gt;"",ISNUMBER(A6451)),VLOOKUP(A6451,Studies!A:BR,2,FALSE),"")</f>
        <v>Moltke 1996</v>
      </c>
      <c r="C6451" s="250" t="str">
        <f>IF(AND(A6451&lt;&gt;"",ISNUMBER(A6451)),VLOOKUP(A6451,Studies!A:BR,3,FALSE),"")</f>
        <v>https://www.ncbi.nlm.nih.gov/pubmed/8632299</v>
      </c>
      <c r="D6451" s="250" t="str">
        <f>IF(AND(A6451&lt;&gt;"",ISNUMBER(A6451)),VLOOKUP(A6451,Studies!A:BR,4,FALSE),"")</f>
        <v>Triazolam + Placebo (Trial 2)</v>
      </c>
      <c r="E6451" s="250" t="str">
        <f>IF(AND(A6451&lt;&gt;"",ISNUMBER(A6451)),VLOOKUP(A6451,Studies!A:BR,5,FALSE),"")</f>
        <v>Triazolam</v>
      </c>
      <c r="F6451" s="251" t="str">
        <f>IF(AND(A6451&lt;&gt;"",ISNUMBER(A6451)),VLOOKUP(A6451,Studies!A:BR,6,FALSE),"")</f>
        <v>Plasma</v>
      </c>
      <c r="G6451" s="194">
        <v>8</v>
      </c>
      <c r="H6451" s="50" t="s">
        <v>60</v>
      </c>
      <c r="I6451" s="187">
        <v>0.3098707</v>
      </c>
      <c r="J6451" s="41" t="s">
        <v>941</v>
      </c>
      <c r="K6451" s="41" t="s">
        <v>116</v>
      </c>
      <c r="L6451" s="195">
        <v>3.9850999999999998E-2</v>
      </c>
      <c r="M6451" s="52" t="s">
        <v>941</v>
      </c>
      <c r="N6451" s="195" t="s">
        <v>949</v>
      </c>
    </row>
    <row r="6452" spans="1:14" x14ac:dyDescent="0.2">
      <c r="A6452" s="30">
        <v>714</v>
      </c>
      <c r="B6452" s="249" t="str">
        <f>IF(AND(A6452&lt;&gt;"",ISNUMBER(A6452)),VLOOKUP(A6452,Studies!A:BR,2,FALSE),"")</f>
        <v>O'Connor-Semmes 2001</v>
      </c>
      <c r="C6452" s="250" t="str">
        <f>IF(AND(A6452&lt;&gt;"",ISNUMBER(A6452)),VLOOKUP(A6452,Studies!A:BR,3,FALSE),"")</f>
        <v>https://www.ncbi.nlm.nih.gov/pubmed/11503006</v>
      </c>
      <c r="D6452" s="250" t="str">
        <f>IF(AND(A6452&lt;&gt;"",ISNUMBER(A6452)),VLOOKUP(A6452,Studies!A:BR,4,FALSE),"")</f>
        <v>Young group, triazolam alone</v>
      </c>
      <c r="E6452" s="250" t="str">
        <f>IF(AND(A6452&lt;&gt;"",ISNUMBER(A6452)),VLOOKUP(A6452,Studies!A:BR,5,FALSE),"")</f>
        <v>Triazolam</v>
      </c>
      <c r="F6452" s="251" t="str">
        <f>IF(AND(A6452&lt;&gt;"",ISNUMBER(A6452)),VLOOKUP(A6452,Studies!A:BR,6,FALSE),"")</f>
        <v>Plasma</v>
      </c>
      <c r="G6452" s="194">
        <v>0.25</v>
      </c>
      <c r="H6452" s="50" t="s">
        <v>60</v>
      </c>
      <c r="I6452" s="187">
        <v>0.18352940000000001</v>
      </c>
      <c r="J6452" s="41" t="s">
        <v>941</v>
      </c>
      <c r="K6452" s="41" t="s">
        <v>116</v>
      </c>
      <c r="N6452" s="195"/>
    </row>
    <row r="6453" spans="1:14" x14ac:dyDescent="0.2">
      <c r="A6453" s="30">
        <v>714</v>
      </c>
      <c r="B6453" s="249" t="str">
        <f>IF(AND(A6453&lt;&gt;"",ISNUMBER(A6453)),VLOOKUP(A6453,Studies!A:BR,2,FALSE),"")</f>
        <v>O'Connor-Semmes 2001</v>
      </c>
      <c r="C6453" s="250" t="str">
        <f>IF(AND(A6453&lt;&gt;"",ISNUMBER(A6453)),VLOOKUP(A6453,Studies!A:BR,3,FALSE),"")</f>
        <v>https://www.ncbi.nlm.nih.gov/pubmed/11503006</v>
      </c>
      <c r="D6453" s="250" t="str">
        <f>IF(AND(A6453&lt;&gt;"",ISNUMBER(A6453)),VLOOKUP(A6453,Studies!A:BR,4,FALSE),"")</f>
        <v>Young group, triazolam alone</v>
      </c>
      <c r="E6453" s="250" t="str">
        <f>IF(AND(A6453&lt;&gt;"",ISNUMBER(A6453)),VLOOKUP(A6453,Studies!A:BR,5,FALSE),"")</f>
        <v>Triazolam</v>
      </c>
      <c r="F6453" s="251" t="str">
        <f>IF(AND(A6453&lt;&gt;"",ISNUMBER(A6453)),VLOOKUP(A6453,Studies!A:BR,6,FALSE),"")</f>
        <v>Plasma</v>
      </c>
      <c r="G6453" s="194">
        <v>0.5</v>
      </c>
      <c r="H6453" s="50" t="s">
        <v>60</v>
      </c>
      <c r="I6453" s="187">
        <v>0.86470590000000003</v>
      </c>
      <c r="J6453" s="41" t="s">
        <v>941</v>
      </c>
      <c r="K6453" s="41" t="s">
        <v>116</v>
      </c>
      <c r="N6453" s="195"/>
    </row>
    <row r="6454" spans="1:14" x14ac:dyDescent="0.2">
      <c r="A6454" s="30">
        <v>714</v>
      </c>
      <c r="B6454" s="249" t="str">
        <f>IF(AND(A6454&lt;&gt;"",ISNUMBER(A6454)),VLOOKUP(A6454,Studies!A:BR,2,FALSE),"")</f>
        <v>O'Connor-Semmes 2001</v>
      </c>
      <c r="C6454" s="250" t="str">
        <f>IF(AND(A6454&lt;&gt;"",ISNUMBER(A6454)),VLOOKUP(A6454,Studies!A:BR,3,FALSE),"")</f>
        <v>https://www.ncbi.nlm.nih.gov/pubmed/11503006</v>
      </c>
      <c r="D6454" s="250" t="str">
        <f>IF(AND(A6454&lt;&gt;"",ISNUMBER(A6454)),VLOOKUP(A6454,Studies!A:BR,4,FALSE),"")</f>
        <v>Young group, triazolam alone</v>
      </c>
      <c r="E6454" s="250" t="str">
        <f>IF(AND(A6454&lt;&gt;"",ISNUMBER(A6454)),VLOOKUP(A6454,Studies!A:BR,5,FALSE),"")</f>
        <v>Triazolam</v>
      </c>
      <c r="F6454" s="251" t="str">
        <f>IF(AND(A6454&lt;&gt;"",ISNUMBER(A6454)),VLOOKUP(A6454,Studies!A:BR,6,FALSE),"")</f>
        <v>Plasma</v>
      </c>
      <c r="G6454" s="194">
        <v>0.75</v>
      </c>
      <c r="H6454" s="50" t="s">
        <v>60</v>
      </c>
      <c r="I6454" s="187">
        <v>1.192941</v>
      </c>
      <c r="J6454" s="41" t="s">
        <v>941</v>
      </c>
      <c r="K6454" s="41" t="s">
        <v>116</v>
      </c>
      <c r="N6454" s="195"/>
    </row>
    <row r="6455" spans="1:14" x14ac:dyDescent="0.2">
      <c r="A6455" s="30">
        <v>714</v>
      </c>
      <c r="B6455" s="249" t="str">
        <f>IF(AND(A6455&lt;&gt;"",ISNUMBER(A6455)),VLOOKUP(A6455,Studies!A:BR,2,FALSE),"")</f>
        <v>O'Connor-Semmes 2001</v>
      </c>
      <c r="C6455" s="250" t="str">
        <f>IF(AND(A6455&lt;&gt;"",ISNUMBER(A6455)),VLOOKUP(A6455,Studies!A:BR,3,FALSE),"")</f>
        <v>https://www.ncbi.nlm.nih.gov/pubmed/11503006</v>
      </c>
      <c r="D6455" s="250" t="str">
        <f>IF(AND(A6455&lt;&gt;"",ISNUMBER(A6455)),VLOOKUP(A6455,Studies!A:BR,4,FALSE),"")</f>
        <v>Young group, triazolam alone</v>
      </c>
      <c r="E6455" s="250" t="str">
        <f>IF(AND(A6455&lt;&gt;"",ISNUMBER(A6455)),VLOOKUP(A6455,Studies!A:BR,5,FALSE),"")</f>
        <v>Triazolam</v>
      </c>
      <c r="F6455" s="251" t="str">
        <f>IF(AND(A6455&lt;&gt;"",ISNUMBER(A6455)),VLOOKUP(A6455,Studies!A:BR,6,FALSE),"")</f>
        <v>Plasma</v>
      </c>
      <c r="G6455" s="194">
        <v>1</v>
      </c>
      <c r="H6455" s="50" t="s">
        <v>60</v>
      </c>
      <c r="I6455" s="187">
        <v>1.401176</v>
      </c>
      <c r="J6455" s="41" t="s">
        <v>941</v>
      </c>
      <c r="K6455" s="41" t="s">
        <v>116</v>
      </c>
      <c r="N6455" s="195"/>
    </row>
    <row r="6456" spans="1:14" x14ac:dyDescent="0.2">
      <c r="A6456" s="30">
        <v>714</v>
      </c>
      <c r="B6456" s="249" t="str">
        <f>IF(AND(A6456&lt;&gt;"",ISNUMBER(A6456)),VLOOKUP(A6456,Studies!A:BR,2,FALSE),"")</f>
        <v>O'Connor-Semmes 2001</v>
      </c>
      <c r="C6456" s="250" t="str">
        <f>IF(AND(A6456&lt;&gt;"",ISNUMBER(A6456)),VLOOKUP(A6456,Studies!A:BR,3,FALSE),"")</f>
        <v>https://www.ncbi.nlm.nih.gov/pubmed/11503006</v>
      </c>
      <c r="D6456" s="250" t="str">
        <f>IF(AND(A6456&lt;&gt;"",ISNUMBER(A6456)),VLOOKUP(A6456,Studies!A:BR,4,FALSE),"")</f>
        <v>Young group, triazolam alone</v>
      </c>
      <c r="E6456" s="250" t="str">
        <f>IF(AND(A6456&lt;&gt;"",ISNUMBER(A6456)),VLOOKUP(A6456,Studies!A:BR,5,FALSE),"")</f>
        <v>Triazolam</v>
      </c>
      <c r="F6456" s="251" t="str">
        <f>IF(AND(A6456&lt;&gt;"",ISNUMBER(A6456)),VLOOKUP(A6456,Studies!A:BR,6,FALSE),"")</f>
        <v>Plasma</v>
      </c>
      <c r="G6456" s="194">
        <v>1.5</v>
      </c>
      <c r="H6456" s="50" t="s">
        <v>60</v>
      </c>
      <c r="I6456" s="187">
        <v>1.549412</v>
      </c>
      <c r="J6456" s="41" t="s">
        <v>941</v>
      </c>
      <c r="K6456" s="41" t="s">
        <v>116</v>
      </c>
      <c r="N6456" s="195"/>
    </row>
    <row r="6457" spans="1:14" x14ac:dyDescent="0.2">
      <c r="A6457" s="30">
        <v>714</v>
      </c>
      <c r="B6457" s="249" t="str">
        <f>IF(AND(A6457&lt;&gt;"",ISNUMBER(A6457)),VLOOKUP(A6457,Studies!A:BR,2,FALSE),"")</f>
        <v>O'Connor-Semmes 2001</v>
      </c>
      <c r="C6457" s="250" t="str">
        <f>IF(AND(A6457&lt;&gt;"",ISNUMBER(A6457)),VLOOKUP(A6457,Studies!A:BR,3,FALSE),"")</f>
        <v>https://www.ncbi.nlm.nih.gov/pubmed/11503006</v>
      </c>
      <c r="D6457" s="250" t="str">
        <f>IF(AND(A6457&lt;&gt;"",ISNUMBER(A6457)),VLOOKUP(A6457,Studies!A:BR,4,FALSE),"")</f>
        <v>Young group, triazolam alone</v>
      </c>
      <c r="E6457" s="250" t="str">
        <f>IF(AND(A6457&lt;&gt;"",ISNUMBER(A6457)),VLOOKUP(A6457,Studies!A:BR,5,FALSE),"")</f>
        <v>Triazolam</v>
      </c>
      <c r="F6457" s="251" t="str">
        <f>IF(AND(A6457&lt;&gt;"",ISNUMBER(A6457)),VLOOKUP(A6457,Studies!A:BR,6,FALSE),"")</f>
        <v>Plasma</v>
      </c>
      <c r="G6457" s="194">
        <v>2</v>
      </c>
      <c r="H6457" s="50" t="s">
        <v>60</v>
      </c>
      <c r="I6457" s="187">
        <v>1.531765</v>
      </c>
      <c r="J6457" s="41" t="s">
        <v>941</v>
      </c>
      <c r="K6457" s="41" t="s">
        <v>116</v>
      </c>
      <c r="N6457" s="195"/>
    </row>
    <row r="6458" spans="1:14" x14ac:dyDescent="0.2">
      <c r="A6458" s="30">
        <v>714</v>
      </c>
      <c r="B6458" s="249" t="str">
        <f>IF(AND(A6458&lt;&gt;"",ISNUMBER(A6458)),VLOOKUP(A6458,Studies!A:BR,2,FALSE),"")</f>
        <v>O'Connor-Semmes 2001</v>
      </c>
      <c r="C6458" s="250" t="str">
        <f>IF(AND(A6458&lt;&gt;"",ISNUMBER(A6458)),VLOOKUP(A6458,Studies!A:BR,3,FALSE),"")</f>
        <v>https://www.ncbi.nlm.nih.gov/pubmed/11503006</v>
      </c>
      <c r="D6458" s="250" t="str">
        <f>IF(AND(A6458&lt;&gt;"",ISNUMBER(A6458)),VLOOKUP(A6458,Studies!A:BR,4,FALSE),"")</f>
        <v>Young group, triazolam alone</v>
      </c>
      <c r="E6458" s="250" t="str">
        <f>IF(AND(A6458&lt;&gt;"",ISNUMBER(A6458)),VLOOKUP(A6458,Studies!A:BR,5,FALSE),"")</f>
        <v>Triazolam</v>
      </c>
      <c r="F6458" s="251" t="str">
        <f>IF(AND(A6458&lt;&gt;"",ISNUMBER(A6458)),VLOOKUP(A6458,Studies!A:BR,6,FALSE),"")</f>
        <v>Plasma</v>
      </c>
      <c r="G6458" s="194">
        <v>2.5</v>
      </c>
      <c r="H6458" s="50" t="s">
        <v>60</v>
      </c>
      <c r="I6458" s="187">
        <v>1.394118</v>
      </c>
      <c r="J6458" s="41" t="s">
        <v>941</v>
      </c>
      <c r="K6458" s="41" t="s">
        <v>116</v>
      </c>
      <c r="N6458" s="195"/>
    </row>
    <row r="6459" spans="1:14" x14ac:dyDescent="0.2">
      <c r="A6459" s="30">
        <v>714</v>
      </c>
      <c r="B6459" s="249" t="str">
        <f>IF(AND(A6459&lt;&gt;"",ISNUMBER(A6459)),VLOOKUP(A6459,Studies!A:BR,2,FALSE),"")</f>
        <v>O'Connor-Semmes 2001</v>
      </c>
      <c r="C6459" s="250" t="str">
        <f>IF(AND(A6459&lt;&gt;"",ISNUMBER(A6459)),VLOOKUP(A6459,Studies!A:BR,3,FALSE),"")</f>
        <v>https://www.ncbi.nlm.nih.gov/pubmed/11503006</v>
      </c>
      <c r="D6459" s="250" t="str">
        <f>IF(AND(A6459&lt;&gt;"",ISNUMBER(A6459)),VLOOKUP(A6459,Studies!A:BR,4,FALSE),"")</f>
        <v>Young group, triazolam alone</v>
      </c>
      <c r="E6459" s="250" t="str">
        <f>IF(AND(A6459&lt;&gt;"",ISNUMBER(A6459)),VLOOKUP(A6459,Studies!A:BR,5,FALSE),"")</f>
        <v>Triazolam</v>
      </c>
      <c r="F6459" s="251" t="str">
        <f>IF(AND(A6459&lt;&gt;"",ISNUMBER(A6459)),VLOOKUP(A6459,Studies!A:BR,6,FALSE),"")</f>
        <v>Plasma</v>
      </c>
      <c r="G6459" s="194">
        <v>3</v>
      </c>
      <c r="H6459" s="50" t="s">
        <v>60</v>
      </c>
      <c r="I6459" s="187">
        <v>1.2988230000000001</v>
      </c>
      <c r="J6459" s="41" t="s">
        <v>941</v>
      </c>
      <c r="K6459" s="41" t="s">
        <v>116</v>
      </c>
      <c r="N6459" s="195"/>
    </row>
    <row r="6460" spans="1:14" x14ac:dyDescent="0.2">
      <c r="A6460" s="30">
        <v>714</v>
      </c>
      <c r="B6460" s="249" t="str">
        <f>IF(AND(A6460&lt;&gt;"",ISNUMBER(A6460)),VLOOKUP(A6460,Studies!A:BR,2,FALSE),"")</f>
        <v>O'Connor-Semmes 2001</v>
      </c>
      <c r="C6460" s="250" t="str">
        <f>IF(AND(A6460&lt;&gt;"",ISNUMBER(A6460)),VLOOKUP(A6460,Studies!A:BR,3,FALSE),"")</f>
        <v>https://www.ncbi.nlm.nih.gov/pubmed/11503006</v>
      </c>
      <c r="D6460" s="250" t="str">
        <f>IF(AND(A6460&lt;&gt;"",ISNUMBER(A6460)),VLOOKUP(A6460,Studies!A:BR,4,FALSE),"")</f>
        <v>Young group, triazolam alone</v>
      </c>
      <c r="E6460" s="250" t="str">
        <f>IF(AND(A6460&lt;&gt;"",ISNUMBER(A6460)),VLOOKUP(A6460,Studies!A:BR,5,FALSE),"")</f>
        <v>Triazolam</v>
      </c>
      <c r="F6460" s="251" t="str">
        <f>IF(AND(A6460&lt;&gt;"",ISNUMBER(A6460)),VLOOKUP(A6460,Studies!A:BR,6,FALSE),"")</f>
        <v>Plasma</v>
      </c>
      <c r="G6460" s="194">
        <v>4</v>
      </c>
      <c r="H6460" s="50" t="s">
        <v>60</v>
      </c>
      <c r="I6460" s="187">
        <v>1.0623530000000001</v>
      </c>
      <c r="J6460" s="41" t="s">
        <v>941</v>
      </c>
      <c r="K6460" s="41" t="s">
        <v>116</v>
      </c>
      <c r="N6460" s="195"/>
    </row>
    <row r="6461" spans="1:14" x14ac:dyDescent="0.2">
      <c r="A6461" s="30">
        <v>714</v>
      </c>
      <c r="B6461" s="249" t="str">
        <f>IF(AND(A6461&lt;&gt;"",ISNUMBER(A6461)),VLOOKUP(A6461,Studies!A:BR,2,FALSE),"")</f>
        <v>O'Connor-Semmes 2001</v>
      </c>
      <c r="C6461" s="250" t="str">
        <f>IF(AND(A6461&lt;&gt;"",ISNUMBER(A6461)),VLOOKUP(A6461,Studies!A:BR,3,FALSE),"")</f>
        <v>https://www.ncbi.nlm.nih.gov/pubmed/11503006</v>
      </c>
      <c r="D6461" s="250" t="str">
        <f>IF(AND(A6461&lt;&gt;"",ISNUMBER(A6461)),VLOOKUP(A6461,Studies!A:BR,4,FALSE),"")</f>
        <v>Young group, triazolam alone</v>
      </c>
      <c r="E6461" s="250" t="str">
        <f>IF(AND(A6461&lt;&gt;"",ISNUMBER(A6461)),VLOOKUP(A6461,Studies!A:BR,5,FALSE),"")</f>
        <v>Triazolam</v>
      </c>
      <c r="F6461" s="251" t="str">
        <f>IF(AND(A6461&lt;&gt;"",ISNUMBER(A6461)),VLOOKUP(A6461,Studies!A:BR,6,FALSE),"")</f>
        <v>Plasma</v>
      </c>
      <c r="G6461" s="194">
        <v>6</v>
      </c>
      <c r="H6461" s="50" t="s">
        <v>60</v>
      </c>
      <c r="I6461" s="187">
        <v>0.74823530000000005</v>
      </c>
      <c r="J6461" s="41" t="s">
        <v>941</v>
      </c>
      <c r="K6461" s="41" t="s">
        <v>116</v>
      </c>
      <c r="N6461" s="195"/>
    </row>
    <row r="6462" spans="1:14" x14ac:dyDescent="0.2">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8</v>
      </c>
      <c r="H6462" s="50" t="s">
        <v>60</v>
      </c>
      <c r="I6462" s="187">
        <v>0.51176469999999996</v>
      </c>
      <c r="J6462" s="41" t="s">
        <v>941</v>
      </c>
      <c r="K6462" s="41" t="s">
        <v>116</v>
      </c>
      <c r="N6462" s="195"/>
    </row>
    <row r="6463" spans="1:14" x14ac:dyDescent="0.2">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10</v>
      </c>
      <c r="H6463" s="50" t="s">
        <v>60</v>
      </c>
      <c r="I6463" s="187">
        <v>0.37411759999999999</v>
      </c>
      <c r="J6463" s="41" t="s">
        <v>941</v>
      </c>
      <c r="K6463" s="41" t="s">
        <v>116</v>
      </c>
      <c r="N6463" s="195"/>
    </row>
    <row r="6464" spans="1:14" x14ac:dyDescent="0.2">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12</v>
      </c>
      <c r="H6464" s="50" t="s">
        <v>60</v>
      </c>
      <c r="I6464" s="187">
        <v>0.24</v>
      </c>
      <c r="J6464" s="41" t="s">
        <v>941</v>
      </c>
      <c r="K6464" s="41" t="s">
        <v>116</v>
      </c>
      <c r="N6464" s="195"/>
    </row>
    <row r="6465" spans="1:14" x14ac:dyDescent="0.2">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15</v>
      </c>
      <c r="H6465" s="50" t="s">
        <v>60</v>
      </c>
      <c r="I6465" s="187">
        <v>0.1235294</v>
      </c>
      <c r="J6465" s="41" t="s">
        <v>941</v>
      </c>
      <c r="K6465" s="41" t="s">
        <v>116</v>
      </c>
      <c r="N6465" s="195"/>
    </row>
    <row r="6466" spans="1:14" x14ac:dyDescent="0.2">
      <c r="A6466" s="30">
        <v>715</v>
      </c>
      <c r="B6466" s="249" t="str">
        <f>IF(AND(A6466&lt;&gt;"",ISNUMBER(A6466)),VLOOKUP(A6466,Studies!A:BR,2,FALSE),"")</f>
        <v>Ochs 1984</v>
      </c>
      <c r="C6466" s="250" t="str">
        <f>IF(AND(A6466&lt;&gt;"",ISNUMBER(A6466)),VLOOKUP(A6466,Studies!A:BR,3,FALSE),"")</f>
        <v>https://www.ncbi.nlm.nih.gov/pubmed/6142906</v>
      </c>
      <c r="D6466" s="250" t="str">
        <f>IF(AND(A6466&lt;&gt;"",ISNUMBER(A6466)),VLOOKUP(A6466,Studies!A:BR,4,FALSE),"")</f>
        <v>Control</v>
      </c>
      <c r="E6466" s="250" t="str">
        <f>IF(AND(A6466&lt;&gt;"",ISNUMBER(A6466)),VLOOKUP(A6466,Studies!A:BR,5,FALSE),"")</f>
        <v>Triazolam</v>
      </c>
      <c r="F6466" s="251" t="str">
        <f>IF(AND(A6466&lt;&gt;"",ISNUMBER(A6466)),VLOOKUP(A6466,Studies!A:BR,6,FALSE),"")</f>
        <v>Plasma</v>
      </c>
      <c r="G6466" s="194">
        <v>0.25</v>
      </c>
      <c r="H6466" s="50" t="s">
        <v>60</v>
      </c>
      <c r="I6466" s="187">
        <v>0.313</v>
      </c>
      <c r="J6466" s="41" t="s">
        <v>941</v>
      </c>
      <c r="K6466" s="41" t="s">
        <v>116</v>
      </c>
      <c r="L6466" s="195">
        <v>0.27156400000000003</v>
      </c>
      <c r="M6466" s="52" t="s">
        <v>941</v>
      </c>
      <c r="N6466" s="195" t="s">
        <v>949</v>
      </c>
    </row>
    <row r="6467" spans="1:14" x14ac:dyDescent="0.2">
      <c r="A6467" s="30">
        <v>715</v>
      </c>
      <c r="B6467" s="249" t="str">
        <f>IF(AND(A6467&lt;&gt;"",ISNUMBER(A6467)),VLOOKUP(A6467,Studies!A:BR,2,FALSE),"")</f>
        <v>Ochs 1984</v>
      </c>
      <c r="C6467" s="250" t="str">
        <f>IF(AND(A6467&lt;&gt;"",ISNUMBER(A6467)),VLOOKUP(A6467,Studies!A:BR,3,FALSE),"")</f>
        <v>https://www.ncbi.nlm.nih.gov/pubmed/6142906</v>
      </c>
      <c r="D6467" s="250" t="str">
        <f>IF(AND(A6467&lt;&gt;"",ISNUMBER(A6467)),VLOOKUP(A6467,Studies!A:BR,4,FALSE),"")</f>
        <v>Control</v>
      </c>
      <c r="E6467" s="250" t="str">
        <f>IF(AND(A6467&lt;&gt;"",ISNUMBER(A6467)),VLOOKUP(A6467,Studies!A:BR,5,FALSE),"")</f>
        <v>Triazolam</v>
      </c>
      <c r="F6467" s="251" t="str">
        <f>IF(AND(A6467&lt;&gt;"",ISNUMBER(A6467)),VLOOKUP(A6467,Studies!A:BR,6,FALSE),"")</f>
        <v>Plasma</v>
      </c>
      <c r="G6467" s="194">
        <v>0.5</v>
      </c>
      <c r="H6467" s="50" t="s">
        <v>60</v>
      </c>
      <c r="I6467" s="187">
        <v>3.67</v>
      </c>
      <c r="J6467" s="41" t="s">
        <v>941</v>
      </c>
      <c r="K6467" s="41" t="s">
        <v>116</v>
      </c>
      <c r="L6467" s="195">
        <v>1.3954580000000001</v>
      </c>
      <c r="M6467" s="52" t="s">
        <v>941</v>
      </c>
      <c r="N6467" s="195" t="s">
        <v>949</v>
      </c>
    </row>
    <row r="6468" spans="1:14" x14ac:dyDescent="0.2">
      <c r="A6468" s="30">
        <v>715</v>
      </c>
      <c r="B6468" s="249" t="str">
        <f>IF(AND(A6468&lt;&gt;"",ISNUMBER(A6468)),VLOOKUP(A6468,Studies!A:BR,2,FALSE),"")</f>
        <v>Ochs 1984</v>
      </c>
      <c r="C6468" s="250" t="str">
        <f>IF(AND(A6468&lt;&gt;"",ISNUMBER(A6468)),VLOOKUP(A6468,Studies!A:BR,3,FALSE),"")</f>
        <v>https://www.ncbi.nlm.nih.gov/pubmed/6142906</v>
      </c>
      <c r="D6468" s="250" t="str">
        <f>IF(AND(A6468&lt;&gt;"",ISNUMBER(A6468)),VLOOKUP(A6468,Studies!A:BR,4,FALSE),"")</f>
        <v>Control</v>
      </c>
      <c r="E6468" s="250" t="str">
        <f>IF(AND(A6468&lt;&gt;"",ISNUMBER(A6468)),VLOOKUP(A6468,Studies!A:BR,5,FALSE),"")</f>
        <v>Triazolam</v>
      </c>
      <c r="F6468" s="251" t="str">
        <f>IF(AND(A6468&lt;&gt;"",ISNUMBER(A6468)),VLOOKUP(A6468,Studies!A:BR,6,FALSE),"")</f>
        <v>Plasma</v>
      </c>
      <c r="G6468" s="194">
        <v>0.75</v>
      </c>
      <c r="H6468" s="50" t="s">
        <v>60</v>
      </c>
      <c r="I6468" s="187">
        <v>4.57</v>
      </c>
      <c r="J6468" s="41" t="s">
        <v>941</v>
      </c>
      <c r="K6468" s="41" t="s">
        <v>116</v>
      </c>
      <c r="L6468" s="195">
        <v>1.209692</v>
      </c>
      <c r="M6468" s="52" t="s">
        <v>941</v>
      </c>
      <c r="N6468" s="195" t="s">
        <v>949</v>
      </c>
    </row>
    <row r="6469" spans="1:14" x14ac:dyDescent="0.2">
      <c r="A6469" s="30">
        <v>715</v>
      </c>
      <c r="B6469" s="249" t="str">
        <f>IF(AND(A6469&lt;&gt;"",ISNUMBER(A6469)),VLOOKUP(A6469,Studies!A:BR,2,FALSE),"")</f>
        <v>Ochs 1984</v>
      </c>
      <c r="C6469" s="250" t="str">
        <f>IF(AND(A6469&lt;&gt;"",ISNUMBER(A6469)),VLOOKUP(A6469,Studies!A:BR,3,FALSE),"")</f>
        <v>https://www.ncbi.nlm.nih.gov/pubmed/6142906</v>
      </c>
      <c r="D6469" s="250" t="str">
        <f>IF(AND(A6469&lt;&gt;"",ISNUMBER(A6469)),VLOOKUP(A6469,Studies!A:BR,4,FALSE),"")</f>
        <v>Control</v>
      </c>
      <c r="E6469" s="250" t="str">
        <f>IF(AND(A6469&lt;&gt;"",ISNUMBER(A6469)),VLOOKUP(A6469,Studies!A:BR,5,FALSE),"")</f>
        <v>Triazolam</v>
      </c>
      <c r="F6469" s="251" t="str">
        <f>IF(AND(A6469&lt;&gt;"",ISNUMBER(A6469)),VLOOKUP(A6469,Studies!A:BR,6,FALSE),"")</f>
        <v>Plasma</v>
      </c>
      <c r="G6469" s="194">
        <v>1</v>
      </c>
      <c r="H6469" s="50" t="s">
        <v>60</v>
      </c>
      <c r="I6469" s="187">
        <v>4.63</v>
      </c>
      <c r="J6469" s="41" t="s">
        <v>941</v>
      </c>
      <c r="K6469" s="41" t="s">
        <v>116</v>
      </c>
      <c r="L6469" s="195">
        <v>1.0984449999999999</v>
      </c>
      <c r="M6469" s="52" t="s">
        <v>941</v>
      </c>
      <c r="N6469" s="195" t="s">
        <v>949</v>
      </c>
    </row>
    <row r="6470" spans="1:14" x14ac:dyDescent="0.2">
      <c r="A6470" s="30">
        <v>715</v>
      </c>
      <c r="B6470" s="249" t="str">
        <f>IF(AND(A6470&lt;&gt;"",ISNUMBER(A6470)),VLOOKUP(A6470,Studies!A:BR,2,FALSE),"")</f>
        <v>Ochs 1984</v>
      </c>
      <c r="C6470" s="250" t="str">
        <f>IF(AND(A6470&lt;&gt;"",ISNUMBER(A6470)),VLOOKUP(A6470,Studies!A:BR,3,FALSE),"")</f>
        <v>https://www.ncbi.nlm.nih.gov/pubmed/6142906</v>
      </c>
      <c r="D6470" s="250" t="str">
        <f>IF(AND(A6470&lt;&gt;"",ISNUMBER(A6470)),VLOOKUP(A6470,Studies!A:BR,4,FALSE),"")</f>
        <v>Control</v>
      </c>
      <c r="E6470" s="250" t="str">
        <f>IF(AND(A6470&lt;&gt;"",ISNUMBER(A6470)),VLOOKUP(A6470,Studies!A:BR,5,FALSE),"")</f>
        <v>Triazolam</v>
      </c>
      <c r="F6470" s="251" t="str">
        <f>IF(AND(A6470&lt;&gt;"",ISNUMBER(A6470)),VLOOKUP(A6470,Studies!A:BR,6,FALSE),"")</f>
        <v>Plasma</v>
      </c>
      <c r="G6470" s="194">
        <v>2</v>
      </c>
      <c r="H6470" s="50" t="s">
        <v>60</v>
      </c>
      <c r="I6470" s="187">
        <v>4.4009999999999998</v>
      </c>
      <c r="J6470" s="41" t="s">
        <v>941</v>
      </c>
      <c r="K6470" s="41" t="s">
        <v>116</v>
      </c>
      <c r="L6470" s="195">
        <v>0.61749600000000004</v>
      </c>
      <c r="M6470" s="52" t="s">
        <v>941</v>
      </c>
      <c r="N6470" s="195" t="s">
        <v>949</v>
      </c>
    </row>
    <row r="6471" spans="1:14" x14ac:dyDescent="0.2">
      <c r="A6471" s="30">
        <v>715</v>
      </c>
      <c r="B6471" s="249" t="str">
        <f>IF(AND(A6471&lt;&gt;"",ISNUMBER(A6471)),VLOOKUP(A6471,Studies!A:BR,2,FALSE),"")</f>
        <v>Ochs 1984</v>
      </c>
      <c r="C6471" s="250" t="str">
        <f>IF(AND(A6471&lt;&gt;"",ISNUMBER(A6471)),VLOOKUP(A6471,Studies!A:BR,3,FALSE),"")</f>
        <v>https://www.ncbi.nlm.nih.gov/pubmed/6142906</v>
      </c>
      <c r="D6471" s="250" t="str">
        <f>IF(AND(A6471&lt;&gt;"",ISNUMBER(A6471)),VLOOKUP(A6471,Studies!A:BR,4,FALSE),"")</f>
        <v>Control</v>
      </c>
      <c r="E6471" s="250" t="str">
        <f>IF(AND(A6471&lt;&gt;"",ISNUMBER(A6471)),VLOOKUP(A6471,Studies!A:BR,5,FALSE),"")</f>
        <v>Triazolam</v>
      </c>
      <c r="F6471" s="251" t="str">
        <f>IF(AND(A6471&lt;&gt;"",ISNUMBER(A6471)),VLOOKUP(A6471,Studies!A:BR,6,FALSE),"")</f>
        <v>Plasma</v>
      </c>
      <c r="G6471" s="194">
        <v>3</v>
      </c>
      <c r="H6471" s="50" t="s">
        <v>60</v>
      </c>
      <c r="I6471" s="187">
        <v>3.4319999999999999</v>
      </c>
      <c r="J6471" s="41" t="s">
        <v>941</v>
      </c>
      <c r="K6471" s="41" t="s">
        <v>116</v>
      </c>
      <c r="L6471" s="195">
        <v>0.49359900000000001</v>
      </c>
      <c r="M6471" s="52" t="s">
        <v>941</v>
      </c>
      <c r="N6471" s="195" t="s">
        <v>949</v>
      </c>
    </row>
    <row r="6472" spans="1:14" x14ac:dyDescent="0.2">
      <c r="A6472" s="30">
        <v>715</v>
      </c>
      <c r="B6472" s="249" t="str">
        <f>IF(AND(A6472&lt;&gt;"",ISNUMBER(A6472)),VLOOKUP(A6472,Studies!A:BR,2,FALSE),"")</f>
        <v>Ochs 1984</v>
      </c>
      <c r="C6472" s="250" t="str">
        <f>IF(AND(A6472&lt;&gt;"",ISNUMBER(A6472)),VLOOKUP(A6472,Studies!A:BR,3,FALSE),"")</f>
        <v>https://www.ncbi.nlm.nih.gov/pubmed/6142906</v>
      </c>
      <c r="D6472" s="250" t="str">
        <f>IF(AND(A6472&lt;&gt;"",ISNUMBER(A6472)),VLOOKUP(A6472,Studies!A:BR,4,FALSE),"")</f>
        <v>Control</v>
      </c>
      <c r="E6472" s="250" t="str">
        <f>IF(AND(A6472&lt;&gt;"",ISNUMBER(A6472)),VLOOKUP(A6472,Studies!A:BR,5,FALSE),"")</f>
        <v>Triazolam</v>
      </c>
      <c r="F6472" s="251" t="str">
        <f>IF(AND(A6472&lt;&gt;"",ISNUMBER(A6472)),VLOOKUP(A6472,Studies!A:BR,6,FALSE),"")</f>
        <v>Plasma</v>
      </c>
      <c r="G6472" s="194">
        <v>4</v>
      </c>
      <c r="H6472" s="50" t="s">
        <v>60</v>
      </c>
      <c r="I6472" s="187">
        <v>2.722</v>
      </c>
      <c r="J6472" s="41" t="s">
        <v>941</v>
      </c>
      <c r="K6472" s="41" t="s">
        <v>116</v>
      </c>
      <c r="L6472" s="195">
        <v>0.55562400000000001</v>
      </c>
      <c r="M6472" s="52" t="s">
        <v>941</v>
      </c>
      <c r="N6472" s="195" t="s">
        <v>949</v>
      </c>
    </row>
    <row r="6473" spans="1:14" x14ac:dyDescent="0.2">
      <c r="A6473" s="30">
        <v>715</v>
      </c>
      <c r="B6473" s="249" t="str">
        <f>IF(AND(A6473&lt;&gt;"",ISNUMBER(A6473)),VLOOKUP(A6473,Studies!A:BR,2,FALSE),"")</f>
        <v>Ochs 1984</v>
      </c>
      <c r="C6473" s="250" t="str">
        <f>IF(AND(A6473&lt;&gt;"",ISNUMBER(A6473)),VLOOKUP(A6473,Studies!A:BR,3,FALSE),"")</f>
        <v>https://www.ncbi.nlm.nih.gov/pubmed/6142906</v>
      </c>
      <c r="D6473" s="250" t="str">
        <f>IF(AND(A6473&lt;&gt;"",ISNUMBER(A6473)),VLOOKUP(A6473,Studies!A:BR,4,FALSE),"")</f>
        <v>Control</v>
      </c>
      <c r="E6473" s="250" t="str">
        <f>IF(AND(A6473&lt;&gt;"",ISNUMBER(A6473)),VLOOKUP(A6473,Studies!A:BR,5,FALSE),"")</f>
        <v>Triazolam</v>
      </c>
      <c r="F6473" s="251" t="str">
        <f>IF(AND(A6473&lt;&gt;"",ISNUMBER(A6473)),VLOOKUP(A6473,Studies!A:BR,6,FALSE),"")</f>
        <v>Plasma</v>
      </c>
      <c r="G6473" s="194">
        <v>6</v>
      </c>
      <c r="H6473" s="50" t="s">
        <v>60</v>
      </c>
      <c r="I6473" s="187">
        <v>1.6479999999999999</v>
      </c>
      <c r="J6473" s="41" t="s">
        <v>941</v>
      </c>
      <c r="K6473" s="41" t="s">
        <v>116</v>
      </c>
      <c r="L6473" s="195">
        <v>0.48155999999999999</v>
      </c>
      <c r="M6473" s="52" t="s">
        <v>941</v>
      </c>
      <c r="N6473" s="195" t="s">
        <v>949</v>
      </c>
    </row>
    <row r="6474" spans="1:14" x14ac:dyDescent="0.2">
      <c r="A6474" s="30">
        <v>715</v>
      </c>
      <c r="B6474" s="249" t="str">
        <f>IF(AND(A6474&lt;&gt;"",ISNUMBER(A6474)),VLOOKUP(A6474,Studies!A:BR,2,FALSE),"")</f>
        <v>Ochs 1984</v>
      </c>
      <c r="C6474" s="250" t="str">
        <f>IF(AND(A6474&lt;&gt;"",ISNUMBER(A6474)),VLOOKUP(A6474,Studies!A:BR,3,FALSE),"")</f>
        <v>https://www.ncbi.nlm.nih.gov/pubmed/6142906</v>
      </c>
      <c r="D6474" s="250" t="str">
        <f>IF(AND(A6474&lt;&gt;"",ISNUMBER(A6474)),VLOOKUP(A6474,Studies!A:BR,4,FALSE),"")</f>
        <v>Control</v>
      </c>
      <c r="E6474" s="250" t="str">
        <f>IF(AND(A6474&lt;&gt;"",ISNUMBER(A6474)),VLOOKUP(A6474,Studies!A:BR,5,FALSE),"")</f>
        <v>Triazolam</v>
      </c>
      <c r="F6474" s="251" t="str">
        <f>IF(AND(A6474&lt;&gt;"",ISNUMBER(A6474)),VLOOKUP(A6474,Studies!A:BR,6,FALSE),"")</f>
        <v>Plasma</v>
      </c>
      <c r="G6474" s="194">
        <v>8</v>
      </c>
      <c r="H6474" s="50" t="s">
        <v>60</v>
      </c>
      <c r="I6474" s="187">
        <v>0.94499999999999995</v>
      </c>
      <c r="J6474" s="41" t="s">
        <v>941</v>
      </c>
      <c r="K6474" s="41" t="s">
        <v>116</v>
      </c>
      <c r="L6474" s="195">
        <v>0.382658</v>
      </c>
      <c r="M6474" s="52" t="s">
        <v>941</v>
      </c>
      <c r="N6474" s="195" t="s">
        <v>949</v>
      </c>
    </row>
    <row r="6475" spans="1:14" x14ac:dyDescent="0.2">
      <c r="A6475" s="30">
        <v>715</v>
      </c>
      <c r="B6475" s="249" t="str">
        <f>IF(AND(A6475&lt;&gt;"",ISNUMBER(A6475)),VLOOKUP(A6475,Studies!A:BR,2,FALSE),"")</f>
        <v>Ochs 1984</v>
      </c>
      <c r="C6475" s="250" t="str">
        <f>IF(AND(A6475&lt;&gt;"",ISNUMBER(A6475)),VLOOKUP(A6475,Studies!A:BR,3,FALSE),"")</f>
        <v>https://www.ncbi.nlm.nih.gov/pubmed/6142906</v>
      </c>
      <c r="D6475" s="250" t="str">
        <f>IF(AND(A6475&lt;&gt;"",ISNUMBER(A6475)),VLOOKUP(A6475,Studies!A:BR,4,FALSE),"")</f>
        <v>Control</v>
      </c>
      <c r="E6475" s="250" t="str">
        <f>IF(AND(A6475&lt;&gt;"",ISNUMBER(A6475)),VLOOKUP(A6475,Studies!A:BR,5,FALSE),"")</f>
        <v>Triazolam</v>
      </c>
      <c r="F6475" s="251" t="str">
        <f>IF(AND(A6475&lt;&gt;"",ISNUMBER(A6475)),VLOOKUP(A6475,Studies!A:BR,6,FALSE),"")</f>
        <v>Plasma</v>
      </c>
      <c r="G6475" s="194">
        <v>12</v>
      </c>
      <c r="H6475" s="50" t="s">
        <v>60</v>
      </c>
      <c r="I6475" s="187">
        <v>0.377</v>
      </c>
      <c r="J6475" s="41" t="s">
        <v>941</v>
      </c>
      <c r="K6475" s="41" t="s">
        <v>116</v>
      </c>
      <c r="L6475" s="195">
        <v>0.19750100000000001</v>
      </c>
      <c r="M6475" s="52" t="s">
        <v>941</v>
      </c>
      <c r="N6475" s="195" t="s">
        <v>949</v>
      </c>
    </row>
    <row r="6476" spans="1:14" x14ac:dyDescent="0.2">
      <c r="A6476" s="30">
        <v>716</v>
      </c>
      <c r="B6476" s="249" t="str">
        <f>IF(AND(A6476&lt;&gt;"",ISNUMBER(A6476)),VLOOKUP(A6476,Studies!A:BR,2,FALSE),"")</f>
        <v>Phillips 1986</v>
      </c>
      <c r="C6476" s="250" t="str">
        <f>IF(AND(A6476&lt;&gt;"",ISNUMBER(A6476)),VLOOKUP(A6476,Studies!A:BR,3,FALSE),"")</f>
        <v>https://www.ncbi.nlm.nih.gov/pubmed/3771812</v>
      </c>
      <c r="D6476" s="250" t="str">
        <f>IF(AND(A6476&lt;&gt;"",ISNUMBER(A6476)),VLOOKUP(A6476,Studies!A:BR,4,FALSE),"")</f>
        <v>Triazolam alone</v>
      </c>
      <c r="E6476" s="250" t="str">
        <f>IF(AND(A6476&lt;&gt;"",ISNUMBER(A6476)),VLOOKUP(A6476,Studies!A:BR,5,FALSE),"")</f>
        <v>Triazolam</v>
      </c>
      <c r="F6476" s="251" t="str">
        <f>IF(AND(A6476&lt;&gt;"",ISNUMBER(A6476)),VLOOKUP(A6476,Studies!A:BR,6,FALSE),"")</f>
        <v>Plasma</v>
      </c>
      <c r="G6476" s="194">
        <v>0.31064000000000003</v>
      </c>
      <c r="H6476" s="50" t="s">
        <v>60</v>
      </c>
      <c r="I6476" s="187">
        <v>0.17795839999999999</v>
      </c>
      <c r="J6476" s="41" t="s">
        <v>941</v>
      </c>
      <c r="K6476" s="41" t="s">
        <v>116</v>
      </c>
      <c r="N6476" s="195"/>
    </row>
    <row r="6477" spans="1:14" x14ac:dyDescent="0.2">
      <c r="A6477" s="30">
        <v>716</v>
      </c>
      <c r="B6477" s="249" t="str">
        <f>IF(AND(A6477&lt;&gt;"",ISNUMBER(A6477)),VLOOKUP(A6477,Studies!A:BR,2,FALSE),"")</f>
        <v>Phillips 1986</v>
      </c>
      <c r="C6477" s="250" t="str">
        <f>IF(AND(A6477&lt;&gt;"",ISNUMBER(A6477)),VLOOKUP(A6477,Studies!A:BR,3,FALSE),"")</f>
        <v>https://www.ncbi.nlm.nih.gov/pubmed/3771812</v>
      </c>
      <c r="D6477" s="250" t="str">
        <f>IF(AND(A6477&lt;&gt;"",ISNUMBER(A6477)),VLOOKUP(A6477,Studies!A:BR,4,FALSE),"")</f>
        <v>Triazolam alone</v>
      </c>
      <c r="E6477" s="250" t="str">
        <f>IF(AND(A6477&lt;&gt;"",ISNUMBER(A6477)),VLOOKUP(A6477,Studies!A:BR,5,FALSE),"")</f>
        <v>Triazolam</v>
      </c>
      <c r="F6477" s="251" t="str">
        <f>IF(AND(A6477&lt;&gt;"",ISNUMBER(A6477)),VLOOKUP(A6477,Studies!A:BR,6,FALSE),"")</f>
        <v>Plasma</v>
      </c>
      <c r="G6477" s="194">
        <v>0.59257300000000002</v>
      </c>
      <c r="H6477" s="50" t="s">
        <v>60</v>
      </c>
      <c r="I6477" s="187">
        <v>1.46451</v>
      </c>
      <c r="J6477" s="41" t="s">
        <v>941</v>
      </c>
      <c r="K6477" s="41" t="s">
        <v>116</v>
      </c>
      <c r="L6477" s="195">
        <v>1.375</v>
      </c>
      <c r="M6477" s="52" t="s">
        <v>941</v>
      </c>
      <c r="N6477" s="195" t="s">
        <v>117</v>
      </c>
    </row>
    <row r="6478" spans="1:14" x14ac:dyDescent="0.2">
      <c r="A6478" s="30">
        <v>716</v>
      </c>
      <c r="B6478" s="249" t="str">
        <f>IF(AND(A6478&lt;&gt;"",ISNUMBER(A6478)),VLOOKUP(A6478,Studies!A:BR,2,FALSE),"")</f>
        <v>Phillips 1986</v>
      </c>
      <c r="C6478" s="250" t="str">
        <f>IF(AND(A6478&lt;&gt;"",ISNUMBER(A6478)),VLOOKUP(A6478,Studies!A:BR,3,FALSE),"")</f>
        <v>https://www.ncbi.nlm.nih.gov/pubmed/3771812</v>
      </c>
      <c r="D6478" s="250" t="str">
        <f>IF(AND(A6478&lt;&gt;"",ISNUMBER(A6478)),VLOOKUP(A6478,Studies!A:BR,4,FALSE),"")</f>
        <v>Triazolam alone</v>
      </c>
      <c r="E6478" s="250" t="str">
        <f>IF(AND(A6478&lt;&gt;"",ISNUMBER(A6478)),VLOOKUP(A6478,Studies!A:BR,5,FALSE),"")</f>
        <v>Triazolam</v>
      </c>
      <c r="F6478" s="251" t="str">
        <f>IF(AND(A6478&lt;&gt;"",ISNUMBER(A6478)),VLOOKUP(A6478,Studies!A:BR,6,FALSE),"")</f>
        <v>Plasma</v>
      </c>
      <c r="G6478" s="194">
        <v>0.89457699999999996</v>
      </c>
      <c r="H6478" s="50" t="s">
        <v>60</v>
      </c>
      <c r="I6478" s="187">
        <v>1.9883500000000001</v>
      </c>
      <c r="J6478" s="41" t="s">
        <v>941</v>
      </c>
      <c r="K6478" s="41" t="s">
        <v>116</v>
      </c>
      <c r="L6478" s="195">
        <v>1.401</v>
      </c>
      <c r="M6478" s="52" t="s">
        <v>941</v>
      </c>
      <c r="N6478" s="195" t="s">
        <v>117</v>
      </c>
    </row>
    <row r="6479" spans="1:14" x14ac:dyDescent="0.2">
      <c r="A6479" s="30">
        <v>716</v>
      </c>
      <c r="B6479" s="249" t="str">
        <f>IF(AND(A6479&lt;&gt;"",ISNUMBER(A6479)),VLOOKUP(A6479,Studies!A:BR,2,FALSE),"")</f>
        <v>Phillips 1986</v>
      </c>
      <c r="C6479" s="250" t="str">
        <f>IF(AND(A6479&lt;&gt;"",ISNUMBER(A6479)),VLOOKUP(A6479,Studies!A:BR,3,FALSE),"")</f>
        <v>https://www.ncbi.nlm.nih.gov/pubmed/3771812</v>
      </c>
      <c r="D6479" s="250" t="str">
        <f>IF(AND(A6479&lt;&gt;"",ISNUMBER(A6479)),VLOOKUP(A6479,Studies!A:BR,4,FALSE),"")</f>
        <v>Triazolam alone</v>
      </c>
      <c r="E6479" s="250" t="str">
        <f>IF(AND(A6479&lt;&gt;"",ISNUMBER(A6479)),VLOOKUP(A6479,Studies!A:BR,5,FALSE),"")</f>
        <v>Triazolam</v>
      </c>
      <c r="F6479" s="251" t="str">
        <f>IF(AND(A6479&lt;&gt;"",ISNUMBER(A6479)),VLOOKUP(A6479,Studies!A:BR,6,FALSE),"")</f>
        <v>Plasma</v>
      </c>
      <c r="G6479" s="194">
        <v>1.099491</v>
      </c>
      <c r="H6479" s="50" t="s">
        <v>60</v>
      </c>
      <c r="I6479" s="187">
        <v>2.2015889999999998</v>
      </c>
      <c r="J6479" s="41" t="s">
        <v>941</v>
      </c>
      <c r="K6479" s="41" t="s">
        <v>116</v>
      </c>
      <c r="L6479" s="195">
        <v>1.304</v>
      </c>
      <c r="M6479" s="52" t="s">
        <v>941</v>
      </c>
      <c r="N6479" s="195" t="s">
        <v>117</v>
      </c>
    </row>
    <row r="6480" spans="1:14" x14ac:dyDescent="0.2">
      <c r="A6480" s="30">
        <v>716</v>
      </c>
      <c r="B6480" s="249" t="str">
        <f>IF(AND(A6480&lt;&gt;"",ISNUMBER(A6480)),VLOOKUP(A6480,Studies!A:BR,2,FALSE),"")</f>
        <v>Phillips 1986</v>
      </c>
      <c r="C6480" s="250" t="str">
        <f>IF(AND(A6480&lt;&gt;"",ISNUMBER(A6480)),VLOOKUP(A6480,Studies!A:BR,3,FALSE),"")</f>
        <v>https://www.ncbi.nlm.nih.gov/pubmed/3771812</v>
      </c>
      <c r="D6480" s="250" t="str">
        <f>IF(AND(A6480&lt;&gt;"",ISNUMBER(A6480)),VLOOKUP(A6480,Studies!A:BR,4,FALSE),"")</f>
        <v>Triazolam alone</v>
      </c>
      <c r="E6480" s="250" t="str">
        <f>IF(AND(A6480&lt;&gt;"",ISNUMBER(A6480)),VLOOKUP(A6480,Studies!A:BR,5,FALSE),"")</f>
        <v>Triazolam</v>
      </c>
      <c r="F6480" s="251" t="str">
        <f>IF(AND(A6480&lt;&gt;"",ISNUMBER(A6480)),VLOOKUP(A6480,Studies!A:BR,6,FALSE),"")</f>
        <v>Plasma</v>
      </c>
      <c r="G6480" s="194">
        <v>1.586028</v>
      </c>
      <c r="H6480" s="50" t="s">
        <v>60</v>
      </c>
      <c r="I6480" s="187">
        <v>2.3798720000000002</v>
      </c>
      <c r="J6480" s="41" t="s">
        <v>941</v>
      </c>
      <c r="K6480" s="41" t="s">
        <v>116</v>
      </c>
      <c r="L6480" s="195">
        <v>1.1970000000000001</v>
      </c>
      <c r="M6480" s="52" t="s">
        <v>941</v>
      </c>
      <c r="N6480" s="195" t="s">
        <v>117</v>
      </c>
    </row>
    <row r="6481" spans="1:16" x14ac:dyDescent="0.2">
      <c r="A6481" s="30">
        <v>716</v>
      </c>
      <c r="B6481" s="249" t="str">
        <f>IF(AND(A6481&lt;&gt;"",ISNUMBER(A6481)),VLOOKUP(A6481,Studies!A:BR,2,FALSE),"")</f>
        <v>Phillips 1986</v>
      </c>
      <c r="C6481" s="250" t="str">
        <f>IF(AND(A6481&lt;&gt;"",ISNUMBER(A6481)),VLOOKUP(A6481,Studies!A:BR,3,FALSE),"")</f>
        <v>https://www.ncbi.nlm.nih.gov/pubmed/3771812</v>
      </c>
      <c r="D6481" s="250" t="str">
        <f>IF(AND(A6481&lt;&gt;"",ISNUMBER(A6481)),VLOOKUP(A6481,Studies!A:BR,4,FALSE),"")</f>
        <v>Triazolam alone</v>
      </c>
      <c r="E6481" s="250" t="str">
        <f>IF(AND(A6481&lt;&gt;"",ISNUMBER(A6481)),VLOOKUP(A6481,Studies!A:BR,5,FALSE),"")</f>
        <v>Triazolam</v>
      </c>
      <c r="F6481" s="251" t="str">
        <f>IF(AND(A6481&lt;&gt;"",ISNUMBER(A6481)),VLOOKUP(A6481,Studies!A:BR,6,FALSE),"")</f>
        <v>Plasma</v>
      </c>
      <c r="G6481" s="194">
        <v>2.1125509999999998</v>
      </c>
      <c r="H6481" s="50" t="s">
        <v>60</v>
      </c>
      <c r="I6481" s="187">
        <v>2.3719749999999999</v>
      </c>
      <c r="J6481" s="41" t="s">
        <v>941</v>
      </c>
      <c r="K6481" s="41" t="s">
        <v>116</v>
      </c>
      <c r="L6481" s="195">
        <v>1.091</v>
      </c>
      <c r="M6481" s="52" t="s">
        <v>941</v>
      </c>
      <c r="N6481" s="195" t="s">
        <v>117</v>
      </c>
    </row>
    <row r="6482" spans="1:16" x14ac:dyDescent="0.2">
      <c r="A6482" s="30">
        <v>716</v>
      </c>
      <c r="B6482" s="249" t="str">
        <f>IF(AND(A6482&lt;&gt;"",ISNUMBER(A6482)),VLOOKUP(A6482,Studies!A:BR,2,FALSE),"")</f>
        <v>Phillips 1986</v>
      </c>
      <c r="C6482" s="250" t="str">
        <f>IF(AND(A6482&lt;&gt;"",ISNUMBER(A6482)),VLOOKUP(A6482,Studies!A:BR,3,FALSE),"")</f>
        <v>https://www.ncbi.nlm.nih.gov/pubmed/3771812</v>
      </c>
      <c r="D6482" s="250" t="str">
        <f>IF(AND(A6482&lt;&gt;"",ISNUMBER(A6482)),VLOOKUP(A6482,Studies!A:BR,4,FALSE),"")</f>
        <v>Triazolam alone</v>
      </c>
      <c r="E6482" s="250" t="str">
        <f>IF(AND(A6482&lt;&gt;"",ISNUMBER(A6482)),VLOOKUP(A6482,Studies!A:BR,5,FALSE),"")</f>
        <v>Triazolam</v>
      </c>
      <c r="F6482" s="251" t="str">
        <f>IF(AND(A6482&lt;&gt;"",ISNUMBER(A6482)),VLOOKUP(A6482,Studies!A:BR,6,FALSE),"")</f>
        <v>Plasma</v>
      </c>
      <c r="G6482" s="194">
        <v>3.0970599999999999</v>
      </c>
      <c r="H6482" s="50" t="s">
        <v>60</v>
      </c>
      <c r="I6482" s="187">
        <v>2.2939720000000001</v>
      </c>
      <c r="J6482" s="41" t="s">
        <v>941</v>
      </c>
      <c r="K6482" s="41" t="s">
        <v>116</v>
      </c>
      <c r="L6482" s="195">
        <v>0.79800000000000004</v>
      </c>
      <c r="M6482" s="52" t="s">
        <v>941</v>
      </c>
      <c r="N6482" s="195" t="s">
        <v>117</v>
      </c>
    </row>
    <row r="6483" spans="1:16" x14ac:dyDescent="0.2">
      <c r="A6483" s="30">
        <v>716</v>
      </c>
      <c r="B6483" s="249" t="str">
        <f>IF(AND(A6483&lt;&gt;"",ISNUMBER(A6483)),VLOOKUP(A6483,Studies!A:BR,2,FALSE),"")</f>
        <v>Phillips 1986</v>
      </c>
      <c r="C6483" s="250" t="str">
        <f>IF(AND(A6483&lt;&gt;"",ISNUMBER(A6483)),VLOOKUP(A6483,Studies!A:BR,3,FALSE),"")</f>
        <v>https://www.ncbi.nlm.nih.gov/pubmed/3771812</v>
      </c>
      <c r="D6483" s="250" t="str">
        <f>IF(AND(A6483&lt;&gt;"",ISNUMBER(A6483)),VLOOKUP(A6483,Studies!A:BR,4,FALSE),"")</f>
        <v>Triazolam alone</v>
      </c>
      <c r="E6483" s="250" t="str">
        <f>IF(AND(A6483&lt;&gt;"",ISNUMBER(A6483)),VLOOKUP(A6483,Studies!A:BR,5,FALSE),"")</f>
        <v>Triazolam</v>
      </c>
      <c r="F6483" s="251" t="str">
        <f>IF(AND(A6483&lt;&gt;"",ISNUMBER(A6483)),VLOOKUP(A6483,Studies!A:BR,6,FALSE),"")</f>
        <v>Plasma</v>
      </c>
      <c r="G6483" s="194">
        <v>4.0527839999999999</v>
      </c>
      <c r="H6483" s="50" t="s">
        <v>60</v>
      </c>
      <c r="I6483" s="187">
        <v>1.9764470000000001</v>
      </c>
      <c r="J6483" s="41" t="s">
        <v>941</v>
      </c>
      <c r="K6483" s="41" t="s">
        <v>116</v>
      </c>
      <c r="L6483" s="195">
        <v>0.78900000000000003</v>
      </c>
      <c r="M6483" s="52" t="s">
        <v>941</v>
      </c>
      <c r="N6483" s="195" t="s">
        <v>117</v>
      </c>
    </row>
    <row r="6484" spans="1:16" x14ac:dyDescent="0.2">
      <c r="A6484" s="30">
        <v>716</v>
      </c>
      <c r="B6484" s="249" t="str">
        <f>IF(AND(A6484&lt;&gt;"",ISNUMBER(A6484)),VLOOKUP(A6484,Studies!A:BR,2,FALSE),"")</f>
        <v>Phillips 1986</v>
      </c>
      <c r="C6484" s="250" t="str">
        <f>IF(AND(A6484&lt;&gt;"",ISNUMBER(A6484)),VLOOKUP(A6484,Studies!A:BR,3,FALSE),"")</f>
        <v>https://www.ncbi.nlm.nih.gov/pubmed/3771812</v>
      </c>
      <c r="D6484" s="250" t="str">
        <f>IF(AND(A6484&lt;&gt;"",ISNUMBER(A6484)),VLOOKUP(A6484,Studies!A:BR,4,FALSE),"")</f>
        <v>Triazolam alone</v>
      </c>
      <c r="E6484" s="250" t="str">
        <f>IF(AND(A6484&lt;&gt;"",ISNUMBER(A6484)),VLOOKUP(A6484,Studies!A:BR,5,FALSE),"")</f>
        <v>Triazolam</v>
      </c>
      <c r="F6484" s="251" t="str">
        <f>IF(AND(A6484&lt;&gt;"",ISNUMBER(A6484)),VLOOKUP(A6484,Studies!A:BR,6,FALSE),"")</f>
        <v>Plasma</v>
      </c>
      <c r="G6484" s="194">
        <v>6.0659900000000002</v>
      </c>
      <c r="H6484" s="50" t="s">
        <v>60</v>
      </c>
      <c r="I6484" s="187">
        <v>1.4746239999999999</v>
      </c>
      <c r="J6484" s="41" t="s">
        <v>941</v>
      </c>
      <c r="K6484" s="41" t="s">
        <v>116</v>
      </c>
      <c r="L6484" s="195">
        <v>0.69199999999999995</v>
      </c>
      <c r="M6484" s="52" t="s">
        <v>941</v>
      </c>
      <c r="N6484" s="195" t="s">
        <v>117</v>
      </c>
    </row>
    <row r="6485" spans="1:16" x14ac:dyDescent="0.2">
      <c r="A6485" s="30">
        <v>716</v>
      </c>
      <c r="B6485" s="249" t="str">
        <f>IF(AND(A6485&lt;&gt;"",ISNUMBER(A6485)),VLOOKUP(A6485,Studies!A:BR,2,FALSE),"")</f>
        <v>Phillips 1986</v>
      </c>
      <c r="C6485" s="250" t="str">
        <f>IF(AND(A6485&lt;&gt;"",ISNUMBER(A6485)),VLOOKUP(A6485,Studies!A:BR,3,FALSE),"")</f>
        <v>https://www.ncbi.nlm.nih.gov/pubmed/3771812</v>
      </c>
      <c r="D6485" s="250" t="str">
        <f>IF(AND(A6485&lt;&gt;"",ISNUMBER(A6485)),VLOOKUP(A6485,Studies!A:BR,4,FALSE),"")</f>
        <v>Triazolam alone</v>
      </c>
      <c r="E6485" s="250" t="str">
        <f>IF(AND(A6485&lt;&gt;"",ISNUMBER(A6485)),VLOOKUP(A6485,Studies!A:BR,5,FALSE),"")</f>
        <v>Triazolam</v>
      </c>
      <c r="F6485" s="251" t="str">
        <f>IF(AND(A6485&lt;&gt;"",ISNUMBER(A6485)),VLOOKUP(A6485,Studies!A:BR,6,FALSE),"")</f>
        <v>Plasma</v>
      </c>
      <c r="G6485" s="194">
        <v>8.0062239999999996</v>
      </c>
      <c r="H6485" s="50" t="s">
        <v>60</v>
      </c>
      <c r="I6485" s="187">
        <v>1.0790960000000001</v>
      </c>
      <c r="J6485" s="41" t="s">
        <v>941</v>
      </c>
      <c r="K6485" s="41" t="s">
        <v>116</v>
      </c>
      <c r="L6485" s="195">
        <v>0.58499999999999996</v>
      </c>
      <c r="M6485" s="52" t="s">
        <v>941</v>
      </c>
      <c r="N6485" s="195" t="s">
        <v>117</v>
      </c>
    </row>
    <row r="6486" spans="1:16" x14ac:dyDescent="0.2">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9.9462229999999998</v>
      </c>
      <c r="H6486" s="50" t="s">
        <v>60</v>
      </c>
      <c r="I6486" s="187">
        <v>0.69243659999999996</v>
      </c>
      <c r="J6486" s="41" t="s">
        <v>941</v>
      </c>
      <c r="K6486" s="41" t="s">
        <v>116</v>
      </c>
      <c r="L6486" s="195">
        <v>0.57599999999999996</v>
      </c>
      <c r="M6486" s="52" t="s">
        <v>941</v>
      </c>
      <c r="N6486" s="195" t="s">
        <v>117</v>
      </c>
    </row>
    <row r="6487" spans="1:16" x14ac:dyDescent="0.2">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11.95173</v>
      </c>
      <c r="H6487" s="50" t="s">
        <v>60</v>
      </c>
      <c r="I6487" s="187">
        <v>0.48328199999999999</v>
      </c>
      <c r="J6487" s="41" t="s">
        <v>941</v>
      </c>
      <c r="K6487" s="41" t="s">
        <v>116</v>
      </c>
      <c r="L6487" s="195">
        <v>0.39</v>
      </c>
      <c r="M6487" s="52" t="s">
        <v>941</v>
      </c>
      <c r="N6487" s="195" t="s">
        <v>117</v>
      </c>
    </row>
    <row r="6488" spans="1:16" x14ac:dyDescent="0.2">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13.92191</v>
      </c>
      <c r="H6488" s="50" t="s">
        <v>60</v>
      </c>
      <c r="I6488" s="187">
        <v>0.28293119999999999</v>
      </c>
      <c r="J6488" s="41" t="s">
        <v>941</v>
      </c>
      <c r="K6488" s="41" t="s">
        <v>116</v>
      </c>
    </row>
    <row r="6489" spans="1:16" x14ac:dyDescent="0.2">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17.926390000000001</v>
      </c>
      <c r="H6489" s="50" t="s">
        <v>60</v>
      </c>
      <c r="I6489" s="187">
        <v>0.1129469</v>
      </c>
      <c r="J6489" s="41" t="s">
        <v>941</v>
      </c>
      <c r="K6489" s="41" t="s">
        <v>116</v>
      </c>
    </row>
    <row r="6490" spans="1:16" x14ac:dyDescent="0.2">
      <c r="A6490" s="30">
        <v>717</v>
      </c>
      <c r="B6490" s="249" t="str">
        <f>IF(AND(A6490&lt;&gt;"",ISNUMBER(A6490)),VLOOKUP(A6490,Studies!A:BR,2,FALSE),"")</f>
        <v>Smith 1987</v>
      </c>
      <c r="C6490" s="250" t="str">
        <f>IF(AND(A6490&lt;&gt;"",ISNUMBER(A6490)),VLOOKUP(A6490,Studies!A:BR,3,FALSE),"")</f>
        <v>https://www.ncbi.nlm.nih.gov/pubmed/3437069</v>
      </c>
      <c r="D6490" s="250" t="str">
        <f>IF(AND(A6490&lt;&gt;"",ISNUMBER(A6490)),VLOOKUP(A6490,Studies!A:BR,4,FALSE),"")</f>
        <v>0.125 mg</v>
      </c>
      <c r="E6490" s="250" t="str">
        <f>IF(AND(A6490&lt;&gt;"",ISNUMBER(A6490)),VLOOKUP(A6490,Studies!A:BR,5,FALSE),"")</f>
        <v>Triazolam</v>
      </c>
      <c r="F6490" s="251" t="str">
        <f>IF(AND(A6490&lt;&gt;"",ISNUMBER(A6490)),VLOOKUP(A6490,Studies!A:BR,6,FALSE),"")</f>
        <v>Plasma</v>
      </c>
      <c r="G6490" s="194">
        <v>4.1667000000000003E-2</v>
      </c>
      <c r="H6490" s="50" t="s">
        <v>60</v>
      </c>
      <c r="I6490" s="187">
        <v>7.2903000000000002</v>
      </c>
      <c r="J6490" s="41" t="s">
        <v>941</v>
      </c>
      <c r="K6490" s="41" t="s">
        <v>116</v>
      </c>
    </row>
    <row r="6491" spans="1:16" x14ac:dyDescent="0.2">
      <c r="A6491" s="30">
        <v>717</v>
      </c>
      <c r="B6491" s="249" t="str">
        <f>IF(AND(A6491&lt;&gt;"",ISNUMBER(A6491)),VLOOKUP(A6491,Studies!A:BR,2,FALSE),"")</f>
        <v>Smith 1987</v>
      </c>
      <c r="C6491" s="250" t="str">
        <f>IF(AND(A6491&lt;&gt;"",ISNUMBER(A6491)),VLOOKUP(A6491,Studies!A:BR,3,FALSE),"")</f>
        <v>https://www.ncbi.nlm.nih.gov/pubmed/3437069</v>
      </c>
      <c r="D6491" s="250" t="str">
        <f>IF(AND(A6491&lt;&gt;"",ISNUMBER(A6491)),VLOOKUP(A6491,Studies!A:BR,4,FALSE),"")</f>
        <v>0.125 mg</v>
      </c>
      <c r="E6491" s="250" t="str">
        <f>IF(AND(A6491&lt;&gt;"",ISNUMBER(A6491)),VLOOKUP(A6491,Studies!A:BR,5,FALSE),"")</f>
        <v>Triazolam</v>
      </c>
      <c r="F6491" s="251" t="str">
        <f>IF(AND(A6491&lt;&gt;"",ISNUMBER(A6491)),VLOOKUP(A6491,Studies!A:BR,6,FALSE),"")</f>
        <v>Plasma</v>
      </c>
      <c r="G6491" s="194">
        <v>0.1</v>
      </c>
      <c r="H6491" s="50" t="s">
        <v>60</v>
      </c>
      <c r="I6491" s="187">
        <v>3.8746999999999998</v>
      </c>
      <c r="J6491" s="41" t="s">
        <v>941</v>
      </c>
      <c r="K6491" s="41" t="s">
        <v>116</v>
      </c>
    </row>
    <row r="6492" spans="1:16" x14ac:dyDescent="0.2">
      <c r="A6492" s="30">
        <v>717</v>
      </c>
      <c r="B6492" s="249" t="str">
        <f>IF(AND(A6492&lt;&gt;"",ISNUMBER(A6492)),VLOOKUP(A6492,Studies!A:BR,2,FALSE),"")</f>
        <v>Smith 1987</v>
      </c>
      <c r="C6492" s="250" t="str">
        <f>IF(AND(A6492&lt;&gt;"",ISNUMBER(A6492)),VLOOKUP(A6492,Studies!A:BR,3,FALSE),"")</f>
        <v>https://www.ncbi.nlm.nih.gov/pubmed/3437069</v>
      </c>
      <c r="D6492" s="250" t="str">
        <f>IF(AND(A6492&lt;&gt;"",ISNUMBER(A6492)),VLOOKUP(A6492,Studies!A:BR,4,FALSE),"")</f>
        <v>0.125 mg</v>
      </c>
      <c r="E6492" s="250" t="str">
        <f>IF(AND(A6492&lt;&gt;"",ISNUMBER(A6492)),VLOOKUP(A6492,Studies!A:BR,5,FALSE),"")</f>
        <v>Triazolam</v>
      </c>
      <c r="F6492" s="251" t="str">
        <f>IF(AND(A6492&lt;&gt;"",ISNUMBER(A6492)),VLOOKUP(A6492,Studies!A:BR,6,FALSE),"")</f>
        <v>Plasma</v>
      </c>
      <c r="G6492" s="194">
        <v>0.25</v>
      </c>
      <c r="H6492" s="50" t="s">
        <v>60</v>
      </c>
      <c r="I6492" s="187">
        <v>3.0916999999999999</v>
      </c>
      <c r="J6492" s="41" t="s">
        <v>941</v>
      </c>
      <c r="K6492" s="41" t="s">
        <v>116</v>
      </c>
    </row>
    <row r="6493" spans="1:16" x14ac:dyDescent="0.2">
      <c r="A6493" s="30">
        <v>717</v>
      </c>
      <c r="B6493" s="249" t="str">
        <f>IF(AND(A6493&lt;&gt;"",ISNUMBER(A6493)),VLOOKUP(A6493,Studies!A:BR,2,FALSE),"")</f>
        <v>Smith 1987</v>
      </c>
      <c r="C6493" s="250" t="str">
        <f>IF(AND(A6493&lt;&gt;"",ISNUMBER(A6493)),VLOOKUP(A6493,Studies!A:BR,3,FALSE),"")</f>
        <v>https://www.ncbi.nlm.nih.gov/pubmed/3437069</v>
      </c>
      <c r="D6493" s="250" t="str">
        <f>IF(AND(A6493&lt;&gt;"",ISNUMBER(A6493)),VLOOKUP(A6493,Studies!A:BR,4,FALSE),"")</f>
        <v>0.125 mg</v>
      </c>
      <c r="E6493" s="250" t="str">
        <f>IF(AND(A6493&lt;&gt;"",ISNUMBER(A6493)),VLOOKUP(A6493,Studies!A:BR,5,FALSE),"")</f>
        <v>Triazolam</v>
      </c>
      <c r="F6493" s="251" t="str">
        <f>IF(AND(A6493&lt;&gt;"",ISNUMBER(A6493)),VLOOKUP(A6493,Studies!A:BR,6,FALSE),"")</f>
        <v>Plasma</v>
      </c>
      <c r="G6493" s="194">
        <v>0.5</v>
      </c>
      <c r="H6493" s="50" t="s">
        <v>60</v>
      </c>
      <c r="I6493" s="187">
        <v>2.4300999999999999</v>
      </c>
      <c r="J6493" s="41" t="s">
        <v>941</v>
      </c>
      <c r="K6493" s="41" t="s">
        <v>116</v>
      </c>
      <c r="P6493" s="188"/>
    </row>
    <row r="6494" spans="1:16" x14ac:dyDescent="0.2">
      <c r="A6494" s="30">
        <v>717</v>
      </c>
      <c r="B6494" s="249" t="str">
        <f>IF(AND(A6494&lt;&gt;"",ISNUMBER(A6494)),VLOOKUP(A6494,Studies!A:BR,2,FALSE),"")</f>
        <v>Smith 1987</v>
      </c>
      <c r="C6494" s="250" t="str">
        <f>IF(AND(A6494&lt;&gt;"",ISNUMBER(A6494)),VLOOKUP(A6494,Studies!A:BR,3,FALSE),"")</f>
        <v>https://www.ncbi.nlm.nih.gov/pubmed/3437069</v>
      </c>
      <c r="D6494" s="250" t="str">
        <f>IF(AND(A6494&lt;&gt;"",ISNUMBER(A6494)),VLOOKUP(A6494,Studies!A:BR,4,FALSE),"")</f>
        <v>0.125 mg</v>
      </c>
      <c r="E6494" s="250" t="str">
        <f>IF(AND(A6494&lt;&gt;"",ISNUMBER(A6494)),VLOOKUP(A6494,Studies!A:BR,5,FALSE),"")</f>
        <v>Triazolam</v>
      </c>
      <c r="F6494" s="251" t="str">
        <f>IF(AND(A6494&lt;&gt;"",ISNUMBER(A6494)),VLOOKUP(A6494,Studies!A:BR,6,FALSE),"")</f>
        <v>Plasma</v>
      </c>
      <c r="G6494" s="194">
        <v>1</v>
      </c>
      <c r="H6494" s="50" t="s">
        <v>60</v>
      </c>
      <c r="I6494" s="187">
        <v>2.0592999999999999</v>
      </c>
      <c r="J6494" s="41" t="s">
        <v>941</v>
      </c>
      <c r="K6494" s="41" t="s">
        <v>116</v>
      </c>
    </row>
    <row r="6495" spans="1:16" x14ac:dyDescent="0.2">
      <c r="A6495" s="30">
        <v>717</v>
      </c>
      <c r="B6495" s="249" t="str">
        <f>IF(AND(A6495&lt;&gt;"",ISNUMBER(A6495)),VLOOKUP(A6495,Studies!A:BR,2,FALSE),"")</f>
        <v>Smith 1987</v>
      </c>
      <c r="C6495" s="250" t="str">
        <f>IF(AND(A6495&lt;&gt;"",ISNUMBER(A6495)),VLOOKUP(A6495,Studies!A:BR,3,FALSE),"")</f>
        <v>https://www.ncbi.nlm.nih.gov/pubmed/3437069</v>
      </c>
      <c r="D6495" s="250" t="str">
        <f>IF(AND(A6495&lt;&gt;"",ISNUMBER(A6495)),VLOOKUP(A6495,Studies!A:BR,4,FALSE),"")</f>
        <v>0.125 mg</v>
      </c>
      <c r="E6495" s="250" t="str">
        <f>IF(AND(A6495&lt;&gt;"",ISNUMBER(A6495)),VLOOKUP(A6495,Studies!A:BR,5,FALSE),"")</f>
        <v>Triazolam</v>
      </c>
      <c r="F6495" s="251" t="str">
        <f>IF(AND(A6495&lt;&gt;"",ISNUMBER(A6495)),VLOOKUP(A6495,Studies!A:BR,6,FALSE),"")</f>
        <v>Plasma</v>
      </c>
      <c r="G6495" s="194">
        <v>1.5</v>
      </c>
      <c r="H6495" s="50" t="s">
        <v>60</v>
      </c>
      <c r="I6495" s="187">
        <v>1.7451000000000001</v>
      </c>
      <c r="J6495" s="41" t="s">
        <v>941</v>
      </c>
      <c r="K6495" s="41" t="s">
        <v>116</v>
      </c>
    </row>
    <row r="6496" spans="1:16" x14ac:dyDescent="0.2">
      <c r="A6496" s="30">
        <v>717</v>
      </c>
      <c r="B6496" s="249" t="str">
        <f>IF(AND(A6496&lt;&gt;"",ISNUMBER(A6496)),VLOOKUP(A6496,Studies!A:BR,2,FALSE),"")</f>
        <v>Smith 1987</v>
      </c>
      <c r="C6496" s="250" t="str">
        <f>IF(AND(A6496&lt;&gt;"",ISNUMBER(A6496)),VLOOKUP(A6496,Studies!A:BR,3,FALSE),"")</f>
        <v>https://www.ncbi.nlm.nih.gov/pubmed/3437069</v>
      </c>
      <c r="D6496" s="250" t="str">
        <f>IF(AND(A6496&lt;&gt;"",ISNUMBER(A6496)),VLOOKUP(A6496,Studies!A:BR,4,FALSE),"")</f>
        <v>0.125 mg</v>
      </c>
      <c r="E6496" s="250" t="str">
        <f>IF(AND(A6496&lt;&gt;"",ISNUMBER(A6496)),VLOOKUP(A6496,Studies!A:BR,5,FALSE),"")</f>
        <v>Triazolam</v>
      </c>
      <c r="F6496" s="251" t="str">
        <f>IF(AND(A6496&lt;&gt;"",ISNUMBER(A6496)),VLOOKUP(A6496,Studies!A:BR,6,FALSE),"")</f>
        <v>Plasma</v>
      </c>
      <c r="G6496" s="194">
        <v>2</v>
      </c>
      <c r="H6496" s="50" t="s">
        <v>60</v>
      </c>
      <c r="I6496" s="187">
        <v>1.4789000000000001</v>
      </c>
      <c r="J6496" s="41" t="s">
        <v>941</v>
      </c>
      <c r="K6496" s="41" t="s">
        <v>116</v>
      </c>
    </row>
    <row r="6497" spans="1:14" x14ac:dyDescent="0.2">
      <c r="A6497" s="30">
        <v>717</v>
      </c>
      <c r="B6497" s="249" t="str">
        <f>IF(AND(A6497&lt;&gt;"",ISNUMBER(A6497)),VLOOKUP(A6497,Studies!A:BR,2,FALSE),"")</f>
        <v>Smith 1987</v>
      </c>
      <c r="C6497" s="250" t="str">
        <f>IF(AND(A6497&lt;&gt;"",ISNUMBER(A6497)),VLOOKUP(A6497,Studies!A:BR,3,FALSE),"")</f>
        <v>https://www.ncbi.nlm.nih.gov/pubmed/3437069</v>
      </c>
      <c r="D6497" s="250" t="str">
        <f>IF(AND(A6497&lt;&gt;"",ISNUMBER(A6497)),VLOOKUP(A6497,Studies!A:BR,4,FALSE),"")</f>
        <v>0.125 mg</v>
      </c>
      <c r="E6497" s="250" t="str">
        <f>IF(AND(A6497&lt;&gt;"",ISNUMBER(A6497)),VLOOKUP(A6497,Studies!A:BR,5,FALSE),"")</f>
        <v>Triazolam</v>
      </c>
      <c r="F6497" s="251" t="str">
        <f>IF(AND(A6497&lt;&gt;"",ISNUMBER(A6497)),VLOOKUP(A6497,Studies!A:BR,6,FALSE),"")</f>
        <v>Plasma</v>
      </c>
      <c r="G6497" s="194">
        <v>3</v>
      </c>
      <c r="H6497" s="50" t="s">
        <v>60</v>
      </c>
      <c r="I6497" s="187">
        <v>1.2723</v>
      </c>
      <c r="J6497" s="41" t="s">
        <v>941</v>
      </c>
      <c r="K6497" s="41" t="s">
        <v>116</v>
      </c>
    </row>
    <row r="6498" spans="1:14" x14ac:dyDescent="0.2">
      <c r="A6498" s="30">
        <v>717</v>
      </c>
      <c r="B6498" s="249" t="str">
        <f>IF(AND(A6498&lt;&gt;"",ISNUMBER(A6498)),VLOOKUP(A6498,Studies!A:BR,2,FALSE),"")</f>
        <v>Smith 1987</v>
      </c>
      <c r="C6498" s="250" t="str">
        <f>IF(AND(A6498&lt;&gt;"",ISNUMBER(A6498)),VLOOKUP(A6498,Studies!A:BR,3,FALSE),"")</f>
        <v>https://www.ncbi.nlm.nih.gov/pubmed/3437069</v>
      </c>
      <c r="D6498" s="250" t="str">
        <f>IF(AND(A6498&lt;&gt;"",ISNUMBER(A6498)),VLOOKUP(A6498,Studies!A:BR,4,FALSE),"")</f>
        <v>0.125 mg</v>
      </c>
      <c r="E6498" s="250" t="str">
        <f>IF(AND(A6498&lt;&gt;"",ISNUMBER(A6498)),VLOOKUP(A6498,Studies!A:BR,5,FALSE),"")</f>
        <v>Triazolam</v>
      </c>
      <c r="F6498" s="251" t="str">
        <f>IF(AND(A6498&lt;&gt;"",ISNUMBER(A6498)),VLOOKUP(A6498,Studies!A:BR,6,FALSE),"")</f>
        <v>Plasma</v>
      </c>
      <c r="G6498" s="194">
        <v>4</v>
      </c>
      <c r="H6498" s="50" t="s">
        <v>60</v>
      </c>
      <c r="I6498" s="187">
        <v>1.0945</v>
      </c>
      <c r="J6498" s="41" t="s">
        <v>941</v>
      </c>
      <c r="K6498" s="41" t="s">
        <v>116</v>
      </c>
    </row>
    <row r="6499" spans="1:14" x14ac:dyDescent="0.2">
      <c r="A6499" s="30">
        <v>717</v>
      </c>
      <c r="B6499" s="249" t="str">
        <f>IF(AND(A6499&lt;&gt;"",ISNUMBER(A6499)),VLOOKUP(A6499,Studies!A:BR,2,FALSE),"")</f>
        <v>Smith 1987</v>
      </c>
      <c r="C6499" s="250" t="str">
        <f>IF(AND(A6499&lt;&gt;"",ISNUMBER(A6499)),VLOOKUP(A6499,Studies!A:BR,3,FALSE),"")</f>
        <v>https://www.ncbi.nlm.nih.gov/pubmed/3437069</v>
      </c>
      <c r="D6499" s="250" t="str">
        <f>IF(AND(A6499&lt;&gt;"",ISNUMBER(A6499)),VLOOKUP(A6499,Studies!A:BR,4,FALSE),"")</f>
        <v>0.125 mg</v>
      </c>
      <c r="E6499" s="250" t="str">
        <f>IF(AND(A6499&lt;&gt;"",ISNUMBER(A6499)),VLOOKUP(A6499,Studies!A:BR,5,FALSE),"")</f>
        <v>Triazolam</v>
      </c>
      <c r="F6499" s="251" t="str">
        <f>IF(AND(A6499&lt;&gt;"",ISNUMBER(A6499)),VLOOKUP(A6499,Studies!A:BR,6,FALSE),"")</f>
        <v>Plasma</v>
      </c>
      <c r="G6499" s="194">
        <v>6</v>
      </c>
      <c r="H6499" s="50" t="s">
        <v>60</v>
      </c>
      <c r="I6499" s="187">
        <v>0.76270000000000004</v>
      </c>
      <c r="J6499" s="41" t="s">
        <v>941</v>
      </c>
      <c r="K6499" s="41" t="s">
        <v>116</v>
      </c>
    </row>
    <row r="6500" spans="1:14" x14ac:dyDescent="0.2">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8</v>
      </c>
      <c r="H6500" s="50" t="s">
        <v>60</v>
      </c>
      <c r="I6500" s="187">
        <v>0.44369999999999998</v>
      </c>
      <c r="J6500" s="41" t="s">
        <v>941</v>
      </c>
      <c r="K6500" s="41" t="s">
        <v>116</v>
      </c>
    </row>
    <row r="6501" spans="1:14" x14ac:dyDescent="0.2">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12</v>
      </c>
      <c r="H6501" s="50" t="s">
        <v>60</v>
      </c>
      <c r="I6501" s="187">
        <v>0.2394</v>
      </c>
      <c r="J6501" s="41" t="s">
        <v>941</v>
      </c>
      <c r="K6501" s="41" t="s">
        <v>116</v>
      </c>
    </row>
    <row r="6502" spans="1:14" x14ac:dyDescent="0.2">
      <c r="A6502" s="30">
        <v>718</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0.25 mg</v>
      </c>
      <c r="E6502" s="250" t="str">
        <f>IF(AND(A6502&lt;&gt;"",ISNUMBER(A6502)),VLOOKUP(A6502,Studies!A:BR,5,FALSE),"")</f>
        <v>Triazolam</v>
      </c>
      <c r="F6502" s="251" t="str">
        <f>IF(AND(A6502&lt;&gt;"",ISNUMBER(A6502)),VLOOKUP(A6502,Studies!A:BR,6,FALSE),"")</f>
        <v>Plasma</v>
      </c>
      <c r="G6502" s="194">
        <v>4.1667000000000003E-2</v>
      </c>
      <c r="H6502" s="50" t="s">
        <v>60</v>
      </c>
      <c r="I6502" s="187">
        <v>12.1609</v>
      </c>
      <c r="J6502" s="41" t="s">
        <v>941</v>
      </c>
      <c r="K6502" s="41" t="s">
        <v>116</v>
      </c>
    </row>
    <row r="6503" spans="1:14" x14ac:dyDescent="0.2">
      <c r="A6503" s="30">
        <v>718</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0.25 mg</v>
      </c>
      <c r="E6503" s="250" t="str">
        <f>IF(AND(A6503&lt;&gt;"",ISNUMBER(A6503)),VLOOKUP(A6503,Studies!A:BR,5,FALSE),"")</f>
        <v>Triazolam</v>
      </c>
      <c r="F6503" s="251" t="str">
        <f>IF(AND(A6503&lt;&gt;"",ISNUMBER(A6503)),VLOOKUP(A6503,Studies!A:BR,6,FALSE),"")</f>
        <v>Plasma</v>
      </c>
      <c r="G6503" s="194">
        <v>0.1</v>
      </c>
      <c r="H6503" s="50" t="s">
        <v>60</v>
      </c>
      <c r="I6503" s="187">
        <v>8.1001999999999992</v>
      </c>
      <c r="J6503" s="41" t="s">
        <v>941</v>
      </c>
      <c r="K6503" s="41" t="s">
        <v>116</v>
      </c>
    </row>
    <row r="6504" spans="1:14" x14ac:dyDescent="0.2">
      <c r="A6504" s="30">
        <v>718</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0.25 mg</v>
      </c>
      <c r="E6504" s="250" t="str">
        <f>IF(AND(A6504&lt;&gt;"",ISNUMBER(A6504)),VLOOKUP(A6504,Studies!A:BR,5,FALSE),"")</f>
        <v>Triazolam</v>
      </c>
      <c r="F6504" s="251" t="str">
        <f>IF(AND(A6504&lt;&gt;"",ISNUMBER(A6504)),VLOOKUP(A6504,Studies!A:BR,6,FALSE),"")</f>
        <v>Plasma</v>
      </c>
      <c r="G6504" s="194">
        <v>0.25</v>
      </c>
      <c r="H6504" s="50" t="s">
        <v>60</v>
      </c>
      <c r="I6504" s="187">
        <v>5.8170999999999999</v>
      </c>
      <c r="J6504" s="41" t="s">
        <v>941</v>
      </c>
      <c r="K6504" s="41" t="s">
        <v>116</v>
      </c>
    </row>
    <row r="6505" spans="1:14" x14ac:dyDescent="0.2">
      <c r="A6505" s="30">
        <v>718</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0.25 mg</v>
      </c>
      <c r="E6505" s="250" t="str">
        <f>IF(AND(A6505&lt;&gt;"",ISNUMBER(A6505)),VLOOKUP(A6505,Studies!A:BR,5,FALSE),"")</f>
        <v>Triazolam</v>
      </c>
      <c r="F6505" s="251" t="str">
        <f>IF(AND(A6505&lt;&gt;"",ISNUMBER(A6505)),VLOOKUP(A6505,Studies!A:BR,6,FALSE),"")</f>
        <v>Plasma</v>
      </c>
      <c r="G6505" s="194">
        <v>0.5</v>
      </c>
      <c r="H6505" s="50" t="s">
        <v>60</v>
      </c>
      <c r="I6505" s="187">
        <v>4.7834000000000003</v>
      </c>
      <c r="J6505" s="41" t="s">
        <v>941</v>
      </c>
      <c r="K6505" s="41" t="s">
        <v>116</v>
      </c>
    </row>
    <row r="6506" spans="1:14" x14ac:dyDescent="0.2">
      <c r="A6506" s="30">
        <v>718</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0.25 mg</v>
      </c>
      <c r="E6506" s="250" t="str">
        <f>IF(AND(A6506&lt;&gt;"",ISNUMBER(A6506)),VLOOKUP(A6506,Studies!A:BR,5,FALSE),"")</f>
        <v>Triazolam</v>
      </c>
      <c r="F6506" s="251" t="str">
        <f>IF(AND(A6506&lt;&gt;"",ISNUMBER(A6506)),VLOOKUP(A6506,Studies!A:BR,6,FALSE),"")</f>
        <v>Plasma</v>
      </c>
      <c r="G6506" s="194">
        <v>1</v>
      </c>
      <c r="H6506" s="50" t="s">
        <v>60</v>
      </c>
      <c r="I6506" s="187">
        <v>4.0536000000000003</v>
      </c>
      <c r="J6506" s="41" t="s">
        <v>941</v>
      </c>
      <c r="K6506" s="41" t="s">
        <v>116</v>
      </c>
    </row>
    <row r="6507" spans="1:14" x14ac:dyDescent="0.2">
      <c r="A6507" s="30">
        <v>718</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0.25 mg</v>
      </c>
      <c r="E6507" s="250" t="str">
        <f>IF(AND(A6507&lt;&gt;"",ISNUMBER(A6507)),VLOOKUP(A6507,Studies!A:BR,5,FALSE),"")</f>
        <v>Triazolam</v>
      </c>
      <c r="F6507" s="251" t="str">
        <f>IF(AND(A6507&lt;&gt;"",ISNUMBER(A6507)),VLOOKUP(A6507,Studies!A:BR,6,FALSE),"")</f>
        <v>Plasma</v>
      </c>
      <c r="G6507" s="194">
        <v>1.5</v>
      </c>
      <c r="H6507" s="50" t="s">
        <v>60</v>
      </c>
      <c r="I6507" s="187">
        <v>3.8746999999999998</v>
      </c>
      <c r="J6507" s="41" t="s">
        <v>941</v>
      </c>
      <c r="K6507" s="41" t="s">
        <v>116</v>
      </c>
      <c r="M6507" s="195"/>
      <c r="N6507" s="195"/>
    </row>
    <row r="6508" spans="1:14" x14ac:dyDescent="0.2">
      <c r="A6508" s="30">
        <v>718</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0.25 mg</v>
      </c>
      <c r="E6508" s="250" t="str">
        <f>IF(AND(A6508&lt;&gt;"",ISNUMBER(A6508)),VLOOKUP(A6508,Studies!A:BR,5,FALSE),"")</f>
        <v>Triazolam</v>
      </c>
      <c r="F6508" s="251" t="str">
        <f>IF(AND(A6508&lt;&gt;"",ISNUMBER(A6508)),VLOOKUP(A6508,Studies!A:BR,6,FALSE),"")</f>
        <v>Plasma</v>
      </c>
      <c r="G6508" s="194">
        <v>2</v>
      </c>
      <c r="H6508" s="50" t="s">
        <v>60</v>
      </c>
      <c r="I6508" s="187">
        <v>3.6482999999999999</v>
      </c>
      <c r="J6508" s="41" t="s">
        <v>941</v>
      </c>
      <c r="K6508" s="41" t="s">
        <v>116</v>
      </c>
      <c r="M6508" s="195"/>
      <c r="N6508" s="195"/>
    </row>
    <row r="6509" spans="1:14" x14ac:dyDescent="0.2">
      <c r="A6509" s="30">
        <v>718</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0.25 mg</v>
      </c>
      <c r="E6509" s="250" t="str">
        <f>IF(AND(A6509&lt;&gt;"",ISNUMBER(A6509)),VLOOKUP(A6509,Studies!A:BR,5,FALSE),"")</f>
        <v>Triazolam</v>
      </c>
      <c r="F6509" s="251" t="str">
        <f>IF(AND(A6509&lt;&gt;"",ISNUMBER(A6509)),VLOOKUP(A6509,Studies!A:BR,6,FALSE),"")</f>
        <v>Plasma</v>
      </c>
      <c r="G6509" s="194">
        <v>3</v>
      </c>
      <c r="H6509" s="50" t="s">
        <v>60</v>
      </c>
      <c r="I6509" s="187">
        <v>3.2345000000000002</v>
      </c>
      <c r="J6509" s="41" t="s">
        <v>941</v>
      </c>
      <c r="K6509" s="41" t="s">
        <v>116</v>
      </c>
      <c r="M6509" s="195"/>
      <c r="N6509" s="195"/>
    </row>
    <row r="6510" spans="1:14" x14ac:dyDescent="0.2">
      <c r="A6510" s="30">
        <v>718</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0.25 mg</v>
      </c>
      <c r="E6510" s="250" t="str">
        <f>IF(AND(A6510&lt;&gt;"",ISNUMBER(A6510)),VLOOKUP(A6510,Studies!A:BR,5,FALSE),"")</f>
        <v>Triazolam</v>
      </c>
      <c r="F6510" s="251" t="str">
        <f>IF(AND(A6510&lt;&gt;"",ISNUMBER(A6510)),VLOOKUP(A6510,Studies!A:BR,6,FALSE),"")</f>
        <v>Plasma</v>
      </c>
      <c r="G6510" s="194">
        <v>4</v>
      </c>
      <c r="H6510" s="50" t="s">
        <v>60</v>
      </c>
      <c r="I6510" s="187">
        <v>2.3228</v>
      </c>
      <c r="J6510" s="41" t="s">
        <v>941</v>
      </c>
      <c r="K6510" s="41" t="s">
        <v>116</v>
      </c>
      <c r="M6510" s="195"/>
      <c r="N6510" s="195"/>
    </row>
    <row r="6511" spans="1:14" x14ac:dyDescent="0.2">
      <c r="A6511" s="30">
        <v>718</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0.25 mg</v>
      </c>
      <c r="E6511" s="250" t="str">
        <f>IF(AND(A6511&lt;&gt;"",ISNUMBER(A6511)),VLOOKUP(A6511,Studies!A:BR,5,FALSE),"")</f>
        <v>Triazolam</v>
      </c>
      <c r="F6511" s="251" t="str">
        <f>IF(AND(A6511&lt;&gt;"",ISNUMBER(A6511)),VLOOKUP(A6511,Studies!A:BR,6,FALSE),"")</f>
        <v>Plasma</v>
      </c>
      <c r="G6511" s="194">
        <v>6</v>
      </c>
      <c r="H6511" s="50" t="s">
        <v>60</v>
      </c>
      <c r="I6511" s="187">
        <v>1.7985</v>
      </c>
      <c r="J6511" s="41" t="s">
        <v>941</v>
      </c>
      <c r="K6511" s="41" t="s">
        <v>116</v>
      </c>
      <c r="M6511" s="195"/>
      <c r="N6511" s="195"/>
    </row>
    <row r="6512" spans="1:14" x14ac:dyDescent="0.2">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8</v>
      </c>
      <c r="H6512" s="50" t="s">
        <v>60</v>
      </c>
      <c r="I6512" s="187">
        <v>1.1979</v>
      </c>
      <c r="J6512" s="41" t="s">
        <v>941</v>
      </c>
      <c r="K6512" s="41" t="s">
        <v>116</v>
      </c>
      <c r="M6512" s="195"/>
      <c r="N6512" s="195"/>
    </row>
    <row r="6513" spans="1:14" x14ac:dyDescent="0.2">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12</v>
      </c>
      <c r="H6513" s="50" t="s">
        <v>60</v>
      </c>
      <c r="I6513" s="187">
        <v>0.72899999999999998</v>
      </c>
      <c r="J6513" s="41" t="s">
        <v>941</v>
      </c>
      <c r="K6513" s="41" t="s">
        <v>116</v>
      </c>
    </row>
    <row r="6514" spans="1:14" x14ac:dyDescent="0.2">
      <c r="A6514" s="30">
        <v>719</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0.5 mg</v>
      </c>
      <c r="E6514" s="250" t="str">
        <f>IF(AND(A6514&lt;&gt;"",ISNUMBER(A6514)),VLOOKUP(A6514,Studies!A:BR,5,FALSE),"")</f>
        <v>Triazolam</v>
      </c>
      <c r="F6514" s="251" t="str">
        <f>IF(AND(A6514&lt;&gt;"",ISNUMBER(A6514)),VLOOKUP(A6514,Studies!A:BR,6,FALSE),"")</f>
        <v>Plasma</v>
      </c>
      <c r="G6514" s="194">
        <v>4.1667000000000003E-2</v>
      </c>
      <c r="H6514" s="50" t="s">
        <v>60</v>
      </c>
      <c r="I6514" s="187">
        <v>19.10054311</v>
      </c>
      <c r="J6514" s="41" t="s">
        <v>941</v>
      </c>
      <c r="K6514" s="41" t="s">
        <v>116</v>
      </c>
    </row>
    <row r="6515" spans="1:14" x14ac:dyDescent="0.2">
      <c r="A6515" s="30">
        <v>719</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0.5 mg</v>
      </c>
      <c r="E6515" s="250" t="str">
        <f>IF(AND(A6515&lt;&gt;"",ISNUMBER(A6515)),VLOOKUP(A6515,Studies!A:BR,5,FALSE),"")</f>
        <v>Triazolam</v>
      </c>
      <c r="F6515" s="251" t="str">
        <f>IF(AND(A6515&lt;&gt;"",ISNUMBER(A6515)),VLOOKUP(A6515,Studies!A:BR,6,FALSE),"")</f>
        <v>Plasma</v>
      </c>
      <c r="G6515" s="194">
        <v>0.1</v>
      </c>
      <c r="H6515" s="50" t="s">
        <v>60</v>
      </c>
      <c r="I6515" s="187">
        <v>13.111339879999999</v>
      </c>
      <c r="J6515" s="41" t="s">
        <v>941</v>
      </c>
      <c r="K6515" s="41" t="s">
        <v>116</v>
      </c>
    </row>
    <row r="6516" spans="1:14" x14ac:dyDescent="0.2">
      <c r="A6516" s="30">
        <v>719</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0.5 mg</v>
      </c>
      <c r="E6516" s="250" t="str">
        <f>IF(AND(A6516&lt;&gt;"",ISNUMBER(A6516)),VLOOKUP(A6516,Studies!A:BR,5,FALSE),"")</f>
        <v>Triazolam</v>
      </c>
      <c r="F6516" s="251" t="str">
        <f>IF(AND(A6516&lt;&gt;"",ISNUMBER(A6516)),VLOOKUP(A6516,Studies!A:BR,6,FALSE),"")</f>
        <v>Plasma</v>
      </c>
      <c r="G6516" s="194">
        <v>0.25</v>
      </c>
      <c r="H6516" s="50" t="s">
        <v>60</v>
      </c>
      <c r="I6516" s="187">
        <v>12.915495780000001</v>
      </c>
      <c r="J6516" s="41" t="s">
        <v>941</v>
      </c>
      <c r="K6516" s="41" t="s">
        <v>116</v>
      </c>
    </row>
    <row r="6517" spans="1:14" x14ac:dyDescent="0.2">
      <c r="A6517" s="30">
        <v>719</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0.5 mg</v>
      </c>
      <c r="E6517" s="250" t="str">
        <f>IF(AND(A6517&lt;&gt;"",ISNUMBER(A6517)),VLOOKUP(A6517,Studies!A:BR,5,FALSE),"")</f>
        <v>Triazolam</v>
      </c>
      <c r="F6517" s="251" t="str">
        <f>IF(AND(A6517&lt;&gt;"",ISNUMBER(A6517)),VLOOKUP(A6517,Studies!A:BR,6,FALSE),"")</f>
        <v>Plasma</v>
      </c>
      <c r="G6517" s="194">
        <v>0.5</v>
      </c>
      <c r="H6517" s="50" t="s">
        <v>60</v>
      </c>
      <c r="I6517" s="187">
        <v>10.46183426</v>
      </c>
      <c r="J6517" s="41" t="s">
        <v>941</v>
      </c>
      <c r="K6517" s="41" t="s">
        <v>116</v>
      </c>
    </row>
    <row r="6518" spans="1:14" x14ac:dyDescent="0.2">
      <c r="A6518" s="30">
        <v>719</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0.5 mg</v>
      </c>
      <c r="E6518" s="250" t="str">
        <f>IF(AND(A6518&lt;&gt;"",ISNUMBER(A6518)),VLOOKUP(A6518,Studies!A:BR,5,FALSE),"")</f>
        <v>Triazolam</v>
      </c>
      <c r="F6518" s="251" t="str">
        <f>IF(AND(A6518&lt;&gt;"",ISNUMBER(A6518)),VLOOKUP(A6518,Studies!A:BR,6,FALSE),"")</f>
        <v>Plasma</v>
      </c>
      <c r="G6518" s="194">
        <v>1</v>
      </c>
      <c r="H6518" s="50" t="s">
        <v>60</v>
      </c>
      <c r="I6518" s="187">
        <v>8.4743136539999995</v>
      </c>
      <c r="J6518" s="41" t="s">
        <v>941</v>
      </c>
      <c r="K6518" s="41" t="s">
        <v>116</v>
      </c>
      <c r="M6518" s="195"/>
      <c r="N6518" s="195"/>
    </row>
    <row r="6519" spans="1:14" x14ac:dyDescent="0.2">
      <c r="A6519" s="30">
        <v>719</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0.5 mg</v>
      </c>
      <c r="E6519" s="250" t="str">
        <f>IF(AND(A6519&lt;&gt;"",ISNUMBER(A6519)),VLOOKUP(A6519,Studies!A:BR,5,FALSE),"")</f>
        <v>Triazolam</v>
      </c>
      <c r="F6519" s="251" t="str">
        <f>IF(AND(A6519&lt;&gt;"",ISNUMBER(A6519)),VLOOKUP(A6519,Studies!A:BR,6,FALSE),"")</f>
        <v>Plasma</v>
      </c>
      <c r="G6519" s="194">
        <v>1.5</v>
      </c>
      <c r="H6519" s="50" t="s">
        <v>60</v>
      </c>
      <c r="I6519" s="187">
        <v>8.2230446859999997</v>
      </c>
      <c r="J6519" s="41" t="s">
        <v>941</v>
      </c>
      <c r="K6519" s="41" t="s">
        <v>116</v>
      </c>
      <c r="M6519" s="195"/>
      <c r="N6519" s="195"/>
    </row>
    <row r="6520" spans="1:14" x14ac:dyDescent="0.2">
      <c r="A6520" s="30">
        <v>719</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0.5 mg</v>
      </c>
      <c r="E6520" s="250" t="str">
        <f>IF(AND(A6520&lt;&gt;"",ISNUMBER(A6520)),VLOOKUP(A6520,Studies!A:BR,5,FALSE),"")</f>
        <v>Triazolam</v>
      </c>
      <c r="F6520" s="251" t="str">
        <f>IF(AND(A6520&lt;&gt;"",ISNUMBER(A6520)),VLOOKUP(A6520,Studies!A:BR,6,FALSE),"")</f>
        <v>Plasma</v>
      </c>
      <c r="G6520" s="194">
        <v>2</v>
      </c>
      <c r="H6520" s="50" t="s">
        <v>60</v>
      </c>
      <c r="I6520" s="187">
        <v>7.2902948600000004</v>
      </c>
      <c r="J6520" s="41" t="s">
        <v>941</v>
      </c>
      <c r="K6520" s="41" t="s">
        <v>116</v>
      </c>
      <c r="M6520" s="195"/>
      <c r="N6520" s="195"/>
    </row>
    <row r="6521" spans="1:14" x14ac:dyDescent="0.2">
      <c r="A6521" s="30">
        <v>719</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0.5 mg</v>
      </c>
      <c r="E6521" s="250" t="str">
        <f>IF(AND(A6521&lt;&gt;"",ISNUMBER(A6521)),VLOOKUP(A6521,Studies!A:BR,5,FALSE),"")</f>
        <v>Triazolam</v>
      </c>
      <c r="F6521" s="251" t="str">
        <f>IF(AND(A6521&lt;&gt;"",ISNUMBER(A6521)),VLOOKUP(A6521,Studies!A:BR,6,FALSE),"")</f>
        <v>Plasma</v>
      </c>
      <c r="G6521" s="194">
        <v>3</v>
      </c>
      <c r="H6521" s="50" t="s">
        <v>60</v>
      </c>
      <c r="I6521" s="187">
        <v>5.7302019560000002</v>
      </c>
      <c r="J6521" s="41" t="s">
        <v>941</v>
      </c>
      <c r="K6521" s="41" t="s">
        <v>116</v>
      </c>
      <c r="M6521" s="195"/>
      <c r="N6521" s="195"/>
    </row>
    <row r="6522" spans="1:14" x14ac:dyDescent="0.2">
      <c r="A6522" s="30">
        <v>719</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0.5 mg</v>
      </c>
      <c r="E6522" s="250" t="str">
        <f>IF(AND(A6522&lt;&gt;"",ISNUMBER(A6522)),VLOOKUP(A6522,Studies!A:BR,5,FALSE),"")</f>
        <v>Triazolam</v>
      </c>
      <c r="F6522" s="251" t="str">
        <f>IF(AND(A6522&lt;&gt;"",ISNUMBER(A6522)),VLOOKUP(A6522,Studies!A:BR,6,FALSE),"")</f>
        <v>Plasma</v>
      </c>
      <c r="G6522" s="194">
        <v>4</v>
      </c>
      <c r="H6522" s="50" t="s">
        <v>60</v>
      </c>
      <c r="I6522" s="187">
        <v>5.0043356599999997</v>
      </c>
      <c r="J6522" s="41" t="s">
        <v>941</v>
      </c>
      <c r="K6522" s="41" t="s">
        <v>116</v>
      </c>
      <c r="M6522" s="195"/>
      <c r="N6522" s="195"/>
    </row>
    <row r="6523" spans="1:14" x14ac:dyDescent="0.2">
      <c r="A6523" s="30">
        <v>719</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0.5 mg</v>
      </c>
      <c r="E6523" s="250" t="str">
        <f>IF(AND(A6523&lt;&gt;"",ISNUMBER(A6523)),VLOOKUP(A6523,Studies!A:BR,5,FALSE),"")</f>
        <v>Triazolam</v>
      </c>
      <c r="F6523" s="251" t="str">
        <f>IF(AND(A6523&lt;&gt;"",ISNUMBER(A6523)),VLOOKUP(A6523,Studies!A:BR,6,FALSE),"")</f>
        <v>Plasma</v>
      </c>
      <c r="G6523" s="194">
        <v>6</v>
      </c>
      <c r="H6523" s="50" t="s">
        <v>60</v>
      </c>
      <c r="I6523" s="187">
        <v>3.5938133950000002</v>
      </c>
      <c r="J6523" s="41" t="s">
        <v>941</v>
      </c>
      <c r="K6523" s="41" t="s">
        <v>116</v>
      </c>
      <c r="M6523" s="195"/>
      <c r="N6523" s="195"/>
    </row>
    <row r="6524" spans="1:14" x14ac:dyDescent="0.2">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8</v>
      </c>
      <c r="H6524" s="50" t="s">
        <v>60</v>
      </c>
      <c r="I6524" s="187">
        <v>2.3580284319999998</v>
      </c>
      <c r="J6524" s="41" t="s">
        <v>941</v>
      </c>
      <c r="K6524" s="41" t="s">
        <v>116</v>
      </c>
      <c r="M6524" s="195"/>
      <c r="N6524" s="195"/>
    </row>
    <row r="6525" spans="1:14" x14ac:dyDescent="0.2">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12</v>
      </c>
      <c r="H6525" s="50" t="s">
        <v>60</v>
      </c>
      <c r="I6525" s="187">
        <v>1.5706464179999999</v>
      </c>
      <c r="J6525" s="41" t="s">
        <v>941</v>
      </c>
      <c r="K6525" s="41" t="s">
        <v>116</v>
      </c>
      <c r="M6525" s="195"/>
      <c r="N6525" s="195"/>
    </row>
    <row r="6526" spans="1:14" x14ac:dyDescent="0.2">
      <c r="A6526" s="30">
        <v>720</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0.75 mg</v>
      </c>
      <c r="E6526" s="250" t="str">
        <f>IF(AND(A6526&lt;&gt;"",ISNUMBER(A6526)),VLOOKUP(A6526,Studies!A:BR,5,FALSE),"")</f>
        <v>Triazolam</v>
      </c>
      <c r="F6526" s="251" t="str">
        <f>IF(AND(A6526&lt;&gt;"",ISNUMBER(A6526)),VLOOKUP(A6526,Studies!A:BR,6,FALSE),"")</f>
        <v>Plasma</v>
      </c>
      <c r="G6526" s="194">
        <v>4.1667000000000003E-2</v>
      </c>
      <c r="H6526" s="50" t="s">
        <v>60</v>
      </c>
      <c r="I6526" s="187">
        <v>21.222542969999999</v>
      </c>
      <c r="J6526" s="41" t="s">
        <v>941</v>
      </c>
      <c r="K6526" s="41" t="s">
        <v>116</v>
      </c>
      <c r="M6526" s="195"/>
      <c r="N6526" s="195"/>
    </row>
    <row r="6527" spans="1:14" x14ac:dyDescent="0.2">
      <c r="A6527" s="30">
        <v>720</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0.75 mg</v>
      </c>
      <c r="E6527" s="250" t="str">
        <f>IF(AND(A6527&lt;&gt;"",ISNUMBER(A6527)),VLOOKUP(A6527,Studies!A:BR,5,FALSE),"")</f>
        <v>Triazolam</v>
      </c>
      <c r="F6527" s="251" t="str">
        <f>IF(AND(A6527&lt;&gt;"",ISNUMBER(A6527)),VLOOKUP(A6527,Studies!A:BR,6,FALSE),"")</f>
        <v>Plasma</v>
      </c>
      <c r="G6527" s="194">
        <v>0.1</v>
      </c>
      <c r="H6527" s="50" t="s">
        <v>60</v>
      </c>
      <c r="I6527" s="187">
        <v>20.90554126</v>
      </c>
      <c r="J6527" s="41" t="s">
        <v>941</v>
      </c>
      <c r="K6527" s="41" t="s">
        <v>116</v>
      </c>
      <c r="M6527" s="195"/>
      <c r="N6527" s="195"/>
    </row>
    <row r="6528" spans="1:14" x14ac:dyDescent="0.2">
      <c r="A6528" s="30">
        <v>720</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0.75 mg</v>
      </c>
      <c r="E6528" s="250" t="str">
        <f>IF(AND(A6528&lt;&gt;"",ISNUMBER(A6528)),VLOOKUP(A6528,Studies!A:BR,5,FALSE),"")</f>
        <v>Triazolam</v>
      </c>
      <c r="F6528" s="251" t="str">
        <f>IF(AND(A6528&lt;&gt;"",ISNUMBER(A6528)),VLOOKUP(A6528,Studies!A:BR,6,FALSE),"")</f>
        <v>Plasma</v>
      </c>
      <c r="G6528" s="194">
        <v>0.25</v>
      </c>
      <c r="H6528" s="50" t="s">
        <v>60</v>
      </c>
      <c r="I6528" s="187">
        <v>13.310151169999999</v>
      </c>
      <c r="J6528" s="41" t="s">
        <v>941</v>
      </c>
      <c r="K6528" s="41" t="s">
        <v>116</v>
      </c>
      <c r="M6528" s="195"/>
      <c r="N6528" s="195"/>
    </row>
    <row r="6529" spans="1:16" x14ac:dyDescent="0.2">
      <c r="A6529" s="30">
        <v>720</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0.75 mg</v>
      </c>
      <c r="E6529" s="250" t="str">
        <f>IF(AND(A6529&lt;&gt;"",ISNUMBER(A6529)),VLOOKUP(A6529,Studies!A:BR,5,FALSE),"")</f>
        <v>Triazolam</v>
      </c>
      <c r="F6529" s="251" t="str">
        <f>IF(AND(A6529&lt;&gt;"",ISNUMBER(A6529)),VLOOKUP(A6529,Studies!A:BR,6,FALSE),"")</f>
        <v>Plasma</v>
      </c>
      <c r="G6529" s="194">
        <v>0.5</v>
      </c>
      <c r="H6529" s="50" t="s">
        <v>60</v>
      </c>
      <c r="I6529" s="187">
        <v>11.979299599999999</v>
      </c>
      <c r="J6529" s="41" t="s">
        <v>941</v>
      </c>
      <c r="K6529" s="41" t="s">
        <v>116</v>
      </c>
      <c r="M6529" s="195"/>
      <c r="N6529" s="195"/>
    </row>
    <row r="6530" spans="1:16" x14ac:dyDescent="0.2">
      <c r="A6530" s="30">
        <v>720</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0.75 mg</v>
      </c>
      <c r="E6530" s="250" t="str">
        <f>IF(AND(A6530&lt;&gt;"",ISNUMBER(A6530)),VLOOKUP(A6530,Studies!A:BR,5,FALSE),"")</f>
        <v>Triazolam</v>
      </c>
      <c r="F6530" s="251" t="str">
        <f>IF(AND(A6530&lt;&gt;"",ISNUMBER(A6530)),VLOOKUP(A6530,Studies!A:BR,6,FALSE),"")</f>
        <v>Plasma</v>
      </c>
      <c r="G6530" s="194">
        <v>1</v>
      </c>
      <c r="H6530" s="50" t="s">
        <v>60</v>
      </c>
      <c r="I6530" s="187">
        <v>10.781512599999999</v>
      </c>
      <c r="J6530" s="41" t="s">
        <v>941</v>
      </c>
      <c r="K6530" s="41" t="s">
        <v>116</v>
      </c>
      <c r="M6530" s="195"/>
      <c r="N6530" s="195"/>
    </row>
    <row r="6531" spans="1:16" x14ac:dyDescent="0.2">
      <c r="A6531" s="30">
        <v>720</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0.75 mg</v>
      </c>
      <c r="E6531" s="250" t="str">
        <f>IF(AND(A6531&lt;&gt;"",ISNUMBER(A6531)),VLOOKUP(A6531,Studies!A:BR,5,FALSE),"")</f>
        <v>Triazolam</v>
      </c>
      <c r="F6531" s="251" t="str">
        <f>IF(AND(A6531&lt;&gt;"",ISNUMBER(A6531)),VLOOKUP(A6531,Studies!A:BR,6,FALSE),"")</f>
        <v>Plasma</v>
      </c>
      <c r="G6531" s="194">
        <v>1.5</v>
      </c>
      <c r="H6531" s="50" t="s">
        <v>60</v>
      </c>
      <c r="I6531" s="187">
        <v>9.850629605</v>
      </c>
      <c r="J6531" s="41" t="s">
        <v>941</v>
      </c>
      <c r="K6531" s="41" t="s">
        <v>116</v>
      </c>
      <c r="M6531" s="195"/>
      <c r="N6531" s="195"/>
    </row>
    <row r="6532" spans="1:16" x14ac:dyDescent="0.2">
      <c r="A6532" s="30">
        <v>720</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0.75 mg</v>
      </c>
      <c r="E6532" s="250" t="str">
        <f>IF(AND(A6532&lt;&gt;"",ISNUMBER(A6532)),VLOOKUP(A6532,Studies!A:BR,5,FALSE),"")</f>
        <v>Triazolam</v>
      </c>
      <c r="F6532" s="251" t="str">
        <f>IF(AND(A6532&lt;&gt;"",ISNUMBER(A6532)),VLOOKUP(A6532,Studies!A:BR,6,FALSE),"")</f>
        <v>Plasma</v>
      </c>
      <c r="G6532" s="194">
        <v>2</v>
      </c>
      <c r="H6532" s="50" t="s">
        <v>60</v>
      </c>
      <c r="I6532" s="187">
        <v>8.8656879960000001</v>
      </c>
      <c r="J6532" s="41" t="s">
        <v>941</v>
      </c>
      <c r="K6532" s="41" t="s">
        <v>116</v>
      </c>
      <c r="M6532" s="195"/>
      <c r="N6532" s="195"/>
    </row>
    <row r="6533" spans="1:16" x14ac:dyDescent="0.2">
      <c r="A6533" s="30">
        <v>720</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0.75 mg</v>
      </c>
      <c r="E6533" s="250" t="str">
        <f>IF(AND(A6533&lt;&gt;"",ISNUMBER(A6533)),VLOOKUP(A6533,Studies!A:BR,5,FALSE),"")</f>
        <v>Triazolam</v>
      </c>
      <c r="F6533" s="251" t="str">
        <f>IF(AND(A6533&lt;&gt;"",ISNUMBER(A6533)),VLOOKUP(A6533,Studies!A:BR,6,FALSE),"")</f>
        <v>Plasma</v>
      </c>
      <c r="G6533" s="194">
        <v>3</v>
      </c>
      <c r="H6533" s="50" t="s">
        <v>60</v>
      </c>
      <c r="I6533" s="187">
        <v>7.9792253669999997</v>
      </c>
      <c r="J6533" s="41" t="s">
        <v>941</v>
      </c>
      <c r="K6533" s="41" t="s">
        <v>116</v>
      </c>
      <c r="M6533" s="195"/>
      <c r="N6533" s="195"/>
    </row>
    <row r="6534" spans="1:16" x14ac:dyDescent="0.2">
      <c r="A6534" s="30">
        <v>720</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0.75 mg</v>
      </c>
      <c r="E6534" s="250" t="str">
        <f>IF(AND(A6534&lt;&gt;"",ISNUMBER(A6534)),VLOOKUP(A6534,Studies!A:BR,5,FALSE),"")</f>
        <v>Triazolam</v>
      </c>
      <c r="F6534" s="251" t="str">
        <f>IF(AND(A6534&lt;&gt;"",ISNUMBER(A6534)),VLOOKUP(A6534,Studies!A:BR,6,FALSE),"")</f>
        <v>Plasma</v>
      </c>
      <c r="G6534" s="194">
        <v>4</v>
      </c>
      <c r="H6534" s="50" t="s">
        <v>60</v>
      </c>
      <c r="I6534" s="187">
        <v>5.9052980499999999</v>
      </c>
      <c r="J6534" s="41" t="s">
        <v>941</v>
      </c>
      <c r="K6534" s="41" t="s">
        <v>116</v>
      </c>
      <c r="M6534" s="195"/>
      <c r="N6534" s="195"/>
    </row>
    <row r="6535" spans="1:16" x14ac:dyDescent="0.2">
      <c r="A6535" s="30">
        <v>720</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0.75 mg</v>
      </c>
      <c r="E6535" s="250" t="str">
        <f>IF(AND(A6535&lt;&gt;"",ISNUMBER(A6535)),VLOOKUP(A6535,Studies!A:BR,5,FALSE),"")</f>
        <v>Triazolam</v>
      </c>
      <c r="F6535" s="251" t="str">
        <f>IF(AND(A6535&lt;&gt;"",ISNUMBER(A6535)),VLOOKUP(A6535,Studies!A:BR,6,FALSE),"")</f>
        <v>Plasma</v>
      </c>
      <c r="G6535" s="194">
        <v>6</v>
      </c>
      <c r="H6535" s="50" t="s">
        <v>60</v>
      </c>
      <c r="I6535" s="187">
        <v>4.3051363900000004</v>
      </c>
      <c r="J6535" s="41" t="s">
        <v>941</v>
      </c>
      <c r="K6535" s="41" t="s">
        <v>116</v>
      </c>
      <c r="M6535" s="195"/>
      <c r="N6535" s="195"/>
    </row>
    <row r="6536" spans="1:16" x14ac:dyDescent="0.2">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8</v>
      </c>
      <c r="H6536" s="50" t="s">
        <v>60</v>
      </c>
      <c r="I6536" s="187">
        <v>2.3937840010000002</v>
      </c>
      <c r="J6536" s="41" t="s">
        <v>941</v>
      </c>
      <c r="K6536" s="41" t="s">
        <v>116</v>
      </c>
      <c r="M6536" s="195"/>
      <c r="N6536" s="195"/>
    </row>
    <row r="6537" spans="1:16" x14ac:dyDescent="0.2">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12</v>
      </c>
      <c r="H6537" s="50" t="s">
        <v>60</v>
      </c>
      <c r="I6537" s="187">
        <v>1.371686696</v>
      </c>
      <c r="J6537" s="41" t="s">
        <v>941</v>
      </c>
      <c r="K6537" s="41" t="s">
        <v>116</v>
      </c>
      <c r="M6537" s="195"/>
      <c r="N6537" s="195"/>
    </row>
    <row r="6538" spans="1:16" x14ac:dyDescent="0.2">
      <c r="A6538" s="30">
        <v>721</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1.0 mg</v>
      </c>
      <c r="E6538" s="250" t="str">
        <f>IF(AND(A6538&lt;&gt;"",ISNUMBER(A6538)),VLOOKUP(A6538,Studies!A:BR,5,FALSE),"")</f>
        <v>Triazolam</v>
      </c>
      <c r="F6538" s="251" t="str">
        <f>IF(AND(A6538&lt;&gt;"",ISNUMBER(A6538)),VLOOKUP(A6538,Studies!A:BR,6,FALSE),"")</f>
        <v>Plasma</v>
      </c>
      <c r="G6538" s="194">
        <v>4.1667000000000003E-2</v>
      </c>
      <c r="H6538" s="50" t="s">
        <v>60</v>
      </c>
      <c r="I6538" s="187">
        <v>47.834202650000002</v>
      </c>
      <c r="J6538" s="41" t="s">
        <v>941</v>
      </c>
      <c r="K6538" s="41" t="s">
        <v>116</v>
      </c>
      <c r="M6538" s="195"/>
      <c r="N6538" s="195"/>
    </row>
    <row r="6539" spans="1:16" x14ac:dyDescent="0.2">
      <c r="A6539" s="30">
        <v>721</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1.0 mg</v>
      </c>
      <c r="E6539" s="250" t="str">
        <f>IF(AND(A6539&lt;&gt;"",ISNUMBER(A6539)),VLOOKUP(A6539,Studies!A:BR,5,FALSE),"")</f>
        <v>Triazolam</v>
      </c>
      <c r="F6539" s="251" t="str">
        <f>IF(AND(A6539&lt;&gt;"",ISNUMBER(A6539)),VLOOKUP(A6539,Studies!A:BR,6,FALSE),"")</f>
        <v>Plasma</v>
      </c>
      <c r="G6539" s="194">
        <v>0.1</v>
      </c>
      <c r="H6539" s="50" t="s">
        <v>60</v>
      </c>
      <c r="I6539" s="187">
        <v>31.385716049999999</v>
      </c>
      <c r="J6539" s="41" t="s">
        <v>941</v>
      </c>
      <c r="K6539" s="41" t="s">
        <v>116</v>
      </c>
      <c r="M6539" s="195"/>
      <c r="N6539" s="195"/>
    </row>
    <row r="6540" spans="1:16" x14ac:dyDescent="0.2">
      <c r="A6540" s="30">
        <v>721</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1.0 mg</v>
      </c>
      <c r="E6540" s="250" t="str">
        <f>IF(AND(A6540&lt;&gt;"",ISNUMBER(A6540)),VLOOKUP(A6540,Studies!A:BR,5,FALSE),"")</f>
        <v>Triazolam</v>
      </c>
      <c r="F6540" s="251" t="str">
        <f>IF(AND(A6540&lt;&gt;"",ISNUMBER(A6540)),VLOOKUP(A6540,Studies!A:BR,6,FALSE),"")</f>
        <v>Plasma</v>
      </c>
      <c r="G6540" s="194">
        <v>0.25</v>
      </c>
      <c r="H6540" s="194" t="s">
        <v>60</v>
      </c>
      <c r="I6540" s="187">
        <v>24.669304489999998</v>
      </c>
      <c r="J6540" s="41" t="s">
        <v>941</v>
      </c>
      <c r="K6540" s="41" t="s">
        <v>116</v>
      </c>
      <c r="M6540" s="195"/>
      <c r="N6540" s="195"/>
    </row>
    <row r="6541" spans="1:16" x14ac:dyDescent="0.2">
      <c r="A6541" s="30">
        <v>721</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1.0 mg</v>
      </c>
      <c r="E6541" s="250" t="str">
        <f>IF(AND(A6541&lt;&gt;"",ISNUMBER(A6541)),VLOOKUP(A6541,Studies!A:BR,5,FALSE),"")</f>
        <v>Triazolam</v>
      </c>
      <c r="F6541" s="251" t="str">
        <f>IF(AND(A6541&lt;&gt;"",ISNUMBER(A6541)),VLOOKUP(A6541,Studies!A:BR,6,FALSE),"")</f>
        <v>Plasma</v>
      </c>
      <c r="G6541" s="194">
        <v>0.5</v>
      </c>
      <c r="H6541" s="194" t="s">
        <v>60</v>
      </c>
      <c r="I6541" s="187">
        <v>17.984649170000001</v>
      </c>
      <c r="J6541" s="41" t="s">
        <v>941</v>
      </c>
      <c r="K6541" s="187" t="s">
        <v>116</v>
      </c>
      <c r="N6541" s="195"/>
    </row>
    <row r="6542" spans="1:16" x14ac:dyDescent="0.2">
      <c r="A6542" s="30">
        <v>721</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1.0 mg</v>
      </c>
      <c r="E6542" s="250" t="str">
        <f>IF(AND(A6542&lt;&gt;"",ISNUMBER(A6542)),VLOOKUP(A6542,Studies!A:BR,5,FALSE),"")</f>
        <v>Triazolam</v>
      </c>
      <c r="F6542" s="251" t="str">
        <f>IF(AND(A6542&lt;&gt;"",ISNUMBER(A6542)),VLOOKUP(A6542,Studies!A:BR,6,FALSE),"")</f>
        <v>Plasma</v>
      </c>
      <c r="G6542" s="194">
        <v>1</v>
      </c>
      <c r="H6542" s="194" t="s">
        <v>60</v>
      </c>
      <c r="I6542" s="187">
        <v>16.431842</v>
      </c>
      <c r="J6542" s="41" t="s">
        <v>941</v>
      </c>
      <c r="K6542" s="187" t="s">
        <v>116</v>
      </c>
      <c r="N6542" s="195"/>
      <c r="P6542" s="188"/>
    </row>
    <row r="6543" spans="1:16" x14ac:dyDescent="0.2">
      <c r="A6543" s="183">
        <v>721</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1.0 mg</v>
      </c>
      <c r="E6543" s="250" t="str">
        <f>IF(AND(A6543&lt;&gt;"",ISNUMBER(A6543)),VLOOKUP(A6543,Studies!A:BR,5,FALSE),"")</f>
        <v>Triazolam</v>
      </c>
      <c r="F6543" s="251" t="str">
        <f>IF(AND(A6543&lt;&gt;"",ISNUMBER(A6543)),VLOOKUP(A6543,Studies!A:BR,6,FALSE),"")</f>
        <v>Plasma</v>
      </c>
      <c r="G6543" s="194">
        <v>1.5</v>
      </c>
      <c r="H6543" s="194" t="s">
        <v>60</v>
      </c>
      <c r="I6543" s="187">
        <v>15.24075773</v>
      </c>
      <c r="J6543" s="187" t="s">
        <v>941</v>
      </c>
      <c r="K6543" s="187" t="s">
        <v>116</v>
      </c>
      <c r="M6543" s="195"/>
      <c r="N6543" s="195"/>
      <c r="P6543" s="188"/>
    </row>
    <row r="6544" spans="1:16" x14ac:dyDescent="0.2">
      <c r="A6544" s="183">
        <v>721</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1.0 mg</v>
      </c>
      <c r="E6544" s="250" t="str">
        <f>IF(AND(A6544&lt;&gt;"",ISNUMBER(A6544)),VLOOKUP(A6544,Studies!A:BR,5,FALSE),"")</f>
        <v>Triazolam</v>
      </c>
      <c r="F6544" s="251" t="str">
        <f>IF(AND(A6544&lt;&gt;"",ISNUMBER(A6544)),VLOOKUP(A6544,Studies!A:BR,6,FALSE),"")</f>
        <v>Plasma</v>
      </c>
      <c r="G6544" s="194">
        <v>2</v>
      </c>
      <c r="H6544" s="194" t="s">
        <v>60</v>
      </c>
      <c r="I6544" s="187">
        <v>12.34534569</v>
      </c>
      <c r="J6544" s="187" t="s">
        <v>941</v>
      </c>
      <c r="K6544" s="187" t="s">
        <v>116</v>
      </c>
      <c r="M6544" s="195"/>
      <c r="N6544" s="195"/>
      <c r="P6544" s="188"/>
    </row>
    <row r="6545" spans="1:16" x14ac:dyDescent="0.2">
      <c r="A6545" s="183">
        <v>721</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1.0 mg</v>
      </c>
      <c r="E6545" s="250" t="str">
        <f>IF(AND(A6545&lt;&gt;"",ISNUMBER(A6545)),VLOOKUP(A6545,Studies!A:BR,5,FALSE),"")</f>
        <v>Triazolam</v>
      </c>
      <c r="F6545" s="251" t="str">
        <f>IF(AND(A6545&lt;&gt;"",ISNUMBER(A6545)),VLOOKUP(A6545,Studies!A:BR,6,FALSE),"")</f>
        <v>Plasma</v>
      </c>
      <c r="G6545" s="194">
        <v>3</v>
      </c>
      <c r="H6545" s="194" t="s">
        <v>60</v>
      </c>
      <c r="I6545" s="187">
        <v>11.11096051</v>
      </c>
      <c r="J6545" s="187" t="s">
        <v>941</v>
      </c>
      <c r="K6545" s="187" t="s">
        <v>116</v>
      </c>
      <c r="M6545" s="195"/>
      <c r="N6545" s="195"/>
      <c r="P6545" s="188"/>
    </row>
    <row r="6546" spans="1:16" x14ac:dyDescent="0.2">
      <c r="A6546" s="183">
        <v>721</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1.0 mg</v>
      </c>
      <c r="E6546" s="250" t="str">
        <f>IF(AND(A6546&lt;&gt;"",ISNUMBER(A6546)),VLOOKUP(A6546,Studies!A:BR,5,FALSE),"")</f>
        <v>Triazolam</v>
      </c>
      <c r="F6546" s="251" t="str">
        <f>IF(AND(A6546&lt;&gt;"",ISNUMBER(A6546)),VLOOKUP(A6546,Studies!A:BR,6,FALSE),"")</f>
        <v>Plasma</v>
      </c>
      <c r="G6546" s="194">
        <v>4</v>
      </c>
      <c r="H6546" s="50" t="s">
        <v>60</v>
      </c>
      <c r="I6546" s="187">
        <v>9.4157783310000003</v>
      </c>
      <c r="J6546" s="187" t="s">
        <v>941</v>
      </c>
      <c r="K6546" s="187" t="s">
        <v>116</v>
      </c>
      <c r="M6546" s="195"/>
      <c r="N6546" s="195"/>
      <c r="P6546" s="188"/>
    </row>
    <row r="6547" spans="1:16" x14ac:dyDescent="0.2">
      <c r="A6547" s="183">
        <v>721</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1.0 mg</v>
      </c>
      <c r="E6547" s="250" t="str">
        <f>IF(AND(A6547&lt;&gt;"",ISNUMBER(A6547)),VLOOKUP(A6547,Studies!A:BR,5,FALSE),"")</f>
        <v>Triazolam</v>
      </c>
      <c r="F6547" s="251" t="str">
        <f>IF(AND(A6547&lt;&gt;"",ISNUMBER(A6547)),VLOOKUP(A6547,Studies!A:BR,6,FALSE),"")</f>
        <v>Plasma</v>
      </c>
      <c r="G6547" s="194">
        <v>6</v>
      </c>
      <c r="H6547" s="50" t="s">
        <v>60</v>
      </c>
      <c r="I6547" s="187">
        <v>7.2902948600000004</v>
      </c>
      <c r="J6547" s="41" t="s">
        <v>941</v>
      </c>
      <c r="K6547" s="187" t="s">
        <v>116</v>
      </c>
      <c r="N6547" s="195"/>
    </row>
    <row r="6548" spans="1:16" x14ac:dyDescent="0.2">
      <c r="A6548" s="183">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8</v>
      </c>
      <c r="H6548" s="50" t="s">
        <v>60</v>
      </c>
      <c r="I6548" s="187">
        <v>4.5722583309999996</v>
      </c>
      <c r="J6548" s="41" t="s">
        <v>941</v>
      </c>
      <c r="K6548" s="41" t="s">
        <v>116</v>
      </c>
    </row>
    <row r="6549" spans="1:16" x14ac:dyDescent="0.2">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12</v>
      </c>
      <c r="H6549" s="50" t="s">
        <v>60</v>
      </c>
      <c r="I6549" s="187">
        <v>2.8675852810000002</v>
      </c>
      <c r="J6549" s="41" t="s">
        <v>941</v>
      </c>
      <c r="K6549" s="41" t="s">
        <v>116</v>
      </c>
    </row>
    <row r="6550" spans="1:16" x14ac:dyDescent="0.2">
      <c r="A6550" s="30">
        <v>723</v>
      </c>
      <c r="B6550" s="249" t="str">
        <f>IF(AND(A6550&lt;&gt;"",ISNUMBER(A6550)),VLOOKUP(A6550,Studies!A:BR,2,FALSE),"")</f>
        <v>Varhe 1996a</v>
      </c>
      <c r="C6550" s="250" t="str">
        <f>IF(AND(A6550&lt;&gt;"",ISNUMBER(A6550)),VLOOKUP(A6550,Studies!A:BR,3,FALSE),"")</f>
        <v>https://www.ncbi.nlm.nih.gov/pubmed/8730978</v>
      </c>
      <c r="D6550" s="250" t="str">
        <f>IF(AND(A6550&lt;&gt;"",ISNUMBER(A6550)),VLOOKUP(A6550,Studies!A:BR,4,FALSE),"")</f>
        <v>Triazolam + placebo</v>
      </c>
      <c r="E6550" s="250" t="str">
        <f>IF(AND(A6550&lt;&gt;"",ISNUMBER(A6550)),VLOOKUP(A6550,Studies!A:BR,5,FALSE),"")</f>
        <v>Triazolam</v>
      </c>
      <c r="F6550" s="251" t="str">
        <f>IF(AND(A6550&lt;&gt;"",ISNUMBER(A6550)),VLOOKUP(A6550,Studies!A:BR,6,FALSE),"")</f>
        <v>Plasma</v>
      </c>
      <c r="G6550" s="194">
        <v>0.5</v>
      </c>
      <c r="H6550" s="50" t="s">
        <v>60</v>
      </c>
      <c r="I6550" s="187">
        <v>0.60940950000000005</v>
      </c>
      <c r="J6550" s="41" t="s">
        <v>941</v>
      </c>
      <c r="K6550" s="41" t="s">
        <v>116</v>
      </c>
    </row>
    <row r="6551" spans="1:16" x14ac:dyDescent="0.2">
      <c r="A6551" s="30">
        <v>723</v>
      </c>
      <c r="B6551" s="249" t="str">
        <f>IF(AND(A6551&lt;&gt;"",ISNUMBER(A6551)),VLOOKUP(A6551,Studies!A:BR,2,FALSE),"")</f>
        <v>Varhe 1996a</v>
      </c>
      <c r="C6551" s="250" t="str">
        <f>IF(AND(A6551&lt;&gt;"",ISNUMBER(A6551)),VLOOKUP(A6551,Studies!A:BR,3,FALSE),"")</f>
        <v>https://www.ncbi.nlm.nih.gov/pubmed/8730978</v>
      </c>
      <c r="D6551" s="250" t="str">
        <f>IF(AND(A6551&lt;&gt;"",ISNUMBER(A6551)),VLOOKUP(A6551,Studies!A:BR,4,FALSE),"")</f>
        <v>Triazolam + placebo</v>
      </c>
      <c r="E6551" s="250" t="str">
        <f>IF(AND(A6551&lt;&gt;"",ISNUMBER(A6551)),VLOOKUP(A6551,Studies!A:BR,5,FALSE),"")</f>
        <v>Triazolam</v>
      </c>
      <c r="F6551" s="251" t="str">
        <f>IF(AND(A6551&lt;&gt;"",ISNUMBER(A6551)),VLOOKUP(A6551,Studies!A:BR,6,FALSE),"")</f>
        <v>Plasma</v>
      </c>
      <c r="G6551" s="194">
        <v>1</v>
      </c>
      <c r="H6551" s="50" t="s">
        <v>60</v>
      </c>
      <c r="I6551" s="187">
        <v>1.3553999999999999</v>
      </c>
      <c r="J6551" s="41" t="s">
        <v>941</v>
      </c>
      <c r="K6551" s="41" t="s">
        <v>116</v>
      </c>
    </row>
    <row r="6552" spans="1:16" x14ac:dyDescent="0.2">
      <c r="A6552" s="30">
        <v>723</v>
      </c>
      <c r="B6552" s="249" t="str">
        <f>IF(AND(A6552&lt;&gt;"",ISNUMBER(A6552)),VLOOKUP(A6552,Studies!A:BR,2,FALSE),"")</f>
        <v>Varhe 1996a</v>
      </c>
      <c r="C6552" s="250" t="str">
        <f>IF(AND(A6552&lt;&gt;"",ISNUMBER(A6552)),VLOOKUP(A6552,Studies!A:BR,3,FALSE),"")</f>
        <v>https://www.ncbi.nlm.nih.gov/pubmed/8730978</v>
      </c>
      <c r="D6552" s="250" t="str">
        <f>IF(AND(A6552&lt;&gt;"",ISNUMBER(A6552)),VLOOKUP(A6552,Studies!A:BR,4,FALSE),"")</f>
        <v>Triazolam + placebo</v>
      </c>
      <c r="E6552" s="250" t="str">
        <f>IF(AND(A6552&lt;&gt;"",ISNUMBER(A6552)),VLOOKUP(A6552,Studies!A:BR,5,FALSE),"")</f>
        <v>Triazolam</v>
      </c>
      <c r="F6552" s="251" t="str">
        <f>IF(AND(A6552&lt;&gt;"",ISNUMBER(A6552)),VLOOKUP(A6552,Studies!A:BR,6,FALSE),"")</f>
        <v>Plasma</v>
      </c>
      <c r="G6552" s="194">
        <v>1.5</v>
      </c>
      <c r="H6552" s="50" t="s">
        <v>60</v>
      </c>
      <c r="I6552" s="187">
        <v>1.6734</v>
      </c>
      <c r="J6552" s="41" t="s">
        <v>941</v>
      </c>
      <c r="K6552" s="41" t="s">
        <v>116</v>
      </c>
      <c r="L6552" s="195">
        <v>0.204539</v>
      </c>
      <c r="M6552" s="52" t="s">
        <v>941</v>
      </c>
      <c r="N6552" s="52" t="s">
        <v>949</v>
      </c>
    </row>
    <row r="6553" spans="1:16" x14ac:dyDescent="0.2">
      <c r="A6553" s="183">
        <v>723</v>
      </c>
      <c r="B6553" s="249" t="str">
        <f>IF(AND(A6553&lt;&gt;"",ISNUMBER(A6553)),VLOOKUP(A6553,Studies!A:BR,2,FALSE),"")</f>
        <v>Varhe 1996a</v>
      </c>
      <c r="C6553" s="250" t="str">
        <f>IF(AND(A6553&lt;&gt;"",ISNUMBER(A6553)),VLOOKUP(A6553,Studies!A:BR,3,FALSE),"")</f>
        <v>https://www.ncbi.nlm.nih.gov/pubmed/8730978</v>
      </c>
      <c r="D6553" s="250" t="str">
        <f>IF(AND(A6553&lt;&gt;"",ISNUMBER(A6553)),VLOOKUP(A6553,Studies!A:BR,4,FALSE),"")</f>
        <v>Triazolam + placebo</v>
      </c>
      <c r="E6553" s="250" t="str">
        <f>IF(AND(A6553&lt;&gt;"",ISNUMBER(A6553)),VLOOKUP(A6553,Studies!A:BR,5,FALSE),"")</f>
        <v>Triazolam</v>
      </c>
      <c r="F6553" s="251" t="str">
        <f>IF(AND(A6553&lt;&gt;"",ISNUMBER(A6553)),VLOOKUP(A6553,Studies!A:BR,6,FALSE),"")</f>
        <v>Plasma</v>
      </c>
      <c r="G6553" s="194">
        <v>2</v>
      </c>
      <c r="H6553" s="50" t="s">
        <v>60</v>
      </c>
      <c r="I6553" s="187">
        <v>1.7451000000000001</v>
      </c>
      <c r="J6553" s="41" t="s">
        <v>941</v>
      </c>
      <c r="K6553" s="41" t="s">
        <v>116</v>
      </c>
      <c r="L6553" s="195">
        <v>0.22725999999999999</v>
      </c>
      <c r="M6553" s="52" t="s">
        <v>941</v>
      </c>
      <c r="N6553" s="52" t="s">
        <v>949</v>
      </c>
    </row>
    <row r="6554" spans="1:16" x14ac:dyDescent="0.2">
      <c r="A6554" s="183">
        <v>723</v>
      </c>
      <c r="B6554" s="249" t="str">
        <f>IF(AND(A6554&lt;&gt;"",ISNUMBER(A6554)),VLOOKUP(A6554,Studies!A:BR,2,FALSE),"")</f>
        <v>Varhe 1996a</v>
      </c>
      <c r="C6554" s="250" t="str">
        <f>IF(AND(A6554&lt;&gt;"",ISNUMBER(A6554)),VLOOKUP(A6554,Studies!A:BR,3,FALSE),"")</f>
        <v>https://www.ncbi.nlm.nih.gov/pubmed/8730978</v>
      </c>
      <c r="D6554" s="250" t="str">
        <f>IF(AND(A6554&lt;&gt;"",ISNUMBER(A6554)),VLOOKUP(A6554,Studies!A:BR,4,FALSE),"")</f>
        <v>Triazolam + placebo</v>
      </c>
      <c r="E6554" s="250" t="str">
        <f>IF(AND(A6554&lt;&gt;"",ISNUMBER(A6554)),VLOOKUP(A6554,Studies!A:BR,5,FALSE),"")</f>
        <v>Triazolam</v>
      </c>
      <c r="F6554" s="251" t="str">
        <f>IF(AND(A6554&lt;&gt;"",ISNUMBER(A6554)),VLOOKUP(A6554,Studies!A:BR,6,FALSE),"")</f>
        <v>Plasma</v>
      </c>
      <c r="G6554" s="194">
        <v>3</v>
      </c>
      <c r="H6554" s="50" t="s">
        <v>60</v>
      </c>
      <c r="I6554" s="187">
        <v>1.5022</v>
      </c>
      <c r="J6554" s="41" t="s">
        <v>941</v>
      </c>
      <c r="K6554" s="41" t="s">
        <v>116</v>
      </c>
      <c r="L6554" s="195">
        <v>0.18939500000000001</v>
      </c>
      <c r="M6554" s="52" t="s">
        <v>941</v>
      </c>
      <c r="N6554" s="52" t="s">
        <v>949</v>
      </c>
    </row>
    <row r="6555" spans="1:16" x14ac:dyDescent="0.2">
      <c r="A6555" s="183">
        <v>723</v>
      </c>
      <c r="B6555" s="249" t="str">
        <f>IF(AND(A6555&lt;&gt;"",ISNUMBER(A6555)),VLOOKUP(A6555,Studies!A:BR,2,FALSE),"")</f>
        <v>Varhe 1996a</v>
      </c>
      <c r="C6555" s="250" t="str">
        <f>IF(AND(A6555&lt;&gt;"",ISNUMBER(A6555)),VLOOKUP(A6555,Studies!A:BR,3,FALSE),"")</f>
        <v>https://www.ncbi.nlm.nih.gov/pubmed/8730978</v>
      </c>
      <c r="D6555" s="250" t="str">
        <f>IF(AND(A6555&lt;&gt;"",ISNUMBER(A6555)),VLOOKUP(A6555,Studies!A:BR,4,FALSE),"")</f>
        <v>Triazolam + placebo</v>
      </c>
      <c r="E6555" s="250" t="str">
        <f>IF(AND(A6555&lt;&gt;"",ISNUMBER(A6555)),VLOOKUP(A6555,Studies!A:BR,5,FALSE),"")</f>
        <v>Triazolam</v>
      </c>
      <c r="F6555" s="251" t="str">
        <f>IF(AND(A6555&lt;&gt;"",ISNUMBER(A6555)),VLOOKUP(A6555,Studies!A:BR,6,FALSE),"")</f>
        <v>Plasma</v>
      </c>
      <c r="G6555" s="194">
        <v>4</v>
      </c>
      <c r="H6555" s="50" t="s">
        <v>60</v>
      </c>
      <c r="I6555" s="187">
        <v>1.2139</v>
      </c>
      <c r="J6555" s="41" t="s">
        <v>941</v>
      </c>
      <c r="K6555" s="41" t="s">
        <v>116</v>
      </c>
      <c r="L6555" s="195">
        <v>0.14014499999999999</v>
      </c>
      <c r="M6555" s="52" t="s">
        <v>941</v>
      </c>
      <c r="N6555" s="52" t="s">
        <v>949</v>
      </c>
    </row>
    <row r="6556" spans="1:16" x14ac:dyDescent="0.2">
      <c r="A6556" s="183">
        <v>723</v>
      </c>
      <c r="B6556" s="249" t="str">
        <f>IF(AND(A6556&lt;&gt;"",ISNUMBER(A6556)),VLOOKUP(A6556,Studies!A:BR,2,FALSE),"")</f>
        <v>Varhe 1996a</v>
      </c>
      <c r="C6556" s="250" t="str">
        <f>IF(AND(A6556&lt;&gt;"",ISNUMBER(A6556)),VLOOKUP(A6556,Studies!A:BR,3,FALSE),"")</f>
        <v>https://www.ncbi.nlm.nih.gov/pubmed/8730978</v>
      </c>
      <c r="D6556" s="250" t="str">
        <f>IF(AND(A6556&lt;&gt;"",ISNUMBER(A6556)),VLOOKUP(A6556,Studies!A:BR,4,FALSE),"")</f>
        <v>Triazolam + placebo</v>
      </c>
      <c r="E6556" s="250" t="str">
        <f>IF(AND(A6556&lt;&gt;"",ISNUMBER(A6556)),VLOOKUP(A6556,Studies!A:BR,5,FALSE),"")</f>
        <v>Triazolam</v>
      </c>
      <c r="F6556" s="251" t="str">
        <f>IF(AND(A6556&lt;&gt;"",ISNUMBER(A6556)),VLOOKUP(A6556,Studies!A:BR,6,FALSE),"")</f>
        <v>Plasma</v>
      </c>
      <c r="G6556" s="194">
        <v>5</v>
      </c>
      <c r="H6556" s="50" t="s">
        <v>60</v>
      </c>
      <c r="I6556" s="187">
        <v>0.93320000000000003</v>
      </c>
      <c r="J6556" s="41" t="s">
        <v>941</v>
      </c>
      <c r="K6556" s="41" t="s">
        <v>116</v>
      </c>
      <c r="L6556" s="195">
        <v>0.109842</v>
      </c>
      <c r="M6556" s="52" t="s">
        <v>941</v>
      </c>
      <c r="N6556" s="52" t="s">
        <v>949</v>
      </c>
    </row>
    <row r="6557" spans="1:16" x14ac:dyDescent="0.2">
      <c r="A6557" s="183">
        <v>723</v>
      </c>
      <c r="B6557" s="249" t="str">
        <f>IF(AND(A6557&lt;&gt;"",ISNUMBER(A6557)),VLOOKUP(A6557,Studies!A:BR,2,FALSE),"")</f>
        <v>Varhe 1996a</v>
      </c>
      <c r="C6557" s="250" t="str">
        <f>IF(AND(A6557&lt;&gt;"",ISNUMBER(A6557)),VLOOKUP(A6557,Studies!A:BR,3,FALSE),"")</f>
        <v>https://www.ncbi.nlm.nih.gov/pubmed/8730978</v>
      </c>
      <c r="D6557" s="250" t="str">
        <f>IF(AND(A6557&lt;&gt;"",ISNUMBER(A6557)),VLOOKUP(A6557,Studies!A:BR,4,FALSE),"")</f>
        <v>Triazolam + placebo</v>
      </c>
      <c r="E6557" s="250" t="str">
        <f>IF(AND(A6557&lt;&gt;"",ISNUMBER(A6557)),VLOOKUP(A6557,Studies!A:BR,5,FALSE),"")</f>
        <v>Triazolam</v>
      </c>
      <c r="F6557" s="251" t="str">
        <f>IF(AND(A6557&lt;&gt;"",ISNUMBER(A6557)),VLOOKUP(A6557,Studies!A:BR,6,FALSE),"")</f>
        <v>Plasma</v>
      </c>
      <c r="G6557" s="194">
        <v>6</v>
      </c>
      <c r="H6557" s="50" t="s">
        <v>60</v>
      </c>
      <c r="I6557" s="187">
        <v>0.76980000000000004</v>
      </c>
      <c r="J6557" s="41" t="s">
        <v>941</v>
      </c>
      <c r="K6557" s="41" t="s">
        <v>116</v>
      </c>
      <c r="L6557" s="195">
        <v>9.4703999999999997E-2</v>
      </c>
      <c r="M6557" s="52" t="s">
        <v>941</v>
      </c>
      <c r="N6557" s="52" t="s">
        <v>949</v>
      </c>
    </row>
    <row r="6558" spans="1:16" x14ac:dyDescent="0.2">
      <c r="A6558" s="183">
        <v>723</v>
      </c>
      <c r="B6558" s="249" t="str">
        <f>IF(AND(A6558&lt;&gt;"",ISNUMBER(A6558)),VLOOKUP(A6558,Studies!A:BR,2,FALSE),"")</f>
        <v>Varhe 1996a</v>
      </c>
      <c r="C6558" s="250" t="str">
        <f>IF(AND(A6558&lt;&gt;"",ISNUMBER(A6558)),VLOOKUP(A6558,Studies!A:BR,3,FALSE),"")</f>
        <v>https://www.ncbi.nlm.nih.gov/pubmed/8730978</v>
      </c>
      <c r="D6558" s="250" t="str">
        <f>IF(AND(A6558&lt;&gt;"",ISNUMBER(A6558)),VLOOKUP(A6558,Studies!A:BR,4,FALSE),"")</f>
        <v>Triazolam + placebo</v>
      </c>
      <c r="E6558" s="250" t="str">
        <f>IF(AND(A6558&lt;&gt;"",ISNUMBER(A6558)),VLOOKUP(A6558,Studies!A:BR,5,FALSE),"")</f>
        <v>Triazolam</v>
      </c>
      <c r="F6558" s="251" t="str">
        <f>IF(AND(A6558&lt;&gt;"",ISNUMBER(A6558)),VLOOKUP(A6558,Studies!A:BR,6,FALSE),"")</f>
        <v>Plasma</v>
      </c>
      <c r="G6558" s="194">
        <v>7</v>
      </c>
      <c r="H6558" s="50" t="s">
        <v>60</v>
      </c>
      <c r="I6558" s="187">
        <v>0.62919999999999998</v>
      </c>
      <c r="J6558" s="41" t="s">
        <v>941</v>
      </c>
      <c r="K6558" s="41" t="s">
        <v>116</v>
      </c>
      <c r="L6558" s="195">
        <v>7.1962999999999999E-2</v>
      </c>
      <c r="M6558" s="52" t="s">
        <v>941</v>
      </c>
      <c r="N6558" s="52" t="s">
        <v>949</v>
      </c>
    </row>
    <row r="6559" spans="1:16" x14ac:dyDescent="0.2">
      <c r="A6559" s="183">
        <v>723</v>
      </c>
      <c r="B6559" s="249" t="str">
        <f>IF(AND(A6559&lt;&gt;"",ISNUMBER(A6559)),VLOOKUP(A6559,Studies!A:BR,2,FALSE),"")</f>
        <v>Varhe 1996a</v>
      </c>
      <c r="C6559" s="250" t="str">
        <f>IF(AND(A6559&lt;&gt;"",ISNUMBER(A6559)),VLOOKUP(A6559,Studies!A:BR,3,FALSE),"")</f>
        <v>https://www.ncbi.nlm.nih.gov/pubmed/8730978</v>
      </c>
      <c r="D6559" s="250" t="str">
        <f>IF(AND(A6559&lt;&gt;"",ISNUMBER(A6559)),VLOOKUP(A6559,Studies!A:BR,4,FALSE),"")</f>
        <v>Triazolam + placebo</v>
      </c>
      <c r="E6559" s="250" t="str">
        <f>IF(AND(A6559&lt;&gt;"",ISNUMBER(A6559)),VLOOKUP(A6559,Studies!A:BR,5,FALSE),"")</f>
        <v>Triazolam</v>
      </c>
      <c r="F6559" s="251" t="str">
        <f>IF(AND(A6559&lt;&gt;"",ISNUMBER(A6559)),VLOOKUP(A6559,Studies!A:BR,6,FALSE),"")</f>
        <v>Plasma</v>
      </c>
      <c r="G6559" s="194">
        <v>17</v>
      </c>
      <c r="H6559" s="50" t="s">
        <v>60</v>
      </c>
      <c r="I6559" s="187">
        <v>8.6900000000000005E-2</v>
      </c>
      <c r="J6559" s="41" t="s">
        <v>941</v>
      </c>
      <c r="K6559" s="41" t="s">
        <v>116</v>
      </c>
    </row>
    <row r="6560" spans="1:16" x14ac:dyDescent="0.2">
      <c r="A6560" s="183">
        <v>724</v>
      </c>
      <c r="B6560" s="249" t="str">
        <f>IF(AND(A6560&lt;&gt;"",ISNUMBER(A6560)),VLOOKUP(A6560,Studies!A:BR,2,FALSE),"")</f>
        <v>Varhe 1996b</v>
      </c>
      <c r="C6560" s="250" t="str">
        <f>IF(AND(A6560&lt;&gt;"",ISNUMBER(A6560)),VLOOKUP(A6560,Studies!A:BR,3,FALSE),"")</f>
        <v>https://www.ncbi.nlm.nih.gov/pubmed/8612379</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0.5</v>
      </c>
      <c r="H6560" s="50" t="s">
        <v>60</v>
      </c>
      <c r="I6560" s="187">
        <v>1.193084</v>
      </c>
      <c r="J6560" s="41" t="s">
        <v>941</v>
      </c>
      <c r="K6560" s="41" t="s">
        <v>116</v>
      </c>
      <c r="L6560" s="195">
        <v>0.24857299999999999</v>
      </c>
      <c r="M6560" s="52" t="s">
        <v>941</v>
      </c>
      <c r="N6560" s="52" t="s">
        <v>949</v>
      </c>
    </row>
    <row r="6561" spans="1:15" x14ac:dyDescent="0.2">
      <c r="A6561" s="183">
        <v>724</v>
      </c>
      <c r="B6561" s="249" t="str">
        <f>IF(AND(A6561&lt;&gt;"",ISNUMBER(A6561)),VLOOKUP(A6561,Studies!A:BR,2,FALSE),"")</f>
        <v>Varhe 1996b</v>
      </c>
      <c r="C6561" s="250" t="str">
        <f>IF(AND(A6561&lt;&gt;"",ISNUMBER(A6561)),VLOOKUP(A6561,Studies!A:BR,3,FALSE),"")</f>
        <v>https://www.ncbi.nlm.nih.gov/pubmed/8612379</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1</v>
      </c>
      <c r="H6561" s="50" t="s">
        <v>60</v>
      </c>
      <c r="I6561" s="187">
        <v>1.9167639999999999</v>
      </c>
      <c r="J6561" s="41" t="s">
        <v>941</v>
      </c>
      <c r="K6561" s="41" t="s">
        <v>116</v>
      </c>
      <c r="L6561" s="195">
        <v>0.378552</v>
      </c>
      <c r="M6561" s="52" t="s">
        <v>941</v>
      </c>
      <c r="N6561" s="52" t="s">
        <v>949</v>
      </c>
    </row>
    <row r="6562" spans="1:15" x14ac:dyDescent="0.2">
      <c r="A6562" s="183">
        <v>724</v>
      </c>
      <c r="B6562" s="249" t="str">
        <f>IF(AND(A6562&lt;&gt;"",ISNUMBER(A6562)),VLOOKUP(A6562,Studies!A:BR,2,FALSE),"")</f>
        <v>Varhe 1996b</v>
      </c>
      <c r="C6562" s="250" t="str">
        <f>IF(AND(A6562&lt;&gt;"",ISNUMBER(A6562)),VLOOKUP(A6562,Studies!A:BR,3,FALSE),"")</f>
        <v>https://www.ncbi.nlm.nih.gov/pubmed/8612379</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1.5</v>
      </c>
      <c r="H6562" s="50" t="s">
        <v>60</v>
      </c>
      <c r="I6562" s="187">
        <v>1.934205</v>
      </c>
      <c r="J6562" s="41" t="s">
        <v>941</v>
      </c>
      <c r="K6562" s="41" t="s">
        <v>116</v>
      </c>
      <c r="L6562" s="195">
        <v>0.271206</v>
      </c>
      <c r="M6562" s="52" t="s">
        <v>941</v>
      </c>
      <c r="N6562" s="52" t="s">
        <v>949</v>
      </c>
    </row>
    <row r="6563" spans="1:15" x14ac:dyDescent="0.2">
      <c r="A6563" s="183">
        <v>724</v>
      </c>
      <c r="B6563" s="249" t="str">
        <f>IF(AND(A6563&lt;&gt;"",ISNUMBER(A6563)),VLOOKUP(A6563,Studies!A:BR,2,FALSE),"")</f>
        <v>Varhe 1996b</v>
      </c>
      <c r="C6563" s="250" t="str">
        <f>IF(AND(A6563&lt;&gt;"",ISNUMBER(A6563)),VLOOKUP(A6563,Studies!A:BR,3,FALSE),"")</f>
        <v>https://www.ncbi.nlm.nih.gov/pubmed/8612379</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2</v>
      </c>
      <c r="H6563" s="50" t="s">
        <v>60</v>
      </c>
      <c r="I6563" s="187">
        <v>1.8217369999999999</v>
      </c>
      <c r="J6563" s="41" t="s">
        <v>941</v>
      </c>
      <c r="K6563" s="41" t="s">
        <v>116</v>
      </c>
      <c r="L6563" s="195">
        <v>0.29378799999999999</v>
      </c>
      <c r="M6563" s="52" t="s">
        <v>941</v>
      </c>
      <c r="N6563" s="52" t="s">
        <v>949</v>
      </c>
    </row>
    <row r="6564" spans="1:15" x14ac:dyDescent="0.2">
      <c r="A6564" s="30">
        <v>724</v>
      </c>
      <c r="B6564" s="249" t="str">
        <f>IF(AND(A6564&lt;&gt;"",ISNUMBER(A6564)),VLOOKUP(A6564,Studies!A:BR,2,FALSE),"")</f>
        <v>Varhe 1996b</v>
      </c>
      <c r="C6564" s="250" t="str">
        <f>IF(AND(A6564&lt;&gt;"",ISNUMBER(A6564)),VLOOKUP(A6564,Studies!A:BR,3,FALSE),"")</f>
        <v>https://www.ncbi.nlm.nih.gov/pubmed/8612379</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3</v>
      </c>
      <c r="H6564" s="50" t="s">
        <v>60</v>
      </c>
      <c r="I6564" s="187">
        <v>1.5515490000000001</v>
      </c>
      <c r="J6564" s="41" t="s">
        <v>941</v>
      </c>
      <c r="K6564" s="41" t="s">
        <v>116</v>
      </c>
      <c r="L6564" s="195">
        <v>0.24295800000000001</v>
      </c>
      <c r="M6564" s="52" t="s">
        <v>941</v>
      </c>
      <c r="N6564" s="52" t="s">
        <v>949</v>
      </c>
    </row>
    <row r="6565" spans="1:15" x14ac:dyDescent="0.2">
      <c r="A6565" s="30">
        <v>724</v>
      </c>
      <c r="B6565" s="249" t="str">
        <f>IF(AND(A6565&lt;&gt;"",ISNUMBER(A6565)),VLOOKUP(A6565,Studies!A:BR,2,FALSE),"")</f>
        <v>Varhe 1996b</v>
      </c>
      <c r="C6565" s="250" t="str">
        <f>IF(AND(A6565&lt;&gt;"",ISNUMBER(A6565)),VLOOKUP(A6565,Studies!A:BR,3,FALSE),"")</f>
        <v>https://www.ncbi.nlm.nih.gov/pubmed/8612379</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4</v>
      </c>
      <c r="H6565" s="50" t="s">
        <v>60</v>
      </c>
      <c r="I6565" s="187">
        <v>1.292643</v>
      </c>
      <c r="J6565" s="41" t="s">
        <v>941</v>
      </c>
      <c r="K6565" s="41" t="s">
        <v>116</v>
      </c>
      <c r="L6565" s="195">
        <v>0.23164100000000001</v>
      </c>
      <c r="M6565" s="52" t="s">
        <v>941</v>
      </c>
      <c r="N6565" s="52" t="s">
        <v>949</v>
      </c>
    </row>
    <row r="6566" spans="1:15" x14ac:dyDescent="0.2">
      <c r="A6566" s="183">
        <v>724</v>
      </c>
      <c r="B6566" s="249" t="str">
        <f>IF(AND(A6566&lt;&gt;"",ISNUMBER(A6566)),VLOOKUP(A6566,Studies!A:BR,2,FALSE),"")</f>
        <v>Varhe 1996b</v>
      </c>
      <c r="C6566" s="250" t="str">
        <f>IF(AND(A6566&lt;&gt;"",ISNUMBER(A6566)),VLOOKUP(A6566,Studies!A:BR,3,FALSE),"")</f>
        <v>https://www.ncbi.nlm.nih.gov/pubmed/8612379</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5</v>
      </c>
      <c r="H6566" s="50" t="s">
        <v>60</v>
      </c>
      <c r="I6566" s="187">
        <v>0.97160769999999996</v>
      </c>
      <c r="J6566" s="41" t="s">
        <v>941</v>
      </c>
      <c r="K6566" s="41" t="s">
        <v>116</v>
      </c>
      <c r="L6566" s="195">
        <v>0.220359</v>
      </c>
      <c r="M6566" s="52" t="s">
        <v>941</v>
      </c>
      <c r="N6566" s="52" t="s">
        <v>949</v>
      </c>
    </row>
    <row r="6567" spans="1:15" x14ac:dyDescent="0.2">
      <c r="A6567" s="183">
        <v>724</v>
      </c>
      <c r="B6567" s="249" t="str">
        <f>IF(AND(A6567&lt;&gt;"",ISNUMBER(A6567)),VLOOKUP(A6567,Studies!A:BR,2,FALSE),"")</f>
        <v>Varhe 1996b</v>
      </c>
      <c r="C6567" s="250" t="str">
        <f>IF(AND(A6567&lt;&gt;"",ISNUMBER(A6567)),VLOOKUP(A6567,Studies!A:BR,3,FALSE),"")</f>
        <v>https://www.ncbi.nlm.nih.gov/pubmed/8612379</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6</v>
      </c>
      <c r="H6567" s="50" t="s">
        <v>60</v>
      </c>
      <c r="I6567" s="187">
        <v>0.87089550000000004</v>
      </c>
      <c r="J6567" s="41" t="s">
        <v>941</v>
      </c>
      <c r="K6567" s="41" t="s">
        <v>116</v>
      </c>
      <c r="L6567" s="195">
        <v>0.24862500000000001</v>
      </c>
      <c r="M6567" s="52" t="s">
        <v>941</v>
      </c>
      <c r="N6567" s="52" t="s">
        <v>949</v>
      </c>
    </row>
    <row r="6568" spans="1:15" x14ac:dyDescent="0.2">
      <c r="A6568" s="183">
        <v>724</v>
      </c>
      <c r="B6568" s="249" t="str">
        <f>IF(AND(A6568&lt;&gt;"",ISNUMBER(A6568)),VLOOKUP(A6568,Studies!A:BR,2,FALSE),"")</f>
        <v>Varhe 1996b</v>
      </c>
      <c r="C6568" s="250" t="str">
        <f>IF(AND(A6568&lt;&gt;"",ISNUMBER(A6568)),VLOOKUP(A6568,Studies!A:BR,3,FALSE),"")</f>
        <v>https://www.ncbi.nlm.nih.gov/pubmed/8612379</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7</v>
      </c>
      <c r="H6568" s="50" t="s">
        <v>60</v>
      </c>
      <c r="I6568" s="187">
        <v>0.66285530000000004</v>
      </c>
      <c r="J6568" s="41" t="s">
        <v>941</v>
      </c>
      <c r="K6568" s="41" t="s">
        <v>116</v>
      </c>
      <c r="L6568" s="195">
        <v>0.20902399999999999</v>
      </c>
      <c r="M6568" s="52" t="s">
        <v>941</v>
      </c>
      <c r="N6568" s="52" t="s">
        <v>949</v>
      </c>
    </row>
    <row r="6569" spans="1:15" x14ac:dyDescent="0.2">
      <c r="A6569" s="183">
        <v>724</v>
      </c>
      <c r="B6569" s="249" t="str">
        <f>IF(AND(A6569&lt;&gt;"",ISNUMBER(A6569)),VLOOKUP(A6569,Studies!A:BR,2,FALSE),"")</f>
        <v>Varhe 1996b</v>
      </c>
      <c r="C6569" s="250" t="str">
        <f>IF(AND(A6569&lt;&gt;"",ISNUMBER(A6569)),VLOOKUP(A6569,Studies!A:BR,3,FALSE),"")</f>
        <v>https://www.ncbi.nlm.nih.gov/pubmed/8612379</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17</v>
      </c>
      <c r="H6569" s="50" t="s">
        <v>60</v>
      </c>
      <c r="I6569" s="187">
        <v>0.1191369</v>
      </c>
      <c r="J6569" s="41" t="s">
        <v>941</v>
      </c>
      <c r="K6569" s="41" t="s">
        <v>116</v>
      </c>
      <c r="L6569" s="195">
        <v>0.107363</v>
      </c>
      <c r="M6569" s="52" t="s">
        <v>941</v>
      </c>
      <c r="N6569" s="52" t="s">
        <v>949</v>
      </c>
    </row>
    <row r="6570" spans="1:15" x14ac:dyDescent="0.2">
      <c r="A6570" s="183">
        <v>725</v>
      </c>
      <c r="B6570" s="249" t="str">
        <f>IF(AND(A6570&lt;&gt;"",ISNUMBER(A6570)),VLOOKUP(A6570,Studies!A:BR,2,FALSE),"")</f>
        <v>Varhe 1996c</v>
      </c>
      <c r="C6570" s="250" t="str">
        <f>IF(AND(A6570&lt;&gt;"",ISNUMBER(A6570)),VLOOKUP(A6570,Studies!A:BR,3,FALSE),"")</f>
        <v>https://www.ncbi.nlm.nih.gov/pubmed/8904618</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0.5</v>
      </c>
      <c r="H6570" s="50" t="s">
        <v>60</v>
      </c>
      <c r="I6570" s="187">
        <v>0.86702129999999999</v>
      </c>
      <c r="J6570" s="41" t="s">
        <v>941</v>
      </c>
      <c r="K6570" s="41" t="s">
        <v>116</v>
      </c>
    </row>
    <row r="6571" spans="1:15" x14ac:dyDescent="0.2">
      <c r="A6571" s="183">
        <v>725</v>
      </c>
      <c r="B6571" s="249" t="str">
        <f>IF(AND(A6571&lt;&gt;"",ISNUMBER(A6571)),VLOOKUP(A6571,Studies!A:BR,2,FALSE),"")</f>
        <v>Varhe 1996c</v>
      </c>
      <c r="C6571" s="250" t="str">
        <f>IF(AND(A6571&lt;&gt;"",ISNUMBER(A6571)),VLOOKUP(A6571,Studies!A:BR,3,FALSE),"")</f>
        <v>https://www.ncbi.nlm.nih.gov/pubmed/8904618</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1</v>
      </c>
      <c r="H6571" s="50" t="s">
        <v>60</v>
      </c>
      <c r="I6571" s="187">
        <v>1.4680850000000001</v>
      </c>
      <c r="J6571" s="41" t="s">
        <v>941</v>
      </c>
      <c r="K6571" s="41" t="s">
        <v>116</v>
      </c>
      <c r="O6571" s="199"/>
    </row>
    <row r="6572" spans="1:15" x14ac:dyDescent="0.2">
      <c r="A6572" s="183">
        <v>725</v>
      </c>
      <c r="B6572" s="249" t="str">
        <f>IF(AND(A6572&lt;&gt;"",ISNUMBER(A6572)),VLOOKUP(A6572,Studies!A:BR,2,FALSE),"")</f>
        <v>Varhe 1996c</v>
      </c>
      <c r="C6572" s="250" t="str">
        <f>IF(AND(A6572&lt;&gt;"",ISNUMBER(A6572)),VLOOKUP(A6572,Studies!A:BR,3,FALSE),"")</f>
        <v>https://www.ncbi.nlm.nih.gov/pubmed/8904618</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1.5</v>
      </c>
      <c r="H6572" s="50" t="s">
        <v>60</v>
      </c>
      <c r="I6572" s="187">
        <v>1.398936</v>
      </c>
      <c r="J6572" s="41" t="s">
        <v>941</v>
      </c>
      <c r="K6572" s="41" t="s">
        <v>116</v>
      </c>
      <c r="L6572" s="195">
        <v>0.234042</v>
      </c>
      <c r="M6572" s="52" t="s">
        <v>941</v>
      </c>
      <c r="N6572" s="52" t="s">
        <v>949</v>
      </c>
      <c r="O6572" s="199"/>
    </row>
    <row r="6573" spans="1:15" x14ac:dyDescent="0.2">
      <c r="A6573" s="183">
        <v>725</v>
      </c>
      <c r="B6573" s="249" t="str">
        <f>IF(AND(A6573&lt;&gt;"",ISNUMBER(A6573)),VLOOKUP(A6573,Studies!A:BR,2,FALSE),"")</f>
        <v>Varhe 1996c</v>
      </c>
      <c r="C6573" s="250" t="str">
        <f>IF(AND(A6573&lt;&gt;"",ISNUMBER(A6573)),VLOOKUP(A6573,Studies!A:BR,3,FALSE),"")</f>
        <v>https://www.ncbi.nlm.nih.gov/pubmed/8904618</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2</v>
      </c>
      <c r="H6573" s="50" t="s">
        <v>60</v>
      </c>
      <c r="I6573" s="187">
        <v>1.351064</v>
      </c>
      <c r="J6573" s="41" t="s">
        <v>941</v>
      </c>
      <c r="K6573" s="41" t="s">
        <v>116</v>
      </c>
      <c r="L6573" s="195">
        <v>0.218085</v>
      </c>
      <c r="M6573" s="52" t="s">
        <v>941</v>
      </c>
      <c r="N6573" s="52" t="s">
        <v>949</v>
      </c>
      <c r="O6573" s="199"/>
    </row>
    <row r="6574" spans="1:15" x14ac:dyDescent="0.2">
      <c r="A6574" s="183">
        <v>725</v>
      </c>
      <c r="B6574" s="249" t="str">
        <f>IF(AND(A6574&lt;&gt;"",ISNUMBER(A6574)),VLOOKUP(A6574,Studies!A:BR,2,FALSE),"")</f>
        <v>Varhe 1996c</v>
      </c>
      <c r="C6574" s="250" t="str">
        <f>IF(AND(A6574&lt;&gt;"",ISNUMBER(A6574)),VLOOKUP(A6574,Studies!A:BR,3,FALSE),"")</f>
        <v>https://www.ncbi.nlm.nih.gov/pubmed/8904618</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3</v>
      </c>
      <c r="H6574" s="50" t="s">
        <v>60</v>
      </c>
      <c r="I6574" s="187">
        <v>1.058511</v>
      </c>
      <c r="J6574" s="41" t="s">
        <v>941</v>
      </c>
      <c r="K6574" s="41" t="s">
        <v>116</v>
      </c>
      <c r="L6574" s="195">
        <v>0.14893700000000001</v>
      </c>
      <c r="M6574" s="52" t="s">
        <v>941</v>
      </c>
      <c r="N6574" s="52" t="s">
        <v>949</v>
      </c>
      <c r="O6574" s="199"/>
    </row>
    <row r="6575" spans="1:15" x14ac:dyDescent="0.2">
      <c r="A6575" s="183">
        <v>725</v>
      </c>
      <c r="B6575" s="249" t="str">
        <f>IF(AND(A6575&lt;&gt;"",ISNUMBER(A6575)),VLOOKUP(A6575,Studies!A:BR,2,FALSE),"")</f>
        <v>Varhe 1996c</v>
      </c>
      <c r="C6575" s="250" t="str">
        <f>IF(AND(A6575&lt;&gt;"",ISNUMBER(A6575)),VLOOKUP(A6575,Studies!A:BR,3,FALSE),"")</f>
        <v>https://www.ncbi.nlm.nih.gov/pubmed/8904618</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4</v>
      </c>
      <c r="H6575" s="50" t="s">
        <v>60</v>
      </c>
      <c r="I6575" s="187">
        <v>0.92021269999999999</v>
      </c>
      <c r="J6575" s="41" t="s">
        <v>941</v>
      </c>
      <c r="K6575" s="41" t="s">
        <v>116</v>
      </c>
      <c r="L6575" s="195">
        <v>0.138298</v>
      </c>
      <c r="M6575" s="52" t="s">
        <v>941</v>
      </c>
      <c r="N6575" s="52" t="s">
        <v>949</v>
      </c>
      <c r="O6575" s="199"/>
    </row>
    <row r="6576" spans="1:15" x14ac:dyDescent="0.2">
      <c r="A6576" s="183">
        <v>725</v>
      </c>
      <c r="B6576" s="249" t="str">
        <f>IF(AND(A6576&lt;&gt;"",ISNUMBER(A6576)),VLOOKUP(A6576,Studies!A:BR,2,FALSE),"")</f>
        <v>Varhe 1996c</v>
      </c>
      <c r="C6576" s="250" t="str">
        <f>IF(AND(A6576&lt;&gt;"",ISNUMBER(A6576)),VLOOKUP(A6576,Studies!A:BR,3,FALSE),"")</f>
        <v>https://www.ncbi.nlm.nih.gov/pubmed/8904618</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5</v>
      </c>
      <c r="H6576" s="50" t="s">
        <v>60</v>
      </c>
      <c r="I6576" s="187">
        <v>0.73936170000000001</v>
      </c>
      <c r="J6576" s="41" t="s">
        <v>941</v>
      </c>
      <c r="K6576" s="41" t="s">
        <v>116</v>
      </c>
      <c r="L6576" s="195">
        <v>0.14361699999999999</v>
      </c>
      <c r="M6576" s="52" t="s">
        <v>941</v>
      </c>
      <c r="N6576" s="52" t="s">
        <v>949</v>
      </c>
      <c r="O6576" s="199"/>
    </row>
    <row r="6577" spans="1:15" x14ac:dyDescent="0.2">
      <c r="A6577" s="30">
        <v>725</v>
      </c>
      <c r="B6577" s="249" t="str">
        <f>IF(AND(A6577&lt;&gt;"",ISNUMBER(A6577)),VLOOKUP(A6577,Studies!A:BR,2,FALSE),"")</f>
        <v>Varhe 1996c</v>
      </c>
      <c r="C6577" s="250" t="str">
        <f>IF(AND(A6577&lt;&gt;"",ISNUMBER(A6577)),VLOOKUP(A6577,Studies!A:BR,3,FALSE),"")</f>
        <v>https://www.ncbi.nlm.nih.gov/pubmed/8904618</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6</v>
      </c>
      <c r="H6577" s="50" t="s">
        <v>60</v>
      </c>
      <c r="I6577" s="187">
        <v>0.57978730000000001</v>
      </c>
      <c r="J6577" s="41" t="s">
        <v>941</v>
      </c>
      <c r="K6577" s="41" t="s">
        <v>116</v>
      </c>
      <c r="L6577" s="195">
        <v>0.117021</v>
      </c>
      <c r="M6577" s="52" t="s">
        <v>941</v>
      </c>
      <c r="N6577" s="52" t="s">
        <v>949</v>
      </c>
      <c r="O6577" s="199"/>
    </row>
    <row r="6578" spans="1:15" x14ac:dyDescent="0.2">
      <c r="A6578" s="30">
        <v>725</v>
      </c>
      <c r="B6578" s="249" t="str">
        <f>IF(AND(A6578&lt;&gt;"",ISNUMBER(A6578)),VLOOKUP(A6578,Studies!A:BR,2,FALSE),"")</f>
        <v>Varhe 1996c</v>
      </c>
      <c r="C6578" s="250" t="str">
        <f>IF(AND(A6578&lt;&gt;"",ISNUMBER(A6578)),VLOOKUP(A6578,Studies!A:BR,3,FALSE),"")</f>
        <v>https://www.ncbi.nlm.nih.gov/pubmed/8904618</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7</v>
      </c>
      <c r="H6578" s="50" t="s">
        <v>60</v>
      </c>
      <c r="I6578" s="187">
        <v>0.48404259999999999</v>
      </c>
      <c r="J6578" s="41" t="s">
        <v>941</v>
      </c>
      <c r="K6578" s="41" t="s">
        <v>116</v>
      </c>
      <c r="L6578" s="195">
        <v>0.10638300000000001</v>
      </c>
      <c r="M6578" s="52" t="s">
        <v>941</v>
      </c>
      <c r="N6578" s="52" t="s">
        <v>949</v>
      </c>
    </row>
    <row r="6579" spans="1:15" x14ac:dyDescent="0.2">
      <c r="A6579" s="30">
        <v>725</v>
      </c>
      <c r="B6579" s="249" t="str">
        <f>IF(AND(A6579&lt;&gt;"",ISNUMBER(A6579)),VLOOKUP(A6579,Studies!A:BR,2,FALSE),"")</f>
        <v>Varhe 1996c</v>
      </c>
      <c r="C6579" s="250" t="str">
        <f>IF(AND(A6579&lt;&gt;"",ISNUMBER(A6579)),VLOOKUP(A6579,Studies!A:BR,3,FALSE),"")</f>
        <v>https://www.ncbi.nlm.nih.gov/pubmed/8904618</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18</v>
      </c>
      <c r="H6579" s="50" t="s">
        <v>60</v>
      </c>
      <c r="I6579" s="187">
        <v>2.12766E-2</v>
      </c>
      <c r="J6579" s="41" t="s">
        <v>941</v>
      </c>
      <c r="K6579" s="41" t="s">
        <v>116</v>
      </c>
      <c r="O6579" s="199"/>
    </row>
    <row r="6580" spans="1:15" x14ac:dyDescent="0.2">
      <c r="A6580" s="30">
        <v>726</v>
      </c>
      <c r="B6580" s="249" t="str">
        <f>IF(AND(A6580&lt;&gt;"",ISNUMBER(A6580)),VLOOKUP(A6580,Studies!A:BR,2,FALSE),"")</f>
        <v>Villikka 1997</v>
      </c>
      <c r="C6580" s="250" t="str">
        <f>IF(AND(A6580&lt;&gt;"",ISNUMBER(A6580)),VLOOKUP(A6580,Studies!A:BR,3,FALSE),"")</f>
        <v>https://www.ncbi.nlm.nih.gov/pubmed/9024169</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0.5</v>
      </c>
      <c r="H6580" s="50" t="s">
        <v>60</v>
      </c>
      <c r="I6580" s="187">
        <v>0.8346363</v>
      </c>
      <c r="J6580" s="41" t="s">
        <v>941</v>
      </c>
      <c r="K6580" s="41" t="s">
        <v>116</v>
      </c>
      <c r="L6580" s="195">
        <v>0.26138299999999998</v>
      </c>
      <c r="M6580" s="52" t="s">
        <v>941</v>
      </c>
      <c r="N6580" s="52" t="s">
        <v>949</v>
      </c>
      <c r="O6580" s="59">
        <v>0.05</v>
      </c>
    </row>
    <row r="6581" spans="1:15" x14ac:dyDescent="0.2">
      <c r="A6581" s="30">
        <v>726</v>
      </c>
      <c r="B6581" s="249" t="str">
        <f>IF(AND(A6581&lt;&gt;"",ISNUMBER(A6581)),VLOOKUP(A6581,Studies!A:BR,2,FALSE),"")</f>
        <v>Villikka 1997</v>
      </c>
      <c r="C6581" s="250" t="str">
        <f>IF(AND(A6581&lt;&gt;"",ISNUMBER(A6581)),VLOOKUP(A6581,Studies!A:BR,3,FALSE),"")</f>
        <v>https://www.ncbi.nlm.nih.gov/pubmed/9024169</v>
      </c>
      <c r="D6581" s="250" t="str">
        <f>IF(AND(A6581&lt;&gt;"",ISNUMBER(A6581)),VLOOKUP(A6581,Studies!A:BR,4,FALSE),"")</f>
        <v>Triazolam + placebo</v>
      </c>
      <c r="E6581" s="250" t="str">
        <f>IF(AND(A6581&lt;&gt;"",ISNUMBER(A6581)),VLOOKUP(A6581,Studies!A:BR,5,FALSE),"")</f>
        <v>Triazolam</v>
      </c>
      <c r="F6581" s="251" t="str">
        <f>IF(AND(A6581&lt;&gt;"",ISNUMBER(A6581)),VLOOKUP(A6581,Studies!A:BR,6,FALSE),"")</f>
        <v>Plasma</v>
      </c>
      <c r="G6581" s="194">
        <v>1</v>
      </c>
      <c r="H6581" s="50" t="s">
        <v>60</v>
      </c>
      <c r="I6581" s="187">
        <v>1.924509</v>
      </c>
      <c r="J6581" s="41" t="s">
        <v>941</v>
      </c>
      <c r="K6581" s="41" t="s">
        <v>116</v>
      </c>
      <c r="L6581" s="195">
        <v>0.379639</v>
      </c>
      <c r="M6581" s="52" t="s">
        <v>941</v>
      </c>
      <c r="N6581" s="52" t="s">
        <v>949</v>
      </c>
      <c r="O6581" s="59">
        <v>0.05</v>
      </c>
    </row>
    <row r="6582" spans="1:15" x14ac:dyDescent="0.2">
      <c r="A6582" s="30">
        <v>726</v>
      </c>
      <c r="B6582" s="249" t="str">
        <f>IF(AND(A6582&lt;&gt;"",ISNUMBER(A6582)),VLOOKUP(A6582,Studies!A:BR,2,FALSE),"")</f>
        <v>Villikka 1997</v>
      </c>
      <c r="C6582" s="250" t="str">
        <f>IF(AND(A6582&lt;&gt;"",ISNUMBER(A6582)),VLOOKUP(A6582,Studies!A:BR,3,FALSE),"")</f>
        <v>https://www.ncbi.nlm.nih.gov/pubmed/9024169</v>
      </c>
      <c r="D6582" s="250" t="str">
        <f>IF(AND(A6582&lt;&gt;"",ISNUMBER(A6582)),VLOOKUP(A6582,Studies!A:BR,4,FALSE),"")</f>
        <v>Triazolam + placebo</v>
      </c>
      <c r="E6582" s="250" t="str">
        <f>IF(AND(A6582&lt;&gt;"",ISNUMBER(A6582)),VLOOKUP(A6582,Studies!A:BR,5,FALSE),"")</f>
        <v>Triazolam</v>
      </c>
      <c r="F6582" s="251" t="str">
        <f>IF(AND(A6582&lt;&gt;"",ISNUMBER(A6582)),VLOOKUP(A6582,Studies!A:BR,6,FALSE),"")</f>
        <v>Plasma</v>
      </c>
      <c r="G6582" s="194">
        <v>1.5</v>
      </c>
      <c r="H6582" s="50" t="s">
        <v>60</v>
      </c>
      <c r="I6582" s="187">
        <v>2.3732820000000001</v>
      </c>
      <c r="J6582" s="41" t="s">
        <v>941</v>
      </c>
      <c r="K6582" s="41" t="s">
        <v>116</v>
      </c>
      <c r="L6582" s="195">
        <v>0.37338900000000003</v>
      </c>
      <c r="M6582" s="52" t="s">
        <v>941</v>
      </c>
      <c r="N6582" s="52" t="s">
        <v>949</v>
      </c>
      <c r="O6582" s="59">
        <v>0.05</v>
      </c>
    </row>
    <row r="6583" spans="1:15" x14ac:dyDescent="0.2">
      <c r="A6583" s="30">
        <v>726</v>
      </c>
      <c r="B6583" s="249" t="str">
        <f>IF(AND(A6583&lt;&gt;"",ISNUMBER(A6583)),VLOOKUP(A6583,Studies!A:BR,2,FALSE),"")</f>
        <v>Villikka 1997</v>
      </c>
      <c r="C6583" s="250" t="str">
        <f>IF(AND(A6583&lt;&gt;"",ISNUMBER(A6583)),VLOOKUP(A6583,Studies!A:BR,3,FALSE),"")</f>
        <v>https://www.ncbi.nlm.nih.gov/pubmed/9024169</v>
      </c>
      <c r="D6583" s="250" t="str">
        <f>IF(AND(A6583&lt;&gt;"",ISNUMBER(A6583)),VLOOKUP(A6583,Studies!A:BR,4,FALSE),"")</f>
        <v>Triazolam + placebo</v>
      </c>
      <c r="E6583" s="250" t="str">
        <f>IF(AND(A6583&lt;&gt;"",ISNUMBER(A6583)),VLOOKUP(A6583,Studies!A:BR,5,FALSE),"")</f>
        <v>Triazolam</v>
      </c>
      <c r="F6583" s="251" t="str">
        <f>IF(AND(A6583&lt;&gt;"",ISNUMBER(A6583)),VLOOKUP(A6583,Studies!A:BR,6,FALSE),"")</f>
        <v>Plasma</v>
      </c>
      <c r="G6583" s="194">
        <v>2</v>
      </c>
      <c r="H6583" s="50" t="s">
        <v>60</v>
      </c>
      <c r="I6583" s="187">
        <v>2.5046050000000002</v>
      </c>
      <c r="J6583" s="41" t="s">
        <v>941</v>
      </c>
      <c r="K6583" s="41" t="s">
        <v>116</v>
      </c>
      <c r="L6583" s="195">
        <v>0.24276200000000001</v>
      </c>
      <c r="M6583" s="52" t="s">
        <v>941</v>
      </c>
      <c r="N6583" s="52" t="s">
        <v>949</v>
      </c>
      <c r="O6583" s="59">
        <v>0.05</v>
      </c>
    </row>
    <row r="6584" spans="1:15" x14ac:dyDescent="0.2">
      <c r="A6584" s="30">
        <v>726</v>
      </c>
      <c r="B6584" s="249" t="str">
        <f>IF(AND(A6584&lt;&gt;"",ISNUMBER(A6584)),VLOOKUP(A6584,Studies!A:BR,2,FALSE),"")</f>
        <v>Villikka 1997</v>
      </c>
      <c r="C6584" s="250" t="str">
        <f>IF(AND(A6584&lt;&gt;"",ISNUMBER(A6584)),VLOOKUP(A6584,Studies!A:BR,3,FALSE),"")</f>
        <v>https://www.ncbi.nlm.nih.gov/pubmed/9024169</v>
      </c>
      <c r="D6584" s="250" t="str">
        <f>IF(AND(A6584&lt;&gt;"",ISNUMBER(A6584)),VLOOKUP(A6584,Studies!A:BR,4,FALSE),"")</f>
        <v>Triazolam + placebo</v>
      </c>
      <c r="E6584" s="250" t="str">
        <f>IF(AND(A6584&lt;&gt;"",ISNUMBER(A6584)),VLOOKUP(A6584,Studies!A:BR,5,FALSE),"")</f>
        <v>Triazolam</v>
      </c>
      <c r="F6584" s="251" t="str">
        <f>IF(AND(A6584&lt;&gt;"",ISNUMBER(A6584)),VLOOKUP(A6584,Studies!A:BR,6,FALSE),"")</f>
        <v>Plasma</v>
      </c>
      <c r="G6584" s="194">
        <v>3</v>
      </c>
      <c r="H6584" s="50" t="s">
        <v>60</v>
      </c>
      <c r="I6584" s="187">
        <v>2.2941989999999999</v>
      </c>
      <c r="J6584" s="41" t="s">
        <v>941</v>
      </c>
      <c r="K6584" s="41" t="s">
        <v>116</v>
      </c>
      <c r="L6584" s="195">
        <v>0.23034099999999999</v>
      </c>
      <c r="M6584" s="52" t="s">
        <v>941</v>
      </c>
      <c r="N6584" s="52" t="s">
        <v>949</v>
      </c>
      <c r="O6584" s="59">
        <v>0.05</v>
      </c>
    </row>
    <row r="6585" spans="1:15" x14ac:dyDescent="0.2">
      <c r="A6585" s="30">
        <v>726</v>
      </c>
      <c r="B6585" s="249" t="str">
        <f>IF(AND(A6585&lt;&gt;"",ISNUMBER(A6585)),VLOOKUP(A6585,Studies!A:BR,2,FALSE),"")</f>
        <v>Villikka 1997</v>
      </c>
      <c r="C6585" s="250" t="str">
        <f>IF(AND(A6585&lt;&gt;"",ISNUMBER(A6585)),VLOOKUP(A6585,Studies!A:BR,3,FALSE),"")</f>
        <v>https://www.ncbi.nlm.nih.gov/pubmed/9024169</v>
      </c>
      <c r="D6585" s="250" t="str">
        <f>IF(AND(A6585&lt;&gt;"",ISNUMBER(A6585)),VLOOKUP(A6585,Studies!A:BR,4,FALSE),"")</f>
        <v>Triazolam + placebo</v>
      </c>
      <c r="E6585" s="250" t="str">
        <f>IF(AND(A6585&lt;&gt;"",ISNUMBER(A6585)),VLOOKUP(A6585,Studies!A:BR,5,FALSE),"")</f>
        <v>Triazolam</v>
      </c>
      <c r="F6585" s="251" t="str">
        <f>IF(AND(A6585&lt;&gt;"",ISNUMBER(A6585)),VLOOKUP(A6585,Studies!A:BR,6,FALSE),"")</f>
        <v>Plasma</v>
      </c>
      <c r="G6585" s="194">
        <v>4</v>
      </c>
      <c r="H6585" s="50" t="s">
        <v>60</v>
      </c>
      <c r="I6585" s="187">
        <v>1.778869</v>
      </c>
      <c r="J6585" s="41" t="s">
        <v>941</v>
      </c>
      <c r="K6585" s="41" t="s">
        <v>116</v>
      </c>
      <c r="L6585" s="195">
        <v>0.161824</v>
      </c>
      <c r="M6585" s="52" t="s">
        <v>941</v>
      </c>
      <c r="N6585" s="52" t="s">
        <v>949</v>
      </c>
      <c r="O6585" s="59">
        <v>0.05</v>
      </c>
    </row>
    <row r="6586" spans="1:15" x14ac:dyDescent="0.2">
      <c r="A6586" s="30">
        <v>726</v>
      </c>
      <c r="B6586" s="249" t="str">
        <f>IF(AND(A6586&lt;&gt;"",ISNUMBER(A6586)),VLOOKUP(A6586,Studies!A:BR,2,FALSE),"")</f>
        <v>Villikka 1997</v>
      </c>
      <c r="C6586" s="250" t="str">
        <f>IF(AND(A6586&lt;&gt;"",ISNUMBER(A6586)),VLOOKUP(A6586,Studies!A:BR,3,FALSE),"")</f>
        <v>https://www.ncbi.nlm.nih.gov/pubmed/9024169</v>
      </c>
      <c r="D6586" s="250" t="str">
        <f>IF(AND(A6586&lt;&gt;"",ISNUMBER(A6586)),VLOOKUP(A6586,Studies!A:BR,4,FALSE),"")</f>
        <v>Triazolam + placebo</v>
      </c>
      <c r="E6586" s="250" t="str">
        <f>IF(AND(A6586&lt;&gt;"",ISNUMBER(A6586)),VLOOKUP(A6586,Studies!A:BR,5,FALSE),"")</f>
        <v>Triazolam</v>
      </c>
      <c r="F6586" s="251" t="str">
        <f>IF(AND(A6586&lt;&gt;"",ISNUMBER(A6586)),VLOOKUP(A6586,Studies!A:BR,6,FALSE),"")</f>
        <v>Plasma</v>
      </c>
      <c r="G6586" s="194">
        <v>5</v>
      </c>
      <c r="H6586" s="50" t="s">
        <v>60</v>
      </c>
      <c r="I6586" s="187">
        <v>1.36927</v>
      </c>
      <c r="J6586" s="41" t="s">
        <v>941</v>
      </c>
      <c r="K6586" s="41" t="s">
        <v>116</v>
      </c>
      <c r="L6586" s="195">
        <v>0.105834</v>
      </c>
      <c r="M6586" s="52" t="s">
        <v>941</v>
      </c>
      <c r="N6586" s="52" t="s">
        <v>949</v>
      </c>
      <c r="O6586" s="59">
        <v>0.05</v>
      </c>
    </row>
    <row r="6587" spans="1:15" x14ac:dyDescent="0.2">
      <c r="A6587" s="30">
        <v>726</v>
      </c>
      <c r="B6587" s="249" t="str">
        <f>IF(AND(A6587&lt;&gt;"",ISNUMBER(A6587)),VLOOKUP(A6587,Studies!A:BR,2,FALSE),"")</f>
        <v>Villikka 1997</v>
      </c>
      <c r="C6587" s="250" t="str">
        <f>IF(AND(A6587&lt;&gt;"",ISNUMBER(A6587)),VLOOKUP(A6587,Studies!A:BR,3,FALSE),"")</f>
        <v>https://www.ncbi.nlm.nih.gov/pubmed/9024169</v>
      </c>
      <c r="D6587" s="250" t="str">
        <f>IF(AND(A6587&lt;&gt;"",ISNUMBER(A6587)),VLOOKUP(A6587,Studies!A:BR,4,FALSE),"")</f>
        <v>Triazolam + placebo</v>
      </c>
      <c r="E6587" s="250" t="str">
        <f>IF(AND(A6587&lt;&gt;"",ISNUMBER(A6587)),VLOOKUP(A6587,Studies!A:BR,5,FALSE),"")</f>
        <v>Triazolam</v>
      </c>
      <c r="F6587" s="251" t="str">
        <f>IF(AND(A6587&lt;&gt;"",ISNUMBER(A6587)),VLOOKUP(A6587,Studies!A:BR,6,FALSE),"")</f>
        <v>Plasma</v>
      </c>
      <c r="G6587" s="194">
        <v>6</v>
      </c>
      <c r="H6587" s="50" t="s">
        <v>60</v>
      </c>
      <c r="I6587" s="187">
        <v>1.0966499999999999</v>
      </c>
      <c r="J6587" s="41" t="s">
        <v>941</v>
      </c>
      <c r="K6587" s="41" t="s">
        <v>116</v>
      </c>
      <c r="L6587" s="195">
        <v>8.0937999999999996E-2</v>
      </c>
      <c r="M6587" s="52" t="s">
        <v>941</v>
      </c>
      <c r="N6587" s="52" t="s">
        <v>949</v>
      </c>
      <c r="O6587" s="59">
        <v>0.05</v>
      </c>
    </row>
    <row r="6588" spans="1:15" x14ac:dyDescent="0.2">
      <c r="A6588" s="30">
        <v>726</v>
      </c>
      <c r="B6588" s="249" t="str">
        <f>IF(AND(A6588&lt;&gt;"",ISNUMBER(A6588)),VLOOKUP(A6588,Studies!A:BR,2,FALSE),"")</f>
        <v>Villikka 1997</v>
      </c>
      <c r="C6588" s="250" t="str">
        <f>IF(AND(A6588&lt;&gt;"",ISNUMBER(A6588)),VLOOKUP(A6588,Studies!A:BR,3,FALSE),"")</f>
        <v>https://www.ncbi.nlm.nih.gov/pubmed/9024169</v>
      </c>
      <c r="D6588" s="250" t="str">
        <f>IF(AND(A6588&lt;&gt;"",ISNUMBER(A6588)),VLOOKUP(A6588,Studies!A:BR,4,FALSE),"")</f>
        <v>Triazolam + placebo</v>
      </c>
      <c r="E6588" s="250" t="str">
        <f>IF(AND(A6588&lt;&gt;"",ISNUMBER(A6588)),VLOOKUP(A6588,Studies!A:BR,5,FALSE),"")</f>
        <v>Triazolam</v>
      </c>
      <c r="F6588" s="251" t="str">
        <f>IF(AND(A6588&lt;&gt;"",ISNUMBER(A6588)),VLOOKUP(A6588,Studies!A:BR,6,FALSE),"")</f>
        <v>Plasma</v>
      </c>
      <c r="G6588" s="194">
        <v>8</v>
      </c>
      <c r="H6588" s="50" t="s">
        <v>60</v>
      </c>
      <c r="I6588" s="187">
        <v>0.65721969999999996</v>
      </c>
      <c r="J6588" s="41" t="s">
        <v>941</v>
      </c>
      <c r="K6588" s="41" t="s">
        <v>116</v>
      </c>
      <c r="O6588" s="59">
        <v>0.05</v>
      </c>
    </row>
    <row r="6589" spans="1:15" x14ac:dyDescent="0.2">
      <c r="A6589" s="30">
        <v>726</v>
      </c>
      <c r="B6589" s="249" t="str">
        <f>IF(AND(A6589&lt;&gt;"",ISNUMBER(A6589)),VLOOKUP(A6589,Studies!A:BR,2,FALSE),"")</f>
        <v>Villikka 1997</v>
      </c>
      <c r="C6589" s="250" t="str">
        <f>IF(AND(A6589&lt;&gt;"",ISNUMBER(A6589)),VLOOKUP(A6589,Studies!A:BR,3,FALSE),"")</f>
        <v>https://www.ncbi.nlm.nih.gov/pubmed/9024169</v>
      </c>
      <c r="D6589" s="250" t="str">
        <f>IF(AND(A6589&lt;&gt;"",ISNUMBER(A6589)),VLOOKUP(A6589,Studies!A:BR,4,FALSE),"")</f>
        <v>Triazolam + placebo</v>
      </c>
      <c r="E6589" s="250" t="str">
        <f>IF(AND(A6589&lt;&gt;"",ISNUMBER(A6589)),VLOOKUP(A6589,Studies!A:BR,5,FALSE),"")</f>
        <v>Triazolam</v>
      </c>
      <c r="F6589" s="251" t="str">
        <f>IF(AND(A6589&lt;&gt;"",ISNUMBER(A6589)),VLOOKUP(A6589,Studies!A:BR,6,FALSE),"")</f>
        <v>Plasma</v>
      </c>
      <c r="G6589" s="194">
        <v>10</v>
      </c>
      <c r="H6589" s="50" t="s">
        <v>60</v>
      </c>
      <c r="I6589" s="187">
        <v>0.37966480000000002</v>
      </c>
      <c r="J6589" s="41" t="s">
        <v>941</v>
      </c>
      <c r="K6589" s="41" t="s">
        <v>116</v>
      </c>
      <c r="O6589" s="59">
        <v>0.05</v>
      </c>
    </row>
    <row r="6590" spans="1:15" x14ac:dyDescent="0.2">
      <c r="A6590" s="30">
        <v>727</v>
      </c>
      <c r="B6590" s="249" t="str">
        <f>IF(AND(A6590&lt;&gt;"",ISNUMBER(A6590)),VLOOKUP(A6590,Studies!A:BR,2,FALSE),"")</f>
        <v>Villikka 1998</v>
      </c>
      <c r="C6590" s="250" t="str">
        <f>IF(AND(A6590&lt;&gt;"",ISNUMBER(A6590)),VLOOKUP(A6590,Studies!A:BR,3,FALSE),"")</f>
        <v>https://www.ncbi.nlm.nih.gov/pubmed/9783333</v>
      </c>
      <c r="D6590" s="250" t="str">
        <f>IF(AND(A6590&lt;&gt;"",ISNUMBER(A6590)),VLOOKUP(A6590,Studies!A:BR,4,FALSE),"")</f>
        <v>Triazolam + placebo</v>
      </c>
      <c r="E6590" s="250" t="str">
        <f>IF(AND(A6590&lt;&gt;"",ISNUMBER(A6590)),VLOOKUP(A6590,Studies!A:BR,5,FALSE),"")</f>
        <v>Triazolam</v>
      </c>
      <c r="F6590" s="251" t="str">
        <f>IF(AND(A6590&lt;&gt;"",ISNUMBER(A6590)),VLOOKUP(A6590,Studies!A:BR,6,FALSE),"")</f>
        <v>Plasma</v>
      </c>
      <c r="G6590" s="194">
        <v>0.5</v>
      </c>
      <c r="H6590" s="50" t="s">
        <v>60</v>
      </c>
      <c r="I6590" s="187">
        <v>1.4932430000000001</v>
      </c>
      <c r="J6590" s="41" t="s">
        <v>941</v>
      </c>
      <c r="K6590" s="41" t="s">
        <v>116</v>
      </c>
      <c r="L6590" s="195">
        <v>0.40540599999999999</v>
      </c>
      <c r="M6590" s="52" t="s">
        <v>941</v>
      </c>
      <c r="N6590" s="52" t="s">
        <v>949</v>
      </c>
    </row>
    <row r="6591" spans="1:15" x14ac:dyDescent="0.2">
      <c r="A6591" s="30">
        <v>727</v>
      </c>
      <c r="B6591" s="249" t="str">
        <f>IF(AND(A6591&lt;&gt;"",ISNUMBER(A6591)),VLOOKUP(A6591,Studies!A:BR,2,FALSE),"")</f>
        <v>Villikka 1998</v>
      </c>
      <c r="C6591" s="250" t="str">
        <f>IF(AND(A6591&lt;&gt;"",ISNUMBER(A6591)),VLOOKUP(A6591,Studies!A:BR,3,FALSE),"")</f>
        <v>https://www.ncbi.nlm.nih.gov/pubmed/9783333</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1</v>
      </c>
      <c r="H6591" s="50" t="s">
        <v>60</v>
      </c>
      <c r="I6591" s="187">
        <v>2.6824319999999999</v>
      </c>
      <c r="J6591" s="41" t="s">
        <v>941</v>
      </c>
      <c r="K6591" s="41" t="s">
        <v>116</v>
      </c>
      <c r="L6591" s="195">
        <v>0.35810900000000001</v>
      </c>
      <c r="M6591" s="52" t="s">
        <v>941</v>
      </c>
      <c r="N6591" s="52" t="s">
        <v>949</v>
      </c>
    </row>
    <row r="6592" spans="1:15" x14ac:dyDescent="0.2">
      <c r="A6592" s="30">
        <v>727</v>
      </c>
      <c r="B6592" s="249" t="str">
        <f>IF(AND(A6592&lt;&gt;"",ISNUMBER(A6592)),VLOOKUP(A6592,Studies!A:BR,2,FALSE),"")</f>
        <v>Villikka 1998</v>
      </c>
      <c r="C6592" s="250" t="str">
        <f>IF(AND(A6592&lt;&gt;"",ISNUMBER(A6592)),VLOOKUP(A6592,Studies!A:BR,3,FALSE),"")</f>
        <v>https://www.ncbi.nlm.nih.gov/pubmed/9783333</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1.5</v>
      </c>
      <c r="H6592" s="50" t="s">
        <v>60</v>
      </c>
      <c r="I6592" s="187">
        <v>2.9391889999999998</v>
      </c>
      <c r="J6592" s="41" t="s">
        <v>941</v>
      </c>
      <c r="K6592" s="41" t="s">
        <v>116</v>
      </c>
      <c r="L6592" s="195">
        <v>0.43243300000000001</v>
      </c>
      <c r="M6592" s="52" t="s">
        <v>941</v>
      </c>
      <c r="N6592" s="52" t="s">
        <v>949</v>
      </c>
    </row>
    <row r="6593" spans="1:14" x14ac:dyDescent="0.2">
      <c r="A6593" s="30">
        <v>727</v>
      </c>
      <c r="B6593" s="249" t="str">
        <f>IF(AND(A6593&lt;&gt;"",ISNUMBER(A6593)),VLOOKUP(A6593,Studies!A:BR,2,FALSE),"")</f>
        <v>Villikka 1998</v>
      </c>
      <c r="C6593" s="250" t="str">
        <f>IF(AND(A6593&lt;&gt;"",ISNUMBER(A6593)),VLOOKUP(A6593,Studies!A:BR,3,FALSE),"")</f>
        <v>https://www.ncbi.nlm.nih.gov/pubmed/9783333</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2</v>
      </c>
      <c r="H6593" s="50" t="s">
        <v>60</v>
      </c>
      <c r="I6593" s="187">
        <v>2.7432430000000001</v>
      </c>
      <c r="J6593" s="41" t="s">
        <v>941</v>
      </c>
      <c r="K6593" s="41" t="s">
        <v>116</v>
      </c>
      <c r="L6593" s="195">
        <v>0.40540599999999999</v>
      </c>
      <c r="M6593" s="52" t="s">
        <v>941</v>
      </c>
      <c r="N6593" s="52" t="s">
        <v>949</v>
      </c>
    </row>
    <row r="6594" spans="1:14" x14ac:dyDescent="0.2">
      <c r="A6594" s="30">
        <v>727</v>
      </c>
      <c r="B6594" s="249" t="str">
        <f>IF(AND(A6594&lt;&gt;"",ISNUMBER(A6594)),VLOOKUP(A6594,Studies!A:BR,2,FALSE),"")</f>
        <v>Villikka 1998</v>
      </c>
      <c r="C6594" s="250" t="str">
        <f>IF(AND(A6594&lt;&gt;"",ISNUMBER(A6594)),VLOOKUP(A6594,Studies!A:BR,3,FALSE),"")</f>
        <v>https://www.ncbi.nlm.nih.gov/pubmed/9783333</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3</v>
      </c>
      <c r="H6594" s="50" t="s">
        <v>60</v>
      </c>
      <c r="I6594" s="187">
        <v>2.2837839999999998</v>
      </c>
      <c r="J6594" s="41" t="s">
        <v>941</v>
      </c>
      <c r="K6594" s="41" t="s">
        <v>116</v>
      </c>
      <c r="L6594" s="195">
        <v>0.37837799999999999</v>
      </c>
      <c r="M6594" s="52" t="s">
        <v>941</v>
      </c>
      <c r="N6594" s="52" t="s">
        <v>949</v>
      </c>
    </row>
    <row r="6595" spans="1:14" x14ac:dyDescent="0.2">
      <c r="A6595" s="30">
        <v>727</v>
      </c>
      <c r="B6595" s="249" t="str">
        <f>IF(AND(A6595&lt;&gt;"",ISNUMBER(A6595)),VLOOKUP(A6595,Studies!A:BR,2,FALSE),"")</f>
        <v>Villikka 1998</v>
      </c>
      <c r="C6595" s="250" t="str">
        <f>IF(AND(A6595&lt;&gt;"",ISNUMBER(A6595)),VLOOKUP(A6595,Studies!A:BR,3,FALSE),"")</f>
        <v>https://www.ncbi.nlm.nih.gov/pubmed/9783333</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4</v>
      </c>
      <c r="H6595" s="50" t="s">
        <v>60</v>
      </c>
      <c r="I6595" s="187">
        <v>1.5608109999999999</v>
      </c>
      <c r="J6595" s="41" t="s">
        <v>941</v>
      </c>
      <c r="K6595" s="41" t="s">
        <v>116</v>
      </c>
      <c r="L6595" s="195">
        <v>0.29054000000000002</v>
      </c>
      <c r="M6595" s="52" t="s">
        <v>941</v>
      </c>
      <c r="N6595" s="52" t="s">
        <v>949</v>
      </c>
    </row>
    <row r="6596" spans="1:14" x14ac:dyDescent="0.2">
      <c r="A6596" s="30">
        <v>727</v>
      </c>
      <c r="B6596" s="249" t="str">
        <f>IF(AND(A6596&lt;&gt;"",ISNUMBER(A6596)),VLOOKUP(A6596,Studies!A:BR,2,FALSE),"")</f>
        <v>Villikka 1998</v>
      </c>
      <c r="C6596" s="250" t="str">
        <f>IF(AND(A6596&lt;&gt;"",ISNUMBER(A6596)),VLOOKUP(A6596,Studies!A:BR,3,FALSE),"")</f>
        <v>https://www.ncbi.nlm.nih.gov/pubmed/9783333</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5</v>
      </c>
      <c r="H6596" s="50" t="s">
        <v>60</v>
      </c>
      <c r="I6596" s="187">
        <v>1.168919</v>
      </c>
      <c r="J6596" s="41" t="s">
        <v>941</v>
      </c>
      <c r="K6596" s="41" t="s">
        <v>116</v>
      </c>
      <c r="L6596" s="195">
        <v>0.27027000000000001</v>
      </c>
      <c r="M6596" s="52" t="s">
        <v>941</v>
      </c>
      <c r="N6596" s="52" t="s">
        <v>949</v>
      </c>
    </row>
    <row r="6597" spans="1:14" x14ac:dyDescent="0.2">
      <c r="A6597" s="30">
        <v>727</v>
      </c>
      <c r="B6597" s="249" t="str">
        <f>IF(AND(A6597&lt;&gt;"",ISNUMBER(A6597)),VLOOKUP(A6597,Studies!A:BR,2,FALSE),"")</f>
        <v>Villikka 1998</v>
      </c>
      <c r="C6597" s="250" t="str">
        <f>IF(AND(A6597&lt;&gt;"",ISNUMBER(A6597)),VLOOKUP(A6597,Studies!A:BR,3,FALSE),"")</f>
        <v>https://www.ncbi.nlm.nih.gov/pubmed/9783333</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6</v>
      </c>
      <c r="H6597" s="50" t="s">
        <v>60</v>
      </c>
      <c r="I6597" s="187">
        <v>0.85810810000000004</v>
      </c>
      <c r="J6597" s="41" t="s">
        <v>941</v>
      </c>
      <c r="K6597" s="41" t="s">
        <v>116</v>
      </c>
      <c r="L6597" s="195">
        <v>0.20946000000000001</v>
      </c>
      <c r="M6597" s="52" t="s">
        <v>941</v>
      </c>
      <c r="N6597" s="52" t="s">
        <v>949</v>
      </c>
    </row>
    <row r="6598" spans="1:14" x14ac:dyDescent="0.2">
      <c r="A6598" s="30">
        <v>727</v>
      </c>
      <c r="B6598" s="249" t="str">
        <f>IF(AND(A6598&lt;&gt;"",ISNUMBER(A6598)),VLOOKUP(A6598,Studies!A:BR,2,FALSE),"")</f>
        <v>Villikka 1998</v>
      </c>
      <c r="C6598" s="250" t="str">
        <f>IF(AND(A6598&lt;&gt;"",ISNUMBER(A6598)),VLOOKUP(A6598,Studies!A:BR,3,FALSE),"")</f>
        <v>https://www.ncbi.nlm.nih.gov/pubmed/9783333</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8</v>
      </c>
      <c r="H6598" s="50" t="s">
        <v>60</v>
      </c>
      <c r="I6598" s="187">
        <v>0.45945950000000002</v>
      </c>
      <c r="J6598" s="41" t="s">
        <v>941</v>
      </c>
      <c r="K6598" s="41" t="s">
        <v>116</v>
      </c>
      <c r="L6598" s="195">
        <v>0.12837799999999999</v>
      </c>
      <c r="M6598" s="52" t="s">
        <v>941</v>
      </c>
      <c r="N6598" s="52" t="s">
        <v>949</v>
      </c>
    </row>
    <row r="6599" spans="1:14" x14ac:dyDescent="0.2">
      <c r="A6599" s="30">
        <v>727</v>
      </c>
      <c r="B6599" s="249" t="str">
        <f>IF(AND(A6599&lt;&gt;"",ISNUMBER(A6599)),VLOOKUP(A6599,Studies!A:BR,2,FALSE),"")</f>
        <v>Villikka 1998</v>
      </c>
      <c r="C6599" s="250" t="str">
        <f>IF(AND(A6599&lt;&gt;"",ISNUMBER(A6599)),VLOOKUP(A6599,Studies!A:BR,3,FALSE),"")</f>
        <v>https://www.ncbi.nlm.nih.gov/pubmed/9783333</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10</v>
      </c>
      <c r="H6599" s="50" t="s">
        <v>60</v>
      </c>
      <c r="I6599" s="187">
        <v>0.27702700000000002</v>
      </c>
      <c r="J6599" s="41" t="s">
        <v>941</v>
      </c>
      <c r="K6599" s="41" t="s">
        <v>116</v>
      </c>
    </row>
    <row r="6600" spans="1:14" x14ac:dyDescent="0.2">
      <c r="A6600" s="30">
        <v>728</v>
      </c>
      <c r="B6600" s="249" t="str">
        <f>IF(AND(A6600&lt;&gt;"",ISNUMBER(A6600)),VLOOKUP(A6600,Studies!A:BR,2,FALSE),"")</f>
        <v>Adams 1984</v>
      </c>
      <c r="C6600" s="250" t="str">
        <f>IF(AND(A6600&lt;&gt;"",ISNUMBER(A6600)),VLOOKUP(A6600,Studies!A:BR,3,FALSE),"")</f>
        <v>https://www.ncbi.nlm.nih.gov/pubmed/6486443</v>
      </c>
      <c r="D6600" s="250" t="str">
        <f>IF(AND(A6600&lt;&gt;"",ISNUMBER(A6600)),VLOOKUP(A6600,Studies!A:BR,4,FALSE),"")</f>
        <v>0.25 mg, Individual 1</v>
      </c>
      <c r="E6600" s="250" t="str">
        <f>IF(AND(A6600&lt;&gt;"",ISNUMBER(A6600)),VLOOKUP(A6600,Studies!A:BR,5,FALSE),"")</f>
        <v>Alprazolam</v>
      </c>
      <c r="F6600" s="251" t="str">
        <f>IF(AND(A6600&lt;&gt;"",ISNUMBER(A6600)),VLOOKUP(A6600,Studies!A:BR,6,FALSE),"")</f>
        <v>Plasma</v>
      </c>
      <c r="G6600" s="194">
        <v>0.185863</v>
      </c>
      <c r="H6600" s="50" t="s">
        <v>60</v>
      </c>
      <c r="I6600" s="187">
        <v>5.6320779999999999</v>
      </c>
      <c r="J6600" s="41" t="s">
        <v>941</v>
      </c>
      <c r="K6600" s="41" t="s">
        <v>116</v>
      </c>
    </row>
    <row r="6601" spans="1:14" x14ac:dyDescent="0.2">
      <c r="A6601" s="30">
        <v>728</v>
      </c>
      <c r="B6601" s="249" t="str">
        <f>IF(AND(A6601&lt;&gt;"",ISNUMBER(A6601)),VLOOKUP(A6601,Studies!A:BR,2,FALSE),"")</f>
        <v>Adams 1984</v>
      </c>
      <c r="C6601" s="250" t="str">
        <f>IF(AND(A6601&lt;&gt;"",ISNUMBER(A6601)),VLOOKUP(A6601,Studies!A:BR,3,FALSE),"")</f>
        <v>https://www.ncbi.nlm.nih.gov/pubmed/6486443</v>
      </c>
      <c r="D6601" s="250" t="str">
        <f>IF(AND(A6601&lt;&gt;"",ISNUMBER(A6601)),VLOOKUP(A6601,Studies!A:BR,4,FALSE),"")</f>
        <v>0.25 mg, Individual 1</v>
      </c>
      <c r="E6601" s="250" t="str">
        <f>IF(AND(A6601&lt;&gt;"",ISNUMBER(A6601)),VLOOKUP(A6601,Studies!A:BR,5,FALSE),"")</f>
        <v>Alprazolam</v>
      </c>
      <c r="F6601" s="251" t="str">
        <f>IF(AND(A6601&lt;&gt;"",ISNUMBER(A6601)),VLOOKUP(A6601,Studies!A:BR,6,FALSE),"")</f>
        <v>Plasma</v>
      </c>
      <c r="G6601" s="194">
        <v>0.37804599999999999</v>
      </c>
      <c r="H6601" s="50" t="s">
        <v>60</v>
      </c>
      <c r="I6601" s="187">
        <v>4.7020140000000001</v>
      </c>
      <c r="J6601" s="41" t="s">
        <v>941</v>
      </c>
      <c r="K6601" s="41" t="s">
        <v>116</v>
      </c>
    </row>
    <row r="6602" spans="1:14" x14ac:dyDescent="0.2">
      <c r="A6602" s="30">
        <v>728</v>
      </c>
      <c r="B6602" s="249" t="str">
        <f>IF(AND(A6602&lt;&gt;"",ISNUMBER(A6602)),VLOOKUP(A6602,Studies!A:BR,2,FALSE),"")</f>
        <v>Adams 1984</v>
      </c>
      <c r="C6602" s="250" t="str">
        <f>IF(AND(A6602&lt;&gt;"",ISNUMBER(A6602)),VLOOKUP(A6602,Studies!A:BR,3,FALSE),"")</f>
        <v>https://www.ncbi.nlm.nih.gov/pubmed/6486443</v>
      </c>
      <c r="D6602" s="250" t="str">
        <f>IF(AND(A6602&lt;&gt;"",ISNUMBER(A6602)),VLOOKUP(A6602,Studies!A:BR,4,FALSE),"")</f>
        <v>0.25 mg, Individual 1</v>
      </c>
      <c r="E6602" s="250" t="str">
        <f>IF(AND(A6602&lt;&gt;"",ISNUMBER(A6602)),VLOOKUP(A6602,Studies!A:BR,5,FALSE),"")</f>
        <v>Alprazolam</v>
      </c>
      <c r="F6602" s="251" t="str">
        <f>IF(AND(A6602&lt;&gt;"",ISNUMBER(A6602)),VLOOKUP(A6602,Studies!A:BR,6,FALSE),"")</f>
        <v>Plasma</v>
      </c>
      <c r="G6602" s="194">
        <v>1.0108520000000001</v>
      </c>
      <c r="H6602" s="50" t="s">
        <v>60</v>
      </c>
      <c r="I6602" s="187">
        <v>4.3305850000000001</v>
      </c>
      <c r="J6602" s="41" t="s">
        <v>941</v>
      </c>
      <c r="K6602" s="41" t="s">
        <v>116</v>
      </c>
    </row>
    <row r="6603" spans="1:14" x14ac:dyDescent="0.2">
      <c r="A6603" s="30">
        <v>728</v>
      </c>
      <c r="B6603" s="249" t="str">
        <f>IF(AND(A6603&lt;&gt;"",ISNUMBER(A6603)),VLOOKUP(A6603,Studies!A:BR,2,FALSE),"")</f>
        <v>Adams 1984</v>
      </c>
      <c r="C6603" s="250" t="str">
        <f>IF(AND(A6603&lt;&gt;"",ISNUMBER(A6603)),VLOOKUP(A6603,Studies!A:BR,3,FALSE),"")</f>
        <v>https://www.ncbi.nlm.nih.gov/pubmed/6486443</v>
      </c>
      <c r="D6603" s="250" t="str">
        <f>IF(AND(A6603&lt;&gt;"",ISNUMBER(A6603)),VLOOKUP(A6603,Studies!A:BR,4,FALSE),"")</f>
        <v>0.25 mg, Individual 1</v>
      </c>
      <c r="E6603" s="250" t="str">
        <f>IF(AND(A6603&lt;&gt;"",ISNUMBER(A6603)),VLOOKUP(A6603,Studies!A:BR,5,FALSE),"")</f>
        <v>Alprazolam</v>
      </c>
      <c r="F6603" s="251" t="str">
        <f>IF(AND(A6603&lt;&gt;"",ISNUMBER(A6603)),VLOOKUP(A6603,Studies!A:BR,6,FALSE),"")</f>
        <v>Plasma</v>
      </c>
      <c r="G6603" s="194">
        <v>1.984051</v>
      </c>
      <c r="H6603" s="50" t="s">
        <v>60</v>
      </c>
      <c r="I6603" s="187">
        <v>3.7346699999999999</v>
      </c>
      <c r="J6603" s="41" t="s">
        <v>941</v>
      </c>
      <c r="K6603" s="41" t="s">
        <v>116</v>
      </c>
    </row>
    <row r="6604" spans="1:14" x14ac:dyDescent="0.2">
      <c r="A6604" s="30">
        <v>728</v>
      </c>
      <c r="B6604" s="249" t="str">
        <f>IF(AND(A6604&lt;&gt;"",ISNUMBER(A6604)),VLOOKUP(A6604,Studies!A:BR,2,FALSE),"")</f>
        <v>Adams 1984</v>
      </c>
      <c r="C6604" s="250" t="str">
        <f>IF(AND(A6604&lt;&gt;"",ISNUMBER(A6604)),VLOOKUP(A6604,Studies!A:BR,3,FALSE),"")</f>
        <v>https://www.ncbi.nlm.nih.gov/pubmed/6486443</v>
      </c>
      <c r="D6604" s="250" t="str">
        <f>IF(AND(A6604&lt;&gt;"",ISNUMBER(A6604)),VLOOKUP(A6604,Studies!A:BR,4,FALSE),"")</f>
        <v>0.25 mg, Individual 1</v>
      </c>
      <c r="E6604" s="250" t="str">
        <f>IF(AND(A6604&lt;&gt;"",ISNUMBER(A6604)),VLOOKUP(A6604,Studies!A:BR,5,FALSE),"")</f>
        <v>Alprazolam</v>
      </c>
      <c r="F6604" s="251" t="str">
        <f>IF(AND(A6604&lt;&gt;"",ISNUMBER(A6604)),VLOOKUP(A6604,Studies!A:BR,6,FALSE),"")</f>
        <v>Plasma</v>
      </c>
      <c r="G6604" s="194">
        <v>3.9834130000000001</v>
      </c>
      <c r="H6604" s="50" t="s">
        <v>60</v>
      </c>
      <c r="I6604" s="187">
        <v>3.5911840000000002</v>
      </c>
      <c r="J6604" s="41" t="s">
        <v>941</v>
      </c>
      <c r="K6604" s="41" t="s">
        <v>116</v>
      </c>
    </row>
    <row r="6605" spans="1:14" x14ac:dyDescent="0.2">
      <c r="A6605" s="30">
        <v>728</v>
      </c>
      <c r="B6605" s="249" t="str">
        <f>IF(AND(A6605&lt;&gt;"",ISNUMBER(A6605)),VLOOKUP(A6605,Studies!A:BR,2,FALSE),"")</f>
        <v>Adams 1984</v>
      </c>
      <c r="C6605" s="250" t="str">
        <f>IF(AND(A6605&lt;&gt;"",ISNUMBER(A6605)),VLOOKUP(A6605,Studies!A:BR,3,FALSE),"")</f>
        <v>https://www.ncbi.nlm.nih.gov/pubmed/6486443</v>
      </c>
      <c r="D6605" s="250" t="str">
        <f>IF(AND(A6605&lt;&gt;"",ISNUMBER(A6605)),VLOOKUP(A6605,Studies!A:BR,4,FALSE),"")</f>
        <v>0.25 mg, Individual 1</v>
      </c>
      <c r="E6605" s="250" t="str">
        <f>IF(AND(A6605&lt;&gt;"",ISNUMBER(A6605)),VLOOKUP(A6605,Studies!A:BR,5,FALSE),"")</f>
        <v>Alprazolam</v>
      </c>
      <c r="F6605" s="251" t="str">
        <f>IF(AND(A6605&lt;&gt;"",ISNUMBER(A6605)),VLOOKUP(A6605,Studies!A:BR,6,FALSE),"")</f>
        <v>Plasma</v>
      </c>
      <c r="G6605" s="194">
        <v>5.928833</v>
      </c>
      <c r="H6605" s="50" t="s">
        <v>60</v>
      </c>
      <c r="I6605" s="187">
        <v>2.514974</v>
      </c>
      <c r="J6605" s="41" t="s">
        <v>941</v>
      </c>
      <c r="K6605" s="41" t="s">
        <v>116</v>
      </c>
    </row>
    <row r="6606" spans="1:14" x14ac:dyDescent="0.2">
      <c r="A6606" s="30">
        <v>728</v>
      </c>
      <c r="B6606" s="249" t="str">
        <f>IF(AND(A6606&lt;&gt;"",ISNUMBER(A6606)),VLOOKUP(A6606,Studies!A:BR,2,FALSE),"")</f>
        <v>Adams 1984</v>
      </c>
      <c r="C6606" s="250" t="str">
        <f>IF(AND(A6606&lt;&gt;"",ISNUMBER(A6606)),VLOOKUP(A6606,Studies!A:BR,3,FALSE),"")</f>
        <v>https://www.ncbi.nlm.nih.gov/pubmed/6486443</v>
      </c>
      <c r="D6606" s="250" t="str">
        <f>IF(AND(A6606&lt;&gt;"",ISNUMBER(A6606)),VLOOKUP(A6606,Studies!A:BR,4,FALSE),"")</f>
        <v>0.25 mg, Individual 1</v>
      </c>
      <c r="E6606" s="250" t="str">
        <f>IF(AND(A6606&lt;&gt;"",ISNUMBER(A6606)),VLOOKUP(A6606,Studies!A:BR,5,FALSE),"")</f>
        <v>Alprazolam</v>
      </c>
      <c r="F6606" s="251" t="str">
        <f>IF(AND(A6606&lt;&gt;"",ISNUMBER(A6606)),VLOOKUP(A6606,Studies!A:BR,6,FALSE),"")</f>
        <v>Plasma</v>
      </c>
      <c r="G6606" s="194">
        <v>8.0231729999999999</v>
      </c>
      <c r="H6606" s="50" t="s">
        <v>60</v>
      </c>
      <c r="I6606" s="187">
        <v>2.0637159999999999</v>
      </c>
      <c r="J6606" s="41" t="s">
        <v>941</v>
      </c>
      <c r="K6606" s="41" t="s">
        <v>116</v>
      </c>
    </row>
    <row r="6607" spans="1:14" x14ac:dyDescent="0.2">
      <c r="A6607" s="30">
        <v>728</v>
      </c>
      <c r="B6607" s="249" t="str">
        <f>IF(AND(A6607&lt;&gt;"",ISNUMBER(A6607)),VLOOKUP(A6607,Studies!A:BR,2,FALSE),"")</f>
        <v>Adams 1984</v>
      </c>
      <c r="C6607" s="250" t="str">
        <f>IF(AND(A6607&lt;&gt;"",ISNUMBER(A6607)),VLOOKUP(A6607,Studies!A:BR,3,FALSE),"")</f>
        <v>https://www.ncbi.nlm.nih.gov/pubmed/6486443</v>
      </c>
      <c r="D6607" s="250" t="str">
        <f>IF(AND(A6607&lt;&gt;"",ISNUMBER(A6607)),VLOOKUP(A6607,Studies!A:BR,4,FALSE),"")</f>
        <v>0.25 mg, Individual 1</v>
      </c>
      <c r="E6607" s="250" t="str">
        <f>IF(AND(A6607&lt;&gt;"",ISNUMBER(A6607)),VLOOKUP(A6607,Studies!A:BR,5,FALSE),"")</f>
        <v>Alprazolam</v>
      </c>
      <c r="F6607" s="251" t="str">
        <f>IF(AND(A6607&lt;&gt;"",ISNUMBER(A6607)),VLOOKUP(A6607,Studies!A:BR,6,FALSE),"")</f>
        <v>Plasma</v>
      </c>
      <c r="G6607" s="194">
        <v>11.969379999999999</v>
      </c>
      <c r="H6607" s="50" t="s">
        <v>60</v>
      </c>
      <c r="I6607" s="187">
        <v>1.5167619999999999</v>
      </c>
      <c r="J6607" s="41" t="s">
        <v>941</v>
      </c>
      <c r="K6607" s="41" t="s">
        <v>116</v>
      </c>
    </row>
    <row r="6608" spans="1:14" x14ac:dyDescent="0.2">
      <c r="A6608" s="30">
        <v>728</v>
      </c>
      <c r="B6608" s="249" t="str">
        <f>IF(AND(A6608&lt;&gt;"",ISNUMBER(A6608)),VLOOKUP(A6608,Studies!A:BR,2,FALSE),"")</f>
        <v>Adams 1984</v>
      </c>
      <c r="C6608" s="250" t="str">
        <f>IF(AND(A6608&lt;&gt;"",ISNUMBER(A6608)),VLOOKUP(A6608,Studies!A:BR,3,FALSE),"")</f>
        <v>https://www.ncbi.nlm.nih.gov/pubmed/6486443</v>
      </c>
      <c r="D6608" s="250" t="str">
        <f>IF(AND(A6608&lt;&gt;"",ISNUMBER(A6608)),VLOOKUP(A6608,Studies!A:BR,4,FALSE),"")</f>
        <v>0.25 mg, Individual 1</v>
      </c>
      <c r="E6608" s="250" t="str">
        <f>IF(AND(A6608&lt;&gt;"",ISNUMBER(A6608)),VLOOKUP(A6608,Studies!A:BR,5,FALSE),"")</f>
        <v>Alprazolam</v>
      </c>
      <c r="F6608" s="251" t="str">
        <f>IF(AND(A6608&lt;&gt;"",ISNUMBER(A6608)),VLOOKUP(A6608,Studies!A:BR,6,FALSE),"")</f>
        <v>Plasma</v>
      </c>
      <c r="G6608" s="194">
        <v>15.91879</v>
      </c>
      <c r="H6608" s="50" t="s">
        <v>60</v>
      </c>
      <c r="I6608" s="187">
        <v>1.357229</v>
      </c>
      <c r="J6608" s="41" t="s">
        <v>941</v>
      </c>
      <c r="K6608" s="41" t="s">
        <v>116</v>
      </c>
    </row>
    <row r="6609" spans="1:11" x14ac:dyDescent="0.2">
      <c r="A6609" s="30">
        <v>728</v>
      </c>
      <c r="B6609" s="249" t="str">
        <f>IF(AND(A6609&lt;&gt;"",ISNUMBER(A6609)),VLOOKUP(A6609,Studies!A:BR,2,FALSE),"")</f>
        <v>Adams 1984</v>
      </c>
      <c r="C6609" s="250" t="str">
        <f>IF(AND(A6609&lt;&gt;"",ISNUMBER(A6609)),VLOOKUP(A6609,Studies!A:BR,3,FALSE),"")</f>
        <v>https://www.ncbi.nlm.nih.gov/pubmed/6486443</v>
      </c>
      <c r="D6609" s="250" t="str">
        <f>IF(AND(A6609&lt;&gt;"",ISNUMBER(A6609)),VLOOKUP(A6609,Studies!A:BR,4,FALSE),"")</f>
        <v>0.25 mg, Individual 1</v>
      </c>
      <c r="E6609" s="250" t="str">
        <f>IF(AND(A6609&lt;&gt;"",ISNUMBER(A6609)),VLOOKUP(A6609,Studies!A:BR,5,FALSE),"")</f>
        <v>Alprazolam</v>
      </c>
      <c r="F6609" s="251" t="str">
        <f>IF(AND(A6609&lt;&gt;"",ISNUMBER(A6609)),VLOOKUP(A6609,Studies!A:BR,6,FALSE),"")</f>
        <v>Plasma</v>
      </c>
      <c r="G6609" s="194">
        <v>23.96199</v>
      </c>
      <c r="H6609" s="50" t="s">
        <v>60</v>
      </c>
      <c r="I6609" s="187">
        <v>0.96352939999999998</v>
      </c>
      <c r="J6609" s="41" t="s">
        <v>941</v>
      </c>
      <c r="K6609" s="41" t="s">
        <v>116</v>
      </c>
    </row>
    <row r="6610" spans="1:11" x14ac:dyDescent="0.2">
      <c r="A6610" s="30">
        <v>729</v>
      </c>
      <c r="B6610" s="249" t="str">
        <f>IF(AND(A6610&lt;&gt;"",ISNUMBER(A6610)),VLOOKUP(A6610,Studies!A:BR,2,FALSE),"")</f>
        <v>Adams 1984</v>
      </c>
      <c r="C6610" s="250" t="str">
        <f>IF(AND(A6610&lt;&gt;"",ISNUMBER(A6610)),VLOOKUP(A6610,Studies!A:BR,3,FALSE),"")</f>
        <v>https://www.ncbi.nlm.nih.gov/pubmed/6486443</v>
      </c>
      <c r="D6610" s="250" t="str">
        <f>IF(AND(A6610&lt;&gt;"",ISNUMBER(A6610)),VLOOKUP(A6610,Studies!A:BR,4,FALSE),"")</f>
        <v>0.25 mg, Individual 2</v>
      </c>
      <c r="E6610" s="250" t="str">
        <f>IF(AND(A6610&lt;&gt;"",ISNUMBER(A6610)),VLOOKUP(A6610,Studies!A:BR,5,FALSE),"")</f>
        <v>Alprazolam</v>
      </c>
      <c r="F6610" s="251" t="str">
        <f>IF(AND(A6610&lt;&gt;"",ISNUMBER(A6610)),VLOOKUP(A6610,Studies!A:BR,6,FALSE),"")</f>
        <v>Plasma</v>
      </c>
      <c r="G6610" s="194">
        <v>0.22983629999999999</v>
      </c>
      <c r="H6610" s="50" t="s">
        <v>60</v>
      </c>
      <c r="I6610" s="187">
        <v>4.1923380000000003</v>
      </c>
      <c r="J6610" s="41" t="s">
        <v>941</v>
      </c>
      <c r="K6610" s="41" t="s">
        <v>116</v>
      </c>
    </row>
    <row r="6611" spans="1:11" x14ac:dyDescent="0.2">
      <c r="A6611" s="30">
        <v>729</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2</v>
      </c>
      <c r="E6611" s="250" t="str">
        <f>IF(AND(A6611&lt;&gt;"",ISNUMBER(A6611)),VLOOKUP(A6611,Studies!A:BR,5,FALSE),"")</f>
        <v>Alprazolam</v>
      </c>
      <c r="F6611" s="251" t="str">
        <f>IF(AND(A6611&lt;&gt;"",ISNUMBER(A6611)),VLOOKUP(A6611,Studies!A:BR,6,FALSE),"")</f>
        <v>Plasma</v>
      </c>
      <c r="G6611" s="194">
        <v>0.37217099999999997</v>
      </c>
      <c r="H6611" s="50" t="s">
        <v>60</v>
      </c>
      <c r="I6611" s="187">
        <v>3.2778700000000001</v>
      </c>
      <c r="J6611" s="41" t="s">
        <v>941</v>
      </c>
      <c r="K6611" s="41" t="s">
        <v>116</v>
      </c>
    </row>
    <row r="6612" spans="1:11" x14ac:dyDescent="0.2">
      <c r="A6612" s="30">
        <v>729</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2</v>
      </c>
      <c r="E6612" s="250" t="str">
        <f>IF(AND(A6612&lt;&gt;"",ISNUMBER(A6612)),VLOOKUP(A6612,Studies!A:BR,5,FALSE),"")</f>
        <v>Alprazolam</v>
      </c>
      <c r="F6612" s="251" t="str">
        <f>IF(AND(A6612&lt;&gt;"",ISNUMBER(A6612)),VLOOKUP(A6612,Studies!A:BR,6,FALSE),"")</f>
        <v>Plasma</v>
      </c>
      <c r="G6612" s="194">
        <v>0.95877869999999998</v>
      </c>
      <c r="H6612" s="50" t="s">
        <v>60</v>
      </c>
      <c r="I6612" s="187">
        <v>3.5376400000000001</v>
      </c>
      <c r="J6612" s="41" t="s">
        <v>941</v>
      </c>
      <c r="K6612" s="41" t="s">
        <v>116</v>
      </c>
    </row>
    <row r="6613" spans="1:11" x14ac:dyDescent="0.2">
      <c r="A6613" s="30">
        <v>729</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2</v>
      </c>
      <c r="E6613" s="250" t="str">
        <f>IF(AND(A6613&lt;&gt;"",ISNUMBER(A6613)),VLOOKUP(A6613,Studies!A:BR,5,FALSE),"")</f>
        <v>Alprazolam</v>
      </c>
      <c r="F6613" s="251" t="str">
        <f>IF(AND(A6613&lt;&gt;"",ISNUMBER(A6613)),VLOOKUP(A6613,Studies!A:BR,6,FALSE),"")</f>
        <v>Plasma</v>
      </c>
      <c r="G6613" s="194">
        <v>2.0753810000000001</v>
      </c>
      <c r="H6613" s="50" t="s">
        <v>60</v>
      </c>
      <c r="I6613" s="187">
        <v>2.5470890000000002</v>
      </c>
      <c r="J6613" s="41" t="s">
        <v>941</v>
      </c>
      <c r="K6613" s="41" t="s">
        <v>116</v>
      </c>
    </row>
    <row r="6614" spans="1:11" x14ac:dyDescent="0.2">
      <c r="A6614" s="30">
        <v>729</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2</v>
      </c>
      <c r="E6614" s="250" t="str">
        <f>IF(AND(A6614&lt;&gt;"",ISNUMBER(A6614)),VLOOKUP(A6614,Studies!A:BR,5,FALSE),"")</f>
        <v>Alprazolam</v>
      </c>
      <c r="F6614" s="251" t="str">
        <f>IF(AND(A6614&lt;&gt;"",ISNUMBER(A6614)),VLOOKUP(A6614,Studies!A:BR,6,FALSE),"")</f>
        <v>Plasma</v>
      </c>
      <c r="G6614" s="194">
        <v>4.0248059999999999</v>
      </c>
      <c r="H6614" s="50" t="s">
        <v>60</v>
      </c>
      <c r="I6614" s="187">
        <v>2.2812649999999999</v>
      </c>
      <c r="J6614" s="41" t="s">
        <v>941</v>
      </c>
      <c r="K6614" s="41" t="s">
        <v>116</v>
      </c>
    </row>
    <row r="6615" spans="1:11" x14ac:dyDescent="0.2">
      <c r="A6615" s="30">
        <v>729</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2</v>
      </c>
      <c r="E6615" s="250" t="str">
        <f>IF(AND(A6615&lt;&gt;"",ISNUMBER(A6615)),VLOOKUP(A6615,Studies!A:BR,5,FALSE),"")</f>
        <v>Alprazolam</v>
      </c>
      <c r="F6615" s="251" t="str">
        <f>IF(AND(A6615&lt;&gt;"",ISNUMBER(A6615)),VLOOKUP(A6615,Studies!A:BR,6,FALSE),"")</f>
        <v>Plasma</v>
      </c>
      <c r="G6615" s="194">
        <v>6.0703659999999999</v>
      </c>
      <c r="H6615" s="50" t="s">
        <v>60</v>
      </c>
      <c r="I6615" s="187">
        <v>1.871983</v>
      </c>
      <c r="J6615" s="41" t="s">
        <v>941</v>
      </c>
      <c r="K6615" s="41" t="s">
        <v>116</v>
      </c>
    </row>
    <row r="6616" spans="1:11" x14ac:dyDescent="0.2">
      <c r="A6616" s="30">
        <v>729</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2</v>
      </c>
      <c r="E6616" s="250" t="str">
        <f>IF(AND(A6616&lt;&gt;"",ISNUMBER(A6616)),VLOOKUP(A6616,Studies!A:BR,5,FALSE),"")</f>
        <v>Alprazolam</v>
      </c>
      <c r="F6616" s="251" t="str">
        <f>IF(AND(A6616&lt;&gt;"",ISNUMBER(A6616)),VLOOKUP(A6616,Studies!A:BR,6,FALSE),"")</f>
        <v>Plasma</v>
      </c>
      <c r="G6616" s="194">
        <v>8.0160520000000002</v>
      </c>
      <c r="H6616" s="50" t="s">
        <v>60</v>
      </c>
      <c r="I6616" s="187">
        <v>1.332662</v>
      </c>
      <c r="J6616" s="41" t="s">
        <v>941</v>
      </c>
      <c r="K6616" s="41" t="s">
        <v>116</v>
      </c>
    </row>
    <row r="6617" spans="1:11" x14ac:dyDescent="0.2">
      <c r="A6617" s="30">
        <v>729</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2</v>
      </c>
      <c r="E6617" s="250" t="str">
        <f>IF(AND(A6617&lt;&gt;"",ISNUMBER(A6617)),VLOOKUP(A6617,Studies!A:BR,5,FALSE),"")</f>
        <v>Alprazolam</v>
      </c>
      <c r="F6617" s="251" t="str">
        <f>IF(AND(A6617&lt;&gt;"",ISNUMBER(A6617)),VLOOKUP(A6617,Studies!A:BR,6,FALSE),"")</f>
        <v>Plasma</v>
      </c>
      <c r="G6617" s="194">
        <v>12.01362</v>
      </c>
      <c r="H6617" s="50" t="s">
        <v>60</v>
      </c>
      <c r="I6617" s="187">
        <v>1.147697</v>
      </c>
      <c r="J6617" s="41" t="s">
        <v>941</v>
      </c>
      <c r="K6617" s="41" t="s">
        <v>116</v>
      </c>
    </row>
    <row r="6618" spans="1:11" x14ac:dyDescent="0.2">
      <c r="A6618" s="30">
        <v>729</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2</v>
      </c>
      <c r="E6618" s="250" t="str">
        <f>IF(AND(A6618&lt;&gt;"",ISNUMBER(A6618)),VLOOKUP(A6618,Studies!A:BR,5,FALSE),"")</f>
        <v>Alprazolam</v>
      </c>
      <c r="F6618" s="251" t="str">
        <f>IF(AND(A6618&lt;&gt;"",ISNUMBER(A6618)),VLOOKUP(A6618,Studies!A:BR,6,FALSE),"")</f>
        <v>Plasma</v>
      </c>
      <c r="G6618" s="194">
        <v>16.1099</v>
      </c>
      <c r="H6618" s="50" t="s">
        <v>60</v>
      </c>
      <c r="I6618" s="187">
        <v>1.0611550000000001</v>
      </c>
      <c r="J6618" s="41" t="s">
        <v>941</v>
      </c>
      <c r="K6618" s="41" t="s">
        <v>116</v>
      </c>
    </row>
    <row r="6619" spans="1:11" x14ac:dyDescent="0.2">
      <c r="A6619" s="30">
        <v>729</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2</v>
      </c>
      <c r="E6619" s="250" t="str">
        <f>IF(AND(A6619&lt;&gt;"",ISNUMBER(A6619)),VLOOKUP(A6619,Studies!A:BR,5,FALSE),"")</f>
        <v>Alprazolam</v>
      </c>
      <c r="F6619" s="251" t="str">
        <f>IF(AND(A6619&lt;&gt;"",ISNUMBER(A6619)),VLOOKUP(A6619,Studies!A:BR,6,FALSE),"")</f>
        <v>Plasma</v>
      </c>
      <c r="G6619" s="194">
        <v>23.909559999999999</v>
      </c>
      <c r="H6619" s="50" t="s">
        <v>60</v>
      </c>
      <c r="I6619" s="187">
        <v>0.77007939999999997</v>
      </c>
      <c r="J6619" s="41" t="s">
        <v>941</v>
      </c>
      <c r="K6619" s="41" t="s">
        <v>116</v>
      </c>
    </row>
    <row r="6620" spans="1:11" x14ac:dyDescent="0.2">
      <c r="A6620" s="30">
        <v>730</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4 mg, Individual 1</v>
      </c>
      <c r="E6620" s="250" t="str">
        <f>IF(AND(A6620&lt;&gt;"",ISNUMBER(A6620)),VLOOKUP(A6620,Studies!A:BR,5,FALSE),"")</f>
        <v>Alprazolam</v>
      </c>
      <c r="F6620" s="251" t="str">
        <f>IF(AND(A6620&lt;&gt;"",ISNUMBER(A6620)),VLOOKUP(A6620,Studies!A:BR,6,FALSE),"")</f>
        <v>Plasma</v>
      </c>
      <c r="G6620" s="194">
        <v>6.486923E-2</v>
      </c>
      <c r="H6620" s="50" t="s">
        <v>60</v>
      </c>
      <c r="I6620" s="187">
        <v>79.406959999999998</v>
      </c>
      <c r="J6620" s="41" t="s">
        <v>941</v>
      </c>
      <c r="K6620" s="41" t="s">
        <v>116</v>
      </c>
    </row>
    <row r="6621" spans="1:11" x14ac:dyDescent="0.2">
      <c r="A6621" s="30">
        <v>730</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4 mg, Individual 1</v>
      </c>
      <c r="E6621" s="250" t="str">
        <f>IF(AND(A6621&lt;&gt;"",ISNUMBER(A6621)),VLOOKUP(A6621,Studies!A:BR,5,FALSE),"")</f>
        <v>Alprazolam</v>
      </c>
      <c r="F6621" s="251" t="str">
        <f>IF(AND(A6621&lt;&gt;"",ISNUMBER(A6621)),VLOOKUP(A6621,Studies!A:BR,6,FALSE),"")</f>
        <v>Plasma</v>
      </c>
      <c r="G6621" s="194">
        <v>0.25324400000000002</v>
      </c>
      <c r="H6621" s="50" t="s">
        <v>60</v>
      </c>
      <c r="I6621" s="187">
        <v>73.496600000000001</v>
      </c>
      <c r="J6621" s="41" t="s">
        <v>941</v>
      </c>
      <c r="K6621" s="41" t="s">
        <v>116</v>
      </c>
    </row>
    <row r="6622" spans="1:11" x14ac:dyDescent="0.2">
      <c r="A6622" s="30">
        <v>730</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4 mg, Individual 1</v>
      </c>
      <c r="E6622" s="250" t="str">
        <f>IF(AND(A6622&lt;&gt;"",ISNUMBER(A6622)),VLOOKUP(A6622,Studies!A:BR,5,FALSE),"")</f>
        <v>Alprazolam</v>
      </c>
      <c r="F6622" s="251" t="str">
        <f>IF(AND(A6622&lt;&gt;"",ISNUMBER(A6622)),VLOOKUP(A6622,Studies!A:BR,6,FALSE),"")</f>
        <v>Plasma</v>
      </c>
      <c r="G6622" s="194">
        <v>0.9588411</v>
      </c>
      <c r="H6622" s="50" t="s">
        <v>60</v>
      </c>
      <c r="I6622" s="187">
        <v>64.837770000000006</v>
      </c>
      <c r="J6622" s="41" t="s">
        <v>941</v>
      </c>
      <c r="K6622" s="41" t="s">
        <v>116</v>
      </c>
    </row>
    <row r="6623" spans="1:11" x14ac:dyDescent="0.2">
      <c r="A6623" s="30">
        <v>730</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4 mg, Individual 1</v>
      </c>
      <c r="E6623" s="250" t="str">
        <f>IF(AND(A6623&lt;&gt;"",ISNUMBER(A6623)),VLOOKUP(A6623,Studies!A:BR,5,FALSE),"")</f>
        <v>Alprazolam</v>
      </c>
      <c r="F6623" s="251" t="str">
        <f>IF(AND(A6623&lt;&gt;"",ISNUMBER(A6623)),VLOOKUP(A6623,Studies!A:BR,6,FALSE),"")</f>
        <v>Plasma</v>
      </c>
      <c r="G6623" s="194">
        <v>2.0605790000000002</v>
      </c>
      <c r="H6623" s="50" t="s">
        <v>60</v>
      </c>
      <c r="I6623" s="187">
        <v>60.21622</v>
      </c>
      <c r="J6623" s="41" t="s">
        <v>941</v>
      </c>
      <c r="K6623" s="41" t="s">
        <v>116</v>
      </c>
    </row>
    <row r="6624" spans="1:11" x14ac:dyDescent="0.2">
      <c r="A6624" s="30">
        <v>730</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4 mg, Individual 1</v>
      </c>
      <c r="E6624" s="250" t="str">
        <f>IF(AND(A6624&lt;&gt;"",ISNUMBER(A6624)),VLOOKUP(A6624,Studies!A:BR,5,FALSE),"")</f>
        <v>Alprazolam</v>
      </c>
      <c r="F6624" s="251" t="str">
        <f>IF(AND(A6624&lt;&gt;"",ISNUMBER(A6624)),VLOOKUP(A6624,Studies!A:BR,6,FALSE),"")</f>
        <v>Plasma</v>
      </c>
      <c r="G6624" s="194">
        <v>4.0628690000000001</v>
      </c>
      <c r="H6624" s="50" t="s">
        <v>60</v>
      </c>
      <c r="I6624" s="187">
        <v>48.970779999999998</v>
      </c>
      <c r="J6624" s="41" t="s">
        <v>941</v>
      </c>
      <c r="K6624" s="41" t="s">
        <v>116</v>
      </c>
    </row>
    <row r="6625" spans="1:11" x14ac:dyDescent="0.2">
      <c r="A6625" s="30">
        <v>730</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4 mg, Individual 1</v>
      </c>
      <c r="E6625" s="250" t="str">
        <f>IF(AND(A6625&lt;&gt;"",ISNUMBER(A6625)),VLOOKUP(A6625,Studies!A:BR,5,FALSE),"")</f>
        <v>Alprazolam</v>
      </c>
      <c r="F6625" s="251" t="str">
        <f>IF(AND(A6625&lt;&gt;"",ISNUMBER(A6625)),VLOOKUP(A6625,Studies!A:BR,6,FALSE),"")</f>
        <v>Plasma</v>
      </c>
      <c r="G6625" s="194">
        <v>6.0675819999999998</v>
      </c>
      <c r="H6625" s="50" t="s">
        <v>60</v>
      </c>
      <c r="I6625" s="187">
        <v>40.864759999999997</v>
      </c>
      <c r="J6625" s="41" t="s">
        <v>941</v>
      </c>
      <c r="K6625" s="41" t="s">
        <v>116</v>
      </c>
    </row>
    <row r="6626" spans="1:11" x14ac:dyDescent="0.2">
      <c r="A6626" s="30">
        <v>730</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4 mg, Individual 1</v>
      </c>
      <c r="E6626" s="250" t="str">
        <f>IF(AND(A6626&lt;&gt;"",ISNUMBER(A6626)),VLOOKUP(A6626,Studies!A:BR,5,FALSE),"")</f>
        <v>Alprazolam</v>
      </c>
      <c r="F6626" s="251" t="str">
        <f>IF(AND(A6626&lt;&gt;"",ISNUMBER(A6626)),VLOOKUP(A6626,Studies!A:BR,6,FALSE),"")</f>
        <v>Plasma</v>
      </c>
      <c r="G6626" s="194">
        <v>8.0050019999999993</v>
      </c>
      <c r="H6626" s="50" t="s">
        <v>60</v>
      </c>
      <c r="I6626" s="187">
        <v>33.35642</v>
      </c>
      <c r="J6626" s="41" t="s">
        <v>941</v>
      </c>
      <c r="K6626" s="41" t="s">
        <v>116</v>
      </c>
    </row>
    <row r="6627" spans="1:11" x14ac:dyDescent="0.2">
      <c r="A6627" s="30">
        <v>730</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4 mg, Individual 1</v>
      </c>
      <c r="E6627" s="250" t="str">
        <f>IF(AND(A6627&lt;&gt;"",ISNUMBER(A6627)),VLOOKUP(A6627,Studies!A:BR,5,FALSE),"")</f>
        <v>Alprazolam</v>
      </c>
      <c r="F6627" s="251" t="str">
        <f>IF(AND(A6627&lt;&gt;"",ISNUMBER(A6627)),VLOOKUP(A6627,Studies!A:BR,6,FALSE),"")</f>
        <v>Plasma</v>
      </c>
      <c r="G6627" s="194">
        <v>12.021699999999999</v>
      </c>
      <c r="H6627" s="50" t="s">
        <v>60</v>
      </c>
      <c r="I6627" s="187">
        <v>25.093920000000001</v>
      </c>
      <c r="J6627" s="41" t="s">
        <v>941</v>
      </c>
      <c r="K6627" s="41" t="s">
        <v>116</v>
      </c>
    </row>
    <row r="6628" spans="1:11" x14ac:dyDescent="0.2">
      <c r="A6628" s="30">
        <v>730</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4 mg, Individual 1</v>
      </c>
      <c r="E6628" s="250" t="str">
        <f>IF(AND(A6628&lt;&gt;"",ISNUMBER(A6628)),VLOOKUP(A6628,Studies!A:BR,5,FALSE),"")</f>
        <v>Alprazolam</v>
      </c>
      <c r="F6628" s="251" t="str">
        <f>IF(AND(A6628&lt;&gt;"",ISNUMBER(A6628)),VLOOKUP(A6628,Studies!A:BR,6,FALSE),"")</f>
        <v>Plasma</v>
      </c>
      <c r="G6628" s="194">
        <v>16.047750000000001</v>
      </c>
      <c r="H6628" s="50" t="s">
        <v>60</v>
      </c>
      <c r="I6628" s="187">
        <v>20.85032</v>
      </c>
      <c r="J6628" s="41" t="s">
        <v>941</v>
      </c>
      <c r="K6628" s="41" t="s">
        <v>116</v>
      </c>
    </row>
    <row r="6629" spans="1:11" x14ac:dyDescent="0.2">
      <c r="A6629" s="30">
        <v>730</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4 mg, Individual 1</v>
      </c>
      <c r="E6629" s="250" t="str">
        <f>IF(AND(A6629&lt;&gt;"",ISNUMBER(A6629)),VLOOKUP(A6629,Studies!A:BR,5,FALSE),"")</f>
        <v>Alprazolam</v>
      </c>
      <c r="F6629" s="251" t="str">
        <f>IF(AND(A6629&lt;&gt;"",ISNUMBER(A6629)),VLOOKUP(A6629,Studies!A:BR,6,FALSE),"")</f>
        <v>Plasma</v>
      </c>
      <c r="G6629" s="194">
        <v>24.036010000000001</v>
      </c>
      <c r="H6629" s="50" t="s">
        <v>60</v>
      </c>
      <c r="I6629" s="187">
        <v>14.608420000000001</v>
      </c>
      <c r="J6629" s="41" t="s">
        <v>941</v>
      </c>
      <c r="K6629" s="41" t="s">
        <v>116</v>
      </c>
    </row>
    <row r="6630" spans="1:11" x14ac:dyDescent="0.2">
      <c r="A6630" s="30">
        <v>731</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4 mg, Individual 2</v>
      </c>
      <c r="E6630" s="250" t="str">
        <f>IF(AND(A6630&lt;&gt;"",ISNUMBER(A6630)),VLOOKUP(A6630,Studies!A:BR,5,FALSE),"")</f>
        <v>Alprazolam</v>
      </c>
      <c r="F6630" s="251" t="str">
        <f>IF(AND(A6630&lt;&gt;"",ISNUMBER(A6630)),VLOOKUP(A6630,Studies!A:BR,6,FALSE),"")</f>
        <v>Plasma</v>
      </c>
      <c r="G6630" s="194">
        <v>0.1731385</v>
      </c>
      <c r="H6630" s="50" t="s">
        <v>60</v>
      </c>
      <c r="I6630" s="187">
        <v>62.740389999999998</v>
      </c>
      <c r="J6630" s="41" t="s">
        <v>941</v>
      </c>
      <c r="K6630" s="41" t="s">
        <v>116</v>
      </c>
    </row>
    <row r="6631" spans="1:11" x14ac:dyDescent="0.2">
      <c r="A6631" s="30">
        <v>731</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2</v>
      </c>
      <c r="E6631" s="250" t="str">
        <f>IF(AND(A6631&lt;&gt;"",ISNUMBER(A6631)),VLOOKUP(A6631,Studies!A:BR,5,FALSE),"")</f>
        <v>Alprazolam</v>
      </c>
      <c r="F6631" s="251" t="str">
        <f>IF(AND(A6631&lt;&gt;"",ISNUMBER(A6631)),VLOOKUP(A6631,Studies!A:BR,6,FALSE),"")</f>
        <v>Plasma</v>
      </c>
      <c r="G6631" s="194">
        <v>0.30079929999999999</v>
      </c>
      <c r="H6631" s="50" t="s">
        <v>60</v>
      </c>
      <c r="I6631" s="187">
        <v>60.917639999999999</v>
      </c>
      <c r="J6631" s="41" t="s">
        <v>941</v>
      </c>
      <c r="K6631" s="41" t="s">
        <v>116</v>
      </c>
    </row>
    <row r="6632" spans="1:11" x14ac:dyDescent="0.2">
      <c r="A6632" s="30">
        <v>731</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2</v>
      </c>
      <c r="E6632" s="250" t="str">
        <f>IF(AND(A6632&lt;&gt;"",ISNUMBER(A6632)),VLOOKUP(A6632,Studies!A:BR,5,FALSE),"")</f>
        <v>Alprazolam</v>
      </c>
      <c r="F6632" s="251" t="str">
        <f>IF(AND(A6632&lt;&gt;"",ISNUMBER(A6632)),VLOOKUP(A6632,Studies!A:BR,6,FALSE),"")</f>
        <v>Plasma</v>
      </c>
      <c r="G6632" s="194">
        <v>1.0733429999999999</v>
      </c>
      <c r="H6632" s="50" t="s">
        <v>60</v>
      </c>
      <c r="I6632" s="187">
        <v>54.737740000000002</v>
      </c>
      <c r="J6632" s="41" t="s">
        <v>941</v>
      </c>
      <c r="K6632" s="41" t="s">
        <v>116</v>
      </c>
    </row>
    <row r="6633" spans="1:11" x14ac:dyDescent="0.2">
      <c r="A6633" s="30">
        <v>731</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2</v>
      </c>
      <c r="E6633" s="250" t="str">
        <f>IF(AND(A6633&lt;&gt;"",ISNUMBER(A6633)),VLOOKUP(A6633,Studies!A:BR,5,FALSE),"")</f>
        <v>Alprazolam</v>
      </c>
      <c r="F6633" s="251" t="str">
        <f>IF(AND(A6633&lt;&gt;"",ISNUMBER(A6633)),VLOOKUP(A6633,Studies!A:BR,6,FALSE),"")</f>
        <v>Plasma</v>
      </c>
      <c r="G6633" s="194">
        <v>2.0456889999999999</v>
      </c>
      <c r="H6633" s="50" t="s">
        <v>60</v>
      </c>
      <c r="I6633" s="187">
        <v>51.402560000000001</v>
      </c>
      <c r="J6633" s="41" t="s">
        <v>941</v>
      </c>
      <c r="K6633" s="41" t="s">
        <v>116</v>
      </c>
    </row>
    <row r="6634" spans="1:11" x14ac:dyDescent="0.2">
      <c r="A6634" s="30">
        <v>731</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2</v>
      </c>
      <c r="E6634" s="250" t="str">
        <f>IF(AND(A6634&lt;&gt;"",ISNUMBER(A6634)),VLOOKUP(A6634,Studies!A:BR,5,FALSE),"")</f>
        <v>Alprazolam</v>
      </c>
      <c r="F6634" s="251" t="str">
        <f>IF(AND(A6634&lt;&gt;"",ISNUMBER(A6634)),VLOOKUP(A6634,Studies!A:BR,6,FALSE),"")</f>
        <v>Plasma</v>
      </c>
      <c r="G6634" s="194">
        <v>4.114579</v>
      </c>
      <c r="H6634" s="50" t="s">
        <v>60</v>
      </c>
      <c r="I6634" s="187">
        <v>42.422179999999997</v>
      </c>
      <c r="J6634" s="41" t="s">
        <v>941</v>
      </c>
      <c r="K6634" s="41" t="s">
        <v>116</v>
      </c>
    </row>
    <row r="6635" spans="1:11" x14ac:dyDescent="0.2">
      <c r="A6635" s="30">
        <v>731</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2</v>
      </c>
      <c r="E6635" s="250" t="str">
        <f>IF(AND(A6635&lt;&gt;"",ISNUMBER(A6635)),VLOOKUP(A6635,Studies!A:BR,5,FALSE),"")</f>
        <v>Alprazolam</v>
      </c>
      <c r="F6635" s="251" t="str">
        <f>IF(AND(A6635&lt;&gt;"",ISNUMBER(A6635)),VLOOKUP(A6635,Studies!A:BR,6,FALSE),"")</f>
        <v>Plasma</v>
      </c>
      <c r="G6635" s="194">
        <v>6.1185999999999998</v>
      </c>
      <c r="H6635" s="50" t="s">
        <v>60</v>
      </c>
      <c r="I6635" s="187">
        <v>35.140520000000002</v>
      </c>
      <c r="J6635" s="41" t="s">
        <v>941</v>
      </c>
      <c r="K6635" s="41" t="s">
        <v>116</v>
      </c>
    </row>
    <row r="6636" spans="1:11" x14ac:dyDescent="0.2">
      <c r="A6636" s="30">
        <v>731</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2</v>
      </c>
      <c r="E6636" s="250" t="str">
        <f>IF(AND(A6636&lt;&gt;"",ISNUMBER(A6636)),VLOOKUP(A6636,Studies!A:BR,5,FALSE),"")</f>
        <v>Alprazolam</v>
      </c>
      <c r="F6636" s="251" t="str">
        <f>IF(AND(A6636&lt;&gt;"",ISNUMBER(A6636)),VLOOKUP(A6636,Studies!A:BR,6,FALSE),"")</f>
        <v>Plasma</v>
      </c>
      <c r="G6636" s="194">
        <v>8.0535960000000006</v>
      </c>
      <c r="H6636" s="50" t="s">
        <v>60</v>
      </c>
      <c r="I6636" s="187">
        <v>27.954409999999999</v>
      </c>
      <c r="J6636" s="41" t="s">
        <v>941</v>
      </c>
      <c r="K6636" s="41" t="s">
        <v>116</v>
      </c>
    </row>
    <row r="6637" spans="1:11" x14ac:dyDescent="0.2">
      <c r="A6637" s="30">
        <v>731</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2</v>
      </c>
      <c r="E6637" s="250" t="str">
        <f>IF(AND(A6637&lt;&gt;"",ISNUMBER(A6637)),VLOOKUP(A6637,Studies!A:BR,5,FALSE),"")</f>
        <v>Alprazolam</v>
      </c>
      <c r="F6637" s="251" t="str">
        <f>IF(AND(A6637&lt;&gt;"",ISNUMBER(A6637)),VLOOKUP(A6637,Studies!A:BR,6,FALSE),"")</f>
        <v>Plasma</v>
      </c>
      <c r="G6637" s="194">
        <v>12.07757</v>
      </c>
      <c r="H6637" s="50" t="s">
        <v>60</v>
      </c>
      <c r="I6637" s="187">
        <v>22.719799999999999</v>
      </c>
      <c r="J6637" s="41" t="s">
        <v>941</v>
      </c>
      <c r="K6637" s="41" t="s">
        <v>116</v>
      </c>
    </row>
    <row r="6638" spans="1:11" x14ac:dyDescent="0.2">
      <c r="A6638" s="30">
        <v>731</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2</v>
      </c>
      <c r="E6638" s="250" t="str">
        <f>IF(AND(A6638&lt;&gt;"",ISNUMBER(A6638)),VLOOKUP(A6638,Studies!A:BR,5,FALSE),"")</f>
        <v>Alprazolam</v>
      </c>
      <c r="F6638" s="251" t="str">
        <f>IF(AND(A6638&lt;&gt;"",ISNUMBER(A6638)),VLOOKUP(A6638,Studies!A:BR,6,FALSE),"")</f>
        <v>Plasma</v>
      </c>
      <c r="G6638" s="194">
        <v>15.96834</v>
      </c>
      <c r="H6638" s="50" t="s">
        <v>60</v>
      </c>
      <c r="I6638" s="187">
        <v>17.93037</v>
      </c>
      <c r="J6638" s="41" t="s">
        <v>941</v>
      </c>
      <c r="K6638" s="41" t="s">
        <v>116</v>
      </c>
    </row>
    <row r="6639" spans="1:11" x14ac:dyDescent="0.2">
      <c r="A6639" s="30">
        <v>731</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2</v>
      </c>
      <c r="E6639" s="250" t="str">
        <f>IF(AND(A6639&lt;&gt;"",ISNUMBER(A6639)),VLOOKUP(A6639,Studies!A:BR,5,FALSE),"")</f>
        <v>Alprazolam</v>
      </c>
      <c r="F6639" s="251" t="str">
        <f>IF(AND(A6639&lt;&gt;"",ISNUMBER(A6639)),VLOOKUP(A6639,Studies!A:BR,6,FALSE),"")</f>
        <v>Plasma</v>
      </c>
      <c r="G6639" s="194">
        <v>24.023890000000002</v>
      </c>
      <c r="H6639" s="50" t="s">
        <v>60</v>
      </c>
      <c r="I6639" s="187">
        <v>12.84285</v>
      </c>
      <c r="J6639" s="41" t="s">
        <v>941</v>
      </c>
      <c r="K6639" s="41" t="s">
        <v>116</v>
      </c>
    </row>
    <row r="6640" spans="1:11" x14ac:dyDescent="0.2">
      <c r="A6640" s="30">
        <v>732</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3</v>
      </c>
      <c r="E6640" s="250" t="str">
        <f>IF(AND(A6640&lt;&gt;"",ISNUMBER(A6640)),VLOOKUP(A6640,Studies!A:BR,5,FALSE),"")</f>
        <v>Alprazolam</v>
      </c>
      <c r="F6640" s="251" t="str">
        <f>IF(AND(A6640&lt;&gt;"",ISNUMBER(A6640)),VLOOKUP(A6640,Studies!A:BR,6,FALSE),"")</f>
        <v>Plasma</v>
      </c>
      <c r="G6640" s="194">
        <v>0.11692619999999999</v>
      </c>
      <c r="H6640" s="50" t="s">
        <v>60</v>
      </c>
      <c r="I6640" s="187">
        <v>69.041920000000005</v>
      </c>
      <c r="J6640" s="41" t="s">
        <v>941</v>
      </c>
      <c r="K6640" s="41" t="s">
        <v>116</v>
      </c>
    </row>
    <row r="6641" spans="1:11" x14ac:dyDescent="0.2">
      <c r="A6641" s="30">
        <v>732</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3</v>
      </c>
      <c r="E6641" s="250" t="str">
        <f>IF(AND(A6641&lt;&gt;"",ISNUMBER(A6641)),VLOOKUP(A6641,Studies!A:BR,5,FALSE),"")</f>
        <v>Alprazolam</v>
      </c>
      <c r="F6641" s="251" t="str">
        <f>IF(AND(A6641&lt;&gt;"",ISNUMBER(A6641)),VLOOKUP(A6641,Studies!A:BR,6,FALSE),"")</f>
        <v>Plasma</v>
      </c>
      <c r="G6641" s="194">
        <v>0.2428556</v>
      </c>
      <c r="H6641" s="50" t="s">
        <v>60</v>
      </c>
      <c r="I6641" s="187">
        <v>65.813800000000001</v>
      </c>
      <c r="J6641" s="41" t="s">
        <v>941</v>
      </c>
      <c r="K6641" s="41" t="s">
        <v>116</v>
      </c>
    </row>
    <row r="6642" spans="1:11" x14ac:dyDescent="0.2">
      <c r="A6642" s="30">
        <v>732</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3</v>
      </c>
      <c r="E6642" s="250" t="str">
        <f>IF(AND(A6642&lt;&gt;"",ISNUMBER(A6642)),VLOOKUP(A6642,Studies!A:BR,5,FALSE),"")</f>
        <v>Alprazolam</v>
      </c>
      <c r="F6642" s="251" t="str">
        <f>IF(AND(A6642&lt;&gt;"",ISNUMBER(A6642)),VLOOKUP(A6642,Studies!A:BR,6,FALSE),"")</f>
        <v>Plasma</v>
      </c>
      <c r="G6642" s="194">
        <v>1.0012019999999999</v>
      </c>
      <c r="H6642" s="50" t="s">
        <v>60</v>
      </c>
      <c r="I6642" s="187">
        <v>50.854419999999998</v>
      </c>
      <c r="J6642" s="41" t="s">
        <v>941</v>
      </c>
      <c r="K6642" s="41" t="s">
        <v>116</v>
      </c>
    </row>
    <row r="6643" spans="1:11" x14ac:dyDescent="0.2">
      <c r="A6643" s="30">
        <v>732</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3</v>
      </c>
      <c r="E6643" s="250" t="str">
        <f>IF(AND(A6643&lt;&gt;"",ISNUMBER(A6643)),VLOOKUP(A6643,Studies!A:BR,5,FALSE),"")</f>
        <v>Alprazolam</v>
      </c>
      <c r="F6643" s="251" t="str">
        <f>IF(AND(A6643&lt;&gt;"",ISNUMBER(A6643)),VLOOKUP(A6643,Studies!A:BR,6,FALSE),"")</f>
        <v>Plasma</v>
      </c>
      <c r="G6643" s="194">
        <v>2.098093</v>
      </c>
      <c r="H6643" s="50" t="s">
        <v>60</v>
      </c>
      <c r="I6643" s="187">
        <v>44.85774</v>
      </c>
      <c r="J6643" s="41" t="s">
        <v>941</v>
      </c>
      <c r="K6643" s="41" t="s">
        <v>116</v>
      </c>
    </row>
    <row r="6644" spans="1:11" x14ac:dyDescent="0.2">
      <c r="A6644" s="30">
        <v>732</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3</v>
      </c>
      <c r="E6644" s="250" t="str">
        <f>IF(AND(A6644&lt;&gt;"",ISNUMBER(A6644)),VLOOKUP(A6644,Studies!A:BR,5,FALSE),"")</f>
        <v>Alprazolam</v>
      </c>
      <c r="F6644" s="251" t="str">
        <f>IF(AND(A6644&lt;&gt;"",ISNUMBER(A6644)),VLOOKUP(A6644,Studies!A:BR,6,FALSE),"")</f>
        <v>Plasma</v>
      </c>
      <c r="G6644" s="194">
        <v>4.0362049999999998</v>
      </c>
      <c r="H6644" s="50" t="s">
        <v>60</v>
      </c>
      <c r="I6644" s="187">
        <v>36.88626</v>
      </c>
      <c r="J6644" s="41" t="s">
        <v>941</v>
      </c>
      <c r="K6644" s="41" t="s">
        <v>116</v>
      </c>
    </row>
    <row r="6645" spans="1:11" x14ac:dyDescent="0.2">
      <c r="A6645" s="30">
        <v>732</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3</v>
      </c>
      <c r="E6645" s="250" t="str">
        <f>IF(AND(A6645&lt;&gt;"",ISNUMBER(A6645)),VLOOKUP(A6645,Studies!A:BR,5,FALSE),"")</f>
        <v>Alprazolam</v>
      </c>
      <c r="F6645" s="251" t="str">
        <f>IF(AND(A6645&lt;&gt;"",ISNUMBER(A6645)),VLOOKUP(A6645,Studies!A:BR,6,FALSE),"")</f>
        <v>Plasma</v>
      </c>
      <c r="G6645" s="194">
        <v>6.041957</v>
      </c>
      <c r="H6645" s="50" t="s">
        <v>60</v>
      </c>
      <c r="I6645" s="187">
        <v>31.12229</v>
      </c>
      <c r="J6645" s="41" t="s">
        <v>941</v>
      </c>
      <c r="K6645" s="41" t="s">
        <v>116</v>
      </c>
    </row>
    <row r="6646" spans="1:11" x14ac:dyDescent="0.2">
      <c r="A6646" s="30">
        <v>732</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3</v>
      </c>
      <c r="E6646" s="250" t="str">
        <f>IF(AND(A6646&lt;&gt;"",ISNUMBER(A6646)),VLOOKUP(A6646,Studies!A:BR,5,FALSE),"")</f>
        <v>Alprazolam</v>
      </c>
      <c r="F6646" s="251" t="str">
        <f>IF(AND(A6646&lt;&gt;"",ISNUMBER(A6646)),VLOOKUP(A6646,Studies!A:BR,6,FALSE),"")</f>
        <v>Plasma</v>
      </c>
      <c r="G6646" s="194">
        <v>8.0449389999999994</v>
      </c>
      <c r="H6646" s="50" t="s">
        <v>60</v>
      </c>
      <c r="I6646" s="187">
        <v>25.497150000000001</v>
      </c>
      <c r="J6646" s="41" t="s">
        <v>941</v>
      </c>
      <c r="K6646" s="41" t="s">
        <v>116</v>
      </c>
    </row>
    <row r="6647" spans="1:11" x14ac:dyDescent="0.2">
      <c r="A6647" s="30">
        <v>732</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3</v>
      </c>
      <c r="E6647" s="250" t="str">
        <f>IF(AND(A6647&lt;&gt;"",ISNUMBER(A6647)),VLOOKUP(A6647,Studies!A:BR,5,FALSE),"")</f>
        <v>Alprazolam</v>
      </c>
      <c r="F6647" s="251" t="str">
        <f>IF(AND(A6647&lt;&gt;"",ISNUMBER(A6647)),VLOOKUP(A6647,Studies!A:BR,6,FALSE),"")</f>
        <v>Plasma</v>
      </c>
      <c r="G6647" s="194">
        <v>12.12581</v>
      </c>
      <c r="H6647" s="50" t="s">
        <v>60</v>
      </c>
      <c r="I6647" s="187">
        <v>18.970420000000001</v>
      </c>
      <c r="J6647" s="41" t="s">
        <v>941</v>
      </c>
      <c r="K6647" s="41" t="s">
        <v>116</v>
      </c>
    </row>
    <row r="6648" spans="1:11" x14ac:dyDescent="0.2">
      <c r="A6648" s="30">
        <v>732</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3</v>
      </c>
      <c r="E6648" s="250" t="str">
        <f>IF(AND(A6648&lt;&gt;"",ISNUMBER(A6648)),VLOOKUP(A6648,Studies!A:BR,5,FALSE),"")</f>
        <v>Alprazolam</v>
      </c>
      <c r="F6648" s="251" t="str">
        <f>IF(AND(A6648&lt;&gt;"",ISNUMBER(A6648)),VLOOKUP(A6648,Studies!A:BR,6,FALSE),"")</f>
        <v>Plasma</v>
      </c>
      <c r="G6648" s="194">
        <v>16.01727</v>
      </c>
      <c r="H6648" s="50" t="s">
        <v>60</v>
      </c>
      <c r="I6648" s="187">
        <v>15.08198</v>
      </c>
      <c r="J6648" s="41" t="s">
        <v>941</v>
      </c>
      <c r="K6648" s="41" t="s">
        <v>116</v>
      </c>
    </row>
    <row r="6649" spans="1:11" x14ac:dyDescent="0.2">
      <c r="A6649" s="30">
        <v>732</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3</v>
      </c>
      <c r="E6649" s="250" t="str">
        <f>IF(AND(A6649&lt;&gt;"",ISNUMBER(A6649)),VLOOKUP(A6649,Studies!A:BR,5,FALSE),"")</f>
        <v>Alprazolam</v>
      </c>
      <c r="F6649" s="251" t="str">
        <f>IF(AND(A6649&lt;&gt;"",ISNUMBER(A6649)),VLOOKUP(A6649,Studies!A:BR,6,FALSE),"")</f>
        <v>Plasma</v>
      </c>
      <c r="G6649" s="194">
        <v>24.004850000000001</v>
      </c>
      <c r="H6649" s="50" t="s">
        <v>60</v>
      </c>
      <c r="I6649" s="187">
        <v>10.48944</v>
      </c>
      <c r="J6649" s="41" t="s">
        <v>941</v>
      </c>
      <c r="K6649" s="41" t="s">
        <v>116</v>
      </c>
    </row>
    <row r="6650" spans="1:11" x14ac:dyDescent="0.2">
      <c r="A6650" s="30">
        <v>733</v>
      </c>
      <c r="B6650" s="249" t="str">
        <f>IF(AND(A6650&lt;&gt;"",ISNUMBER(A6650)),VLOOKUP(A6650,Studies!A:BR,2,FALSE),"")</f>
        <v>Bertz 1997</v>
      </c>
      <c r="C6650" s="250" t="str">
        <f>IF(AND(A6650&lt;&gt;"",ISNUMBER(A6650)),VLOOKUP(A6650,Studies!A:BR,3,FALSE),"")</f>
        <v>https://www.ncbi.nlm.nih.gov/pubmed/9190868</v>
      </c>
      <c r="D6650" s="250" t="str">
        <f>IF(AND(A6650&lt;&gt;"",ISNUMBER(A6650)),VLOOKUP(A6650,Studies!A:BR,4,FALSE),"")</f>
        <v>2 mg, young subjects</v>
      </c>
      <c r="E6650" s="250" t="str">
        <f>IF(AND(A6650&lt;&gt;"",ISNUMBER(A6650)),VLOOKUP(A6650,Studies!A:BR,5,FALSE),"")</f>
        <v>Alprazolam</v>
      </c>
      <c r="F6650" s="251" t="str">
        <f>IF(AND(A6650&lt;&gt;"",ISNUMBER(A6650)),VLOOKUP(A6650,Studies!A:BR,6,FALSE),"")</f>
        <v>Plasma</v>
      </c>
      <c r="G6650" s="194">
        <v>0.16700000000000001</v>
      </c>
      <c r="H6650" s="50" t="s">
        <v>60</v>
      </c>
      <c r="I6650" s="187">
        <v>44.586210000000001</v>
      </c>
      <c r="J6650" s="41" t="s">
        <v>941</v>
      </c>
      <c r="K6650" s="41" t="s">
        <v>116</v>
      </c>
    </row>
    <row r="6651" spans="1:11" x14ac:dyDescent="0.2">
      <c r="A6651" s="30">
        <v>733</v>
      </c>
      <c r="B6651" s="249" t="str">
        <f>IF(AND(A6651&lt;&gt;"",ISNUMBER(A6651)),VLOOKUP(A6651,Studies!A:BR,2,FALSE),"")</f>
        <v>Bertz 1997</v>
      </c>
      <c r="C6651" s="250" t="str">
        <f>IF(AND(A6651&lt;&gt;"",ISNUMBER(A6651)),VLOOKUP(A6651,Studies!A:BR,3,FALSE),"")</f>
        <v>https://www.ncbi.nlm.nih.gov/pubmed/9190868</v>
      </c>
      <c r="D6651" s="250" t="str">
        <f>IF(AND(A6651&lt;&gt;"",ISNUMBER(A6651)),VLOOKUP(A6651,Studies!A:BR,4,FALSE),"")</f>
        <v>2 mg, young subjects</v>
      </c>
      <c r="E6651" s="250" t="str">
        <f>IF(AND(A6651&lt;&gt;"",ISNUMBER(A6651)),VLOOKUP(A6651,Studies!A:BR,5,FALSE),"")</f>
        <v>Alprazolam</v>
      </c>
      <c r="F6651" s="251" t="str">
        <f>IF(AND(A6651&lt;&gt;"",ISNUMBER(A6651)),VLOOKUP(A6651,Studies!A:BR,6,FALSE),"")</f>
        <v>Plasma</v>
      </c>
      <c r="G6651" s="194">
        <v>0.33300000000000002</v>
      </c>
      <c r="H6651" s="50" t="s">
        <v>60</v>
      </c>
      <c r="I6651" s="187">
        <v>36.514360000000003</v>
      </c>
      <c r="J6651" s="41" t="s">
        <v>941</v>
      </c>
      <c r="K6651" s="41" t="s">
        <v>116</v>
      </c>
    </row>
    <row r="6652" spans="1:11" x14ac:dyDescent="0.2">
      <c r="A6652" s="30">
        <v>733</v>
      </c>
      <c r="B6652" s="249" t="str">
        <f>IF(AND(A6652&lt;&gt;"",ISNUMBER(A6652)),VLOOKUP(A6652,Studies!A:BR,2,FALSE),"")</f>
        <v>Bertz 1997</v>
      </c>
      <c r="C6652" s="250" t="str">
        <f>IF(AND(A6652&lt;&gt;"",ISNUMBER(A6652)),VLOOKUP(A6652,Studies!A:BR,3,FALSE),"")</f>
        <v>https://www.ncbi.nlm.nih.gov/pubmed/9190868</v>
      </c>
      <c r="D6652" s="250" t="str">
        <f>IF(AND(A6652&lt;&gt;"",ISNUMBER(A6652)),VLOOKUP(A6652,Studies!A:BR,4,FALSE),"")</f>
        <v>2 mg, young subjects</v>
      </c>
      <c r="E6652" s="250" t="str">
        <f>IF(AND(A6652&lt;&gt;"",ISNUMBER(A6652)),VLOOKUP(A6652,Studies!A:BR,5,FALSE),"")</f>
        <v>Alprazolam</v>
      </c>
      <c r="F6652" s="251" t="str">
        <f>IF(AND(A6652&lt;&gt;"",ISNUMBER(A6652)),VLOOKUP(A6652,Studies!A:BR,6,FALSE),"")</f>
        <v>Plasma</v>
      </c>
      <c r="G6652" s="194">
        <v>0.66700000000000004</v>
      </c>
      <c r="H6652" s="50" t="s">
        <v>60</v>
      </c>
      <c r="I6652" s="187">
        <v>29.958500000000001</v>
      </c>
      <c r="J6652" s="41" t="s">
        <v>941</v>
      </c>
      <c r="K6652" s="41" t="s">
        <v>116</v>
      </c>
    </row>
    <row r="6653" spans="1:11" x14ac:dyDescent="0.2">
      <c r="A6653" s="30">
        <v>733</v>
      </c>
      <c r="B6653" s="249" t="str">
        <f>IF(AND(A6653&lt;&gt;"",ISNUMBER(A6653)),VLOOKUP(A6653,Studies!A:BR,2,FALSE),"")</f>
        <v>Bertz 1997</v>
      </c>
      <c r="C6653" s="250" t="str">
        <f>IF(AND(A6653&lt;&gt;"",ISNUMBER(A6653)),VLOOKUP(A6653,Studies!A:BR,3,FALSE),"")</f>
        <v>https://www.ncbi.nlm.nih.gov/pubmed/9190868</v>
      </c>
      <c r="D6653" s="250" t="str">
        <f>IF(AND(A6653&lt;&gt;"",ISNUMBER(A6653)),VLOOKUP(A6653,Studies!A:BR,4,FALSE),"")</f>
        <v>2 mg, young subjects</v>
      </c>
      <c r="E6653" s="250" t="str">
        <f>IF(AND(A6653&lt;&gt;"",ISNUMBER(A6653)),VLOOKUP(A6653,Studies!A:BR,5,FALSE),"")</f>
        <v>Alprazolam</v>
      </c>
      <c r="F6653" s="251" t="str">
        <f>IF(AND(A6653&lt;&gt;"",ISNUMBER(A6653)),VLOOKUP(A6653,Studies!A:BR,6,FALSE),"")</f>
        <v>Plasma</v>
      </c>
      <c r="G6653" s="194">
        <v>1</v>
      </c>
      <c r="H6653" s="50" t="s">
        <v>60</v>
      </c>
      <c r="I6653" s="187">
        <v>27.10116</v>
      </c>
      <c r="J6653" s="41" t="s">
        <v>941</v>
      </c>
      <c r="K6653" s="41" t="s">
        <v>116</v>
      </c>
    </row>
    <row r="6654" spans="1:11" x14ac:dyDescent="0.2">
      <c r="A6654" s="30">
        <v>733</v>
      </c>
      <c r="B6654" s="249" t="str">
        <f>IF(AND(A6654&lt;&gt;"",ISNUMBER(A6654)),VLOOKUP(A6654,Studies!A:BR,2,FALSE),"")</f>
        <v>Bertz 1997</v>
      </c>
      <c r="C6654" s="250" t="str">
        <f>IF(AND(A6654&lt;&gt;"",ISNUMBER(A6654)),VLOOKUP(A6654,Studies!A:BR,3,FALSE),"")</f>
        <v>https://www.ncbi.nlm.nih.gov/pubmed/9190868</v>
      </c>
      <c r="D6654" s="250" t="str">
        <f>IF(AND(A6654&lt;&gt;"",ISNUMBER(A6654)),VLOOKUP(A6654,Studies!A:BR,4,FALSE),"")</f>
        <v>2 mg, young subjects</v>
      </c>
      <c r="E6654" s="250" t="str">
        <f>IF(AND(A6654&lt;&gt;"",ISNUMBER(A6654)),VLOOKUP(A6654,Studies!A:BR,5,FALSE),"")</f>
        <v>Alprazolam</v>
      </c>
      <c r="F6654" s="251" t="str">
        <f>IF(AND(A6654&lt;&gt;"",ISNUMBER(A6654)),VLOOKUP(A6654,Studies!A:BR,6,FALSE),"")</f>
        <v>Plasma</v>
      </c>
      <c r="G6654" s="194">
        <v>1.5</v>
      </c>
      <c r="H6654" s="50" t="s">
        <v>60</v>
      </c>
      <c r="I6654" s="187">
        <v>25.48583</v>
      </c>
      <c r="J6654" s="41" t="s">
        <v>941</v>
      </c>
      <c r="K6654" s="41" t="s">
        <v>116</v>
      </c>
    </row>
    <row r="6655" spans="1:11" x14ac:dyDescent="0.2">
      <c r="A6655" s="30">
        <v>733</v>
      </c>
      <c r="B6655" s="249" t="str">
        <f>IF(AND(A6655&lt;&gt;"",ISNUMBER(A6655)),VLOOKUP(A6655,Studies!A:BR,2,FALSE),"")</f>
        <v>Bertz 1997</v>
      </c>
      <c r="C6655" s="250" t="str">
        <f>IF(AND(A6655&lt;&gt;"",ISNUMBER(A6655)),VLOOKUP(A6655,Studies!A:BR,3,FALSE),"")</f>
        <v>https://www.ncbi.nlm.nih.gov/pubmed/9190868</v>
      </c>
      <c r="D6655" s="250" t="str">
        <f>IF(AND(A6655&lt;&gt;"",ISNUMBER(A6655)),VLOOKUP(A6655,Studies!A:BR,4,FALSE),"")</f>
        <v>2 mg, young subjects</v>
      </c>
      <c r="E6655" s="250" t="str">
        <f>IF(AND(A6655&lt;&gt;"",ISNUMBER(A6655)),VLOOKUP(A6655,Studies!A:BR,5,FALSE),"")</f>
        <v>Alprazolam</v>
      </c>
      <c r="F6655" s="251" t="str">
        <f>IF(AND(A6655&lt;&gt;"",ISNUMBER(A6655)),VLOOKUP(A6655,Studies!A:BR,6,FALSE),"")</f>
        <v>Plasma</v>
      </c>
      <c r="G6655" s="194">
        <v>2</v>
      </c>
      <c r="H6655" s="50" t="s">
        <v>60</v>
      </c>
      <c r="I6655" s="187">
        <v>24.145389999999999</v>
      </c>
      <c r="J6655" s="41" t="s">
        <v>941</v>
      </c>
      <c r="K6655" s="41" t="s">
        <v>116</v>
      </c>
    </row>
    <row r="6656" spans="1:11" x14ac:dyDescent="0.2">
      <c r="A6656" s="30">
        <v>733</v>
      </c>
      <c r="B6656" s="249" t="str">
        <f>IF(AND(A6656&lt;&gt;"",ISNUMBER(A6656)),VLOOKUP(A6656,Studies!A:BR,2,FALSE),"")</f>
        <v>Bertz 1997</v>
      </c>
      <c r="C6656" s="250" t="str">
        <f>IF(AND(A6656&lt;&gt;"",ISNUMBER(A6656)),VLOOKUP(A6656,Studies!A:BR,3,FALSE),"")</f>
        <v>https://www.ncbi.nlm.nih.gov/pubmed/9190868</v>
      </c>
      <c r="D6656" s="250" t="str">
        <f>IF(AND(A6656&lt;&gt;"",ISNUMBER(A6656)),VLOOKUP(A6656,Studies!A:BR,4,FALSE),"")</f>
        <v>2 mg, young subjects</v>
      </c>
      <c r="E6656" s="250" t="str">
        <f>IF(AND(A6656&lt;&gt;"",ISNUMBER(A6656)),VLOOKUP(A6656,Studies!A:BR,5,FALSE),"")</f>
        <v>Alprazolam</v>
      </c>
      <c r="F6656" s="251" t="str">
        <f>IF(AND(A6656&lt;&gt;"",ISNUMBER(A6656)),VLOOKUP(A6656,Studies!A:BR,6,FALSE),"")</f>
        <v>Plasma</v>
      </c>
      <c r="G6656" s="194">
        <v>3.5</v>
      </c>
      <c r="H6656" s="50" t="s">
        <v>60</v>
      </c>
      <c r="I6656" s="187">
        <v>21.7651</v>
      </c>
      <c r="J6656" s="41" t="s">
        <v>941</v>
      </c>
      <c r="K6656" s="41" t="s">
        <v>116</v>
      </c>
    </row>
    <row r="6657" spans="1:11" x14ac:dyDescent="0.2">
      <c r="A6657" s="30">
        <v>733</v>
      </c>
      <c r="B6657" s="249" t="str">
        <f>IF(AND(A6657&lt;&gt;"",ISNUMBER(A6657)),VLOOKUP(A6657,Studies!A:BR,2,FALSE),"")</f>
        <v>Bertz 1997</v>
      </c>
      <c r="C6657" s="250" t="str">
        <f>IF(AND(A6657&lt;&gt;"",ISNUMBER(A6657)),VLOOKUP(A6657,Studies!A:BR,3,FALSE),"")</f>
        <v>https://www.ncbi.nlm.nih.gov/pubmed/9190868</v>
      </c>
      <c r="D6657" s="250" t="str">
        <f>IF(AND(A6657&lt;&gt;"",ISNUMBER(A6657)),VLOOKUP(A6657,Studies!A:BR,4,FALSE),"")</f>
        <v>2 mg, young subjects</v>
      </c>
      <c r="E6657" s="250" t="str">
        <f>IF(AND(A6657&lt;&gt;"",ISNUMBER(A6657)),VLOOKUP(A6657,Studies!A:BR,5,FALSE),"")</f>
        <v>Alprazolam</v>
      </c>
      <c r="F6657" s="251" t="str">
        <f>IF(AND(A6657&lt;&gt;"",ISNUMBER(A6657)),VLOOKUP(A6657,Studies!A:BR,6,FALSE),"")</f>
        <v>Plasma</v>
      </c>
      <c r="G6657" s="194">
        <v>5</v>
      </c>
      <c r="H6657" s="50" t="s">
        <v>60</v>
      </c>
      <c r="I6657" s="187">
        <v>19.247820000000001</v>
      </c>
      <c r="J6657" s="41" t="s">
        <v>941</v>
      </c>
      <c r="K6657" s="41" t="s">
        <v>116</v>
      </c>
    </row>
    <row r="6658" spans="1:11" x14ac:dyDescent="0.2">
      <c r="A6658" s="30">
        <v>733</v>
      </c>
      <c r="B6658" s="249" t="str">
        <f>IF(AND(A6658&lt;&gt;"",ISNUMBER(A6658)),VLOOKUP(A6658,Studies!A:BR,2,FALSE),"")</f>
        <v>Bertz 1997</v>
      </c>
      <c r="C6658" s="250" t="str">
        <f>IF(AND(A6658&lt;&gt;"",ISNUMBER(A6658)),VLOOKUP(A6658,Studies!A:BR,3,FALSE),"")</f>
        <v>https://www.ncbi.nlm.nih.gov/pubmed/9190868</v>
      </c>
      <c r="D6658" s="250" t="str">
        <f>IF(AND(A6658&lt;&gt;"",ISNUMBER(A6658)),VLOOKUP(A6658,Studies!A:BR,4,FALSE),"")</f>
        <v>2 mg, young subjects</v>
      </c>
      <c r="E6658" s="250" t="str">
        <f>IF(AND(A6658&lt;&gt;"",ISNUMBER(A6658)),VLOOKUP(A6658,Studies!A:BR,5,FALSE),"")</f>
        <v>Alprazolam</v>
      </c>
      <c r="F6658" s="251" t="str">
        <f>IF(AND(A6658&lt;&gt;"",ISNUMBER(A6658)),VLOOKUP(A6658,Studies!A:BR,6,FALSE),"")</f>
        <v>Plasma</v>
      </c>
      <c r="G6658" s="194">
        <v>7</v>
      </c>
      <c r="H6658" s="50" t="s">
        <v>60</v>
      </c>
      <c r="I6658" s="187">
        <v>17.305099999999999</v>
      </c>
      <c r="J6658" s="41" t="s">
        <v>941</v>
      </c>
      <c r="K6658" s="41" t="s">
        <v>116</v>
      </c>
    </row>
    <row r="6659" spans="1:11" x14ac:dyDescent="0.2">
      <c r="A6659" s="30">
        <v>733</v>
      </c>
      <c r="B6659" s="249" t="str">
        <f>IF(AND(A6659&lt;&gt;"",ISNUMBER(A6659)),VLOOKUP(A6659,Studies!A:BR,2,FALSE),"")</f>
        <v>Bertz 1997</v>
      </c>
      <c r="C6659" s="250" t="str">
        <f>IF(AND(A6659&lt;&gt;"",ISNUMBER(A6659)),VLOOKUP(A6659,Studies!A:BR,3,FALSE),"")</f>
        <v>https://www.ncbi.nlm.nih.gov/pubmed/9190868</v>
      </c>
      <c r="D6659" s="250" t="str">
        <f>IF(AND(A6659&lt;&gt;"",ISNUMBER(A6659)),VLOOKUP(A6659,Studies!A:BR,4,FALSE),"")</f>
        <v>2 mg, young subjects</v>
      </c>
      <c r="E6659" s="250" t="str">
        <f>IF(AND(A6659&lt;&gt;"",ISNUMBER(A6659)),VLOOKUP(A6659,Studies!A:BR,5,FALSE),"")</f>
        <v>Alprazolam</v>
      </c>
      <c r="F6659" s="251" t="str">
        <f>IF(AND(A6659&lt;&gt;"",ISNUMBER(A6659)),VLOOKUP(A6659,Studies!A:BR,6,FALSE),"")</f>
        <v>Plasma</v>
      </c>
      <c r="G6659" s="194">
        <v>9</v>
      </c>
      <c r="H6659" s="50" t="s">
        <v>60</v>
      </c>
      <c r="I6659" s="187">
        <v>15.77608</v>
      </c>
      <c r="J6659" s="41" t="s">
        <v>941</v>
      </c>
      <c r="K6659" s="41" t="s">
        <v>116</v>
      </c>
    </row>
    <row r="6660" spans="1:11" x14ac:dyDescent="0.2">
      <c r="A6660" s="30">
        <v>733</v>
      </c>
      <c r="B6660" s="249" t="str">
        <f>IF(AND(A6660&lt;&gt;"",ISNUMBER(A6660)),VLOOKUP(A6660,Studies!A:BR,2,FALSE),"")</f>
        <v>Bertz 1997</v>
      </c>
      <c r="C6660" s="250" t="str">
        <f>IF(AND(A6660&lt;&gt;"",ISNUMBER(A6660)),VLOOKUP(A6660,Studies!A:BR,3,FALSE),"")</f>
        <v>https://www.ncbi.nlm.nih.gov/pubmed/9190868</v>
      </c>
      <c r="D6660" s="250" t="str">
        <f>IF(AND(A6660&lt;&gt;"",ISNUMBER(A6660)),VLOOKUP(A6660,Studies!A:BR,4,FALSE),"")</f>
        <v>2 mg, young subjects</v>
      </c>
      <c r="E6660" s="250" t="str">
        <f>IF(AND(A6660&lt;&gt;"",ISNUMBER(A6660)),VLOOKUP(A6660,Studies!A:BR,5,FALSE),"")</f>
        <v>Alprazolam</v>
      </c>
      <c r="F6660" s="251" t="str">
        <f>IF(AND(A6660&lt;&gt;"",ISNUMBER(A6660)),VLOOKUP(A6660,Studies!A:BR,6,FALSE),"")</f>
        <v>Plasma</v>
      </c>
      <c r="G6660" s="194">
        <v>12</v>
      </c>
      <c r="H6660" s="50" t="s">
        <v>60</v>
      </c>
      <c r="I6660" s="187">
        <v>12.558149999999999</v>
      </c>
      <c r="J6660" s="41" t="s">
        <v>941</v>
      </c>
      <c r="K6660" s="41" t="s">
        <v>116</v>
      </c>
    </row>
    <row r="6661" spans="1:11" x14ac:dyDescent="0.2">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16</v>
      </c>
      <c r="H6661" s="50" t="s">
        <v>60</v>
      </c>
      <c r="I6661" s="187">
        <v>9.4580500000000001</v>
      </c>
      <c r="J6661" s="41" t="s">
        <v>941</v>
      </c>
      <c r="K6661" s="41" t="s">
        <v>116</v>
      </c>
    </row>
    <row r="6662" spans="1:11" x14ac:dyDescent="0.2">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24</v>
      </c>
      <c r="H6662" s="50" t="s">
        <v>60</v>
      </c>
      <c r="I6662" s="187">
        <v>6.9139150000000003</v>
      </c>
      <c r="J6662" s="41" t="s">
        <v>941</v>
      </c>
      <c r="K6662" s="41" t="s">
        <v>116</v>
      </c>
    </row>
    <row r="6663" spans="1:11" x14ac:dyDescent="0.2">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36</v>
      </c>
      <c r="H6663" s="50" t="s">
        <v>60</v>
      </c>
      <c r="I6663" s="187">
        <v>3.7438950000000002</v>
      </c>
      <c r="J6663" s="41" t="s">
        <v>941</v>
      </c>
      <c r="K6663" s="41" t="s">
        <v>116</v>
      </c>
    </row>
    <row r="6664" spans="1:11" x14ac:dyDescent="0.2">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48</v>
      </c>
      <c r="H6664" s="50" t="s">
        <v>60</v>
      </c>
      <c r="I6664" s="187">
        <v>2.023946</v>
      </c>
      <c r="J6664" s="41" t="s">
        <v>941</v>
      </c>
      <c r="K6664" s="41" t="s">
        <v>116</v>
      </c>
    </row>
    <row r="6665" spans="1:11" x14ac:dyDescent="0.2">
      <c r="A6665" s="30">
        <v>734</v>
      </c>
      <c r="B6665" s="249" t="str">
        <f>IF(AND(A6665&lt;&gt;"",ISNUMBER(A6665)),VLOOKUP(A6665,Studies!A:BR,2,FALSE),"")</f>
        <v>Eller 1990</v>
      </c>
      <c r="C6665" s="250" t="str">
        <f>IF(AND(A6665&lt;&gt;"",ISNUMBER(A6665)),VLOOKUP(A6665,Studies!A:BR,3,FALSE),"")</f>
        <v>https://www.ncbi.nlm.nih.gov/pubmed/2322635</v>
      </c>
      <c r="D6665" s="250" t="str">
        <f>IF(AND(A6665&lt;&gt;"",ISNUMBER(A6665)),VLOOKUP(A6665,Studies!A:BR,4,FALSE),"")</f>
        <v>Treatment C (fasting IR)</v>
      </c>
      <c r="E6665" s="250" t="str">
        <f>IF(AND(A6665&lt;&gt;"",ISNUMBER(A6665)),VLOOKUP(A6665,Studies!A:BR,5,FALSE),"")</f>
        <v>Alprazolam</v>
      </c>
      <c r="F6665" s="251" t="str">
        <f>IF(AND(A6665&lt;&gt;"",ISNUMBER(A6665)),VLOOKUP(A6665,Studies!A:BR,6,FALSE),"")</f>
        <v>Plasma</v>
      </c>
      <c r="G6665" s="194">
        <v>0.33</v>
      </c>
      <c r="H6665" s="50" t="s">
        <v>60</v>
      </c>
      <c r="I6665" s="187">
        <v>3.653</v>
      </c>
      <c r="J6665" s="41" t="s">
        <v>941</v>
      </c>
      <c r="K6665" s="41" t="s">
        <v>116</v>
      </c>
    </row>
    <row r="6666" spans="1:11" x14ac:dyDescent="0.2">
      <c r="A6666" s="30">
        <v>734</v>
      </c>
      <c r="B6666" s="249" t="str">
        <f>IF(AND(A6666&lt;&gt;"",ISNUMBER(A6666)),VLOOKUP(A6666,Studies!A:BR,2,FALSE),"")</f>
        <v>Eller 1990</v>
      </c>
      <c r="C6666" s="250" t="str">
        <f>IF(AND(A6666&lt;&gt;"",ISNUMBER(A6666)),VLOOKUP(A6666,Studies!A:BR,3,FALSE),"")</f>
        <v>https://www.ncbi.nlm.nih.gov/pubmed/2322635</v>
      </c>
      <c r="D6666" s="250" t="str">
        <f>IF(AND(A6666&lt;&gt;"",ISNUMBER(A6666)),VLOOKUP(A6666,Studies!A:BR,4,FALSE),"")</f>
        <v>Treatment C (fasting IR)</v>
      </c>
      <c r="E6666" s="250" t="str">
        <f>IF(AND(A6666&lt;&gt;"",ISNUMBER(A6666)),VLOOKUP(A6666,Studies!A:BR,5,FALSE),"")</f>
        <v>Alprazolam</v>
      </c>
      <c r="F6666" s="251" t="str">
        <f>IF(AND(A6666&lt;&gt;"",ISNUMBER(A6666)),VLOOKUP(A6666,Studies!A:BR,6,FALSE),"")</f>
        <v>Plasma</v>
      </c>
      <c r="G6666" s="194">
        <v>0.67</v>
      </c>
      <c r="H6666" s="50" t="s">
        <v>60</v>
      </c>
      <c r="I6666" s="187">
        <v>10.432</v>
      </c>
      <c r="J6666" s="41" t="s">
        <v>941</v>
      </c>
      <c r="K6666" s="41" t="s">
        <v>116</v>
      </c>
    </row>
    <row r="6667" spans="1:11" x14ac:dyDescent="0.2">
      <c r="A6667" s="30">
        <v>734</v>
      </c>
      <c r="B6667" s="249" t="str">
        <f>IF(AND(A6667&lt;&gt;"",ISNUMBER(A6667)),VLOOKUP(A6667,Studies!A:BR,2,FALSE),"")</f>
        <v>Eller 1990</v>
      </c>
      <c r="C6667" s="250" t="str">
        <f>IF(AND(A6667&lt;&gt;"",ISNUMBER(A6667)),VLOOKUP(A6667,Studies!A:BR,3,FALSE),"")</f>
        <v>https://www.ncbi.nlm.nih.gov/pubmed/2322635</v>
      </c>
      <c r="D6667" s="250" t="str">
        <f>IF(AND(A6667&lt;&gt;"",ISNUMBER(A6667)),VLOOKUP(A6667,Studies!A:BR,4,FALSE),"")</f>
        <v>Treatment C (fasting IR)</v>
      </c>
      <c r="E6667" s="250" t="str">
        <f>IF(AND(A6667&lt;&gt;"",ISNUMBER(A6667)),VLOOKUP(A6667,Studies!A:BR,5,FALSE),"")</f>
        <v>Alprazolam</v>
      </c>
      <c r="F6667" s="251" t="str">
        <f>IF(AND(A6667&lt;&gt;"",ISNUMBER(A6667)),VLOOKUP(A6667,Studies!A:BR,6,FALSE),"")</f>
        <v>Plasma</v>
      </c>
      <c r="G6667" s="194">
        <v>1</v>
      </c>
      <c r="H6667" s="50" t="s">
        <v>60</v>
      </c>
      <c r="I6667" s="187">
        <v>11.946</v>
      </c>
      <c r="J6667" s="41" t="s">
        <v>941</v>
      </c>
      <c r="K6667" s="41" t="s">
        <v>116</v>
      </c>
    </row>
    <row r="6668" spans="1:11" x14ac:dyDescent="0.2">
      <c r="A6668" s="30">
        <v>734</v>
      </c>
      <c r="B6668" s="249" t="str">
        <f>IF(AND(A6668&lt;&gt;"",ISNUMBER(A6668)),VLOOKUP(A6668,Studies!A:BR,2,FALSE),"")</f>
        <v>Eller 1990</v>
      </c>
      <c r="C6668" s="250" t="str">
        <f>IF(AND(A6668&lt;&gt;"",ISNUMBER(A6668)),VLOOKUP(A6668,Studies!A:BR,3,FALSE),"")</f>
        <v>https://www.ncbi.nlm.nih.gov/pubmed/2322635</v>
      </c>
      <c r="D6668" s="250" t="str">
        <f>IF(AND(A6668&lt;&gt;"",ISNUMBER(A6668)),VLOOKUP(A6668,Studies!A:BR,4,FALSE),"")</f>
        <v>Treatment C (fasting IR)</v>
      </c>
      <c r="E6668" s="250" t="str">
        <f>IF(AND(A6668&lt;&gt;"",ISNUMBER(A6668)),VLOOKUP(A6668,Studies!A:BR,5,FALSE),"")</f>
        <v>Alprazolam</v>
      </c>
      <c r="F6668" s="251" t="str">
        <f>IF(AND(A6668&lt;&gt;"",ISNUMBER(A6668)),VLOOKUP(A6668,Studies!A:BR,6,FALSE),"")</f>
        <v>Plasma</v>
      </c>
      <c r="G6668" s="194">
        <v>1.5</v>
      </c>
      <c r="H6668" s="50" t="s">
        <v>60</v>
      </c>
      <c r="I6668" s="187">
        <v>12.9</v>
      </c>
      <c r="J6668" s="41" t="s">
        <v>941</v>
      </c>
      <c r="K6668" s="41" t="s">
        <v>116</v>
      </c>
    </row>
    <row r="6669" spans="1:11" x14ac:dyDescent="0.2">
      <c r="A6669" s="30">
        <v>734</v>
      </c>
      <c r="B6669" s="249" t="str">
        <f>IF(AND(A6669&lt;&gt;"",ISNUMBER(A6669)),VLOOKUP(A6669,Studies!A:BR,2,FALSE),"")</f>
        <v>Eller 1990</v>
      </c>
      <c r="C6669" s="250" t="str">
        <f>IF(AND(A6669&lt;&gt;"",ISNUMBER(A6669)),VLOOKUP(A6669,Studies!A:BR,3,FALSE),"")</f>
        <v>https://www.ncbi.nlm.nih.gov/pubmed/2322635</v>
      </c>
      <c r="D6669" s="250" t="str">
        <f>IF(AND(A6669&lt;&gt;"",ISNUMBER(A6669)),VLOOKUP(A6669,Studies!A:BR,4,FALSE),"")</f>
        <v>Treatment C (fasting IR)</v>
      </c>
      <c r="E6669" s="250" t="str">
        <f>IF(AND(A6669&lt;&gt;"",ISNUMBER(A6669)),VLOOKUP(A6669,Studies!A:BR,5,FALSE),"")</f>
        <v>Alprazolam</v>
      </c>
      <c r="F6669" s="251" t="str">
        <f>IF(AND(A6669&lt;&gt;"",ISNUMBER(A6669)),VLOOKUP(A6669,Studies!A:BR,6,FALSE),"")</f>
        <v>Plasma</v>
      </c>
      <c r="G6669" s="194">
        <v>2</v>
      </c>
      <c r="H6669" s="50" t="s">
        <v>60</v>
      </c>
      <c r="I6669" s="187">
        <v>12.768000000000001</v>
      </c>
      <c r="J6669" s="41" t="s">
        <v>941</v>
      </c>
      <c r="K6669" s="41" t="s">
        <v>116</v>
      </c>
    </row>
    <row r="6670" spans="1:11" x14ac:dyDescent="0.2">
      <c r="A6670" s="30">
        <v>734</v>
      </c>
      <c r="B6670" s="249" t="str">
        <f>IF(AND(A6670&lt;&gt;"",ISNUMBER(A6670)),VLOOKUP(A6670,Studies!A:BR,2,FALSE),"")</f>
        <v>Eller 1990</v>
      </c>
      <c r="C6670" s="250" t="str">
        <f>IF(AND(A6670&lt;&gt;"",ISNUMBER(A6670)),VLOOKUP(A6670,Studies!A:BR,3,FALSE),"")</f>
        <v>https://www.ncbi.nlm.nih.gov/pubmed/2322635</v>
      </c>
      <c r="D6670" s="250" t="str">
        <f>IF(AND(A6670&lt;&gt;"",ISNUMBER(A6670)),VLOOKUP(A6670,Studies!A:BR,4,FALSE),"")</f>
        <v>Treatment C (fasting IR)</v>
      </c>
      <c r="E6670" s="250" t="str">
        <f>IF(AND(A6670&lt;&gt;"",ISNUMBER(A6670)),VLOOKUP(A6670,Studies!A:BR,5,FALSE),"")</f>
        <v>Alprazolam</v>
      </c>
      <c r="F6670" s="251" t="str">
        <f>IF(AND(A6670&lt;&gt;"",ISNUMBER(A6670)),VLOOKUP(A6670,Studies!A:BR,6,FALSE),"")</f>
        <v>Plasma</v>
      </c>
      <c r="G6670" s="194">
        <v>3</v>
      </c>
      <c r="H6670" s="50" t="s">
        <v>60</v>
      </c>
      <c r="I6670" s="187">
        <v>12.141</v>
      </c>
      <c r="J6670" s="41" t="s">
        <v>941</v>
      </c>
      <c r="K6670" s="41" t="s">
        <v>116</v>
      </c>
    </row>
    <row r="6671" spans="1:11" x14ac:dyDescent="0.2">
      <c r="A6671" s="30">
        <v>734</v>
      </c>
      <c r="B6671" s="249" t="str">
        <f>IF(AND(A6671&lt;&gt;"",ISNUMBER(A6671)),VLOOKUP(A6671,Studies!A:BR,2,FALSE),"")</f>
        <v>Eller 1990</v>
      </c>
      <c r="C6671" s="250" t="str">
        <f>IF(AND(A6671&lt;&gt;"",ISNUMBER(A6671)),VLOOKUP(A6671,Studies!A:BR,3,FALSE),"")</f>
        <v>https://www.ncbi.nlm.nih.gov/pubmed/2322635</v>
      </c>
      <c r="D6671" s="250" t="str">
        <f>IF(AND(A6671&lt;&gt;"",ISNUMBER(A6671)),VLOOKUP(A6671,Studies!A:BR,4,FALSE),"")</f>
        <v>Treatment C (fasting IR)</v>
      </c>
      <c r="E6671" s="250" t="str">
        <f>IF(AND(A6671&lt;&gt;"",ISNUMBER(A6671)),VLOOKUP(A6671,Studies!A:BR,5,FALSE),"")</f>
        <v>Alprazolam</v>
      </c>
      <c r="F6671" s="251" t="str">
        <f>IF(AND(A6671&lt;&gt;"",ISNUMBER(A6671)),VLOOKUP(A6671,Studies!A:BR,6,FALSE),"")</f>
        <v>Plasma</v>
      </c>
      <c r="G6671" s="194">
        <v>4</v>
      </c>
      <c r="H6671" s="50" t="s">
        <v>60</v>
      </c>
      <c r="I6671" s="187">
        <v>11.382999999999999</v>
      </c>
      <c r="J6671" s="41" t="s">
        <v>941</v>
      </c>
      <c r="K6671" s="41" t="s">
        <v>116</v>
      </c>
    </row>
    <row r="6672" spans="1:11" x14ac:dyDescent="0.2">
      <c r="A6672" s="30">
        <v>734</v>
      </c>
      <c r="B6672" s="249" t="str">
        <f>IF(AND(A6672&lt;&gt;"",ISNUMBER(A6672)),VLOOKUP(A6672,Studies!A:BR,2,FALSE),"")</f>
        <v>Eller 1990</v>
      </c>
      <c r="C6672" s="250" t="str">
        <f>IF(AND(A6672&lt;&gt;"",ISNUMBER(A6672)),VLOOKUP(A6672,Studies!A:BR,3,FALSE),"")</f>
        <v>https://www.ncbi.nlm.nih.gov/pubmed/2322635</v>
      </c>
      <c r="D6672" s="250" t="str">
        <f>IF(AND(A6672&lt;&gt;"",ISNUMBER(A6672)),VLOOKUP(A6672,Studies!A:BR,4,FALSE),"")</f>
        <v>Treatment C (fasting IR)</v>
      </c>
      <c r="E6672" s="250" t="str">
        <f>IF(AND(A6672&lt;&gt;"",ISNUMBER(A6672)),VLOOKUP(A6672,Studies!A:BR,5,FALSE),"")</f>
        <v>Alprazolam</v>
      </c>
      <c r="F6672" s="251" t="str">
        <f>IF(AND(A6672&lt;&gt;"",ISNUMBER(A6672)),VLOOKUP(A6672,Studies!A:BR,6,FALSE),"")</f>
        <v>Plasma</v>
      </c>
      <c r="G6672" s="194">
        <v>6</v>
      </c>
      <c r="H6672" s="50" t="s">
        <v>60</v>
      </c>
      <c r="I6672" s="187">
        <v>9.1769999999999996</v>
      </c>
      <c r="J6672" s="41" t="s">
        <v>941</v>
      </c>
      <c r="K6672" s="41" t="s">
        <v>116</v>
      </c>
    </row>
    <row r="6673" spans="1:11" x14ac:dyDescent="0.2">
      <c r="A6673" s="30">
        <v>734</v>
      </c>
      <c r="B6673" s="249" t="str">
        <f>IF(AND(A6673&lt;&gt;"",ISNUMBER(A6673)),VLOOKUP(A6673,Studies!A:BR,2,FALSE),"")</f>
        <v>Eller 1990</v>
      </c>
      <c r="C6673" s="250" t="str">
        <f>IF(AND(A6673&lt;&gt;"",ISNUMBER(A6673)),VLOOKUP(A6673,Studies!A:BR,3,FALSE),"")</f>
        <v>https://www.ncbi.nlm.nih.gov/pubmed/2322635</v>
      </c>
      <c r="D6673" s="250" t="str">
        <f>IF(AND(A6673&lt;&gt;"",ISNUMBER(A6673)),VLOOKUP(A6673,Studies!A:BR,4,FALSE),"")</f>
        <v>Treatment C (fasting IR)</v>
      </c>
      <c r="E6673" s="250" t="str">
        <f>IF(AND(A6673&lt;&gt;"",ISNUMBER(A6673)),VLOOKUP(A6673,Studies!A:BR,5,FALSE),"")</f>
        <v>Alprazolam</v>
      </c>
      <c r="F6673" s="251" t="str">
        <f>IF(AND(A6673&lt;&gt;"",ISNUMBER(A6673)),VLOOKUP(A6673,Studies!A:BR,6,FALSE),"")</f>
        <v>Plasma</v>
      </c>
      <c r="G6673" s="194">
        <v>8</v>
      </c>
      <c r="H6673" s="50" t="s">
        <v>60</v>
      </c>
      <c r="I6673" s="187">
        <v>7.7919999999999998</v>
      </c>
      <c r="J6673" s="41" t="s">
        <v>941</v>
      </c>
      <c r="K6673" s="41" t="s">
        <v>116</v>
      </c>
    </row>
    <row r="6674" spans="1:11" x14ac:dyDescent="0.2">
      <c r="A6674" s="30">
        <v>734</v>
      </c>
      <c r="B6674" s="249" t="str">
        <f>IF(AND(A6674&lt;&gt;"",ISNUMBER(A6674)),VLOOKUP(A6674,Studies!A:BR,2,FALSE),"")</f>
        <v>Eller 1990</v>
      </c>
      <c r="C6674" s="250" t="str">
        <f>IF(AND(A6674&lt;&gt;"",ISNUMBER(A6674)),VLOOKUP(A6674,Studies!A:BR,3,FALSE),"")</f>
        <v>https://www.ncbi.nlm.nih.gov/pubmed/2322635</v>
      </c>
      <c r="D6674" s="250" t="str">
        <f>IF(AND(A6674&lt;&gt;"",ISNUMBER(A6674)),VLOOKUP(A6674,Studies!A:BR,4,FALSE),"")</f>
        <v>Treatment C (fasting IR)</v>
      </c>
      <c r="E6674" s="250" t="str">
        <f>IF(AND(A6674&lt;&gt;"",ISNUMBER(A6674)),VLOOKUP(A6674,Studies!A:BR,5,FALSE),"")</f>
        <v>Alprazolam</v>
      </c>
      <c r="F6674" s="251" t="str">
        <f>IF(AND(A6674&lt;&gt;"",ISNUMBER(A6674)),VLOOKUP(A6674,Studies!A:BR,6,FALSE),"")</f>
        <v>Plasma</v>
      </c>
      <c r="G6674" s="194">
        <v>12</v>
      </c>
      <c r="H6674" s="50" t="s">
        <v>60</v>
      </c>
      <c r="I6674" s="187">
        <v>5.9790000000000001</v>
      </c>
      <c r="J6674" s="41" t="s">
        <v>941</v>
      </c>
      <c r="K6674" s="41" t="s">
        <v>116</v>
      </c>
    </row>
    <row r="6675" spans="1:11" x14ac:dyDescent="0.2">
      <c r="A6675" s="30">
        <v>734</v>
      </c>
      <c r="B6675" s="249" t="str">
        <f>IF(AND(A6675&lt;&gt;"",ISNUMBER(A6675)),VLOOKUP(A6675,Studies!A:BR,2,FALSE),"")</f>
        <v>Eller 1990</v>
      </c>
      <c r="C6675" s="250" t="str">
        <f>IF(AND(A6675&lt;&gt;"",ISNUMBER(A6675)),VLOOKUP(A6675,Studies!A:BR,3,FALSE),"")</f>
        <v>https://www.ncbi.nlm.nih.gov/pubmed/2322635</v>
      </c>
      <c r="D6675" s="250" t="str">
        <f>IF(AND(A6675&lt;&gt;"",ISNUMBER(A6675)),VLOOKUP(A6675,Studies!A:BR,4,FALSE),"")</f>
        <v>Treatment C (fasting IR)</v>
      </c>
      <c r="E6675" s="250" t="str">
        <f>IF(AND(A6675&lt;&gt;"",ISNUMBER(A6675)),VLOOKUP(A6675,Studies!A:BR,5,FALSE),"")</f>
        <v>Alprazolam</v>
      </c>
      <c r="F6675" s="251" t="str">
        <f>IF(AND(A6675&lt;&gt;"",ISNUMBER(A6675)),VLOOKUP(A6675,Studies!A:BR,6,FALSE),"")</f>
        <v>Plasma</v>
      </c>
      <c r="G6675" s="194">
        <v>16</v>
      </c>
      <c r="H6675" s="50" t="s">
        <v>60</v>
      </c>
      <c r="I6675" s="187">
        <v>4.7240000000000002</v>
      </c>
      <c r="J6675" s="41" t="s">
        <v>941</v>
      </c>
      <c r="K6675" s="41" t="s">
        <v>116</v>
      </c>
    </row>
    <row r="6676" spans="1:11" x14ac:dyDescent="0.2">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20</v>
      </c>
      <c r="H6676" s="50" t="s">
        <v>60</v>
      </c>
      <c r="I6676" s="187">
        <v>3.8319999999999999</v>
      </c>
      <c r="J6676" s="41" t="s">
        <v>941</v>
      </c>
      <c r="K6676" s="41" t="s">
        <v>116</v>
      </c>
    </row>
    <row r="6677" spans="1:11" x14ac:dyDescent="0.2">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24</v>
      </c>
      <c r="H6677" s="50" t="s">
        <v>60</v>
      </c>
      <c r="I6677" s="187">
        <v>3.1040000000000001</v>
      </c>
      <c r="J6677" s="41" t="s">
        <v>941</v>
      </c>
      <c r="K6677" s="41" t="s">
        <v>116</v>
      </c>
    </row>
    <row r="6678" spans="1:11" x14ac:dyDescent="0.2">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30</v>
      </c>
      <c r="H6678" s="50" t="s">
        <v>60</v>
      </c>
      <c r="I6678" s="187">
        <v>2.2429999999999999</v>
      </c>
      <c r="J6678" s="41" t="s">
        <v>941</v>
      </c>
      <c r="K6678" s="41" t="s">
        <v>116</v>
      </c>
    </row>
    <row r="6679" spans="1:11" x14ac:dyDescent="0.2">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36</v>
      </c>
      <c r="H6679" s="50" t="s">
        <v>60</v>
      </c>
      <c r="I6679" s="187">
        <v>1.645</v>
      </c>
      <c r="J6679" s="41" t="s">
        <v>941</v>
      </c>
      <c r="K6679" s="41" t="s">
        <v>116</v>
      </c>
    </row>
    <row r="6680" spans="1:11" x14ac:dyDescent="0.2">
      <c r="A6680" s="30">
        <v>735</v>
      </c>
      <c r="B6680" s="249" t="str">
        <f>IF(AND(A6680&lt;&gt;"",ISNUMBER(A6680)),VLOOKUP(A6680,Studies!A:BR,2,FALSE),"")</f>
        <v>Fleishaker 1989</v>
      </c>
      <c r="C6680" s="250" t="str">
        <f>IF(AND(A6680&lt;&gt;"",ISNUMBER(A6680)),VLOOKUP(A6680,Studies!A:BR,3,FALSE),"")</f>
        <v>https://www.ncbi.nlm.nih.gov/pubmed/2754023</v>
      </c>
      <c r="D6680" s="250" t="str">
        <f>IF(AND(A6680&lt;&gt;"",ISNUMBER(A6680)),VLOOKUP(A6680,Studies!A:BR,4,FALSE),"")</f>
        <v>Treatment A (IV administration)</v>
      </c>
      <c r="E6680" s="250" t="str">
        <f>IF(AND(A6680&lt;&gt;"",ISNUMBER(A6680)),VLOOKUP(A6680,Studies!A:BR,5,FALSE),"")</f>
        <v>Alprazolam</v>
      </c>
      <c r="F6680" s="251" t="str">
        <f>IF(AND(A6680&lt;&gt;"",ISNUMBER(A6680)),VLOOKUP(A6680,Studies!A:BR,6,FALSE),"")</f>
        <v>Plasma</v>
      </c>
      <c r="G6680" s="194">
        <v>0.1056327</v>
      </c>
      <c r="H6680" s="50" t="s">
        <v>60</v>
      </c>
      <c r="I6680" s="187">
        <v>16.580120000000001</v>
      </c>
      <c r="J6680" s="41" t="s">
        <v>941</v>
      </c>
      <c r="K6680" s="41" t="s">
        <v>116</v>
      </c>
    </row>
    <row r="6681" spans="1:11" x14ac:dyDescent="0.2">
      <c r="A6681" s="30">
        <v>735</v>
      </c>
      <c r="B6681" s="249" t="str">
        <f>IF(AND(A6681&lt;&gt;"",ISNUMBER(A6681)),VLOOKUP(A6681,Studies!A:BR,2,FALSE),"")</f>
        <v>Fleishaker 1989</v>
      </c>
      <c r="C6681" s="250" t="str">
        <f>IF(AND(A6681&lt;&gt;"",ISNUMBER(A6681)),VLOOKUP(A6681,Studies!A:BR,3,FALSE),"")</f>
        <v>https://www.ncbi.nlm.nih.gov/pubmed/2754023</v>
      </c>
      <c r="D6681" s="250" t="str">
        <f>IF(AND(A6681&lt;&gt;"",ISNUMBER(A6681)),VLOOKUP(A6681,Studies!A:BR,4,FALSE),"")</f>
        <v>Treatment A (IV administration)</v>
      </c>
      <c r="E6681" s="250" t="str">
        <f>IF(AND(A6681&lt;&gt;"",ISNUMBER(A6681)),VLOOKUP(A6681,Studies!A:BR,5,FALSE),"")</f>
        <v>Alprazolam</v>
      </c>
      <c r="F6681" s="251" t="str">
        <f>IF(AND(A6681&lt;&gt;"",ISNUMBER(A6681)),VLOOKUP(A6681,Studies!A:BR,6,FALSE),"")</f>
        <v>Plasma</v>
      </c>
      <c r="G6681" s="194">
        <v>0.5</v>
      </c>
      <c r="H6681" s="50" t="s">
        <v>60</v>
      </c>
      <c r="I6681" s="187">
        <v>16.24607</v>
      </c>
      <c r="J6681" s="41" t="s">
        <v>941</v>
      </c>
      <c r="K6681" s="41" t="s">
        <v>116</v>
      </c>
    </row>
    <row r="6682" spans="1:11" x14ac:dyDescent="0.2">
      <c r="A6682" s="30">
        <v>735</v>
      </c>
      <c r="B6682" s="249" t="str">
        <f>IF(AND(A6682&lt;&gt;"",ISNUMBER(A6682)),VLOOKUP(A6682,Studies!A:BR,2,FALSE),"")</f>
        <v>Fleishaker 1989</v>
      </c>
      <c r="C6682" s="250" t="str">
        <f>IF(AND(A6682&lt;&gt;"",ISNUMBER(A6682)),VLOOKUP(A6682,Studies!A:BR,3,FALSE),"")</f>
        <v>https://www.ncbi.nlm.nih.gov/pubmed/2754023</v>
      </c>
      <c r="D6682" s="250" t="str">
        <f>IF(AND(A6682&lt;&gt;"",ISNUMBER(A6682)),VLOOKUP(A6682,Studies!A:BR,4,FALSE),"")</f>
        <v>Treatment A (IV administration)</v>
      </c>
      <c r="E6682" s="250" t="str">
        <f>IF(AND(A6682&lt;&gt;"",ISNUMBER(A6682)),VLOOKUP(A6682,Studies!A:BR,5,FALSE),"")</f>
        <v>Alprazolam</v>
      </c>
      <c r="F6682" s="251" t="str">
        <f>IF(AND(A6682&lt;&gt;"",ISNUMBER(A6682)),VLOOKUP(A6682,Studies!A:BR,6,FALSE),"")</f>
        <v>Plasma</v>
      </c>
      <c r="G6682" s="194">
        <v>1</v>
      </c>
      <c r="H6682" s="50" t="s">
        <v>60</v>
      </c>
      <c r="I6682" s="187">
        <v>15.30813</v>
      </c>
      <c r="J6682" s="41" t="s">
        <v>941</v>
      </c>
      <c r="K6682" s="41" t="s">
        <v>116</v>
      </c>
    </row>
    <row r="6683" spans="1:11" x14ac:dyDescent="0.2">
      <c r="A6683" s="30">
        <v>735</v>
      </c>
      <c r="B6683" s="249" t="str">
        <f>IF(AND(A6683&lt;&gt;"",ISNUMBER(A6683)),VLOOKUP(A6683,Studies!A:BR,2,FALSE),"")</f>
        <v>Fleishaker 1989</v>
      </c>
      <c r="C6683" s="250" t="str">
        <f>IF(AND(A6683&lt;&gt;"",ISNUMBER(A6683)),VLOOKUP(A6683,Studies!A:BR,3,FALSE),"")</f>
        <v>https://www.ncbi.nlm.nih.gov/pubmed/2754023</v>
      </c>
      <c r="D6683" s="250" t="str">
        <f>IF(AND(A6683&lt;&gt;"",ISNUMBER(A6683)),VLOOKUP(A6683,Studies!A:BR,4,FALSE),"")</f>
        <v>Treatment A (IV administration)</v>
      </c>
      <c r="E6683" s="250" t="str">
        <f>IF(AND(A6683&lt;&gt;"",ISNUMBER(A6683)),VLOOKUP(A6683,Studies!A:BR,5,FALSE),"")</f>
        <v>Alprazolam</v>
      </c>
      <c r="F6683" s="251" t="str">
        <f>IF(AND(A6683&lt;&gt;"",ISNUMBER(A6683)),VLOOKUP(A6683,Studies!A:BR,6,FALSE),"")</f>
        <v>Plasma</v>
      </c>
      <c r="G6683" s="194">
        <v>1.5</v>
      </c>
      <c r="H6683" s="50" t="s">
        <v>60</v>
      </c>
      <c r="I6683" s="187">
        <v>14.43717</v>
      </c>
      <c r="J6683" s="41" t="s">
        <v>941</v>
      </c>
      <c r="K6683" s="41" t="s">
        <v>116</v>
      </c>
    </row>
    <row r="6684" spans="1:11" x14ac:dyDescent="0.2">
      <c r="A6684" s="30">
        <v>735</v>
      </c>
      <c r="B6684" s="249" t="str">
        <f>IF(AND(A6684&lt;&gt;"",ISNUMBER(A6684)),VLOOKUP(A6684,Studies!A:BR,2,FALSE),"")</f>
        <v>Fleishaker 1989</v>
      </c>
      <c r="C6684" s="250" t="str">
        <f>IF(AND(A6684&lt;&gt;"",ISNUMBER(A6684)),VLOOKUP(A6684,Studies!A:BR,3,FALSE),"")</f>
        <v>https://www.ncbi.nlm.nih.gov/pubmed/2754023</v>
      </c>
      <c r="D6684" s="250" t="str">
        <f>IF(AND(A6684&lt;&gt;"",ISNUMBER(A6684)),VLOOKUP(A6684,Studies!A:BR,4,FALSE),"")</f>
        <v>Treatment A (IV administration)</v>
      </c>
      <c r="E6684" s="250" t="str">
        <f>IF(AND(A6684&lt;&gt;"",ISNUMBER(A6684)),VLOOKUP(A6684,Studies!A:BR,5,FALSE),"")</f>
        <v>Alprazolam</v>
      </c>
      <c r="F6684" s="251" t="str">
        <f>IF(AND(A6684&lt;&gt;"",ISNUMBER(A6684)),VLOOKUP(A6684,Studies!A:BR,6,FALSE),"")</f>
        <v>Plasma</v>
      </c>
      <c r="G6684" s="194">
        <v>2</v>
      </c>
      <c r="H6684" s="50" t="s">
        <v>60</v>
      </c>
      <c r="I6684" s="187">
        <v>13.634209999999999</v>
      </c>
      <c r="J6684" s="41" t="s">
        <v>941</v>
      </c>
      <c r="K6684" s="41" t="s">
        <v>116</v>
      </c>
    </row>
    <row r="6685" spans="1:11" x14ac:dyDescent="0.2">
      <c r="A6685" s="30">
        <v>735</v>
      </c>
      <c r="B6685" s="249" t="str">
        <f>IF(AND(A6685&lt;&gt;"",ISNUMBER(A6685)),VLOOKUP(A6685,Studies!A:BR,2,FALSE),"")</f>
        <v>Fleishaker 1989</v>
      </c>
      <c r="C6685" s="250" t="str">
        <f>IF(AND(A6685&lt;&gt;"",ISNUMBER(A6685)),VLOOKUP(A6685,Studies!A:BR,3,FALSE),"")</f>
        <v>https://www.ncbi.nlm.nih.gov/pubmed/2754023</v>
      </c>
      <c r="D6685" s="250" t="str">
        <f>IF(AND(A6685&lt;&gt;"",ISNUMBER(A6685)),VLOOKUP(A6685,Studies!A:BR,4,FALSE),"")</f>
        <v>Treatment A (IV administration)</v>
      </c>
      <c r="E6685" s="250" t="str">
        <f>IF(AND(A6685&lt;&gt;"",ISNUMBER(A6685)),VLOOKUP(A6685,Studies!A:BR,5,FALSE),"")</f>
        <v>Alprazolam</v>
      </c>
      <c r="F6685" s="251" t="str">
        <f>IF(AND(A6685&lt;&gt;"",ISNUMBER(A6685)),VLOOKUP(A6685,Studies!A:BR,6,FALSE),"")</f>
        <v>Plasma</v>
      </c>
      <c r="G6685" s="194">
        <v>3</v>
      </c>
      <c r="H6685" s="50" t="s">
        <v>60</v>
      </c>
      <c r="I6685" s="187">
        <v>13.436680000000001</v>
      </c>
      <c r="J6685" s="41" t="s">
        <v>941</v>
      </c>
      <c r="K6685" s="41" t="s">
        <v>116</v>
      </c>
    </row>
    <row r="6686" spans="1:11" x14ac:dyDescent="0.2">
      <c r="A6686" s="30">
        <v>735</v>
      </c>
      <c r="B6686" s="249" t="str">
        <f>IF(AND(A6686&lt;&gt;"",ISNUMBER(A6686)),VLOOKUP(A6686,Studies!A:BR,2,FALSE),"")</f>
        <v>Fleishaker 1989</v>
      </c>
      <c r="C6686" s="250" t="str">
        <f>IF(AND(A6686&lt;&gt;"",ISNUMBER(A6686)),VLOOKUP(A6686,Studies!A:BR,3,FALSE),"")</f>
        <v>https://www.ncbi.nlm.nih.gov/pubmed/2754023</v>
      </c>
      <c r="D6686" s="250" t="str">
        <f>IF(AND(A6686&lt;&gt;"",ISNUMBER(A6686)),VLOOKUP(A6686,Studies!A:BR,4,FALSE),"")</f>
        <v>Treatment A (IV administration)</v>
      </c>
      <c r="E6686" s="250" t="str">
        <f>IF(AND(A6686&lt;&gt;"",ISNUMBER(A6686)),VLOOKUP(A6686,Studies!A:BR,5,FALSE),"")</f>
        <v>Alprazolam</v>
      </c>
      <c r="F6686" s="251" t="str">
        <f>IF(AND(A6686&lt;&gt;"",ISNUMBER(A6686)),VLOOKUP(A6686,Studies!A:BR,6,FALSE),"")</f>
        <v>Plasma</v>
      </c>
      <c r="G6686" s="194">
        <v>4</v>
      </c>
      <c r="H6686" s="50" t="s">
        <v>60</v>
      </c>
      <c r="I6686" s="187">
        <v>12.70185</v>
      </c>
      <c r="J6686" s="41" t="s">
        <v>941</v>
      </c>
      <c r="K6686" s="41" t="s">
        <v>116</v>
      </c>
    </row>
    <row r="6687" spans="1:11" x14ac:dyDescent="0.2">
      <c r="A6687" s="30">
        <v>735</v>
      </c>
      <c r="B6687" s="249" t="str">
        <f>IF(AND(A6687&lt;&gt;"",ISNUMBER(A6687)),VLOOKUP(A6687,Studies!A:BR,2,FALSE),"")</f>
        <v>Fleishaker 1989</v>
      </c>
      <c r="C6687" s="250" t="str">
        <f>IF(AND(A6687&lt;&gt;"",ISNUMBER(A6687)),VLOOKUP(A6687,Studies!A:BR,3,FALSE),"")</f>
        <v>https://www.ncbi.nlm.nih.gov/pubmed/2754023</v>
      </c>
      <c r="D6687" s="250" t="str">
        <f>IF(AND(A6687&lt;&gt;"",ISNUMBER(A6687)),VLOOKUP(A6687,Studies!A:BR,4,FALSE),"")</f>
        <v>Treatment A (IV administration)</v>
      </c>
      <c r="E6687" s="250" t="str">
        <f>IF(AND(A6687&lt;&gt;"",ISNUMBER(A6687)),VLOOKUP(A6687,Studies!A:BR,5,FALSE),"")</f>
        <v>Alprazolam</v>
      </c>
      <c r="F6687" s="251" t="str">
        <f>IF(AND(A6687&lt;&gt;"",ISNUMBER(A6687)),VLOOKUP(A6687,Studies!A:BR,6,FALSE),"")</f>
        <v>Plasma</v>
      </c>
      <c r="G6687" s="194">
        <v>6</v>
      </c>
      <c r="H6687" s="50" t="s">
        <v>60</v>
      </c>
      <c r="I6687" s="187">
        <v>10.69604</v>
      </c>
      <c r="J6687" s="41" t="s">
        <v>941</v>
      </c>
      <c r="K6687" s="41" t="s">
        <v>116</v>
      </c>
    </row>
    <row r="6688" spans="1:11" x14ac:dyDescent="0.2">
      <c r="A6688" s="30">
        <v>735</v>
      </c>
      <c r="B6688" s="249" t="str">
        <f>IF(AND(A6688&lt;&gt;"",ISNUMBER(A6688)),VLOOKUP(A6688,Studies!A:BR,2,FALSE),"")</f>
        <v>Fleishaker 1989</v>
      </c>
      <c r="C6688" s="250" t="str">
        <f>IF(AND(A6688&lt;&gt;"",ISNUMBER(A6688)),VLOOKUP(A6688,Studies!A:BR,3,FALSE),"")</f>
        <v>https://www.ncbi.nlm.nih.gov/pubmed/2754023</v>
      </c>
      <c r="D6688" s="250" t="str">
        <f>IF(AND(A6688&lt;&gt;"",ISNUMBER(A6688)),VLOOKUP(A6688,Studies!A:BR,4,FALSE),"")</f>
        <v>Treatment A (IV administration)</v>
      </c>
      <c r="E6688" s="250" t="str">
        <f>IF(AND(A6688&lt;&gt;"",ISNUMBER(A6688)),VLOOKUP(A6688,Studies!A:BR,5,FALSE),"")</f>
        <v>Alprazolam</v>
      </c>
      <c r="F6688" s="251" t="str">
        <f>IF(AND(A6688&lt;&gt;"",ISNUMBER(A6688)),VLOOKUP(A6688,Studies!A:BR,6,FALSE),"")</f>
        <v>Plasma</v>
      </c>
      <c r="G6688" s="194">
        <v>8</v>
      </c>
      <c r="H6688" s="50" t="s">
        <v>60</v>
      </c>
      <c r="I6688" s="187">
        <v>9.2942610000000005</v>
      </c>
      <c r="J6688" s="41" t="s">
        <v>941</v>
      </c>
      <c r="K6688" s="41" t="s">
        <v>116</v>
      </c>
    </row>
    <row r="6689" spans="1:11" x14ac:dyDescent="0.2">
      <c r="A6689" s="30">
        <v>735</v>
      </c>
      <c r="B6689" s="249" t="str">
        <f>IF(AND(A6689&lt;&gt;"",ISNUMBER(A6689)),VLOOKUP(A6689,Studies!A:BR,2,FALSE),"")</f>
        <v>Fleishaker 1989</v>
      </c>
      <c r="C6689" s="250" t="str">
        <f>IF(AND(A6689&lt;&gt;"",ISNUMBER(A6689)),VLOOKUP(A6689,Studies!A:BR,3,FALSE),"")</f>
        <v>https://www.ncbi.nlm.nih.gov/pubmed/2754023</v>
      </c>
      <c r="D6689" s="250" t="str">
        <f>IF(AND(A6689&lt;&gt;"",ISNUMBER(A6689)),VLOOKUP(A6689,Studies!A:BR,4,FALSE),"")</f>
        <v>Treatment A (IV administration)</v>
      </c>
      <c r="E6689" s="250" t="str">
        <f>IF(AND(A6689&lt;&gt;"",ISNUMBER(A6689)),VLOOKUP(A6689,Studies!A:BR,5,FALSE),"")</f>
        <v>Alprazolam</v>
      </c>
      <c r="F6689" s="251" t="str">
        <f>IF(AND(A6689&lt;&gt;"",ISNUMBER(A6689)),VLOOKUP(A6689,Studies!A:BR,6,FALSE),"")</f>
        <v>Plasma</v>
      </c>
      <c r="G6689" s="194">
        <v>12</v>
      </c>
      <c r="H6689" s="50" t="s">
        <v>60</v>
      </c>
      <c r="I6689" s="187">
        <v>7.0270989999999998</v>
      </c>
      <c r="J6689" s="41" t="s">
        <v>941</v>
      </c>
      <c r="K6689" s="41" t="s">
        <v>116</v>
      </c>
    </row>
    <row r="6690" spans="1:11" x14ac:dyDescent="0.2">
      <c r="A6690" s="30">
        <v>735</v>
      </c>
      <c r="B6690" s="249" t="str">
        <f>IF(AND(A6690&lt;&gt;"",ISNUMBER(A6690)),VLOOKUP(A6690,Studies!A:BR,2,FALSE),"")</f>
        <v>Fleishaker 1989</v>
      </c>
      <c r="C6690" s="250" t="str">
        <f>IF(AND(A6690&lt;&gt;"",ISNUMBER(A6690)),VLOOKUP(A6690,Studies!A:BR,3,FALSE),"")</f>
        <v>https://www.ncbi.nlm.nih.gov/pubmed/2754023</v>
      </c>
      <c r="D6690" s="250" t="str">
        <f>IF(AND(A6690&lt;&gt;"",ISNUMBER(A6690)),VLOOKUP(A6690,Studies!A:BR,4,FALSE),"")</f>
        <v>Treatment A (IV administration)</v>
      </c>
      <c r="E6690" s="250" t="str">
        <f>IF(AND(A6690&lt;&gt;"",ISNUMBER(A6690)),VLOOKUP(A6690,Studies!A:BR,5,FALSE),"")</f>
        <v>Alprazolam</v>
      </c>
      <c r="F6690" s="251" t="str">
        <f>IF(AND(A6690&lt;&gt;"",ISNUMBER(A6690)),VLOOKUP(A6690,Studies!A:BR,6,FALSE),"")</f>
        <v>Plasma</v>
      </c>
      <c r="G6690" s="194">
        <v>16</v>
      </c>
      <c r="H6690" s="50" t="s">
        <v>60</v>
      </c>
      <c r="I6690" s="187">
        <v>5.834009</v>
      </c>
      <c r="J6690" s="41" t="s">
        <v>941</v>
      </c>
      <c r="K6690" s="41" t="s">
        <v>116</v>
      </c>
    </row>
    <row r="6691" spans="1:11" x14ac:dyDescent="0.2">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24</v>
      </c>
      <c r="H6691" s="50" t="s">
        <v>60</v>
      </c>
      <c r="I6691" s="187">
        <v>4.3875479999999998</v>
      </c>
      <c r="J6691" s="41" t="s">
        <v>941</v>
      </c>
      <c r="K6691" s="41" t="s">
        <v>116</v>
      </c>
    </row>
    <row r="6692" spans="1:11" x14ac:dyDescent="0.2">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36</v>
      </c>
      <c r="H6692" s="50" t="s">
        <v>60</v>
      </c>
      <c r="I6692" s="187">
        <v>2.8886759999999998</v>
      </c>
      <c r="J6692" s="41" t="s">
        <v>941</v>
      </c>
      <c r="K6692" s="41" t="s">
        <v>116</v>
      </c>
    </row>
    <row r="6693" spans="1:11" x14ac:dyDescent="0.2">
      <c r="A6693" s="30">
        <v>736</v>
      </c>
      <c r="B6693" s="249" t="str">
        <f>IF(AND(A6693&lt;&gt;"",ISNUMBER(A6693)),VLOOKUP(A6693,Studies!A:BR,2,FALSE),"")</f>
        <v>Friedman 1991</v>
      </c>
      <c r="C6693" s="250" t="str">
        <f>IF(AND(A6693&lt;&gt;"",ISNUMBER(A6693)),VLOOKUP(A6693,Studies!A:BR,3,FALSE),"")</f>
        <v>https://www.ncbi.nlm.nih.gov/pubmed/1881994</v>
      </c>
      <c r="D6693" s="250" t="str">
        <f>IF(AND(A6693&lt;&gt;"",ISNUMBER(A6693)),VLOOKUP(A6693,Studies!A:BR,4,FALSE),"")</f>
        <v>Alprazolam group</v>
      </c>
      <c r="E6693" s="250" t="str">
        <f>IF(AND(A6693&lt;&gt;"",ISNUMBER(A6693)),VLOOKUP(A6693,Studies!A:BR,5,FALSE),"")</f>
        <v>Alprazolam</v>
      </c>
      <c r="F6693" s="251" t="str">
        <f>IF(AND(A6693&lt;&gt;"",ISNUMBER(A6693)),VLOOKUP(A6693,Studies!A:BR,6,FALSE),"")</f>
        <v>Plasma</v>
      </c>
      <c r="G6693" s="194">
        <v>3.2899999999999999E-2</v>
      </c>
      <c r="H6693" s="50" t="s">
        <v>60</v>
      </c>
      <c r="I6693" s="187">
        <v>3.3020999999999998</v>
      </c>
      <c r="J6693" s="41" t="s">
        <v>941</v>
      </c>
      <c r="K6693" s="41" t="s">
        <v>116</v>
      </c>
    </row>
    <row r="6694" spans="1:11" x14ac:dyDescent="0.2">
      <c r="A6694" s="30">
        <v>736</v>
      </c>
      <c r="B6694" s="249" t="str">
        <f>IF(AND(A6694&lt;&gt;"",ISNUMBER(A6694)),VLOOKUP(A6694,Studies!A:BR,2,FALSE),"")</f>
        <v>Friedman 1991</v>
      </c>
      <c r="C6694" s="250" t="str">
        <f>IF(AND(A6694&lt;&gt;"",ISNUMBER(A6694)),VLOOKUP(A6694,Studies!A:BR,3,FALSE),"")</f>
        <v>https://www.ncbi.nlm.nih.gov/pubmed/1881994</v>
      </c>
      <c r="D6694" s="250" t="str">
        <f>IF(AND(A6694&lt;&gt;"",ISNUMBER(A6694)),VLOOKUP(A6694,Studies!A:BR,4,FALSE),"")</f>
        <v>Alprazolam group</v>
      </c>
      <c r="E6694" s="250" t="str">
        <f>IF(AND(A6694&lt;&gt;"",ISNUMBER(A6694)),VLOOKUP(A6694,Studies!A:BR,5,FALSE),"")</f>
        <v>Alprazolam</v>
      </c>
      <c r="F6694" s="251" t="str">
        <f>IF(AND(A6694&lt;&gt;"",ISNUMBER(A6694)),VLOOKUP(A6694,Studies!A:BR,6,FALSE),"")</f>
        <v>Plasma</v>
      </c>
      <c r="G6694" s="194">
        <v>0.40210000000000001</v>
      </c>
      <c r="H6694" s="50" t="s">
        <v>60</v>
      </c>
      <c r="I6694" s="187">
        <v>10.9039</v>
      </c>
      <c r="J6694" s="41" t="s">
        <v>941</v>
      </c>
      <c r="K6694" s="41" t="s">
        <v>116</v>
      </c>
    </row>
    <row r="6695" spans="1:11" x14ac:dyDescent="0.2">
      <c r="A6695" s="30">
        <v>736</v>
      </c>
      <c r="B6695" s="249" t="str">
        <f>IF(AND(A6695&lt;&gt;"",ISNUMBER(A6695)),VLOOKUP(A6695,Studies!A:BR,2,FALSE),"")</f>
        <v>Friedman 1991</v>
      </c>
      <c r="C6695" s="250" t="str">
        <f>IF(AND(A6695&lt;&gt;"",ISNUMBER(A6695)),VLOOKUP(A6695,Studies!A:BR,3,FALSE),"")</f>
        <v>https://www.ncbi.nlm.nih.gov/pubmed/1881994</v>
      </c>
      <c r="D6695" s="250" t="str">
        <f>IF(AND(A6695&lt;&gt;"",ISNUMBER(A6695)),VLOOKUP(A6695,Studies!A:BR,4,FALSE),"")</f>
        <v>Alprazolam group</v>
      </c>
      <c r="E6695" s="250" t="str">
        <f>IF(AND(A6695&lt;&gt;"",ISNUMBER(A6695)),VLOOKUP(A6695,Studies!A:BR,5,FALSE),"")</f>
        <v>Alprazolam</v>
      </c>
      <c r="F6695" s="251" t="str">
        <f>IF(AND(A6695&lt;&gt;"",ISNUMBER(A6695)),VLOOKUP(A6695,Studies!A:BR,6,FALSE),"")</f>
        <v>Plasma</v>
      </c>
      <c r="G6695" s="194">
        <v>0.81630000000000003</v>
      </c>
      <c r="H6695" s="50" t="s">
        <v>60</v>
      </c>
      <c r="I6695" s="187">
        <v>16.750299999999999</v>
      </c>
      <c r="J6695" s="41" t="s">
        <v>941</v>
      </c>
      <c r="K6695" s="41" t="s">
        <v>116</v>
      </c>
    </row>
    <row r="6696" spans="1:11" x14ac:dyDescent="0.2">
      <c r="A6696" s="30">
        <v>736</v>
      </c>
      <c r="B6696" s="249" t="str">
        <f>IF(AND(A6696&lt;&gt;"",ISNUMBER(A6696)),VLOOKUP(A6696,Studies!A:BR,2,FALSE),"")</f>
        <v>Friedman 1991</v>
      </c>
      <c r="C6696" s="250" t="str">
        <f>IF(AND(A6696&lt;&gt;"",ISNUMBER(A6696)),VLOOKUP(A6696,Studies!A:BR,3,FALSE),"")</f>
        <v>https://www.ncbi.nlm.nih.gov/pubmed/1881994</v>
      </c>
      <c r="D6696" s="250" t="str">
        <f>IF(AND(A6696&lt;&gt;"",ISNUMBER(A6696)),VLOOKUP(A6696,Studies!A:BR,4,FALSE),"")</f>
        <v>Alprazolam group</v>
      </c>
      <c r="E6696" s="250" t="str">
        <f>IF(AND(A6696&lt;&gt;"",ISNUMBER(A6696)),VLOOKUP(A6696,Studies!A:BR,5,FALSE),"")</f>
        <v>Alprazolam</v>
      </c>
      <c r="F6696" s="251" t="str">
        <f>IF(AND(A6696&lt;&gt;"",ISNUMBER(A6696)),VLOOKUP(A6696,Studies!A:BR,6,FALSE),"")</f>
        <v>Plasma</v>
      </c>
      <c r="G6696" s="194">
        <v>1.4216</v>
      </c>
      <c r="H6696" s="50" t="s">
        <v>60</v>
      </c>
      <c r="I6696" s="187">
        <v>19.8142</v>
      </c>
      <c r="J6696" s="41" t="s">
        <v>941</v>
      </c>
      <c r="K6696" s="41" t="s">
        <v>116</v>
      </c>
    </row>
    <row r="6697" spans="1:11" x14ac:dyDescent="0.2">
      <c r="A6697" s="30">
        <v>736</v>
      </c>
      <c r="B6697" s="249" t="str">
        <f>IF(AND(A6697&lt;&gt;"",ISNUMBER(A6697)),VLOOKUP(A6697,Studies!A:BR,2,FALSE),"")</f>
        <v>Friedman 1991</v>
      </c>
      <c r="C6697" s="250" t="str">
        <f>IF(AND(A6697&lt;&gt;"",ISNUMBER(A6697)),VLOOKUP(A6697,Studies!A:BR,3,FALSE),"")</f>
        <v>https://www.ncbi.nlm.nih.gov/pubmed/1881994</v>
      </c>
      <c r="D6697" s="250" t="str">
        <f>IF(AND(A6697&lt;&gt;"",ISNUMBER(A6697)),VLOOKUP(A6697,Studies!A:BR,4,FALSE),"")</f>
        <v>Alprazolam group</v>
      </c>
      <c r="E6697" s="250" t="str">
        <f>IF(AND(A6697&lt;&gt;"",ISNUMBER(A6697)),VLOOKUP(A6697,Studies!A:BR,5,FALSE),"")</f>
        <v>Alprazolam</v>
      </c>
      <c r="F6697" s="251" t="str">
        <f>IF(AND(A6697&lt;&gt;"",ISNUMBER(A6697)),VLOOKUP(A6697,Studies!A:BR,6,FALSE),"")</f>
        <v>Plasma</v>
      </c>
      <c r="G6697" s="194">
        <v>1.8664000000000001</v>
      </c>
      <c r="H6697" s="50" t="s">
        <v>60</v>
      </c>
      <c r="I6697" s="187">
        <v>18.0487</v>
      </c>
      <c r="J6697" s="41" t="s">
        <v>941</v>
      </c>
      <c r="K6697" s="41" t="s">
        <v>116</v>
      </c>
    </row>
    <row r="6698" spans="1:11" x14ac:dyDescent="0.2">
      <c r="A6698" s="30">
        <v>736</v>
      </c>
      <c r="B6698" s="249" t="str">
        <f>IF(AND(A6698&lt;&gt;"",ISNUMBER(A6698)),VLOOKUP(A6698,Studies!A:BR,2,FALSE),"")</f>
        <v>Friedman 1991</v>
      </c>
      <c r="C6698" s="250" t="str">
        <f>IF(AND(A6698&lt;&gt;"",ISNUMBER(A6698)),VLOOKUP(A6698,Studies!A:BR,3,FALSE),"")</f>
        <v>https://www.ncbi.nlm.nih.gov/pubmed/1881994</v>
      </c>
      <c r="D6698" s="250" t="str">
        <f>IF(AND(A6698&lt;&gt;"",ISNUMBER(A6698)),VLOOKUP(A6698,Studies!A:BR,4,FALSE),"")</f>
        <v>Alprazolam group</v>
      </c>
      <c r="E6698" s="250" t="str">
        <f>IF(AND(A6698&lt;&gt;"",ISNUMBER(A6698)),VLOOKUP(A6698,Studies!A:BR,5,FALSE),"")</f>
        <v>Alprazolam</v>
      </c>
      <c r="F6698" s="251" t="str">
        <f>IF(AND(A6698&lt;&gt;"",ISNUMBER(A6698)),VLOOKUP(A6698,Studies!A:BR,6,FALSE),"")</f>
        <v>Plasma</v>
      </c>
      <c r="G6698" s="194">
        <v>2.2206999999999999</v>
      </c>
      <c r="H6698" s="50" t="s">
        <v>60</v>
      </c>
      <c r="I6698" s="187">
        <v>17.225899999999999</v>
      </c>
      <c r="J6698" s="41" t="s">
        <v>941</v>
      </c>
      <c r="K6698" s="41" t="s">
        <v>116</v>
      </c>
    </row>
    <row r="6699" spans="1:11" x14ac:dyDescent="0.2">
      <c r="A6699" s="30">
        <v>736</v>
      </c>
      <c r="B6699" s="249" t="str">
        <f>IF(AND(A6699&lt;&gt;"",ISNUMBER(A6699)),VLOOKUP(A6699,Studies!A:BR,2,FALSE),"")</f>
        <v>Friedman 1991</v>
      </c>
      <c r="C6699" s="250" t="str">
        <f>IF(AND(A6699&lt;&gt;"",ISNUMBER(A6699)),VLOOKUP(A6699,Studies!A:BR,3,FALSE),"")</f>
        <v>https://www.ncbi.nlm.nih.gov/pubmed/1881994</v>
      </c>
      <c r="D6699" s="250" t="str">
        <f>IF(AND(A6699&lt;&gt;"",ISNUMBER(A6699)),VLOOKUP(A6699,Studies!A:BR,4,FALSE),"")</f>
        <v>Alprazolam group</v>
      </c>
      <c r="E6699" s="250" t="str">
        <f>IF(AND(A6699&lt;&gt;"",ISNUMBER(A6699)),VLOOKUP(A6699,Studies!A:BR,5,FALSE),"")</f>
        <v>Alprazolam</v>
      </c>
      <c r="F6699" s="251" t="str">
        <f>IF(AND(A6699&lt;&gt;"",ISNUMBER(A6699)),VLOOKUP(A6699,Studies!A:BR,6,FALSE),"")</f>
        <v>Plasma</v>
      </c>
      <c r="G6699" s="194">
        <v>2.8380000000000001</v>
      </c>
      <c r="H6699" s="50" t="s">
        <v>60</v>
      </c>
      <c r="I6699" s="187">
        <v>16.5947</v>
      </c>
      <c r="J6699" s="41" t="s">
        <v>941</v>
      </c>
      <c r="K6699" s="41" t="s">
        <v>116</v>
      </c>
    </row>
    <row r="6700" spans="1:11" x14ac:dyDescent="0.2">
      <c r="A6700" s="30">
        <v>736</v>
      </c>
      <c r="B6700" s="249" t="str">
        <f>IF(AND(A6700&lt;&gt;"",ISNUMBER(A6700)),VLOOKUP(A6700,Studies!A:BR,2,FALSE),"")</f>
        <v>Friedman 1991</v>
      </c>
      <c r="C6700" s="250" t="str">
        <f>IF(AND(A6700&lt;&gt;"",ISNUMBER(A6700)),VLOOKUP(A6700,Studies!A:BR,3,FALSE),"")</f>
        <v>https://www.ncbi.nlm.nih.gov/pubmed/1881994</v>
      </c>
      <c r="D6700" s="250" t="str">
        <f>IF(AND(A6700&lt;&gt;"",ISNUMBER(A6700)),VLOOKUP(A6700,Studies!A:BR,4,FALSE),"")</f>
        <v>Alprazolam group</v>
      </c>
      <c r="E6700" s="250" t="str">
        <f>IF(AND(A6700&lt;&gt;"",ISNUMBER(A6700)),VLOOKUP(A6700,Studies!A:BR,5,FALSE),"")</f>
        <v>Alprazolam</v>
      </c>
      <c r="F6700" s="251" t="str">
        <f>IF(AND(A6700&lt;&gt;"",ISNUMBER(A6700)),VLOOKUP(A6700,Studies!A:BR,6,FALSE),"")</f>
        <v>Plasma</v>
      </c>
      <c r="G6700" s="194">
        <v>3.8978999999999999</v>
      </c>
      <c r="H6700" s="50" t="s">
        <v>60</v>
      </c>
      <c r="I6700" s="187">
        <v>15.116099999999999</v>
      </c>
      <c r="J6700" s="41" t="s">
        <v>941</v>
      </c>
      <c r="K6700" s="41" t="s">
        <v>116</v>
      </c>
    </row>
    <row r="6701" spans="1:11" x14ac:dyDescent="0.2">
      <c r="A6701" s="30">
        <v>736</v>
      </c>
      <c r="B6701" s="249" t="str">
        <f>IF(AND(A6701&lt;&gt;"",ISNUMBER(A6701)),VLOOKUP(A6701,Studies!A:BR,2,FALSE),"")</f>
        <v>Friedman 1991</v>
      </c>
      <c r="C6701" s="250" t="str">
        <f>IF(AND(A6701&lt;&gt;"",ISNUMBER(A6701)),VLOOKUP(A6701,Studies!A:BR,3,FALSE),"")</f>
        <v>https://www.ncbi.nlm.nih.gov/pubmed/1881994</v>
      </c>
      <c r="D6701" s="250" t="str">
        <f>IF(AND(A6701&lt;&gt;"",ISNUMBER(A6701)),VLOOKUP(A6701,Studies!A:BR,4,FALSE),"")</f>
        <v>Alprazolam group</v>
      </c>
      <c r="E6701" s="250" t="str">
        <f>IF(AND(A6701&lt;&gt;"",ISNUMBER(A6701)),VLOOKUP(A6701,Studies!A:BR,5,FALSE),"")</f>
        <v>Alprazolam</v>
      </c>
      <c r="F6701" s="251" t="str">
        <f>IF(AND(A6701&lt;&gt;"",ISNUMBER(A6701)),VLOOKUP(A6701,Studies!A:BR,6,FALSE),"")</f>
        <v>Plasma</v>
      </c>
      <c r="G6701" s="194">
        <v>5.8453999999999997</v>
      </c>
      <c r="H6701" s="50" t="s">
        <v>60</v>
      </c>
      <c r="I6701" s="187">
        <v>11.859299999999999</v>
      </c>
      <c r="J6701" s="41" t="s">
        <v>941</v>
      </c>
      <c r="K6701" s="41" t="s">
        <v>116</v>
      </c>
    </row>
    <row r="6702" spans="1:11" x14ac:dyDescent="0.2">
      <c r="A6702" s="30">
        <v>736</v>
      </c>
      <c r="B6702" s="249" t="str">
        <f>IF(AND(A6702&lt;&gt;"",ISNUMBER(A6702)),VLOOKUP(A6702,Studies!A:BR,2,FALSE),"")</f>
        <v>Friedman 1991</v>
      </c>
      <c r="C6702" s="250" t="str">
        <f>IF(AND(A6702&lt;&gt;"",ISNUMBER(A6702)),VLOOKUP(A6702,Studies!A:BR,3,FALSE),"")</f>
        <v>https://www.ncbi.nlm.nih.gov/pubmed/1881994</v>
      </c>
      <c r="D6702" s="250" t="str">
        <f>IF(AND(A6702&lt;&gt;"",ISNUMBER(A6702)),VLOOKUP(A6702,Studies!A:BR,4,FALSE),"")</f>
        <v>Alprazolam group</v>
      </c>
      <c r="E6702" s="250" t="str">
        <f>IF(AND(A6702&lt;&gt;"",ISNUMBER(A6702)),VLOOKUP(A6702,Studies!A:BR,5,FALSE),"")</f>
        <v>Alprazolam</v>
      </c>
      <c r="F6702" s="251" t="str">
        <f>IF(AND(A6702&lt;&gt;"",ISNUMBER(A6702)),VLOOKUP(A6702,Studies!A:BR,6,FALSE),"")</f>
        <v>Plasma</v>
      </c>
      <c r="G6702" s="194">
        <v>7.8746999999999998</v>
      </c>
      <c r="H6702" s="50" t="s">
        <v>60</v>
      </c>
      <c r="I6702" s="187">
        <v>10.3101</v>
      </c>
      <c r="J6702" s="41" t="s">
        <v>941</v>
      </c>
      <c r="K6702" s="41" t="s">
        <v>116</v>
      </c>
    </row>
    <row r="6703" spans="1:11" x14ac:dyDescent="0.2">
      <c r="A6703" s="30">
        <v>736</v>
      </c>
      <c r="B6703" s="249" t="str">
        <f>IF(AND(A6703&lt;&gt;"",ISNUMBER(A6703)),VLOOKUP(A6703,Studies!A:BR,2,FALSE),"")</f>
        <v>Friedman 1991</v>
      </c>
      <c r="C6703" s="250" t="str">
        <f>IF(AND(A6703&lt;&gt;"",ISNUMBER(A6703)),VLOOKUP(A6703,Studies!A:BR,3,FALSE),"")</f>
        <v>https://www.ncbi.nlm.nih.gov/pubmed/1881994</v>
      </c>
      <c r="D6703" s="250" t="str">
        <f>IF(AND(A6703&lt;&gt;"",ISNUMBER(A6703)),VLOOKUP(A6703,Studies!A:BR,4,FALSE),"")</f>
        <v>Alprazolam group</v>
      </c>
      <c r="E6703" s="250" t="str">
        <f>IF(AND(A6703&lt;&gt;"",ISNUMBER(A6703)),VLOOKUP(A6703,Studies!A:BR,5,FALSE),"")</f>
        <v>Alprazolam</v>
      </c>
      <c r="F6703" s="251" t="str">
        <f>IF(AND(A6703&lt;&gt;"",ISNUMBER(A6703)),VLOOKUP(A6703,Studies!A:BR,6,FALSE),"")</f>
        <v>Plasma</v>
      </c>
      <c r="G6703" s="194">
        <v>9.8145000000000007</v>
      </c>
      <c r="H6703" s="50" t="s">
        <v>60</v>
      </c>
      <c r="I6703" s="187">
        <v>9.2178000000000004</v>
      </c>
      <c r="J6703" s="41" t="s">
        <v>941</v>
      </c>
      <c r="K6703" s="41" t="s">
        <v>116</v>
      </c>
    </row>
    <row r="6704" spans="1:11" x14ac:dyDescent="0.2">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11.9316</v>
      </c>
      <c r="H6704" s="50" t="s">
        <v>60</v>
      </c>
      <c r="I6704" s="187">
        <v>8.0137</v>
      </c>
      <c r="J6704" s="41" t="s">
        <v>941</v>
      </c>
      <c r="K6704" s="41" t="s">
        <v>116</v>
      </c>
    </row>
    <row r="6705" spans="1:11" x14ac:dyDescent="0.2">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17.834499999999998</v>
      </c>
      <c r="H6705" s="50" t="s">
        <v>60</v>
      </c>
      <c r="I6705" s="187">
        <v>6.1708999999999996</v>
      </c>
      <c r="J6705" s="41" t="s">
        <v>941</v>
      </c>
      <c r="K6705" s="41" t="s">
        <v>116</v>
      </c>
    </row>
    <row r="6706" spans="1:11" x14ac:dyDescent="0.2">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23.7362</v>
      </c>
      <c r="H6706" s="50" t="s">
        <v>60</v>
      </c>
      <c r="I6706" s="187">
        <v>4.8413000000000004</v>
      </c>
      <c r="J6706" s="41" t="s">
        <v>941</v>
      </c>
      <c r="K6706" s="41" t="s">
        <v>116</v>
      </c>
    </row>
    <row r="6707" spans="1:11" x14ac:dyDescent="0.2">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29.8307</v>
      </c>
      <c r="H6707" s="50" t="s">
        <v>60</v>
      </c>
      <c r="I6707" s="187">
        <v>2.8441000000000001</v>
      </c>
      <c r="J6707" s="41" t="s">
        <v>941</v>
      </c>
      <c r="K6707" s="41" t="s">
        <v>116</v>
      </c>
    </row>
    <row r="6708" spans="1:11" x14ac:dyDescent="0.2">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35.925199999999997</v>
      </c>
      <c r="H6708" s="50" t="s">
        <v>60</v>
      </c>
      <c r="I6708" s="187">
        <v>1.6708000000000001</v>
      </c>
      <c r="J6708" s="41" t="s">
        <v>941</v>
      </c>
      <c r="K6708" s="41" t="s">
        <v>116</v>
      </c>
    </row>
    <row r="6709" spans="1:11" x14ac:dyDescent="0.2">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48</v>
      </c>
      <c r="H6709" s="50" t="s">
        <v>60</v>
      </c>
      <c r="I6709" s="187">
        <v>0.69489999999999996</v>
      </c>
      <c r="J6709" s="41" t="s">
        <v>941</v>
      </c>
      <c r="K6709" s="41" t="s">
        <v>116</v>
      </c>
    </row>
    <row r="6710" spans="1:11" x14ac:dyDescent="0.2">
      <c r="A6710" s="30">
        <v>737</v>
      </c>
      <c r="B6710" s="249" t="str">
        <f>IF(AND(A6710&lt;&gt;"",ISNUMBER(A6710)),VLOOKUP(A6710,Studies!A:BR,2,FALSE),"")</f>
        <v>Greenblatt 1988</v>
      </c>
      <c r="C6710" s="250" t="str">
        <f>IF(AND(A6710&lt;&gt;"",ISNUMBER(A6710)),VLOOKUP(A6710,Studies!A:BR,3,FALSE),"")</f>
        <v>https://www.ncbi.nlm.nih.gov/pubmed/3138056</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0.5</v>
      </c>
      <c r="H6710" s="50" t="s">
        <v>60</v>
      </c>
      <c r="I6710" s="187">
        <v>11.841670000000001</v>
      </c>
      <c r="J6710" s="41" t="s">
        <v>941</v>
      </c>
      <c r="K6710" s="41" t="s">
        <v>116</v>
      </c>
    </row>
    <row r="6711" spans="1:11" x14ac:dyDescent="0.2">
      <c r="A6711" s="30">
        <v>737</v>
      </c>
      <c r="B6711" s="249" t="str">
        <f>IF(AND(A6711&lt;&gt;"",ISNUMBER(A6711)),VLOOKUP(A6711,Studies!A:BR,2,FALSE),"")</f>
        <v>Greenblatt 1988</v>
      </c>
      <c r="C6711" s="250" t="str">
        <f>IF(AND(A6711&lt;&gt;"",ISNUMBER(A6711)),VLOOKUP(A6711,Studies!A:BR,3,FALSE),"")</f>
        <v>https://www.ncbi.nlm.nih.gov/pubmed/3138056</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1</v>
      </c>
      <c r="H6711" s="50" t="s">
        <v>60</v>
      </c>
      <c r="I6711" s="187">
        <v>13.79583</v>
      </c>
      <c r="J6711" s="41" t="s">
        <v>941</v>
      </c>
      <c r="K6711" s="41" t="s">
        <v>116</v>
      </c>
    </row>
    <row r="6712" spans="1:11" x14ac:dyDescent="0.2">
      <c r="A6712" s="30">
        <v>737</v>
      </c>
      <c r="B6712" s="249" t="str">
        <f>IF(AND(A6712&lt;&gt;"",ISNUMBER(A6712)),VLOOKUP(A6712,Studies!A:BR,2,FALSE),"")</f>
        <v>Greenblatt 1988</v>
      </c>
      <c r="C6712" s="250" t="str">
        <f>IF(AND(A6712&lt;&gt;"",ISNUMBER(A6712)),VLOOKUP(A6712,Studies!A:BR,3,FALSE),"")</f>
        <v>https://www.ncbi.nlm.nih.gov/pubmed/3138056</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2</v>
      </c>
      <c r="H6712" s="50" t="s">
        <v>60</v>
      </c>
      <c r="I6712" s="187">
        <v>12.279170000000001</v>
      </c>
      <c r="J6712" s="41" t="s">
        <v>941</v>
      </c>
      <c r="K6712" s="41" t="s">
        <v>116</v>
      </c>
    </row>
    <row r="6713" spans="1:11" x14ac:dyDescent="0.2">
      <c r="A6713" s="30">
        <v>737</v>
      </c>
      <c r="B6713" s="249" t="str">
        <f>IF(AND(A6713&lt;&gt;"",ISNUMBER(A6713)),VLOOKUP(A6713,Studies!A:BR,2,FALSE),"")</f>
        <v>Greenblatt 1988</v>
      </c>
      <c r="C6713" s="250" t="str">
        <f>IF(AND(A6713&lt;&gt;"",ISNUMBER(A6713)),VLOOKUP(A6713,Studies!A:BR,3,FALSE),"")</f>
        <v>https://www.ncbi.nlm.nih.gov/pubmed/3138056</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3</v>
      </c>
      <c r="H6713" s="50" t="s">
        <v>60</v>
      </c>
      <c r="I6713" s="187">
        <v>11.4625</v>
      </c>
      <c r="J6713" s="41" t="s">
        <v>941</v>
      </c>
      <c r="K6713" s="41" t="s">
        <v>116</v>
      </c>
    </row>
    <row r="6714" spans="1:11" x14ac:dyDescent="0.2">
      <c r="A6714" s="30">
        <v>737</v>
      </c>
      <c r="B6714" s="249" t="str">
        <f>IF(AND(A6714&lt;&gt;"",ISNUMBER(A6714)),VLOOKUP(A6714,Studies!A:BR,2,FALSE),"")</f>
        <v>Greenblatt 1988</v>
      </c>
      <c r="C6714" s="250" t="str">
        <f>IF(AND(A6714&lt;&gt;"",ISNUMBER(A6714)),VLOOKUP(A6714,Studies!A:BR,3,FALSE),"")</f>
        <v>https://www.ncbi.nlm.nih.gov/pubmed/3138056</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4</v>
      </c>
      <c r="H6714" s="50" t="s">
        <v>60</v>
      </c>
      <c r="I6714" s="187">
        <v>10.87917</v>
      </c>
      <c r="J6714" s="41" t="s">
        <v>941</v>
      </c>
      <c r="K6714" s="41" t="s">
        <v>116</v>
      </c>
    </row>
    <row r="6715" spans="1:11" x14ac:dyDescent="0.2">
      <c r="A6715" s="30">
        <v>737</v>
      </c>
      <c r="B6715" s="249" t="str">
        <f>IF(AND(A6715&lt;&gt;"",ISNUMBER(A6715)),VLOOKUP(A6715,Studies!A:BR,2,FALSE),"")</f>
        <v>Greenblatt 1988</v>
      </c>
      <c r="C6715" s="250" t="str">
        <f>IF(AND(A6715&lt;&gt;"",ISNUMBER(A6715)),VLOOKUP(A6715,Studies!A:BR,3,FALSE),"")</f>
        <v>https://www.ncbi.nlm.nih.gov/pubmed/3138056</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6</v>
      </c>
      <c r="H6715" s="50" t="s">
        <v>60</v>
      </c>
      <c r="I6715" s="187">
        <v>8.5458339999999993</v>
      </c>
      <c r="J6715" s="41" t="s">
        <v>941</v>
      </c>
      <c r="K6715" s="41" t="s">
        <v>116</v>
      </c>
    </row>
    <row r="6716" spans="1:11" x14ac:dyDescent="0.2">
      <c r="A6716" s="30">
        <v>737</v>
      </c>
      <c r="B6716" s="249" t="str">
        <f>IF(AND(A6716&lt;&gt;"",ISNUMBER(A6716)),VLOOKUP(A6716,Studies!A:BR,2,FALSE),"")</f>
        <v>Greenblatt 1988</v>
      </c>
      <c r="C6716" s="250" t="str">
        <f>IF(AND(A6716&lt;&gt;"",ISNUMBER(A6716)),VLOOKUP(A6716,Studies!A:BR,3,FALSE),"")</f>
        <v>https://www.ncbi.nlm.nih.gov/pubmed/3138056</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8</v>
      </c>
      <c r="H6716" s="50" t="s">
        <v>60</v>
      </c>
      <c r="I6716" s="187">
        <v>6.9124999999999996</v>
      </c>
      <c r="J6716" s="41" t="s">
        <v>941</v>
      </c>
      <c r="K6716" s="41" t="s">
        <v>116</v>
      </c>
    </row>
    <row r="6717" spans="1:11" x14ac:dyDescent="0.2">
      <c r="A6717" s="30">
        <v>737</v>
      </c>
      <c r="B6717" s="249" t="str">
        <f>IF(AND(A6717&lt;&gt;"",ISNUMBER(A6717)),VLOOKUP(A6717,Studies!A:BR,2,FALSE),"")</f>
        <v>Greenblatt 1988</v>
      </c>
      <c r="C6717" s="250" t="str">
        <f>IF(AND(A6717&lt;&gt;"",ISNUMBER(A6717)),VLOOKUP(A6717,Studies!A:BR,3,FALSE),"")</f>
        <v>https://www.ncbi.nlm.nih.gov/pubmed/3138056</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24</v>
      </c>
      <c r="H6717" s="50" t="s">
        <v>60</v>
      </c>
      <c r="I6717" s="187">
        <v>2.3041670000000001</v>
      </c>
      <c r="J6717" s="41" t="s">
        <v>941</v>
      </c>
      <c r="K6717" s="41" t="s">
        <v>116</v>
      </c>
    </row>
    <row r="6718" spans="1:11" x14ac:dyDescent="0.2">
      <c r="A6718" s="30">
        <v>738</v>
      </c>
      <c r="B6718" s="249" t="str">
        <f>IF(AND(A6718&lt;&gt;"",ISNUMBER(A6718)),VLOOKUP(A6718,Studies!A:BR,2,FALSE),"")</f>
        <v>Greenblatt 1992</v>
      </c>
      <c r="C6718" s="250" t="str">
        <f>IF(AND(A6718&lt;&gt;"",ISNUMBER(A6718)),VLOOKUP(A6718,Studies!A:BR,3,FALSE),"")</f>
        <v>https://www.ncbi.nlm.nih.gov/pubmed/1424422</v>
      </c>
      <c r="D6718" s="250" t="str">
        <f>IF(AND(A6718&lt;&gt;"",ISNUMBER(A6718)),VLOOKUP(A6718,Studies!A:BR,4,FALSE),"")</f>
        <v>Alprazolam group, Placebo first, Fluoxetine second</v>
      </c>
      <c r="E6718" s="250" t="str">
        <f>IF(AND(A6718&lt;&gt;"",ISNUMBER(A6718)),VLOOKUP(A6718,Studies!A:BR,5,FALSE),"")</f>
        <v>Alprazolam</v>
      </c>
      <c r="F6718" s="251" t="str">
        <f>IF(AND(A6718&lt;&gt;"",ISNUMBER(A6718)),VLOOKUP(A6718,Studies!A:BR,6,FALSE),"")</f>
        <v>Plasma</v>
      </c>
      <c r="G6718" s="194">
        <v>0.5</v>
      </c>
      <c r="H6718" s="50" t="s">
        <v>60</v>
      </c>
      <c r="I6718" s="187">
        <v>4.5695079999999999</v>
      </c>
      <c r="J6718" s="41" t="s">
        <v>941</v>
      </c>
      <c r="K6718" s="41" t="s">
        <v>116</v>
      </c>
    </row>
    <row r="6719" spans="1:11" x14ac:dyDescent="0.2">
      <c r="A6719" s="30">
        <v>738</v>
      </c>
      <c r="B6719" s="249" t="str">
        <f>IF(AND(A6719&lt;&gt;"",ISNUMBER(A6719)),VLOOKUP(A6719,Studies!A:BR,2,FALSE),"")</f>
        <v>Greenblatt 1992</v>
      </c>
      <c r="C6719" s="250" t="str">
        <f>IF(AND(A6719&lt;&gt;"",ISNUMBER(A6719)),VLOOKUP(A6719,Studies!A:BR,3,FALSE),"")</f>
        <v>https://www.ncbi.nlm.nih.gov/pubmed/1424422</v>
      </c>
      <c r="D6719" s="250" t="str">
        <f>IF(AND(A6719&lt;&gt;"",ISNUMBER(A6719)),VLOOKUP(A6719,Studies!A:BR,4,FALSE),"")</f>
        <v>Alprazolam group, Placebo first, Fluoxetine second</v>
      </c>
      <c r="E6719" s="250" t="str">
        <f>IF(AND(A6719&lt;&gt;"",ISNUMBER(A6719)),VLOOKUP(A6719,Studies!A:BR,5,FALSE),"")</f>
        <v>Alprazolam</v>
      </c>
      <c r="F6719" s="251" t="str">
        <f>IF(AND(A6719&lt;&gt;"",ISNUMBER(A6719)),VLOOKUP(A6719,Studies!A:BR,6,FALSE),"")</f>
        <v>Plasma</v>
      </c>
      <c r="G6719" s="194">
        <v>1</v>
      </c>
      <c r="H6719" s="50" t="s">
        <v>60</v>
      </c>
      <c r="I6719" s="187">
        <v>10.35018</v>
      </c>
      <c r="J6719" s="41" t="s">
        <v>941</v>
      </c>
      <c r="K6719" s="41" t="s">
        <v>116</v>
      </c>
    </row>
    <row r="6720" spans="1:11" x14ac:dyDescent="0.2">
      <c r="A6720" s="30">
        <v>738</v>
      </c>
      <c r="B6720" s="249" t="str">
        <f>IF(AND(A6720&lt;&gt;"",ISNUMBER(A6720)),VLOOKUP(A6720,Studies!A:BR,2,FALSE),"")</f>
        <v>Greenblatt 1992</v>
      </c>
      <c r="C6720" s="250" t="str">
        <f>IF(AND(A6720&lt;&gt;"",ISNUMBER(A6720)),VLOOKUP(A6720,Studies!A:BR,3,FALSE),"")</f>
        <v>https://www.ncbi.nlm.nih.gov/pubmed/1424422</v>
      </c>
      <c r="D6720" s="250" t="str">
        <f>IF(AND(A6720&lt;&gt;"",ISNUMBER(A6720)),VLOOKUP(A6720,Studies!A:BR,4,FALSE),"")</f>
        <v>Alprazolam group, Placebo first, Fluoxetine second</v>
      </c>
      <c r="E6720" s="250" t="str">
        <f>IF(AND(A6720&lt;&gt;"",ISNUMBER(A6720)),VLOOKUP(A6720,Studies!A:BR,5,FALSE),"")</f>
        <v>Alprazolam</v>
      </c>
      <c r="F6720" s="251" t="str">
        <f>IF(AND(A6720&lt;&gt;"",ISNUMBER(A6720)),VLOOKUP(A6720,Studies!A:BR,6,FALSE),"")</f>
        <v>Plasma</v>
      </c>
      <c r="G6720" s="194">
        <v>1.5</v>
      </c>
      <c r="H6720" s="50" t="s">
        <v>60</v>
      </c>
      <c r="I6720" s="187">
        <v>12.562889999999999</v>
      </c>
      <c r="J6720" s="41" t="s">
        <v>941</v>
      </c>
      <c r="K6720" s="41" t="s">
        <v>116</v>
      </c>
    </row>
    <row r="6721" spans="1:14" x14ac:dyDescent="0.2">
      <c r="A6721" s="30">
        <v>738</v>
      </c>
      <c r="B6721" s="249" t="str">
        <f>IF(AND(A6721&lt;&gt;"",ISNUMBER(A6721)),VLOOKUP(A6721,Studies!A:BR,2,FALSE),"")</f>
        <v>Greenblatt 1992</v>
      </c>
      <c r="C6721" s="250" t="str">
        <f>IF(AND(A6721&lt;&gt;"",ISNUMBER(A6721)),VLOOKUP(A6721,Studies!A:BR,3,FALSE),"")</f>
        <v>https://www.ncbi.nlm.nih.gov/pubmed/1424422</v>
      </c>
      <c r="D6721" s="250" t="str">
        <f>IF(AND(A6721&lt;&gt;"",ISNUMBER(A6721)),VLOOKUP(A6721,Studies!A:BR,4,FALSE),"")</f>
        <v>Alprazolam group, Placebo first, Fluoxetine second</v>
      </c>
      <c r="E6721" s="250" t="str">
        <f>IF(AND(A6721&lt;&gt;"",ISNUMBER(A6721)),VLOOKUP(A6721,Studies!A:BR,5,FALSE),"")</f>
        <v>Alprazolam</v>
      </c>
      <c r="F6721" s="251" t="str">
        <f>IF(AND(A6721&lt;&gt;"",ISNUMBER(A6721)),VLOOKUP(A6721,Studies!A:BR,6,FALSE),"")</f>
        <v>Plasma</v>
      </c>
      <c r="G6721" s="194">
        <v>2</v>
      </c>
      <c r="H6721" s="50" t="s">
        <v>60</v>
      </c>
      <c r="I6721" s="187">
        <v>12.660629999999999</v>
      </c>
      <c r="J6721" s="41" t="s">
        <v>941</v>
      </c>
      <c r="K6721" s="41" t="s">
        <v>116</v>
      </c>
    </row>
    <row r="6722" spans="1:14" x14ac:dyDescent="0.2">
      <c r="A6722" s="30">
        <v>738</v>
      </c>
      <c r="B6722" s="249" t="str">
        <f>IF(AND(A6722&lt;&gt;"",ISNUMBER(A6722)),VLOOKUP(A6722,Studies!A:BR,2,FALSE),"")</f>
        <v>Greenblatt 1992</v>
      </c>
      <c r="C6722" s="250" t="str">
        <f>IF(AND(A6722&lt;&gt;"",ISNUMBER(A6722)),VLOOKUP(A6722,Studies!A:BR,3,FALSE),"")</f>
        <v>https://www.ncbi.nlm.nih.gov/pubmed/1424422</v>
      </c>
      <c r="D6722" s="250" t="str">
        <f>IF(AND(A6722&lt;&gt;"",ISNUMBER(A6722)),VLOOKUP(A6722,Studies!A:BR,4,FALSE),"")</f>
        <v>Alprazolam group, Placebo first, Fluoxetine second</v>
      </c>
      <c r="E6722" s="250" t="str">
        <f>IF(AND(A6722&lt;&gt;"",ISNUMBER(A6722)),VLOOKUP(A6722,Studies!A:BR,5,FALSE),"")</f>
        <v>Alprazolam</v>
      </c>
      <c r="F6722" s="251" t="str">
        <f>IF(AND(A6722&lt;&gt;"",ISNUMBER(A6722)),VLOOKUP(A6722,Studies!A:BR,6,FALSE),"")</f>
        <v>Plasma</v>
      </c>
      <c r="G6722" s="194">
        <v>3</v>
      </c>
      <c r="H6722" s="50" t="s">
        <v>60</v>
      </c>
      <c r="I6722" s="187">
        <v>11.85351</v>
      </c>
      <c r="J6722" s="41" t="s">
        <v>941</v>
      </c>
      <c r="K6722" s="41" t="s">
        <v>116</v>
      </c>
    </row>
    <row r="6723" spans="1:14" x14ac:dyDescent="0.2">
      <c r="A6723" s="30">
        <v>738</v>
      </c>
      <c r="B6723" s="249" t="str">
        <f>IF(AND(A6723&lt;&gt;"",ISNUMBER(A6723)),VLOOKUP(A6723,Studies!A:BR,2,FALSE),"")</f>
        <v>Greenblatt 1992</v>
      </c>
      <c r="C6723" s="250" t="str">
        <f>IF(AND(A6723&lt;&gt;"",ISNUMBER(A6723)),VLOOKUP(A6723,Studies!A:BR,3,FALSE),"")</f>
        <v>https://www.ncbi.nlm.nih.gov/pubmed/1424422</v>
      </c>
      <c r="D6723" s="250" t="str">
        <f>IF(AND(A6723&lt;&gt;"",ISNUMBER(A6723)),VLOOKUP(A6723,Studies!A:BR,4,FALSE),"")</f>
        <v>Alprazolam group, Placebo first, Fluoxetine second</v>
      </c>
      <c r="E6723" s="250" t="str">
        <f>IF(AND(A6723&lt;&gt;"",ISNUMBER(A6723)),VLOOKUP(A6723,Studies!A:BR,5,FALSE),"")</f>
        <v>Alprazolam</v>
      </c>
      <c r="F6723" s="251" t="str">
        <f>IF(AND(A6723&lt;&gt;"",ISNUMBER(A6723)),VLOOKUP(A6723,Studies!A:BR,6,FALSE),"")</f>
        <v>Plasma</v>
      </c>
      <c r="G6723" s="194">
        <v>4</v>
      </c>
      <c r="H6723" s="50" t="s">
        <v>60</v>
      </c>
      <c r="I6723" s="187">
        <v>10.67605</v>
      </c>
      <c r="J6723" s="41" t="s">
        <v>941</v>
      </c>
      <c r="K6723" s="41" t="s">
        <v>116</v>
      </c>
    </row>
    <row r="6724" spans="1:14" x14ac:dyDescent="0.2">
      <c r="A6724" s="30">
        <v>738</v>
      </c>
      <c r="B6724" s="249" t="str">
        <f>IF(AND(A6724&lt;&gt;"",ISNUMBER(A6724)),VLOOKUP(A6724,Studies!A:BR,2,FALSE),"")</f>
        <v>Greenblatt 1992</v>
      </c>
      <c r="C6724" s="250" t="str">
        <f>IF(AND(A6724&lt;&gt;"",ISNUMBER(A6724)),VLOOKUP(A6724,Studies!A:BR,3,FALSE),"")</f>
        <v>https://www.ncbi.nlm.nih.gov/pubmed/1424422</v>
      </c>
      <c r="D6724" s="250" t="str">
        <f>IF(AND(A6724&lt;&gt;"",ISNUMBER(A6724)),VLOOKUP(A6724,Studies!A:BR,4,FALSE),"")</f>
        <v>Alprazolam group, Placebo first, Fluoxetine second</v>
      </c>
      <c r="E6724" s="250" t="str">
        <f>IF(AND(A6724&lt;&gt;"",ISNUMBER(A6724)),VLOOKUP(A6724,Studies!A:BR,5,FALSE),"")</f>
        <v>Alprazolam</v>
      </c>
      <c r="F6724" s="251" t="str">
        <f>IF(AND(A6724&lt;&gt;"",ISNUMBER(A6724)),VLOOKUP(A6724,Studies!A:BR,6,FALSE),"")</f>
        <v>Plasma</v>
      </c>
      <c r="G6724" s="194">
        <v>6</v>
      </c>
      <c r="H6724" s="50" t="s">
        <v>60</v>
      </c>
      <c r="I6724" s="187">
        <v>9.2500830000000001</v>
      </c>
      <c r="J6724" s="41" t="s">
        <v>941</v>
      </c>
      <c r="K6724" s="41" t="s">
        <v>116</v>
      </c>
    </row>
    <row r="6725" spans="1:14" x14ac:dyDescent="0.2">
      <c r="A6725" s="30">
        <v>738</v>
      </c>
      <c r="B6725" s="249" t="str">
        <f>IF(AND(A6725&lt;&gt;"",ISNUMBER(A6725)),VLOOKUP(A6725,Studies!A:BR,2,FALSE),"")</f>
        <v>Greenblatt 1992</v>
      </c>
      <c r="C6725" s="250" t="str">
        <f>IF(AND(A6725&lt;&gt;"",ISNUMBER(A6725)),VLOOKUP(A6725,Studies!A:BR,3,FALSE),"")</f>
        <v>https://www.ncbi.nlm.nih.gov/pubmed/1424422</v>
      </c>
      <c r="D6725" s="250" t="str">
        <f>IF(AND(A6725&lt;&gt;"",ISNUMBER(A6725)),VLOOKUP(A6725,Studies!A:BR,4,FALSE),"")</f>
        <v>Alprazolam group, Placebo first, Fluoxetine second</v>
      </c>
      <c r="E6725" s="250" t="str">
        <f>IF(AND(A6725&lt;&gt;"",ISNUMBER(A6725)),VLOOKUP(A6725,Studies!A:BR,5,FALSE),"")</f>
        <v>Alprazolam</v>
      </c>
      <c r="F6725" s="251" t="str">
        <f>IF(AND(A6725&lt;&gt;"",ISNUMBER(A6725)),VLOOKUP(A6725,Studies!A:BR,6,FALSE),"")</f>
        <v>Plasma</v>
      </c>
      <c r="G6725" s="194">
        <v>8</v>
      </c>
      <c r="H6725" s="50" t="s">
        <v>60</v>
      </c>
      <c r="I6725" s="187">
        <v>8.2669119999999996</v>
      </c>
      <c r="J6725" s="41" t="s">
        <v>941</v>
      </c>
      <c r="K6725" s="41" t="s">
        <v>116</v>
      </c>
    </row>
    <row r="6726" spans="1:14" x14ac:dyDescent="0.2">
      <c r="A6726" s="30">
        <v>738</v>
      </c>
      <c r="B6726" s="249" t="str">
        <f>IF(AND(A6726&lt;&gt;"",ISNUMBER(A6726)),VLOOKUP(A6726,Studies!A:BR,2,FALSE),"")</f>
        <v>Greenblatt 1992</v>
      </c>
      <c r="C6726" s="250" t="str">
        <f>IF(AND(A6726&lt;&gt;"",ISNUMBER(A6726)),VLOOKUP(A6726,Studies!A:BR,3,FALSE),"")</f>
        <v>https://www.ncbi.nlm.nih.gov/pubmed/1424422</v>
      </c>
      <c r="D6726" s="250" t="str">
        <f>IF(AND(A6726&lt;&gt;"",ISNUMBER(A6726)),VLOOKUP(A6726,Studies!A:BR,4,FALSE),"")</f>
        <v>Alprazolam group, Placebo first, Fluoxetine second</v>
      </c>
      <c r="E6726" s="250" t="str">
        <f>IF(AND(A6726&lt;&gt;"",ISNUMBER(A6726)),VLOOKUP(A6726,Studies!A:BR,5,FALSE),"")</f>
        <v>Alprazolam</v>
      </c>
      <c r="F6726" s="251" t="str">
        <f>IF(AND(A6726&lt;&gt;"",ISNUMBER(A6726)),VLOOKUP(A6726,Studies!A:BR,6,FALSE),"")</f>
        <v>Plasma</v>
      </c>
      <c r="G6726" s="194">
        <v>12</v>
      </c>
      <c r="H6726" s="50" t="s">
        <v>60</v>
      </c>
      <c r="I6726" s="187">
        <v>6.8904899999999998</v>
      </c>
      <c r="J6726" s="41" t="s">
        <v>941</v>
      </c>
      <c r="K6726" s="41" t="s">
        <v>116</v>
      </c>
    </row>
    <row r="6727" spans="1:14" x14ac:dyDescent="0.2">
      <c r="A6727" s="30">
        <v>738</v>
      </c>
      <c r="B6727" s="249" t="str">
        <f>IF(AND(A6727&lt;&gt;"",ISNUMBER(A6727)),VLOOKUP(A6727,Studies!A:BR,2,FALSE),"")</f>
        <v>Greenblatt 1992</v>
      </c>
      <c r="C6727" s="250" t="str">
        <f>IF(AND(A6727&lt;&gt;"",ISNUMBER(A6727)),VLOOKUP(A6727,Studies!A:BR,3,FALSE),"")</f>
        <v>https://www.ncbi.nlm.nih.gov/pubmed/1424422</v>
      </c>
      <c r="D6727" s="250" t="str">
        <f>IF(AND(A6727&lt;&gt;"",ISNUMBER(A6727)),VLOOKUP(A6727,Studies!A:BR,4,FALSE),"")</f>
        <v>Alprazolam group, Placebo first, Fluoxetine second</v>
      </c>
      <c r="E6727" s="250" t="str">
        <f>IF(AND(A6727&lt;&gt;"",ISNUMBER(A6727)),VLOOKUP(A6727,Studies!A:BR,5,FALSE),"")</f>
        <v>Alprazolam</v>
      </c>
      <c r="F6727" s="251" t="str">
        <f>IF(AND(A6727&lt;&gt;"",ISNUMBER(A6727)),VLOOKUP(A6727,Studies!A:BR,6,FALSE),"")</f>
        <v>Plasma</v>
      </c>
      <c r="G6727" s="194">
        <v>18</v>
      </c>
      <c r="H6727" s="50" t="s">
        <v>60</v>
      </c>
      <c r="I6727" s="187">
        <v>4.6951479999999997</v>
      </c>
      <c r="J6727" s="41" t="s">
        <v>941</v>
      </c>
      <c r="K6727" s="41" t="s">
        <v>116</v>
      </c>
    </row>
    <row r="6728" spans="1:14" x14ac:dyDescent="0.2">
      <c r="A6728" s="30">
        <v>738</v>
      </c>
      <c r="B6728" s="249" t="str">
        <f>IF(AND(A6728&lt;&gt;"",ISNUMBER(A6728)),VLOOKUP(A6728,Studies!A:BR,2,FALSE),"")</f>
        <v>Greenblatt 1992</v>
      </c>
      <c r="C6728" s="250" t="str">
        <f>IF(AND(A6728&lt;&gt;"",ISNUMBER(A6728)),VLOOKUP(A6728,Studies!A:BR,3,FALSE),"")</f>
        <v>https://www.ncbi.nlm.nih.gov/pubmed/1424422</v>
      </c>
      <c r="D6728" s="250" t="str">
        <f>IF(AND(A6728&lt;&gt;"",ISNUMBER(A6728)),VLOOKUP(A6728,Studies!A:BR,4,FALSE),"")</f>
        <v>Alprazolam group, Placebo first, Fluoxetine second</v>
      </c>
      <c r="E6728" s="250" t="str">
        <f>IF(AND(A6728&lt;&gt;"",ISNUMBER(A6728)),VLOOKUP(A6728,Studies!A:BR,5,FALSE),"")</f>
        <v>Alprazolam</v>
      </c>
      <c r="F6728" s="251" t="str">
        <f>IF(AND(A6728&lt;&gt;"",ISNUMBER(A6728)),VLOOKUP(A6728,Studies!A:BR,6,FALSE),"")</f>
        <v>Plasma</v>
      </c>
      <c r="G6728" s="194">
        <v>24</v>
      </c>
      <c r="H6728" s="50" t="s">
        <v>60</v>
      </c>
      <c r="I6728" s="187">
        <v>4.3788309999999999</v>
      </c>
      <c r="J6728" s="41" t="s">
        <v>941</v>
      </c>
      <c r="K6728" s="41" t="s">
        <v>116</v>
      </c>
    </row>
    <row r="6729" spans="1:14" x14ac:dyDescent="0.2">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36</v>
      </c>
      <c r="H6729" s="50" t="s">
        <v>60</v>
      </c>
      <c r="I6729" s="187">
        <v>2.3924110000000001</v>
      </c>
      <c r="J6729" s="41" t="s">
        <v>941</v>
      </c>
      <c r="K6729" s="41" t="s">
        <v>116</v>
      </c>
    </row>
    <row r="6730" spans="1:14" x14ac:dyDescent="0.2">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48</v>
      </c>
      <c r="H6730" s="50" t="s">
        <v>60</v>
      </c>
      <c r="I6730" s="187">
        <v>1.8742049999999999</v>
      </c>
      <c r="J6730" s="41" t="s">
        <v>941</v>
      </c>
      <c r="K6730" s="41" t="s">
        <v>116</v>
      </c>
    </row>
    <row r="6731" spans="1:14" x14ac:dyDescent="0.2">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60</v>
      </c>
      <c r="H6731" s="50" t="s">
        <v>60</v>
      </c>
      <c r="I6731" s="187">
        <v>0.69504200000000005</v>
      </c>
      <c r="J6731" s="41" t="s">
        <v>941</v>
      </c>
      <c r="K6731" s="41" t="s">
        <v>116</v>
      </c>
    </row>
    <row r="6732" spans="1:14" x14ac:dyDescent="0.2">
      <c r="A6732" s="30">
        <v>739</v>
      </c>
      <c r="B6732" s="249" t="str">
        <f>IF(AND(A6732&lt;&gt;"",ISNUMBER(A6732)),VLOOKUP(A6732,Studies!A:BR,2,FALSE),"")</f>
        <v>Greenblatt 1998b</v>
      </c>
      <c r="C6732" s="250" t="str">
        <f>IF(AND(A6732&lt;&gt;"",ISNUMBER(A6732)),VLOOKUP(A6732,Studies!A:BR,3,FALSE),"")</f>
        <v>https://www.ncbi.nlm.nih.gov/pubmed/9757147</v>
      </c>
      <c r="D6732" s="250" t="str">
        <f>IF(AND(A6732&lt;&gt;"",ISNUMBER(A6732)),VLOOKUP(A6732,Studies!A:BR,4,FALSE),"")</f>
        <v>Alprazolam alone (Trial A)</v>
      </c>
      <c r="E6732" s="250" t="str">
        <f>IF(AND(A6732&lt;&gt;"",ISNUMBER(A6732)),VLOOKUP(A6732,Studies!A:BR,5,FALSE),"")</f>
        <v>Alprazolam</v>
      </c>
      <c r="F6732" s="251" t="str">
        <f>IF(AND(A6732&lt;&gt;"",ISNUMBER(A6732)),VLOOKUP(A6732,Studies!A:BR,6,FALSE),"")</f>
        <v>Plasma</v>
      </c>
      <c r="G6732" s="194">
        <v>0.5</v>
      </c>
      <c r="H6732" s="50" t="s">
        <v>60</v>
      </c>
      <c r="I6732" s="187">
        <v>3.2531180000000002</v>
      </c>
      <c r="J6732" s="41" t="s">
        <v>941</v>
      </c>
      <c r="K6732" s="41" t="s">
        <v>116</v>
      </c>
      <c r="L6732" s="195">
        <v>1.326471</v>
      </c>
      <c r="M6732" s="52" t="s">
        <v>941</v>
      </c>
      <c r="N6732" s="52" t="s">
        <v>949</v>
      </c>
    </row>
    <row r="6733" spans="1:14" x14ac:dyDescent="0.2">
      <c r="A6733" s="30">
        <v>739</v>
      </c>
      <c r="B6733" s="249" t="str">
        <f>IF(AND(A6733&lt;&gt;"",ISNUMBER(A6733)),VLOOKUP(A6733,Studies!A:BR,2,FALSE),"")</f>
        <v>Greenblatt 1998b</v>
      </c>
      <c r="C6733" s="250" t="str">
        <f>IF(AND(A6733&lt;&gt;"",ISNUMBER(A6733)),VLOOKUP(A6733,Studies!A:BR,3,FALSE),"")</f>
        <v>https://www.ncbi.nlm.nih.gov/pubmed/9757147</v>
      </c>
      <c r="D6733" s="250" t="str">
        <f>IF(AND(A6733&lt;&gt;"",ISNUMBER(A6733)),VLOOKUP(A6733,Studies!A:BR,4,FALSE),"")</f>
        <v>Alprazolam alone (Trial A)</v>
      </c>
      <c r="E6733" s="250" t="str">
        <f>IF(AND(A6733&lt;&gt;"",ISNUMBER(A6733)),VLOOKUP(A6733,Studies!A:BR,5,FALSE),"")</f>
        <v>Alprazolam</v>
      </c>
      <c r="F6733" s="251" t="str">
        <f>IF(AND(A6733&lt;&gt;"",ISNUMBER(A6733)),VLOOKUP(A6733,Studies!A:BR,6,FALSE),"")</f>
        <v>Plasma</v>
      </c>
      <c r="G6733" s="194">
        <v>1</v>
      </c>
      <c r="H6733" s="50" t="s">
        <v>60</v>
      </c>
      <c r="I6733" s="187">
        <v>13.03335</v>
      </c>
      <c r="J6733" s="41" t="s">
        <v>941</v>
      </c>
      <c r="K6733" s="41" t="s">
        <v>116</v>
      </c>
      <c r="L6733" s="195">
        <v>2.1902140000000001</v>
      </c>
      <c r="M6733" s="52" t="s">
        <v>941</v>
      </c>
      <c r="N6733" s="52" t="s">
        <v>949</v>
      </c>
    </row>
    <row r="6734" spans="1:14" x14ac:dyDescent="0.2">
      <c r="A6734" s="30">
        <v>739</v>
      </c>
      <c r="B6734" s="249" t="str">
        <f>IF(AND(A6734&lt;&gt;"",ISNUMBER(A6734)),VLOOKUP(A6734,Studies!A:BR,2,FALSE),"")</f>
        <v>Greenblatt 1998b</v>
      </c>
      <c r="C6734" s="250" t="str">
        <f>IF(AND(A6734&lt;&gt;"",ISNUMBER(A6734)),VLOOKUP(A6734,Studies!A:BR,3,FALSE),"")</f>
        <v>https://www.ncbi.nlm.nih.gov/pubmed/9757147</v>
      </c>
      <c r="D6734" s="250" t="str">
        <f>IF(AND(A6734&lt;&gt;"",ISNUMBER(A6734)),VLOOKUP(A6734,Studies!A:BR,4,FALSE),"")</f>
        <v>Alprazolam alone (Trial A)</v>
      </c>
      <c r="E6734" s="250" t="str">
        <f>IF(AND(A6734&lt;&gt;"",ISNUMBER(A6734)),VLOOKUP(A6734,Studies!A:BR,5,FALSE),"")</f>
        <v>Alprazolam</v>
      </c>
      <c r="F6734" s="251" t="str">
        <f>IF(AND(A6734&lt;&gt;"",ISNUMBER(A6734)),VLOOKUP(A6734,Studies!A:BR,6,FALSE),"")</f>
        <v>Plasma</v>
      </c>
      <c r="G6734" s="194">
        <v>1.5</v>
      </c>
      <c r="H6734" s="50" t="s">
        <v>60</v>
      </c>
      <c r="I6734" s="187">
        <v>12.72616</v>
      </c>
      <c r="J6734" s="41" t="s">
        <v>941</v>
      </c>
      <c r="K6734" s="41" t="s">
        <v>116</v>
      </c>
      <c r="L6734" s="195">
        <v>1.233992</v>
      </c>
      <c r="M6734" s="52" t="s">
        <v>941</v>
      </c>
      <c r="N6734" s="52" t="s">
        <v>949</v>
      </c>
    </row>
    <row r="6735" spans="1:14" x14ac:dyDescent="0.2">
      <c r="A6735" s="30">
        <v>739</v>
      </c>
      <c r="B6735" s="249" t="str">
        <f>IF(AND(A6735&lt;&gt;"",ISNUMBER(A6735)),VLOOKUP(A6735,Studies!A:BR,2,FALSE),"")</f>
        <v>Greenblatt 1998b</v>
      </c>
      <c r="C6735" s="250" t="str">
        <f>IF(AND(A6735&lt;&gt;"",ISNUMBER(A6735)),VLOOKUP(A6735,Studies!A:BR,3,FALSE),"")</f>
        <v>https://www.ncbi.nlm.nih.gov/pubmed/9757147</v>
      </c>
      <c r="D6735" s="250" t="str">
        <f>IF(AND(A6735&lt;&gt;"",ISNUMBER(A6735)),VLOOKUP(A6735,Studies!A:BR,4,FALSE),"")</f>
        <v>Alprazolam alone (Trial A)</v>
      </c>
      <c r="E6735" s="250" t="str">
        <f>IF(AND(A6735&lt;&gt;"",ISNUMBER(A6735)),VLOOKUP(A6735,Studies!A:BR,5,FALSE),"")</f>
        <v>Alprazolam</v>
      </c>
      <c r="F6735" s="251" t="str">
        <f>IF(AND(A6735&lt;&gt;"",ISNUMBER(A6735)),VLOOKUP(A6735,Studies!A:BR,6,FALSE),"")</f>
        <v>Plasma</v>
      </c>
      <c r="G6735" s="194">
        <v>2</v>
      </c>
      <c r="H6735" s="50" t="s">
        <v>60</v>
      </c>
      <c r="I6735" s="187">
        <v>11.43183</v>
      </c>
      <c r="J6735" s="41" t="s">
        <v>941</v>
      </c>
      <c r="K6735" s="41" t="s">
        <v>116</v>
      </c>
      <c r="L6735" s="195">
        <v>1.203076</v>
      </c>
      <c r="M6735" s="52" t="s">
        <v>941</v>
      </c>
      <c r="N6735" s="52" t="s">
        <v>949</v>
      </c>
    </row>
    <row r="6736" spans="1:14" x14ac:dyDescent="0.2">
      <c r="A6736" s="30">
        <v>739</v>
      </c>
      <c r="B6736" s="249" t="str">
        <f>IF(AND(A6736&lt;&gt;"",ISNUMBER(A6736)),VLOOKUP(A6736,Studies!A:BR,2,FALSE),"")</f>
        <v>Greenblatt 1998b</v>
      </c>
      <c r="C6736" s="250" t="str">
        <f>IF(AND(A6736&lt;&gt;"",ISNUMBER(A6736)),VLOOKUP(A6736,Studies!A:BR,3,FALSE),"")</f>
        <v>https://www.ncbi.nlm.nih.gov/pubmed/9757147</v>
      </c>
      <c r="D6736" s="250" t="str">
        <f>IF(AND(A6736&lt;&gt;"",ISNUMBER(A6736)),VLOOKUP(A6736,Studies!A:BR,4,FALSE),"")</f>
        <v>Alprazolam alone (Trial A)</v>
      </c>
      <c r="E6736" s="250" t="str">
        <f>IF(AND(A6736&lt;&gt;"",ISNUMBER(A6736)),VLOOKUP(A6736,Studies!A:BR,5,FALSE),"")</f>
        <v>Alprazolam</v>
      </c>
      <c r="F6736" s="251" t="str">
        <f>IF(AND(A6736&lt;&gt;"",ISNUMBER(A6736)),VLOOKUP(A6736,Studies!A:BR,6,FALSE),"")</f>
        <v>Plasma</v>
      </c>
      <c r="G6736" s="194">
        <v>3</v>
      </c>
      <c r="H6736" s="50" t="s">
        <v>60</v>
      </c>
      <c r="I6736" s="187">
        <v>10.29303</v>
      </c>
      <c r="J6736" s="41" t="s">
        <v>941</v>
      </c>
      <c r="K6736" s="41" t="s">
        <v>116</v>
      </c>
      <c r="L6736" s="195">
        <v>0.89460200000000001</v>
      </c>
      <c r="M6736" s="52" t="s">
        <v>941</v>
      </c>
      <c r="N6736" s="52" t="s">
        <v>949</v>
      </c>
    </row>
    <row r="6737" spans="1:14" x14ac:dyDescent="0.2">
      <c r="A6737" s="30">
        <v>739</v>
      </c>
      <c r="B6737" s="249" t="str">
        <f>IF(AND(A6737&lt;&gt;"",ISNUMBER(A6737)),VLOOKUP(A6737,Studies!A:BR,2,FALSE),"")</f>
        <v>Greenblatt 1998b</v>
      </c>
      <c r="C6737" s="250" t="str">
        <f>IF(AND(A6737&lt;&gt;"",ISNUMBER(A6737)),VLOOKUP(A6737,Studies!A:BR,3,FALSE),"")</f>
        <v>https://www.ncbi.nlm.nih.gov/pubmed/9757147</v>
      </c>
      <c r="D6737" s="250" t="str">
        <f>IF(AND(A6737&lt;&gt;"",ISNUMBER(A6737)),VLOOKUP(A6737,Studies!A:BR,4,FALSE),"")</f>
        <v>Alprazolam alone (Trial A)</v>
      </c>
      <c r="E6737" s="250" t="str">
        <f>IF(AND(A6737&lt;&gt;"",ISNUMBER(A6737)),VLOOKUP(A6737,Studies!A:BR,5,FALSE),"")</f>
        <v>Alprazolam</v>
      </c>
      <c r="F6737" s="251" t="str">
        <f>IF(AND(A6737&lt;&gt;"",ISNUMBER(A6737)),VLOOKUP(A6737,Studies!A:BR,6,FALSE),"")</f>
        <v>Plasma</v>
      </c>
      <c r="G6737" s="194">
        <v>4</v>
      </c>
      <c r="H6737" s="50" t="s">
        <v>60</v>
      </c>
      <c r="I6737" s="187">
        <v>8.9999319999999994</v>
      </c>
      <c r="J6737" s="41" t="s">
        <v>941</v>
      </c>
      <c r="K6737" s="41" t="s">
        <v>116</v>
      </c>
      <c r="L6737" s="195">
        <v>0.83289999999999997</v>
      </c>
      <c r="M6737" s="52" t="s">
        <v>941</v>
      </c>
      <c r="N6737" s="52" t="s">
        <v>949</v>
      </c>
    </row>
    <row r="6738" spans="1:14" x14ac:dyDescent="0.2">
      <c r="A6738" s="30">
        <v>739</v>
      </c>
      <c r="B6738" s="249" t="str">
        <f>IF(AND(A6738&lt;&gt;"",ISNUMBER(A6738)),VLOOKUP(A6738,Studies!A:BR,2,FALSE),"")</f>
        <v>Greenblatt 1998b</v>
      </c>
      <c r="C6738" s="250" t="str">
        <f>IF(AND(A6738&lt;&gt;"",ISNUMBER(A6738)),VLOOKUP(A6738,Studies!A:BR,3,FALSE),"")</f>
        <v>https://www.ncbi.nlm.nih.gov/pubmed/9757147</v>
      </c>
      <c r="D6738" s="250" t="str">
        <f>IF(AND(A6738&lt;&gt;"",ISNUMBER(A6738)),VLOOKUP(A6738,Studies!A:BR,4,FALSE),"")</f>
        <v>Alprazolam alone (Trial A)</v>
      </c>
      <c r="E6738" s="250" t="str">
        <f>IF(AND(A6738&lt;&gt;"",ISNUMBER(A6738)),VLOOKUP(A6738,Studies!A:BR,5,FALSE),"")</f>
        <v>Alprazolam</v>
      </c>
      <c r="F6738" s="251" t="str">
        <f>IF(AND(A6738&lt;&gt;"",ISNUMBER(A6738)),VLOOKUP(A6738,Studies!A:BR,6,FALSE),"")</f>
        <v>Plasma</v>
      </c>
      <c r="G6738" s="194">
        <v>6</v>
      </c>
      <c r="H6738" s="50" t="s">
        <v>60</v>
      </c>
      <c r="I6738" s="187">
        <v>7.4316469999999999</v>
      </c>
      <c r="J6738" s="41" t="s">
        <v>941</v>
      </c>
      <c r="K6738" s="41" t="s">
        <v>116</v>
      </c>
      <c r="L6738" s="195">
        <v>0.586252</v>
      </c>
      <c r="M6738" s="52" t="s">
        <v>941</v>
      </c>
      <c r="N6738" s="52" t="s">
        <v>949</v>
      </c>
    </row>
    <row r="6739" spans="1:14" x14ac:dyDescent="0.2">
      <c r="A6739" s="30">
        <v>739</v>
      </c>
      <c r="B6739" s="249" t="str">
        <f>IF(AND(A6739&lt;&gt;"",ISNUMBER(A6739)),VLOOKUP(A6739,Studies!A:BR,2,FALSE),"")</f>
        <v>Greenblatt 1998b</v>
      </c>
      <c r="C6739" s="250" t="str">
        <f>IF(AND(A6739&lt;&gt;"",ISNUMBER(A6739)),VLOOKUP(A6739,Studies!A:BR,3,FALSE),"")</f>
        <v>https://www.ncbi.nlm.nih.gov/pubmed/9757147</v>
      </c>
      <c r="D6739" s="250" t="str">
        <f>IF(AND(A6739&lt;&gt;"",ISNUMBER(A6739)),VLOOKUP(A6739,Studies!A:BR,4,FALSE),"")</f>
        <v>Alprazolam alone (Trial A)</v>
      </c>
      <c r="E6739" s="250" t="str">
        <f>IF(AND(A6739&lt;&gt;"",ISNUMBER(A6739)),VLOOKUP(A6739,Studies!A:BR,5,FALSE),"")</f>
        <v>Alprazolam</v>
      </c>
      <c r="F6739" s="251" t="str">
        <f>IF(AND(A6739&lt;&gt;"",ISNUMBER(A6739)),VLOOKUP(A6739,Studies!A:BR,6,FALSE),"")</f>
        <v>Plasma</v>
      </c>
      <c r="G6739" s="194">
        <v>8</v>
      </c>
      <c r="H6739" s="50" t="s">
        <v>60</v>
      </c>
      <c r="I6739" s="187">
        <v>7.1282730000000001</v>
      </c>
      <c r="J6739" s="41" t="s">
        <v>941</v>
      </c>
      <c r="K6739" s="41" t="s">
        <v>116</v>
      </c>
      <c r="L6739" s="195">
        <v>0.86374799999999996</v>
      </c>
      <c r="M6739" s="52" t="s">
        <v>941</v>
      </c>
      <c r="N6739" s="52" t="s">
        <v>949</v>
      </c>
    </row>
    <row r="6740" spans="1:14" x14ac:dyDescent="0.2">
      <c r="A6740" s="30">
        <v>739</v>
      </c>
      <c r="B6740" s="249" t="str">
        <f>IF(AND(A6740&lt;&gt;"",ISNUMBER(A6740)),VLOOKUP(A6740,Studies!A:BR,2,FALSE),"")</f>
        <v>Greenblatt 1998b</v>
      </c>
      <c r="C6740" s="250" t="str">
        <f>IF(AND(A6740&lt;&gt;"",ISNUMBER(A6740)),VLOOKUP(A6740,Studies!A:BR,3,FALSE),"")</f>
        <v>https://www.ncbi.nlm.nih.gov/pubmed/9757147</v>
      </c>
      <c r="D6740" s="250" t="str">
        <f>IF(AND(A6740&lt;&gt;"",ISNUMBER(A6740)),VLOOKUP(A6740,Studies!A:BR,4,FALSE),"")</f>
        <v>Alprazolam alone (Trial A)</v>
      </c>
      <c r="E6740" s="250" t="str">
        <f>IF(AND(A6740&lt;&gt;"",ISNUMBER(A6740)),VLOOKUP(A6740,Studies!A:BR,5,FALSE),"")</f>
        <v>Alprazolam</v>
      </c>
      <c r="F6740" s="251" t="str">
        <f>IF(AND(A6740&lt;&gt;"",ISNUMBER(A6740)),VLOOKUP(A6740,Studies!A:BR,6,FALSE),"")</f>
        <v>Plasma</v>
      </c>
      <c r="G6740" s="194">
        <v>12</v>
      </c>
      <c r="H6740" s="50" t="s">
        <v>60</v>
      </c>
      <c r="I6740" s="187">
        <v>5.4110589999999998</v>
      </c>
      <c r="J6740" s="41" t="s">
        <v>941</v>
      </c>
      <c r="K6740" s="41" t="s">
        <v>116</v>
      </c>
      <c r="L6740" s="195">
        <v>0.61696300000000004</v>
      </c>
      <c r="M6740" s="52" t="s">
        <v>941</v>
      </c>
      <c r="N6740" s="52" t="s">
        <v>949</v>
      </c>
    </row>
    <row r="6741" spans="1:14" x14ac:dyDescent="0.2">
      <c r="A6741" s="30">
        <v>739</v>
      </c>
      <c r="B6741" s="249" t="str">
        <f>IF(AND(A6741&lt;&gt;"",ISNUMBER(A6741)),VLOOKUP(A6741,Studies!A:BR,2,FALSE),"")</f>
        <v>Greenblatt 1998b</v>
      </c>
      <c r="C6741" s="250" t="str">
        <f>IF(AND(A6741&lt;&gt;"",ISNUMBER(A6741)),VLOOKUP(A6741,Studies!A:BR,3,FALSE),"")</f>
        <v>https://www.ncbi.nlm.nih.gov/pubmed/9757147</v>
      </c>
      <c r="D6741" s="250" t="str">
        <f>IF(AND(A6741&lt;&gt;"",ISNUMBER(A6741)),VLOOKUP(A6741,Studies!A:BR,4,FALSE),"")</f>
        <v>Alprazolam alone (Trial A)</v>
      </c>
      <c r="E6741" s="250" t="str">
        <f>IF(AND(A6741&lt;&gt;"",ISNUMBER(A6741)),VLOOKUP(A6741,Studies!A:BR,5,FALSE),"")</f>
        <v>Alprazolam</v>
      </c>
      <c r="F6741" s="251" t="str">
        <f>IF(AND(A6741&lt;&gt;"",ISNUMBER(A6741)),VLOOKUP(A6741,Studies!A:BR,6,FALSE),"")</f>
        <v>Plasma</v>
      </c>
      <c r="G6741" s="194">
        <v>24</v>
      </c>
      <c r="H6741" s="50" t="s">
        <v>60</v>
      </c>
      <c r="I6741" s="187">
        <v>3.3839999999999999</v>
      </c>
      <c r="J6741" s="41" t="s">
        <v>941</v>
      </c>
      <c r="K6741" s="41" t="s">
        <v>116</v>
      </c>
      <c r="L6741" s="195">
        <v>0.69998400000000005</v>
      </c>
      <c r="M6741" s="52" t="s">
        <v>941</v>
      </c>
      <c r="N6741" s="52" t="s">
        <v>949</v>
      </c>
    </row>
    <row r="6742" spans="1:14" x14ac:dyDescent="0.2">
      <c r="A6742" s="30">
        <v>739</v>
      </c>
      <c r="B6742" s="249" t="str">
        <f>IF(AND(A6742&lt;&gt;"",ISNUMBER(A6742)),VLOOKUP(A6742,Studies!A:BR,2,FALSE),"")</f>
        <v>Greenblatt 1998b</v>
      </c>
      <c r="C6742" s="250" t="str">
        <f>IF(AND(A6742&lt;&gt;"",ISNUMBER(A6742)),VLOOKUP(A6742,Studies!A:BR,3,FALSE),"")</f>
        <v>https://www.ncbi.nlm.nih.gov/pubmed/9757147</v>
      </c>
      <c r="D6742" s="250" t="str">
        <f>IF(AND(A6742&lt;&gt;"",ISNUMBER(A6742)),VLOOKUP(A6742,Studies!A:BR,4,FALSE),"")</f>
        <v>Alprazolam alone (Trial A)</v>
      </c>
      <c r="E6742" s="250" t="str">
        <f>IF(AND(A6742&lt;&gt;"",ISNUMBER(A6742)),VLOOKUP(A6742,Studies!A:BR,5,FALSE),"")</f>
        <v>Alprazolam</v>
      </c>
      <c r="F6742" s="251" t="str">
        <f>IF(AND(A6742&lt;&gt;"",ISNUMBER(A6742)),VLOOKUP(A6742,Studies!A:BR,6,FALSE),"")</f>
        <v>Plasma</v>
      </c>
      <c r="G6742" s="194">
        <v>48</v>
      </c>
      <c r="H6742" s="50" t="s">
        <v>60</v>
      </c>
      <c r="I6742" s="187">
        <v>1.0289999999999999</v>
      </c>
      <c r="J6742" s="41" t="s">
        <v>941</v>
      </c>
      <c r="K6742" s="41" t="s">
        <v>116</v>
      </c>
      <c r="L6742" s="195">
        <v>0.38603300000000002</v>
      </c>
      <c r="M6742" s="52" t="s">
        <v>941</v>
      </c>
      <c r="N6742" s="52" t="s">
        <v>949</v>
      </c>
    </row>
    <row r="6743" spans="1:14" x14ac:dyDescent="0.2">
      <c r="A6743" s="30">
        <v>740</v>
      </c>
      <c r="B6743" s="249" t="str">
        <f>IF(AND(A6743&lt;&gt;"",ISNUMBER(A6743)),VLOOKUP(A6743,Studies!A:BR,2,FALSE),"")</f>
        <v>Greenblatt 2000</v>
      </c>
      <c r="C6743" s="250" t="str">
        <f>IF(AND(A6743&lt;&gt;"",ISNUMBER(A6743)),VLOOKUP(A6743,Studies!A:BR,3,FALSE),"")</f>
        <v>https://www.ncbi.nlm.nih.gov/pubmed/10801241</v>
      </c>
      <c r="D6743" s="250" t="str">
        <f>IF(AND(A6743&lt;&gt;"",ISNUMBER(A6743)),VLOOKUP(A6743,Studies!A:BR,4,FALSE),"")</f>
        <v>Control</v>
      </c>
      <c r="E6743" s="250" t="str">
        <f>IF(AND(A6743&lt;&gt;"",ISNUMBER(A6743)),VLOOKUP(A6743,Studies!A:BR,5,FALSE),"")</f>
        <v>Alprazolam</v>
      </c>
      <c r="F6743" s="251" t="str">
        <f>IF(AND(A6743&lt;&gt;"",ISNUMBER(A6743)),VLOOKUP(A6743,Studies!A:BR,6,FALSE),"")</f>
        <v>Plasma</v>
      </c>
      <c r="G6743" s="194">
        <v>0.5</v>
      </c>
      <c r="H6743" s="50" t="s">
        <v>60</v>
      </c>
      <c r="I6743" s="187">
        <v>5.0053720000000004</v>
      </c>
      <c r="J6743" s="41" t="s">
        <v>941</v>
      </c>
      <c r="K6743" s="41" t="s">
        <v>116</v>
      </c>
      <c r="L6743" s="195">
        <v>1.5054540000000001</v>
      </c>
      <c r="M6743" s="52" t="s">
        <v>941</v>
      </c>
      <c r="N6743" s="52" t="s">
        <v>949</v>
      </c>
    </row>
    <row r="6744" spans="1:14" x14ac:dyDescent="0.2">
      <c r="A6744" s="30">
        <v>740</v>
      </c>
      <c r="B6744" s="249" t="str">
        <f>IF(AND(A6744&lt;&gt;"",ISNUMBER(A6744)),VLOOKUP(A6744,Studies!A:BR,2,FALSE),"")</f>
        <v>Greenblatt 2000</v>
      </c>
      <c r="C6744" s="250" t="str">
        <f>IF(AND(A6744&lt;&gt;"",ISNUMBER(A6744)),VLOOKUP(A6744,Studies!A:BR,3,FALSE),"")</f>
        <v>https://www.ncbi.nlm.nih.gov/pubmed/10801241</v>
      </c>
      <c r="D6744" s="250" t="str">
        <f>IF(AND(A6744&lt;&gt;"",ISNUMBER(A6744)),VLOOKUP(A6744,Studies!A:BR,4,FALSE),"")</f>
        <v>Control</v>
      </c>
      <c r="E6744" s="250" t="str">
        <f>IF(AND(A6744&lt;&gt;"",ISNUMBER(A6744)),VLOOKUP(A6744,Studies!A:BR,5,FALSE),"")</f>
        <v>Alprazolam</v>
      </c>
      <c r="F6744" s="251" t="str">
        <f>IF(AND(A6744&lt;&gt;"",ISNUMBER(A6744)),VLOOKUP(A6744,Studies!A:BR,6,FALSE),"")</f>
        <v>Plasma</v>
      </c>
      <c r="G6744" s="194">
        <v>1</v>
      </c>
      <c r="H6744" s="50" t="s">
        <v>60</v>
      </c>
      <c r="I6744" s="187">
        <v>13.054819999999999</v>
      </c>
      <c r="J6744" s="41" t="s">
        <v>941</v>
      </c>
      <c r="K6744" s="41" t="s">
        <v>116</v>
      </c>
      <c r="L6744" s="195">
        <v>1.1887760000000001</v>
      </c>
      <c r="M6744" s="52" t="s">
        <v>941</v>
      </c>
      <c r="N6744" s="52" t="s">
        <v>949</v>
      </c>
    </row>
    <row r="6745" spans="1:14" x14ac:dyDescent="0.2">
      <c r="A6745" s="30">
        <v>740</v>
      </c>
      <c r="B6745" s="249" t="str">
        <f>IF(AND(A6745&lt;&gt;"",ISNUMBER(A6745)),VLOOKUP(A6745,Studies!A:BR,2,FALSE),"")</f>
        <v>Greenblatt 2000</v>
      </c>
      <c r="C6745" s="250" t="str">
        <f>IF(AND(A6745&lt;&gt;"",ISNUMBER(A6745)),VLOOKUP(A6745,Studies!A:BR,3,FALSE),"")</f>
        <v>https://www.ncbi.nlm.nih.gov/pubmed/10801241</v>
      </c>
      <c r="D6745" s="250" t="str">
        <f>IF(AND(A6745&lt;&gt;"",ISNUMBER(A6745)),VLOOKUP(A6745,Studies!A:BR,4,FALSE),"")</f>
        <v>Control</v>
      </c>
      <c r="E6745" s="250" t="str">
        <f>IF(AND(A6745&lt;&gt;"",ISNUMBER(A6745)),VLOOKUP(A6745,Studies!A:BR,5,FALSE),"")</f>
        <v>Alprazolam</v>
      </c>
      <c r="F6745" s="251" t="str">
        <f>IF(AND(A6745&lt;&gt;"",ISNUMBER(A6745)),VLOOKUP(A6745,Studies!A:BR,6,FALSE),"")</f>
        <v>Plasma</v>
      </c>
      <c r="G6745" s="194">
        <v>1.5</v>
      </c>
      <c r="H6745" s="50" t="s">
        <v>60</v>
      </c>
      <c r="I6745" s="187">
        <v>14.17841</v>
      </c>
      <c r="J6745" s="41" t="s">
        <v>941</v>
      </c>
      <c r="K6745" s="41" t="s">
        <v>116</v>
      </c>
      <c r="L6745" s="195">
        <v>0.87115799999999999</v>
      </c>
      <c r="M6745" s="52" t="s">
        <v>941</v>
      </c>
      <c r="N6745" s="52" t="s">
        <v>949</v>
      </c>
    </row>
    <row r="6746" spans="1:14" x14ac:dyDescent="0.2">
      <c r="A6746" s="30">
        <v>740</v>
      </c>
      <c r="B6746" s="249" t="str">
        <f>IF(AND(A6746&lt;&gt;"",ISNUMBER(A6746)),VLOOKUP(A6746,Studies!A:BR,2,FALSE),"")</f>
        <v>Greenblatt 2000</v>
      </c>
      <c r="C6746" s="250" t="str">
        <f>IF(AND(A6746&lt;&gt;"",ISNUMBER(A6746)),VLOOKUP(A6746,Studies!A:BR,3,FALSE),"")</f>
        <v>https://www.ncbi.nlm.nih.gov/pubmed/10801241</v>
      </c>
      <c r="D6746" s="250" t="str">
        <f>IF(AND(A6746&lt;&gt;"",ISNUMBER(A6746)),VLOOKUP(A6746,Studies!A:BR,4,FALSE),"")</f>
        <v>Control</v>
      </c>
      <c r="E6746" s="250" t="str">
        <f>IF(AND(A6746&lt;&gt;"",ISNUMBER(A6746)),VLOOKUP(A6746,Studies!A:BR,5,FALSE),"")</f>
        <v>Alprazolam</v>
      </c>
      <c r="F6746" s="251" t="str">
        <f>IF(AND(A6746&lt;&gt;"",ISNUMBER(A6746)),VLOOKUP(A6746,Studies!A:BR,6,FALSE),"")</f>
        <v>Plasma</v>
      </c>
      <c r="G6746" s="194">
        <v>2</v>
      </c>
      <c r="H6746" s="50" t="s">
        <v>60</v>
      </c>
      <c r="I6746" s="187">
        <v>13.480790000000001</v>
      </c>
      <c r="J6746" s="41" t="s">
        <v>941</v>
      </c>
      <c r="K6746" s="41" t="s">
        <v>116</v>
      </c>
      <c r="L6746" s="195">
        <v>0.96015899999999998</v>
      </c>
      <c r="M6746" s="52" t="s">
        <v>941</v>
      </c>
      <c r="N6746" s="52" t="s">
        <v>949</v>
      </c>
    </row>
    <row r="6747" spans="1:14" x14ac:dyDescent="0.2">
      <c r="A6747" s="30">
        <v>740</v>
      </c>
      <c r="B6747" s="249" t="str">
        <f>IF(AND(A6747&lt;&gt;"",ISNUMBER(A6747)),VLOOKUP(A6747,Studies!A:BR,2,FALSE),"")</f>
        <v>Greenblatt 2000</v>
      </c>
      <c r="C6747" s="250" t="str">
        <f>IF(AND(A6747&lt;&gt;"",ISNUMBER(A6747)),VLOOKUP(A6747,Studies!A:BR,3,FALSE),"")</f>
        <v>https://www.ncbi.nlm.nih.gov/pubmed/10801241</v>
      </c>
      <c r="D6747" s="250" t="str">
        <f>IF(AND(A6747&lt;&gt;"",ISNUMBER(A6747)),VLOOKUP(A6747,Studies!A:BR,4,FALSE),"")</f>
        <v>Control</v>
      </c>
      <c r="E6747" s="250" t="str">
        <f>IF(AND(A6747&lt;&gt;"",ISNUMBER(A6747)),VLOOKUP(A6747,Studies!A:BR,5,FALSE),"")</f>
        <v>Alprazolam</v>
      </c>
      <c r="F6747" s="251" t="str">
        <f>IF(AND(A6747&lt;&gt;"",ISNUMBER(A6747)),VLOOKUP(A6747,Studies!A:BR,6,FALSE),"")</f>
        <v>Plasma</v>
      </c>
      <c r="G6747" s="194">
        <v>2.5</v>
      </c>
      <c r="H6747" s="50" t="s">
        <v>60</v>
      </c>
      <c r="I6747" s="187">
        <v>12.99508</v>
      </c>
      <c r="J6747" s="41" t="s">
        <v>941</v>
      </c>
      <c r="K6747" s="41" t="s">
        <v>116</v>
      </c>
      <c r="L6747" s="195">
        <v>0.92556899999999998</v>
      </c>
      <c r="M6747" s="52" t="s">
        <v>941</v>
      </c>
      <c r="N6747" s="52" t="s">
        <v>949</v>
      </c>
    </row>
    <row r="6748" spans="1:14" x14ac:dyDescent="0.2">
      <c r="A6748" s="30">
        <v>740</v>
      </c>
      <c r="B6748" s="249" t="str">
        <f>IF(AND(A6748&lt;&gt;"",ISNUMBER(A6748)),VLOOKUP(A6748,Studies!A:BR,2,FALSE),"")</f>
        <v>Greenblatt 2000</v>
      </c>
      <c r="C6748" s="250" t="str">
        <f>IF(AND(A6748&lt;&gt;"",ISNUMBER(A6748)),VLOOKUP(A6748,Studies!A:BR,3,FALSE),"")</f>
        <v>https://www.ncbi.nlm.nih.gov/pubmed/10801241</v>
      </c>
      <c r="D6748" s="250" t="str">
        <f>IF(AND(A6748&lt;&gt;"",ISNUMBER(A6748)),VLOOKUP(A6748,Studies!A:BR,4,FALSE),"")</f>
        <v>Control</v>
      </c>
      <c r="E6748" s="250" t="str">
        <f>IF(AND(A6748&lt;&gt;"",ISNUMBER(A6748)),VLOOKUP(A6748,Studies!A:BR,5,FALSE),"")</f>
        <v>Alprazolam</v>
      </c>
      <c r="F6748" s="251" t="str">
        <f>IF(AND(A6748&lt;&gt;"",ISNUMBER(A6748)),VLOOKUP(A6748,Studies!A:BR,6,FALSE),"")</f>
        <v>Plasma</v>
      </c>
      <c r="G6748" s="194">
        <v>3</v>
      </c>
      <c r="H6748" s="50" t="s">
        <v>60</v>
      </c>
      <c r="I6748" s="187">
        <v>12.13105</v>
      </c>
      <c r="J6748" s="41" t="s">
        <v>941</v>
      </c>
      <c r="K6748" s="41" t="s">
        <v>116</v>
      </c>
      <c r="L6748" s="195">
        <v>0.62778100000000003</v>
      </c>
      <c r="M6748" s="52" t="s">
        <v>941</v>
      </c>
      <c r="N6748" s="52" t="s">
        <v>949</v>
      </c>
    </row>
    <row r="6749" spans="1:14" x14ac:dyDescent="0.2">
      <c r="A6749" s="30">
        <v>740</v>
      </c>
      <c r="B6749" s="249" t="str">
        <f>IF(AND(A6749&lt;&gt;"",ISNUMBER(A6749)),VLOOKUP(A6749,Studies!A:BR,2,FALSE),"")</f>
        <v>Greenblatt 2000</v>
      </c>
      <c r="C6749" s="250" t="str">
        <f>IF(AND(A6749&lt;&gt;"",ISNUMBER(A6749)),VLOOKUP(A6749,Studies!A:BR,3,FALSE),"")</f>
        <v>https://www.ncbi.nlm.nih.gov/pubmed/10801241</v>
      </c>
      <c r="D6749" s="250" t="str">
        <f>IF(AND(A6749&lt;&gt;"",ISNUMBER(A6749)),VLOOKUP(A6749,Studies!A:BR,4,FALSE),"")</f>
        <v>Control</v>
      </c>
      <c r="E6749" s="250" t="str">
        <f>IF(AND(A6749&lt;&gt;"",ISNUMBER(A6749)),VLOOKUP(A6749,Studies!A:BR,5,FALSE),"")</f>
        <v>Alprazolam</v>
      </c>
      <c r="F6749" s="251" t="str">
        <f>IF(AND(A6749&lt;&gt;"",ISNUMBER(A6749)),VLOOKUP(A6749,Studies!A:BR,6,FALSE),"")</f>
        <v>Plasma</v>
      </c>
      <c r="G6749" s="194">
        <v>4</v>
      </c>
      <c r="H6749" s="50" t="s">
        <v>60</v>
      </c>
      <c r="I6749" s="187">
        <v>10.96665</v>
      </c>
      <c r="J6749" s="41" t="s">
        <v>941</v>
      </c>
      <c r="K6749" s="41" t="s">
        <v>116</v>
      </c>
      <c r="L6749" s="195">
        <v>1.0536270000000001</v>
      </c>
      <c r="M6749" s="52" t="s">
        <v>941</v>
      </c>
      <c r="N6749" s="52" t="s">
        <v>949</v>
      </c>
    </row>
    <row r="6750" spans="1:14" x14ac:dyDescent="0.2">
      <c r="A6750" s="30">
        <v>740</v>
      </c>
      <c r="B6750" s="249" t="str">
        <f>IF(AND(A6750&lt;&gt;"",ISNUMBER(A6750)),VLOOKUP(A6750,Studies!A:BR,2,FALSE),"")</f>
        <v>Greenblatt 2000</v>
      </c>
      <c r="C6750" s="250" t="str">
        <f>IF(AND(A6750&lt;&gt;"",ISNUMBER(A6750)),VLOOKUP(A6750,Studies!A:BR,3,FALSE),"")</f>
        <v>https://www.ncbi.nlm.nih.gov/pubmed/10801241</v>
      </c>
      <c r="D6750" s="250" t="str">
        <f>IF(AND(A6750&lt;&gt;"",ISNUMBER(A6750)),VLOOKUP(A6750,Studies!A:BR,4,FALSE),"")</f>
        <v>Control</v>
      </c>
      <c r="E6750" s="250" t="str">
        <f>IF(AND(A6750&lt;&gt;"",ISNUMBER(A6750)),VLOOKUP(A6750,Studies!A:BR,5,FALSE),"")</f>
        <v>Alprazolam</v>
      </c>
      <c r="F6750" s="251" t="str">
        <f>IF(AND(A6750&lt;&gt;"",ISNUMBER(A6750)),VLOOKUP(A6750,Studies!A:BR,6,FALSE),"")</f>
        <v>Plasma</v>
      </c>
      <c r="G6750" s="194">
        <v>5</v>
      </c>
      <c r="H6750" s="50" t="s">
        <v>60</v>
      </c>
      <c r="I6750" s="187">
        <v>10.097580000000001</v>
      </c>
      <c r="J6750" s="41" t="s">
        <v>941</v>
      </c>
      <c r="K6750" s="41" t="s">
        <v>116</v>
      </c>
      <c r="L6750" s="195">
        <v>0.81887900000000002</v>
      </c>
      <c r="M6750" s="52" t="s">
        <v>941</v>
      </c>
      <c r="N6750" s="52" t="s">
        <v>949</v>
      </c>
    </row>
    <row r="6751" spans="1:14" x14ac:dyDescent="0.2">
      <c r="A6751" s="30">
        <v>740</v>
      </c>
      <c r="B6751" s="249" t="str">
        <f>IF(AND(A6751&lt;&gt;"",ISNUMBER(A6751)),VLOOKUP(A6751,Studies!A:BR,2,FALSE),"")</f>
        <v>Greenblatt 2000</v>
      </c>
      <c r="C6751" s="250" t="str">
        <f>IF(AND(A6751&lt;&gt;"",ISNUMBER(A6751)),VLOOKUP(A6751,Studies!A:BR,3,FALSE),"")</f>
        <v>https://www.ncbi.nlm.nih.gov/pubmed/10801241</v>
      </c>
      <c r="D6751" s="250" t="str">
        <f>IF(AND(A6751&lt;&gt;"",ISNUMBER(A6751)),VLOOKUP(A6751,Studies!A:BR,4,FALSE),"")</f>
        <v>Control</v>
      </c>
      <c r="E6751" s="250" t="str">
        <f>IF(AND(A6751&lt;&gt;"",ISNUMBER(A6751)),VLOOKUP(A6751,Studies!A:BR,5,FALSE),"")</f>
        <v>Alprazolam</v>
      </c>
      <c r="F6751" s="251" t="str">
        <f>IF(AND(A6751&lt;&gt;"",ISNUMBER(A6751)),VLOOKUP(A6751,Studies!A:BR,6,FALSE),"")</f>
        <v>Plasma</v>
      </c>
      <c r="G6751" s="194">
        <v>6</v>
      </c>
      <c r="H6751" s="50" t="s">
        <v>60</v>
      </c>
      <c r="I6751" s="187">
        <v>8.9624020000000009</v>
      </c>
      <c r="J6751" s="41" t="s">
        <v>941</v>
      </c>
      <c r="K6751" s="41" t="s">
        <v>116</v>
      </c>
      <c r="L6751" s="195">
        <v>0.95160199999999995</v>
      </c>
      <c r="M6751" s="52" t="s">
        <v>941</v>
      </c>
      <c r="N6751" s="52" t="s">
        <v>949</v>
      </c>
    </row>
    <row r="6752" spans="1:14" x14ac:dyDescent="0.2">
      <c r="A6752" s="30">
        <v>740</v>
      </c>
      <c r="B6752" s="249" t="str">
        <f>IF(AND(A6752&lt;&gt;"",ISNUMBER(A6752)),VLOOKUP(A6752,Studies!A:BR,2,FALSE),"")</f>
        <v>Greenblatt 2000</v>
      </c>
      <c r="C6752" s="250" t="str">
        <f>IF(AND(A6752&lt;&gt;"",ISNUMBER(A6752)),VLOOKUP(A6752,Studies!A:BR,3,FALSE),"")</f>
        <v>https://www.ncbi.nlm.nih.gov/pubmed/10801241</v>
      </c>
      <c r="D6752" s="250" t="str">
        <f>IF(AND(A6752&lt;&gt;"",ISNUMBER(A6752)),VLOOKUP(A6752,Studies!A:BR,4,FALSE),"")</f>
        <v>Control</v>
      </c>
      <c r="E6752" s="250" t="str">
        <f>IF(AND(A6752&lt;&gt;"",ISNUMBER(A6752)),VLOOKUP(A6752,Studies!A:BR,5,FALSE),"")</f>
        <v>Alprazolam</v>
      </c>
      <c r="F6752" s="251" t="str">
        <f>IF(AND(A6752&lt;&gt;"",ISNUMBER(A6752)),VLOOKUP(A6752,Studies!A:BR,6,FALSE),"")</f>
        <v>Plasma</v>
      </c>
      <c r="G6752" s="194">
        <v>8</v>
      </c>
      <c r="H6752" s="50" t="s">
        <v>60</v>
      </c>
      <c r="I6752" s="187">
        <v>7.5982099999999999</v>
      </c>
      <c r="J6752" s="41" t="s">
        <v>941</v>
      </c>
      <c r="K6752" s="41" t="s">
        <v>116</v>
      </c>
      <c r="L6752" s="195">
        <v>0.73000500000000001</v>
      </c>
      <c r="M6752" s="52" t="s">
        <v>941</v>
      </c>
      <c r="N6752" s="52" t="s">
        <v>949</v>
      </c>
    </row>
    <row r="6753" spans="1:14" x14ac:dyDescent="0.2">
      <c r="A6753" s="30">
        <v>740</v>
      </c>
      <c r="B6753" s="249" t="str">
        <f>IF(AND(A6753&lt;&gt;"",ISNUMBER(A6753)),VLOOKUP(A6753,Studies!A:BR,2,FALSE),"")</f>
        <v>Greenblatt 2000</v>
      </c>
      <c r="C6753" s="250" t="str">
        <f>IF(AND(A6753&lt;&gt;"",ISNUMBER(A6753)),VLOOKUP(A6753,Studies!A:BR,3,FALSE),"")</f>
        <v>https://www.ncbi.nlm.nih.gov/pubmed/10801241</v>
      </c>
      <c r="D6753" s="250" t="str">
        <f>IF(AND(A6753&lt;&gt;"",ISNUMBER(A6753)),VLOOKUP(A6753,Studies!A:BR,4,FALSE),"")</f>
        <v>Control</v>
      </c>
      <c r="E6753" s="250" t="str">
        <f>IF(AND(A6753&lt;&gt;"",ISNUMBER(A6753)),VLOOKUP(A6753,Studies!A:BR,5,FALSE),"")</f>
        <v>Alprazolam</v>
      </c>
      <c r="F6753" s="251" t="str">
        <f>IF(AND(A6753&lt;&gt;"",ISNUMBER(A6753)),VLOOKUP(A6753,Studies!A:BR,6,FALSE),"")</f>
        <v>Plasma</v>
      </c>
      <c r="G6753" s="194">
        <v>24</v>
      </c>
      <c r="H6753" s="50" t="s">
        <v>60</v>
      </c>
      <c r="I6753" s="187">
        <v>3.5811130000000002</v>
      </c>
      <c r="J6753" s="41" t="s">
        <v>941</v>
      </c>
      <c r="K6753" s="41" t="s">
        <v>116</v>
      </c>
      <c r="L6753" s="195">
        <v>0.68188599999999999</v>
      </c>
      <c r="M6753" s="52" t="s">
        <v>941</v>
      </c>
      <c r="N6753" s="52" t="s">
        <v>949</v>
      </c>
    </row>
    <row r="6754" spans="1:14" x14ac:dyDescent="0.2">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32</v>
      </c>
      <c r="H6754" s="50" t="s">
        <v>60</v>
      </c>
      <c r="I6754" s="187">
        <v>2.3699279999999998</v>
      </c>
      <c r="J6754" s="41" t="s">
        <v>941</v>
      </c>
      <c r="K6754" s="41" t="s">
        <v>116</v>
      </c>
      <c r="L6754" s="195">
        <v>0.59725799999999996</v>
      </c>
      <c r="M6754" s="52" t="s">
        <v>941</v>
      </c>
      <c r="N6754" s="52" t="s">
        <v>949</v>
      </c>
    </row>
    <row r="6755" spans="1:14" x14ac:dyDescent="0.2">
      <c r="A6755" s="30">
        <v>741</v>
      </c>
      <c r="B6755" s="249" t="str">
        <f>IF(AND(A6755&lt;&gt;"",ISNUMBER(A6755)),VLOOKUP(A6755,Studies!A:BR,2,FALSE),"")</f>
        <v>Juhl 1984</v>
      </c>
      <c r="C6755" s="250" t="str">
        <f>IF(AND(A6755&lt;&gt;"",ISNUMBER(A6755)),VLOOKUP(A6755,Studies!A:BR,3,FALSE),"")</f>
        <v>https://www.ncbi.nlm.nih.gov/pubmed/6143766</v>
      </c>
      <c r="D6755" s="250" t="str">
        <f>IF(AND(A6755&lt;&gt;"",ISNUMBER(A6755)),VLOOKUP(A6755,Studies!A:BR,4,FALSE),"")</f>
        <v>Healthy control group</v>
      </c>
      <c r="E6755" s="250" t="str">
        <f>IF(AND(A6755&lt;&gt;"",ISNUMBER(A6755)),VLOOKUP(A6755,Studies!A:BR,5,FALSE),"")</f>
        <v>Alprazolam</v>
      </c>
      <c r="F6755" s="251" t="str">
        <f>IF(AND(A6755&lt;&gt;"",ISNUMBER(A6755)),VLOOKUP(A6755,Studies!A:BR,6,FALSE),"")</f>
        <v>Plasma</v>
      </c>
      <c r="G6755" s="194">
        <v>0.27002999999999999</v>
      </c>
      <c r="H6755" s="50" t="s">
        <v>60</v>
      </c>
      <c r="I6755" s="187">
        <v>5.0291350000000001</v>
      </c>
      <c r="J6755" s="41" t="s">
        <v>941</v>
      </c>
      <c r="K6755" s="41" t="s">
        <v>116</v>
      </c>
    </row>
    <row r="6756" spans="1:14" x14ac:dyDescent="0.2">
      <c r="A6756" s="30">
        <v>741</v>
      </c>
      <c r="B6756" s="249" t="str">
        <f>IF(AND(A6756&lt;&gt;"",ISNUMBER(A6756)),VLOOKUP(A6756,Studies!A:BR,2,FALSE),"")</f>
        <v>Juhl 1984</v>
      </c>
      <c r="C6756" s="250" t="str">
        <f>IF(AND(A6756&lt;&gt;"",ISNUMBER(A6756)),VLOOKUP(A6756,Studies!A:BR,3,FALSE),"")</f>
        <v>https://www.ncbi.nlm.nih.gov/pubmed/6143766</v>
      </c>
      <c r="D6756" s="250" t="str">
        <f>IF(AND(A6756&lt;&gt;"",ISNUMBER(A6756)),VLOOKUP(A6756,Studies!A:BR,4,FALSE),"")</f>
        <v>Healthy control group</v>
      </c>
      <c r="E6756" s="250" t="str">
        <f>IF(AND(A6756&lt;&gt;"",ISNUMBER(A6756)),VLOOKUP(A6756,Studies!A:BR,5,FALSE),"")</f>
        <v>Alprazolam</v>
      </c>
      <c r="F6756" s="251" t="str">
        <f>IF(AND(A6756&lt;&gt;"",ISNUMBER(A6756)),VLOOKUP(A6756,Studies!A:BR,6,FALSE),"")</f>
        <v>Plasma</v>
      </c>
      <c r="G6756" s="194">
        <v>0.52847</v>
      </c>
      <c r="H6756" s="50" t="s">
        <v>60</v>
      </c>
      <c r="I6756" s="187">
        <v>12.71031</v>
      </c>
      <c r="J6756" s="41" t="s">
        <v>941</v>
      </c>
      <c r="K6756" s="41" t="s">
        <v>116</v>
      </c>
    </row>
    <row r="6757" spans="1:14" x14ac:dyDescent="0.2">
      <c r="A6757" s="30">
        <v>741</v>
      </c>
      <c r="B6757" s="249" t="str">
        <f>IF(AND(A6757&lt;&gt;"",ISNUMBER(A6757)),VLOOKUP(A6757,Studies!A:BR,2,FALSE),"")</f>
        <v>Juhl 1984</v>
      </c>
      <c r="C6757" s="250" t="str">
        <f>IF(AND(A6757&lt;&gt;"",ISNUMBER(A6757)),VLOOKUP(A6757,Studies!A:BR,3,FALSE),"")</f>
        <v>https://www.ncbi.nlm.nih.gov/pubmed/6143766</v>
      </c>
      <c r="D6757" s="250" t="str">
        <f>IF(AND(A6757&lt;&gt;"",ISNUMBER(A6757)),VLOOKUP(A6757,Studies!A:BR,4,FALSE),"")</f>
        <v>Healthy control group</v>
      </c>
      <c r="E6757" s="250" t="str">
        <f>IF(AND(A6757&lt;&gt;"",ISNUMBER(A6757)),VLOOKUP(A6757,Studies!A:BR,5,FALSE),"")</f>
        <v>Alprazolam</v>
      </c>
      <c r="F6757" s="251" t="str">
        <f>IF(AND(A6757&lt;&gt;"",ISNUMBER(A6757)),VLOOKUP(A6757,Studies!A:BR,6,FALSE),"")</f>
        <v>Plasma</v>
      </c>
      <c r="G6757" s="194">
        <v>0.74789000000000005</v>
      </c>
      <c r="H6757" s="50" t="s">
        <v>60</v>
      </c>
      <c r="I6757" s="187">
        <v>13.688179999999999</v>
      </c>
      <c r="J6757" s="41" t="s">
        <v>941</v>
      </c>
      <c r="K6757" s="41" t="s">
        <v>116</v>
      </c>
    </row>
    <row r="6758" spans="1:14" x14ac:dyDescent="0.2">
      <c r="A6758" s="30">
        <v>741</v>
      </c>
      <c r="B6758" s="249" t="str">
        <f>IF(AND(A6758&lt;&gt;"",ISNUMBER(A6758)),VLOOKUP(A6758,Studies!A:BR,2,FALSE),"")</f>
        <v>Juhl 1984</v>
      </c>
      <c r="C6758" s="250" t="str">
        <f>IF(AND(A6758&lt;&gt;"",ISNUMBER(A6758)),VLOOKUP(A6758,Studies!A:BR,3,FALSE),"")</f>
        <v>https://www.ncbi.nlm.nih.gov/pubmed/6143766</v>
      </c>
      <c r="D6758" s="250" t="str">
        <f>IF(AND(A6758&lt;&gt;"",ISNUMBER(A6758)),VLOOKUP(A6758,Studies!A:BR,4,FALSE),"")</f>
        <v>Healthy control group</v>
      </c>
      <c r="E6758" s="250" t="str">
        <f>IF(AND(A6758&lt;&gt;"",ISNUMBER(A6758)),VLOOKUP(A6758,Studies!A:BR,5,FALSE),"")</f>
        <v>Alprazolam</v>
      </c>
      <c r="F6758" s="251" t="str">
        <f>IF(AND(A6758&lt;&gt;"",ISNUMBER(A6758)),VLOOKUP(A6758,Studies!A:BR,6,FALSE),"")</f>
        <v>Plasma</v>
      </c>
      <c r="G6758" s="194">
        <v>1.0457000000000001</v>
      </c>
      <c r="H6758" s="50" t="s">
        <v>60</v>
      </c>
      <c r="I6758" s="187">
        <v>14.002829999999999</v>
      </c>
      <c r="J6758" s="41" t="s">
        <v>941</v>
      </c>
      <c r="K6758" s="41" t="s">
        <v>116</v>
      </c>
    </row>
    <row r="6759" spans="1:14" x14ac:dyDescent="0.2">
      <c r="A6759" s="30">
        <v>741</v>
      </c>
      <c r="B6759" s="249" t="str">
        <f>IF(AND(A6759&lt;&gt;"",ISNUMBER(A6759)),VLOOKUP(A6759,Studies!A:BR,2,FALSE),"")</f>
        <v>Juhl 1984</v>
      </c>
      <c r="C6759" s="250" t="str">
        <f>IF(AND(A6759&lt;&gt;"",ISNUMBER(A6759)),VLOOKUP(A6759,Studies!A:BR,3,FALSE),"")</f>
        <v>https://www.ncbi.nlm.nih.gov/pubmed/6143766</v>
      </c>
      <c r="D6759" s="250" t="str">
        <f>IF(AND(A6759&lt;&gt;"",ISNUMBER(A6759)),VLOOKUP(A6759,Studies!A:BR,4,FALSE),"")</f>
        <v>Healthy control group</v>
      </c>
      <c r="E6759" s="250" t="str">
        <f>IF(AND(A6759&lt;&gt;"",ISNUMBER(A6759)),VLOOKUP(A6759,Studies!A:BR,5,FALSE),"")</f>
        <v>Alprazolam</v>
      </c>
      <c r="F6759" s="251" t="str">
        <f>IF(AND(A6759&lt;&gt;"",ISNUMBER(A6759)),VLOOKUP(A6759,Studies!A:BR,6,FALSE),"")</f>
        <v>Plasma</v>
      </c>
      <c r="G6759" s="194">
        <v>1.5074000000000001</v>
      </c>
      <c r="H6759" s="50" t="s">
        <v>60</v>
      </c>
      <c r="I6759" s="187">
        <v>11.699260000000001</v>
      </c>
      <c r="J6759" s="41" t="s">
        <v>941</v>
      </c>
      <c r="K6759" s="41" t="s">
        <v>116</v>
      </c>
    </row>
    <row r="6760" spans="1:14" x14ac:dyDescent="0.2">
      <c r="A6760" s="30">
        <v>741</v>
      </c>
      <c r="B6760" s="249" t="str">
        <f>IF(AND(A6760&lt;&gt;"",ISNUMBER(A6760)),VLOOKUP(A6760,Studies!A:BR,2,FALSE),"")</f>
        <v>Juhl 1984</v>
      </c>
      <c r="C6760" s="250" t="str">
        <f>IF(AND(A6760&lt;&gt;"",ISNUMBER(A6760)),VLOOKUP(A6760,Studies!A:BR,3,FALSE),"")</f>
        <v>https://www.ncbi.nlm.nih.gov/pubmed/6143766</v>
      </c>
      <c r="D6760" s="250" t="str">
        <f>IF(AND(A6760&lt;&gt;"",ISNUMBER(A6760)),VLOOKUP(A6760,Studies!A:BR,4,FALSE),"")</f>
        <v>Healthy control group</v>
      </c>
      <c r="E6760" s="250" t="str">
        <f>IF(AND(A6760&lt;&gt;"",ISNUMBER(A6760)),VLOOKUP(A6760,Studies!A:BR,5,FALSE),"")</f>
        <v>Alprazolam</v>
      </c>
      <c r="F6760" s="251" t="str">
        <f>IF(AND(A6760&lt;&gt;"",ISNUMBER(A6760)),VLOOKUP(A6760,Studies!A:BR,6,FALSE),"")</f>
        <v>Plasma</v>
      </c>
      <c r="G6760" s="194">
        <v>2.0314999999999999</v>
      </c>
      <c r="H6760" s="50" t="s">
        <v>60</v>
      </c>
      <c r="I6760" s="187">
        <v>11.70003</v>
      </c>
      <c r="J6760" s="41" t="s">
        <v>941</v>
      </c>
      <c r="K6760" s="41" t="s">
        <v>116</v>
      </c>
    </row>
    <row r="6761" spans="1:14" x14ac:dyDescent="0.2">
      <c r="A6761" s="30">
        <v>741</v>
      </c>
      <c r="B6761" s="249" t="str">
        <f>IF(AND(A6761&lt;&gt;"",ISNUMBER(A6761)),VLOOKUP(A6761,Studies!A:BR,2,FALSE),"")</f>
        <v>Juhl 1984</v>
      </c>
      <c r="C6761" s="250" t="str">
        <f>IF(AND(A6761&lt;&gt;"",ISNUMBER(A6761)),VLOOKUP(A6761,Studies!A:BR,3,FALSE),"")</f>
        <v>https://www.ncbi.nlm.nih.gov/pubmed/6143766</v>
      </c>
      <c r="D6761" s="250" t="str">
        <f>IF(AND(A6761&lt;&gt;"",ISNUMBER(A6761)),VLOOKUP(A6761,Studies!A:BR,4,FALSE),"")</f>
        <v>Healthy control group</v>
      </c>
      <c r="E6761" s="250" t="str">
        <f>IF(AND(A6761&lt;&gt;"",ISNUMBER(A6761)),VLOOKUP(A6761,Studies!A:BR,5,FALSE),"")</f>
        <v>Alprazolam</v>
      </c>
      <c r="F6761" s="251" t="str">
        <f>IF(AND(A6761&lt;&gt;"",ISNUMBER(A6761)),VLOOKUP(A6761,Studies!A:BR,6,FALSE),"")</f>
        <v>Plasma</v>
      </c>
      <c r="G6761" s="194">
        <v>2.5246</v>
      </c>
      <c r="H6761" s="50" t="s">
        <v>60</v>
      </c>
      <c r="I6761" s="187">
        <v>11.910259999999999</v>
      </c>
      <c r="J6761" s="41" t="s">
        <v>941</v>
      </c>
      <c r="K6761" s="41" t="s">
        <v>116</v>
      </c>
    </row>
    <row r="6762" spans="1:14" x14ac:dyDescent="0.2">
      <c r="A6762" s="30">
        <v>741</v>
      </c>
      <c r="B6762" s="249" t="str">
        <f>IF(AND(A6762&lt;&gt;"",ISNUMBER(A6762)),VLOOKUP(A6762,Studies!A:BR,2,FALSE),"")</f>
        <v>Juhl 1984</v>
      </c>
      <c r="C6762" s="250" t="str">
        <f>IF(AND(A6762&lt;&gt;"",ISNUMBER(A6762)),VLOOKUP(A6762,Studies!A:BR,3,FALSE),"")</f>
        <v>https://www.ncbi.nlm.nih.gov/pubmed/6143766</v>
      </c>
      <c r="D6762" s="250" t="str">
        <f>IF(AND(A6762&lt;&gt;"",ISNUMBER(A6762)),VLOOKUP(A6762,Studies!A:BR,4,FALSE),"")</f>
        <v>Healthy control group</v>
      </c>
      <c r="E6762" s="250" t="str">
        <f>IF(AND(A6762&lt;&gt;"",ISNUMBER(A6762)),VLOOKUP(A6762,Studies!A:BR,5,FALSE),"")</f>
        <v>Alprazolam</v>
      </c>
      <c r="F6762" s="251" t="str">
        <f>IF(AND(A6762&lt;&gt;"",ISNUMBER(A6762)),VLOOKUP(A6762,Studies!A:BR,6,FALSE),"")</f>
        <v>Plasma</v>
      </c>
      <c r="G6762" s="194">
        <v>3.0104000000000002</v>
      </c>
      <c r="H6762" s="50" t="s">
        <v>60</v>
      </c>
      <c r="I6762" s="187">
        <v>10.688980000000001</v>
      </c>
      <c r="J6762" s="41" t="s">
        <v>941</v>
      </c>
      <c r="K6762" s="41" t="s">
        <v>116</v>
      </c>
    </row>
    <row r="6763" spans="1:14" x14ac:dyDescent="0.2">
      <c r="A6763" s="30">
        <v>741</v>
      </c>
      <c r="B6763" s="249" t="str">
        <f>IF(AND(A6763&lt;&gt;"",ISNUMBER(A6763)),VLOOKUP(A6763,Studies!A:BR,2,FALSE),"")</f>
        <v>Juhl 1984</v>
      </c>
      <c r="C6763" s="250" t="str">
        <f>IF(AND(A6763&lt;&gt;"",ISNUMBER(A6763)),VLOOKUP(A6763,Studies!A:BR,3,FALSE),"")</f>
        <v>https://www.ncbi.nlm.nih.gov/pubmed/6143766</v>
      </c>
      <c r="D6763" s="250" t="str">
        <f>IF(AND(A6763&lt;&gt;"",ISNUMBER(A6763)),VLOOKUP(A6763,Studies!A:BR,4,FALSE),"")</f>
        <v>Healthy control group</v>
      </c>
      <c r="E6763" s="250" t="str">
        <f>IF(AND(A6763&lt;&gt;"",ISNUMBER(A6763)),VLOOKUP(A6763,Studies!A:BR,5,FALSE),"")</f>
        <v>Alprazolam</v>
      </c>
      <c r="F6763" s="251" t="str">
        <f>IF(AND(A6763&lt;&gt;"",ISNUMBER(A6763)),VLOOKUP(A6763,Studies!A:BR,6,FALSE),"")</f>
        <v>Plasma</v>
      </c>
      <c r="G6763" s="194">
        <v>3.9845000000000002</v>
      </c>
      <c r="H6763" s="50" t="s">
        <v>60</v>
      </c>
      <c r="I6763" s="187">
        <v>10.585660000000001</v>
      </c>
      <c r="J6763" s="41" t="s">
        <v>941</v>
      </c>
      <c r="K6763" s="41" t="s">
        <v>116</v>
      </c>
    </row>
    <row r="6764" spans="1:14" x14ac:dyDescent="0.2">
      <c r="A6764" s="30">
        <v>741</v>
      </c>
      <c r="B6764" s="249" t="str">
        <f>IF(AND(A6764&lt;&gt;"",ISNUMBER(A6764)),VLOOKUP(A6764,Studies!A:BR,2,FALSE),"")</f>
        <v>Juhl 1984</v>
      </c>
      <c r="C6764" s="250" t="str">
        <f>IF(AND(A6764&lt;&gt;"",ISNUMBER(A6764)),VLOOKUP(A6764,Studies!A:BR,3,FALSE),"")</f>
        <v>https://www.ncbi.nlm.nih.gov/pubmed/6143766</v>
      </c>
      <c r="D6764" s="250" t="str">
        <f>IF(AND(A6764&lt;&gt;"",ISNUMBER(A6764)),VLOOKUP(A6764,Studies!A:BR,4,FALSE),"")</f>
        <v>Healthy control group</v>
      </c>
      <c r="E6764" s="250" t="str">
        <f>IF(AND(A6764&lt;&gt;"",ISNUMBER(A6764)),VLOOKUP(A6764,Studies!A:BR,5,FALSE),"")</f>
        <v>Alprazolam</v>
      </c>
      <c r="F6764" s="251" t="str">
        <f>IF(AND(A6764&lt;&gt;"",ISNUMBER(A6764)),VLOOKUP(A6764,Studies!A:BR,6,FALSE),"")</f>
        <v>Plasma</v>
      </c>
      <c r="G6764" s="194">
        <v>6.0168999999999997</v>
      </c>
      <c r="H6764" s="50" t="s">
        <v>60</v>
      </c>
      <c r="I6764" s="187">
        <v>8.5985929999999993</v>
      </c>
      <c r="J6764" s="41" t="s">
        <v>941</v>
      </c>
      <c r="K6764" s="41" t="s">
        <v>116</v>
      </c>
    </row>
    <row r="6765" spans="1:14" x14ac:dyDescent="0.2">
      <c r="A6765" s="30">
        <v>741</v>
      </c>
      <c r="B6765" s="249" t="str">
        <f>IF(AND(A6765&lt;&gt;"",ISNUMBER(A6765)),VLOOKUP(A6765,Studies!A:BR,2,FALSE),"")</f>
        <v>Juhl 1984</v>
      </c>
      <c r="C6765" s="250" t="str">
        <f>IF(AND(A6765&lt;&gt;"",ISNUMBER(A6765)),VLOOKUP(A6765,Studies!A:BR,3,FALSE),"")</f>
        <v>https://www.ncbi.nlm.nih.gov/pubmed/6143766</v>
      </c>
      <c r="D6765" s="250" t="str">
        <f>IF(AND(A6765&lt;&gt;"",ISNUMBER(A6765)),VLOOKUP(A6765,Studies!A:BR,4,FALSE),"")</f>
        <v>Healthy control group</v>
      </c>
      <c r="E6765" s="250" t="str">
        <f>IF(AND(A6765&lt;&gt;"",ISNUMBER(A6765)),VLOOKUP(A6765,Studies!A:BR,5,FALSE),"")</f>
        <v>Alprazolam</v>
      </c>
      <c r="F6765" s="251" t="str">
        <f>IF(AND(A6765&lt;&gt;"",ISNUMBER(A6765)),VLOOKUP(A6765,Studies!A:BR,6,FALSE),"")</f>
        <v>Plasma</v>
      </c>
      <c r="G6765" s="194">
        <v>8.0432000000000006</v>
      </c>
      <c r="H6765" s="50" t="s">
        <v>60</v>
      </c>
      <c r="I6765" s="187">
        <v>7.7636349999999998</v>
      </c>
      <c r="J6765" s="41" t="s">
        <v>941</v>
      </c>
      <c r="K6765" s="41" t="s">
        <v>116</v>
      </c>
    </row>
    <row r="6766" spans="1:14" x14ac:dyDescent="0.2">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12.019500000000001</v>
      </c>
      <c r="H6766" s="50" t="s">
        <v>60</v>
      </c>
      <c r="I6766" s="187">
        <v>6.3729100000000001</v>
      </c>
      <c r="J6766" s="41" t="s">
        <v>941</v>
      </c>
      <c r="K6766" s="41" t="s">
        <v>116</v>
      </c>
    </row>
    <row r="6767" spans="1:14" x14ac:dyDescent="0.2">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24.088200000000001</v>
      </c>
      <c r="H6767" s="50" t="s">
        <v>60</v>
      </c>
      <c r="I6767" s="187">
        <v>4.0164020000000002</v>
      </c>
      <c r="J6767" s="41" t="s">
        <v>941</v>
      </c>
      <c r="K6767" s="41" t="s">
        <v>116</v>
      </c>
    </row>
    <row r="6768" spans="1:14" x14ac:dyDescent="0.2">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30.011600000000001</v>
      </c>
      <c r="H6768" s="50" t="s">
        <v>60</v>
      </c>
      <c r="I6768" s="187">
        <v>2.5935969999999999</v>
      </c>
      <c r="J6768" s="41" t="s">
        <v>941</v>
      </c>
      <c r="K6768" s="41" t="s">
        <v>116</v>
      </c>
    </row>
    <row r="6769" spans="1:11" x14ac:dyDescent="0.2">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36.006500000000003</v>
      </c>
      <c r="H6769" s="50" t="s">
        <v>60</v>
      </c>
      <c r="I6769" s="187">
        <v>1.7993250000000001</v>
      </c>
      <c r="J6769" s="41" t="s">
        <v>941</v>
      </c>
      <c r="K6769" s="41" t="s">
        <v>116</v>
      </c>
    </row>
    <row r="6770" spans="1:11" x14ac:dyDescent="0.2">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47.992199999999997</v>
      </c>
      <c r="H6770" s="50" t="s">
        <v>60</v>
      </c>
      <c r="I6770" s="187">
        <v>0.97885599999999995</v>
      </c>
      <c r="J6770" s="41" t="s">
        <v>941</v>
      </c>
      <c r="K6770" s="41" t="s">
        <v>116</v>
      </c>
    </row>
    <row r="6771" spans="1:11" x14ac:dyDescent="0.2">
      <c r="A6771" s="30">
        <v>742</v>
      </c>
      <c r="B6771" s="249" t="str">
        <f>IF(AND(A6771&lt;&gt;"",ISNUMBER(A6771)),VLOOKUP(A6771,Studies!A:BR,2,FALSE),"")</f>
        <v>Kaplan 1998</v>
      </c>
      <c r="C6771" s="250" t="str">
        <f>IF(AND(A6771&lt;&gt;"",ISNUMBER(A6771)),VLOOKUP(A6771,Studies!A:BR,3,FALSE),"")</f>
        <v>https://www.ncbi.nlm.nih.gov/pubmed/9597554</v>
      </c>
      <c r="D6771" s="250" t="str">
        <f>IF(AND(A6771&lt;&gt;"",ISNUMBER(A6771)),VLOOKUP(A6771,Studies!A:BR,4,FALSE),"")</f>
        <v>Young</v>
      </c>
      <c r="E6771" s="250" t="str">
        <f>IF(AND(A6771&lt;&gt;"",ISNUMBER(A6771)),VLOOKUP(A6771,Studies!A:BR,5,FALSE),"")</f>
        <v>Alprazolam</v>
      </c>
      <c r="F6771" s="251" t="str">
        <f>IF(AND(A6771&lt;&gt;"",ISNUMBER(A6771)),VLOOKUP(A6771,Studies!A:BR,6,FALSE),"")</f>
        <v>Plasma</v>
      </c>
      <c r="G6771" s="194">
        <v>0.25</v>
      </c>
      <c r="H6771" s="50" t="s">
        <v>60</v>
      </c>
      <c r="I6771" s="187">
        <v>4.9889999999999999</v>
      </c>
      <c r="J6771" s="41" t="s">
        <v>941</v>
      </c>
      <c r="K6771" s="41" t="s">
        <v>116</v>
      </c>
    </row>
    <row r="6772" spans="1:11" x14ac:dyDescent="0.2">
      <c r="A6772" s="30">
        <v>742</v>
      </c>
      <c r="B6772" s="249" t="str">
        <f>IF(AND(A6772&lt;&gt;"",ISNUMBER(A6772)),VLOOKUP(A6772,Studies!A:BR,2,FALSE),"")</f>
        <v>Kaplan 1998</v>
      </c>
      <c r="C6772" s="250" t="str">
        <f>IF(AND(A6772&lt;&gt;"",ISNUMBER(A6772)),VLOOKUP(A6772,Studies!A:BR,3,FALSE),"")</f>
        <v>https://www.ncbi.nlm.nih.gov/pubmed/9597554</v>
      </c>
      <c r="D6772" s="250" t="str">
        <f>IF(AND(A6772&lt;&gt;"",ISNUMBER(A6772)),VLOOKUP(A6772,Studies!A:BR,4,FALSE),"")</f>
        <v>Young</v>
      </c>
      <c r="E6772" s="250" t="str">
        <f>IF(AND(A6772&lt;&gt;"",ISNUMBER(A6772)),VLOOKUP(A6772,Studies!A:BR,5,FALSE),"")</f>
        <v>Alprazolam</v>
      </c>
      <c r="F6772" s="251" t="str">
        <f>IF(AND(A6772&lt;&gt;"",ISNUMBER(A6772)),VLOOKUP(A6772,Studies!A:BR,6,FALSE),"")</f>
        <v>Plasma</v>
      </c>
      <c r="G6772" s="194">
        <v>0.5</v>
      </c>
      <c r="H6772" s="50" t="s">
        <v>60</v>
      </c>
      <c r="I6772" s="187">
        <v>9.3680000000000003</v>
      </c>
      <c r="J6772" s="41" t="s">
        <v>941</v>
      </c>
      <c r="K6772" s="41" t="s">
        <v>116</v>
      </c>
    </row>
    <row r="6773" spans="1:11" x14ac:dyDescent="0.2">
      <c r="A6773" s="30">
        <v>742</v>
      </c>
      <c r="B6773" s="249" t="str">
        <f>IF(AND(A6773&lt;&gt;"",ISNUMBER(A6773)),VLOOKUP(A6773,Studies!A:BR,2,FALSE),"")</f>
        <v>Kaplan 1998</v>
      </c>
      <c r="C6773" s="250" t="str">
        <f>IF(AND(A6773&lt;&gt;"",ISNUMBER(A6773)),VLOOKUP(A6773,Studies!A:BR,3,FALSE),"")</f>
        <v>https://www.ncbi.nlm.nih.gov/pubmed/9597554</v>
      </c>
      <c r="D6773" s="250" t="str">
        <f>IF(AND(A6773&lt;&gt;"",ISNUMBER(A6773)),VLOOKUP(A6773,Studies!A:BR,4,FALSE),"")</f>
        <v>Young</v>
      </c>
      <c r="E6773" s="250" t="str">
        <f>IF(AND(A6773&lt;&gt;"",ISNUMBER(A6773)),VLOOKUP(A6773,Studies!A:BR,5,FALSE),"")</f>
        <v>Alprazolam</v>
      </c>
      <c r="F6773" s="251" t="str">
        <f>IF(AND(A6773&lt;&gt;"",ISNUMBER(A6773)),VLOOKUP(A6773,Studies!A:BR,6,FALSE),"")</f>
        <v>Plasma</v>
      </c>
      <c r="G6773" s="194">
        <v>0.75</v>
      </c>
      <c r="H6773" s="50" t="s">
        <v>60</v>
      </c>
      <c r="I6773" s="187">
        <v>15.266999999999999</v>
      </c>
      <c r="J6773" s="41" t="s">
        <v>941</v>
      </c>
      <c r="K6773" s="41" t="s">
        <v>116</v>
      </c>
    </row>
    <row r="6774" spans="1:11" x14ac:dyDescent="0.2">
      <c r="A6774" s="30">
        <v>742</v>
      </c>
      <c r="B6774" s="249" t="str">
        <f>IF(AND(A6774&lt;&gt;"",ISNUMBER(A6774)),VLOOKUP(A6774,Studies!A:BR,2,FALSE),"")</f>
        <v>Kaplan 1998</v>
      </c>
      <c r="C6774" s="250" t="str">
        <f>IF(AND(A6774&lt;&gt;"",ISNUMBER(A6774)),VLOOKUP(A6774,Studies!A:BR,3,FALSE),"")</f>
        <v>https://www.ncbi.nlm.nih.gov/pubmed/9597554</v>
      </c>
      <c r="D6774" s="250" t="str">
        <f>IF(AND(A6774&lt;&gt;"",ISNUMBER(A6774)),VLOOKUP(A6774,Studies!A:BR,4,FALSE),"")</f>
        <v>Young</v>
      </c>
      <c r="E6774" s="250" t="str">
        <f>IF(AND(A6774&lt;&gt;"",ISNUMBER(A6774)),VLOOKUP(A6774,Studies!A:BR,5,FALSE),"")</f>
        <v>Alprazolam</v>
      </c>
      <c r="F6774" s="251" t="str">
        <f>IF(AND(A6774&lt;&gt;"",ISNUMBER(A6774)),VLOOKUP(A6774,Studies!A:BR,6,FALSE),"")</f>
        <v>Plasma</v>
      </c>
      <c r="G6774" s="194">
        <v>1</v>
      </c>
      <c r="H6774" s="50" t="s">
        <v>60</v>
      </c>
      <c r="I6774" s="187">
        <v>14.766</v>
      </c>
      <c r="J6774" s="41" t="s">
        <v>941</v>
      </c>
      <c r="K6774" s="41" t="s">
        <v>116</v>
      </c>
    </row>
    <row r="6775" spans="1:11" x14ac:dyDescent="0.2">
      <c r="A6775" s="30">
        <v>742</v>
      </c>
      <c r="B6775" s="249" t="str">
        <f>IF(AND(A6775&lt;&gt;"",ISNUMBER(A6775)),VLOOKUP(A6775,Studies!A:BR,2,FALSE),"")</f>
        <v>Kaplan 1998</v>
      </c>
      <c r="C6775" s="250" t="str">
        <f>IF(AND(A6775&lt;&gt;"",ISNUMBER(A6775)),VLOOKUP(A6775,Studies!A:BR,3,FALSE),"")</f>
        <v>https://www.ncbi.nlm.nih.gov/pubmed/9597554</v>
      </c>
      <c r="D6775" s="250" t="str">
        <f>IF(AND(A6775&lt;&gt;"",ISNUMBER(A6775)),VLOOKUP(A6775,Studies!A:BR,4,FALSE),"")</f>
        <v>Young</v>
      </c>
      <c r="E6775" s="250" t="str">
        <f>IF(AND(A6775&lt;&gt;"",ISNUMBER(A6775)),VLOOKUP(A6775,Studies!A:BR,5,FALSE),"")</f>
        <v>Alprazolam</v>
      </c>
      <c r="F6775" s="251" t="str">
        <f>IF(AND(A6775&lt;&gt;"",ISNUMBER(A6775)),VLOOKUP(A6775,Studies!A:BR,6,FALSE),"")</f>
        <v>Plasma</v>
      </c>
      <c r="G6775" s="194">
        <v>1.5</v>
      </c>
      <c r="H6775" s="50" t="s">
        <v>60</v>
      </c>
      <c r="I6775" s="187">
        <v>12.843</v>
      </c>
      <c r="J6775" s="41" t="s">
        <v>941</v>
      </c>
      <c r="K6775" s="41" t="s">
        <v>116</v>
      </c>
    </row>
    <row r="6776" spans="1:11" x14ac:dyDescent="0.2">
      <c r="A6776" s="30">
        <v>742</v>
      </c>
      <c r="B6776" s="249" t="str">
        <f>IF(AND(A6776&lt;&gt;"",ISNUMBER(A6776)),VLOOKUP(A6776,Studies!A:BR,2,FALSE),"")</f>
        <v>Kaplan 1998</v>
      </c>
      <c r="C6776" s="250" t="str">
        <f>IF(AND(A6776&lt;&gt;"",ISNUMBER(A6776)),VLOOKUP(A6776,Studies!A:BR,3,FALSE),"")</f>
        <v>https://www.ncbi.nlm.nih.gov/pubmed/9597554</v>
      </c>
      <c r="D6776" s="250" t="str">
        <f>IF(AND(A6776&lt;&gt;"",ISNUMBER(A6776)),VLOOKUP(A6776,Studies!A:BR,4,FALSE),"")</f>
        <v>Young</v>
      </c>
      <c r="E6776" s="250" t="str">
        <f>IF(AND(A6776&lt;&gt;"",ISNUMBER(A6776)),VLOOKUP(A6776,Studies!A:BR,5,FALSE),"")</f>
        <v>Alprazolam</v>
      </c>
      <c r="F6776" s="251" t="str">
        <f>IF(AND(A6776&lt;&gt;"",ISNUMBER(A6776)),VLOOKUP(A6776,Studies!A:BR,6,FALSE),"")</f>
        <v>Plasma</v>
      </c>
      <c r="G6776" s="194">
        <v>2</v>
      </c>
      <c r="H6776" s="50" t="s">
        <v>60</v>
      </c>
      <c r="I6776" s="187">
        <v>12.013999999999999</v>
      </c>
      <c r="J6776" s="41" t="s">
        <v>941</v>
      </c>
      <c r="K6776" s="41" t="s">
        <v>116</v>
      </c>
    </row>
    <row r="6777" spans="1:11" x14ac:dyDescent="0.2">
      <c r="A6777" s="30">
        <v>742</v>
      </c>
      <c r="B6777" s="249" t="str">
        <f>IF(AND(A6777&lt;&gt;"",ISNUMBER(A6777)),VLOOKUP(A6777,Studies!A:BR,2,FALSE),"")</f>
        <v>Kaplan 1998</v>
      </c>
      <c r="C6777" s="250" t="str">
        <f>IF(AND(A6777&lt;&gt;"",ISNUMBER(A6777)),VLOOKUP(A6777,Studies!A:BR,3,FALSE),"")</f>
        <v>https://www.ncbi.nlm.nih.gov/pubmed/9597554</v>
      </c>
      <c r="D6777" s="250" t="str">
        <f>IF(AND(A6777&lt;&gt;"",ISNUMBER(A6777)),VLOOKUP(A6777,Studies!A:BR,4,FALSE),"")</f>
        <v>Young</v>
      </c>
      <c r="E6777" s="250" t="str">
        <f>IF(AND(A6777&lt;&gt;"",ISNUMBER(A6777)),VLOOKUP(A6777,Studies!A:BR,5,FALSE),"")</f>
        <v>Alprazolam</v>
      </c>
      <c r="F6777" s="251" t="str">
        <f>IF(AND(A6777&lt;&gt;"",ISNUMBER(A6777)),VLOOKUP(A6777,Studies!A:BR,6,FALSE),"")</f>
        <v>Plasma</v>
      </c>
      <c r="G6777" s="194">
        <v>2.5</v>
      </c>
      <c r="H6777" s="50" t="s">
        <v>60</v>
      </c>
      <c r="I6777" s="187">
        <v>11.561</v>
      </c>
      <c r="J6777" s="41" t="s">
        <v>941</v>
      </c>
      <c r="K6777" s="41" t="s">
        <v>116</v>
      </c>
    </row>
    <row r="6778" spans="1:11" x14ac:dyDescent="0.2">
      <c r="A6778" s="30">
        <v>742</v>
      </c>
      <c r="B6778" s="249" t="str">
        <f>IF(AND(A6778&lt;&gt;"",ISNUMBER(A6778)),VLOOKUP(A6778,Studies!A:BR,2,FALSE),"")</f>
        <v>Kaplan 1998</v>
      </c>
      <c r="C6778" s="250" t="str">
        <f>IF(AND(A6778&lt;&gt;"",ISNUMBER(A6778)),VLOOKUP(A6778,Studies!A:BR,3,FALSE),"")</f>
        <v>https://www.ncbi.nlm.nih.gov/pubmed/9597554</v>
      </c>
      <c r="D6778" s="250" t="str">
        <f>IF(AND(A6778&lt;&gt;"",ISNUMBER(A6778)),VLOOKUP(A6778,Studies!A:BR,4,FALSE),"")</f>
        <v>Young</v>
      </c>
      <c r="E6778" s="250" t="str">
        <f>IF(AND(A6778&lt;&gt;"",ISNUMBER(A6778)),VLOOKUP(A6778,Studies!A:BR,5,FALSE),"")</f>
        <v>Alprazolam</v>
      </c>
      <c r="F6778" s="251" t="str">
        <f>IF(AND(A6778&lt;&gt;"",ISNUMBER(A6778)),VLOOKUP(A6778,Studies!A:BR,6,FALSE),"")</f>
        <v>Plasma</v>
      </c>
      <c r="G6778" s="194">
        <v>3</v>
      </c>
      <c r="H6778" s="50" t="s">
        <v>60</v>
      </c>
      <c r="I6778" s="187">
        <v>11.585000000000001</v>
      </c>
      <c r="J6778" s="41" t="s">
        <v>941</v>
      </c>
      <c r="K6778" s="41" t="s">
        <v>116</v>
      </c>
    </row>
    <row r="6779" spans="1:11" x14ac:dyDescent="0.2">
      <c r="A6779" s="30">
        <v>742</v>
      </c>
      <c r="B6779" s="249" t="str">
        <f>IF(AND(A6779&lt;&gt;"",ISNUMBER(A6779)),VLOOKUP(A6779,Studies!A:BR,2,FALSE),"")</f>
        <v>Kaplan 1998</v>
      </c>
      <c r="C6779" s="250" t="str">
        <f>IF(AND(A6779&lt;&gt;"",ISNUMBER(A6779)),VLOOKUP(A6779,Studies!A:BR,3,FALSE),"")</f>
        <v>https://www.ncbi.nlm.nih.gov/pubmed/9597554</v>
      </c>
      <c r="D6779" s="250" t="str">
        <f>IF(AND(A6779&lt;&gt;"",ISNUMBER(A6779)),VLOOKUP(A6779,Studies!A:BR,4,FALSE),"")</f>
        <v>Young</v>
      </c>
      <c r="E6779" s="250" t="str">
        <f>IF(AND(A6779&lt;&gt;"",ISNUMBER(A6779)),VLOOKUP(A6779,Studies!A:BR,5,FALSE),"")</f>
        <v>Alprazolam</v>
      </c>
      <c r="F6779" s="251" t="str">
        <f>IF(AND(A6779&lt;&gt;"",ISNUMBER(A6779)),VLOOKUP(A6779,Studies!A:BR,6,FALSE),"")</f>
        <v>Plasma</v>
      </c>
      <c r="G6779" s="194">
        <v>4</v>
      </c>
      <c r="H6779" s="50" t="s">
        <v>60</v>
      </c>
      <c r="I6779" s="187">
        <v>10.727</v>
      </c>
      <c r="J6779" s="41" t="s">
        <v>941</v>
      </c>
      <c r="K6779" s="41" t="s">
        <v>116</v>
      </c>
    </row>
    <row r="6780" spans="1:11" x14ac:dyDescent="0.2">
      <c r="A6780" s="30">
        <v>742</v>
      </c>
      <c r="B6780" s="249" t="str">
        <f>IF(AND(A6780&lt;&gt;"",ISNUMBER(A6780)),VLOOKUP(A6780,Studies!A:BR,2,FALSE),"")</f>
        <v>Kaplan 1998</v>
      </c>
      <c r="C6780" s="250" t="str">
        <f>IF(AND(A6780&lt;&gt;"",ISNUMBER(A6780)),VLOOKUP(A6780,Studies!A:BR,3,FALSE),"")</f>
        <v>https://www.ncbi.nlm.nih.gov/pubmed/9597554</v>
      </c>
      <c r="D6780" s="250" t="str">
        <f>IF(AND(A6780&lt;&gt;"",ISNUMBER(A6780)),VLOOKUP(A6780,Studies!A:BR,4,FALSE),"")</f>
        <v>Young</v>
      </c>
      <c r="E6780" s="250" t="str">
        <f>IF(AND(A6780&lt;&gt;"",ISNUMBER(A6780)),VLOOKUP(A6780,Studies!A:BR,5,FALSE),"")</f>
        <v>Alprazolam</v>
      </c>
      <c r="F6780" s="251" t="str">
        <f>IF(AND(A6780&lt;&gt;"",ISNUMBER(A6780)),VLOOKUP(A6780,Studies!A:BR,6,FALSE),"")</f>
        <v>Plasma</v>
      </c>
      <c r="G6780" s="194">
        <v>5</v>
      </c>
      <c r="H6780" s="50" t="s">
        <v>60</v>
      </c>
      <c r="I6780" s="187">
        <v>9.4979999999999993</v>
      </c>
      <c r="J6780" s="41" t="s">
        <v>941</v>
      </c>
      <c r="K6780" s="41" t="s">
        <v>116</v>
      </c>
    </row>
    <row r="6781" spans="1:11" x14ac:dyDescent="0.2">
      <c r="A6781" s="30">
        <v>742</v>
      </c>
      <c r="B6781" s="249" t="str">
        <f>IF(AND(A6781&lt;&gt;"",ISNUMBER(A6781)),VLOOKUP(A6781,Studies!A:BR,2,FALSE),"")</f>
        <v>Kaplan 1998</v>
      </c>
      <c r="C6781" s="250" t="str">
        <f>IF(AND(A6781&lt;&gt;"",ISNUMBER(A6781)),VLOOKUP(A6781,Studies!A:BR,3,FALSE),"")</f>
        <v>https://www.ncbi.nlm.nih.gov/pubmed/9597554</v>
      </c>
      <c r="D6781" s="250" t="str">
        <f>IF(AND(A6781&lt;&gt;"",ISNUMBER(A6781)),VLOOKUP(A6781,Studies!A:BR,4,FALSE),"")</f>
        <v>Young</v>
      </c>
      <c r="E6781" s="250" t="str">
        <f>IF(AND(A6781&lt;&gt;"",ISNUMBER(A6781)),VLOOKUP(A6781,Studies!A:BR,5,FALSE),"")</f>
        <v>Alprazolam</v>
      </c>
      <c r="F6781" s="251" t="str">
        <f>IF(AND(A6781&lt;&gt;"",ISNUMBER(A6781)),VLOOKUP(A6781,Studies!A:BR,6,FALSE),"")</f>
        <v>Plasma</v>
      </c>
      <c r="G6781" s="194">
        <v>6</v>
      </c>
      <c r="H6781" s="50" t="s">
        <v>60</v>
      </c>
      <c r="I6781" s="187">
        <v>8.1310000000000002</v>
      </c>
      <c r="J6781" s="41" t="s">
        <v>941</v>
      </c>
      <c r="K6781" s="41" t="s">
        <v>116</v>
      </c>
    </row>
    <row r="6782" spans="1:11" x14ac:dyDescent="0.2">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8</v>
      </c>
      <c r="H6782" s="50" t="s">
        <v>60</v>
      </c>
      <c r="I6782" s="187">
        <v>7.4390000000000001</v>
      </c>
      <c r="J6782" s="41" t="s">
        <v>941</v>
      </c>
      <c r="K6782" s="41" t="s">
        <v>116</v>
      </c>
    </row>
    <row r="6783" spans="1:11" x14ac:dyDescent="0.2">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10</v>
      </c>
      <c r="H6783" s="50" t="s">
        <v>60</v>
      </c>
      <c r="I6783" s="187">
        <v>6.3650000000000002</v>
      </c>
      <c r="J6783" s="41" t="s">
        <v>941</v>
      </c>
      <c r="K6783" s="41" t="s">
        <v>116</v>
      </c>
    </row>
    <row r="6784" spans="1:11" x14ac:dyDescent="0.2">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12</v>
      </c>
      <c r="H6784" s="50" t="s">
        <v>60</v>
      </c>
      <c r="I6784" s="187">
        <v>5.5149999999999997</v>
      </c>
      <c r="J6784" s="41" t="s">
        <v>941</v>
      </c>
      <c r="K6784" s="41" t="s">
        <v>116</v>
      </c>
    </row>
    <row r="6785" spans="1:11" x14ac:dyDescent="0.2">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24</v>
      </c>
      <c r="H6785" s="50" t="s">
        <v>60</v>
      </c>
      <c r="I6785" s="187">
        <v>3.5880000000000001</v>
      </c>
      <c r="J6785" s="41" t="s">
        <v>941</v>
      </c>
      <c r="K6785" s="41" t="s">
        <v>116</v>
      </c>
    </row>
    <row r="6786" spans="1:11" x14ac:dyDescent="0.2">
      <c r="A6786" s="30">
        <v>743</v>
      </c>
      <c r="B6786" s="249" t="str">
        <f>IF(AND(A6786&lt;&gt;"",ISNUMBER(A6786)),VLOOKUP(A6786,Studies!A:BR,2,FALSE),"")</f>
        <v>Kirkwood 1991</v>
      </c>
      <c r="C6786" s="250" t="str">
        <f>IF(AND(A6786&lt;&gt;"",ISNUMBER(A6786)),VLOOKUP(A6786,Studies!A:BR,3,FALSE),"")</f>
        <v>https://www.ncbi.nlm.nih.gov/pubmed/1914376</v>
      </c>
      <c r="D6786" s="250" t="str">
        <f>IF(AND(A6786&lt;&gt;"",ISNUMBER(A6786)),VLOOKUP(A6786,Studies!A:BR,4,FALSE),"")</f>
        <v>Men</v>
      </c>
      <c r="E6786" s="250" t="str">
        <f>IF(AND(A6786&lt;&gt;"",ISNUMBER(A6786)),VLOOKUP(A6786,Studies!A:BR,5,FALSE),"")</f>
        <v>Alprazolam</v>
      </c>
      <c r="F6786" s="251" t="str">
        <f>IF(AND(A6786&lt;&gt;"",ISNUMBER(A6786)),VLOOKUP(A6786,Studies!A:BR,6,FALSE),"")</f>
        <v>Plasma</v>
      </c>
      <c r="G6786" s="194">
        <v>0.5</v>
      </c>
      <c r="H6786" s="50" t="s">
        <v>60</v>
      </c>
      <c r="I6786" s="187">
        <v>10.035</v>
      </c>
      <c r="J6786" s="41" t="s">
        <v>941</v>
      </c>
      <c r="K6786" s="41" t="s">
        <v>116</v>
      </c>
    </row>
    <row r="6787" spans="1:11" x14ac:dyDescent="0.2">
      <c r="A6787" s="30">
        <v>743</v>
      </c>
      <c r="B6787" s="249" t="str">
        <f>IF(AND(A6787&lt;&gt;"",ISNUMBER(A6787)),VLOOKUP(A6787,Studies!A:BR,2,FALSE),"")</f>
        <v>Kirkwood 1991</v>
      </c>
      <c r="C6787" s="250" t="str">
        <f>IF(AND(A6787&lt;&gt;"",ISNUMBER(A6787)),VLOOKUP(A6787,Studies!A:BR,3,FALSE),"")</f>
        <v>https://www.ncbi.nlm.nih.gov/pubmed/1914376</v>
      </c>
      <c r="D6787" s="250" t="str">
        <f>IF(AND(A6787&lt;&gt;"",ISNUMBER(A6787)),VLOOKUP(A6787,Studies!A:BR,4,FALSE),"")</f>
        <v>Men</v>
      </c>
      <c r="E6787" s="250" t="str">
        <f>IF(AND(A6787&lt;&gt;"",ISNUMBER(A6787)),VLOOKUP(A6787,Studies!A:BR,5,FALSE),"")</f>
        <v>Alprazolam</v>
      </c>
      <c r="F6787" s="251" t="str">
        <f>IF(AND(A6787&lt;&gt;"",ISNUMBER(A6787)),VLOOKUP(A6787,Studies!A:BR,6,FALSE),"")</f>
        <v>Plasma</v>
      </c>
      <c r="G6787" s="194">
        <v>1</v>
      </c>
      <c r="H6787" s="50" t="s">
        <v>60</v>
      </c>
      <c r="I6787" s="187">
        <v>13.923</v>
      </c>
      <c r="J6787" s="41" t="s">
        <v>941</v>
      </c>
      <c r="K6787" s="41" t="s">
        <v>116</v>
      </c>
    </row>
    <row r="6788" spans="1:11" x14ac:dyDescent="0.2">
      <c r="A6788" s="30">
        <v>743</v>
      </c>
      <c r="B6788" s="249" t="str">
        <f>IF(AND(A6788&lt;&gt;"",ISNUMBER(A6788)),VLOOKUP(A6788,Studies!A:BR,2,FALSE),"")</f>
        <v>Kirkwood 1991</v>
      </c>
      <c r="C6788" s="250" t="str">
        <f>IF(AND(A6788&lt;&gt;"",ISNUMBER(A6788)),VLOOKUP(A6788,Studies!A:BR,3,FALSE),"")</f>
        <v>https://www.ncbi.nlm.nih.gov/pubmed/1914376</v>
      </c>
      <c r="D6788" s="250" t="str">
        <f>IF(AND(A6788&lt;&gt;"",ISNUMBER(A6788)),VLOOKUP(A6788,Studies!A:BR,4,FALSE),"")</f>
        <v>Men</v>
      </c>
      <c r="E6788" s="250" t="str">
        <f>IF(AND(A6788&lt;&gt;"",ISNUMBER(A6788)),VLOOKUP(A6788,Studies!A:BR,5,FALSE),"")</f>
        <v>Alprazolam</v>
      </c>
      <c r="F6788" s="251" t="str">
        <f>IF(AND(A6788&lt;&gt;"",ISNUMBER(A6788)),VLOOKUP(A6788,Studies!A:BR,6,FALSE),"")</f>
        <v>Plasma</v>
      </c>
      <c r="G6788" s="194">
        <v>1.5</v>
      </c>
      <c r="H6788" s="50" t="s">
        <v>60</v>
      </c>
      <c r="I6788" s="187">
        <v>13.422000000000001</v>
      </c>
      <c r="J6788" s="41" t="s">
        <v>941</v>
      </c>
      <c r="K6788" s="41" t="s">
        <v>116</v>
      </c>
    </row>
    <row r="6789" spans="1:11" x14ac:dyDescent="0.2">
      <c r="A6789" s="30">
        <v>743</v>
      </c>
      <c r="B6789" s="249" t="str">
        <f>IF(AND(A6789&lt;&gt;"",ISNUMBER(A6789)),VLOOKUP(A6789,Studies!A:BR,2,FALSE),"")</f>
        <v>Kirkwood 1991</v>
      </c>
      <c r="C6789" s="250" t="str">
        <f>IF(AND(A6789&lt;&gt;"",ISNUMBER(A6789)),VLOOKUP(A6789,Studies!A:BR,3,FALSE),"")</f>
        <v>https://www.ncbi.nlm.nih.gov/pubmed/1914376</v>
      </c>
      <c r="D6789" s="250" t="str">
        <f>IF(AND(A6789&lt;&gt;"",ISNUMBER(A6789)),VLOOKUP(A6789,Studies!A:BR,4,FALSE),"")</f>
        <v>Men</v>
      </c>
      <c r="E6789" s="250" t="str">
        <f>IF(AND(A6789&lt;&gt;"",ISNUMBER(A6789)),VLOOKUP(A6789,Studies!A:BR,5,FALSE),"")</f>
        <v>Alprazolam</v>
      </c>
      <c r="F6789" s="251" t="str">
        <f>IF(AND(A6789&lt;&gt;"",ISNUMBER(A6789)),VLOOKUP(A6789,Studies!A:BR,6,FALSE),"")</f>
        <v>Plasma</v>
      </c>
      <c r="G6789" s="194">
        <v>2</v>
      </c>
      <c r="H6789" s="50" t="s">
        <v>60</v>
      </c>
      <c r="I6789" s="187">
        <v>13.955</v>
      </c>
      <c r="J6789" s="41" t="s">
        <v>941</v>
      </c>
      <c r="K6789" s="41" t="s">
        <v>116</v>
      </c>
    </row>
    <row r="6790" spans="1:11" x14ac:dyDescent="0.2">
      <c r="A6790" s="30">
        <v>743</v>
      </c>
      <c r="B6790" s="249" t="str">
        <f>IF(AND(A6790&lt;&gt;"",ISNUMBER(A6790)),VLOOKUP(A6790,Studies!A:BR,2,FALSE),"")</f>
        <v>Kirkwood 1991</v>
      </c>
      <c r="C6790" s="250" t="str">
        <f>IF(AND(A6790&lt;&gt;"",ISNUMBER(A6790)),VLOOKUP(A6790,Studies!A:BR,3,FALSE),"")</f>
        <v>https://www.ncbi.nlm.nih.gov/pubmed/1914376</v>
      </c>
      <c r="D6790" s="250" t="str">
        <f>IF(AND(A6790&lt;&gt;"",ISNUMBER(A6790)),VLOOKUP(A6790,Studies!A:BR,4,FALSE),"")</f>
        <v>Men</v>
      </c>
      <c r="E6790" s="250" t="str">
        <f>IF(AND(A6790&lt;&gt;"",ISNUMBER(A6790)),VLOOKUP(A6790,Studies!A:BR,5,FALSE),"")</f>
        <v>Alprazolam</v>
      </c>
      <c r="F6790" s="251" t="str">
        <f>IF(AND(A6790&lt;&gt;"",ISNUMBER(A6790)),VLOOKUP(A6790,Studies!A:BR,6,FALSE),"")</f>
        <v>Plasma</v>
      </c>
      <c r="G6790" s="194">
        <v>3</v>
      </c>
      <c r="H6790" s="50" t="s">
        <v>60</v>
      </c>
      <c r="I6790" s="187">
        <v>13.359</v>
      </c>
      <c r="J6790" s="41" t="s">
        <v>941</v>
      </c>
      <c r="K6790" s="41" t="s">
        <v>116</v>
      </c>
    </row>
    <row r="6791" spans="1:11" x14ac:dyDescent="0.2">
      <c r="A6791" s="30">
        <v>743</v>
      </c>
      <c r="B6791" s="249" t="str">
        <f>IF(AND(A6791&lt;&gt;"",ISNUMBER(A6791)),VLOOKUP(A6791,Studies!A:BR,2,FALSE),"")</f>
        <v>Kirkwood 1991</v>
      </c>
      <c r="C6791" s="250" t="str">
        <f>IF(AND(A6791&lt;&gt;"",ISNUMBER(A6791)),VLOOKUP(A6791,Studies!A:BR,3,FALSE),"")</f>
        <v>https://www.ncbi.nlm.nih.gov/pubmed/1914376</v>
      </c>
      <c r="D6791" s="250" t="str">
        <f>IF(AND(A6791&lt;&gt;"",ISNUMBER(A6791)),VLOOKUP(A6791,Studies!A:BR,4,FALSE),"")</f>
        <v>Men</v>
      </c>
      <c r="E6791" s="250" t="str">
        <f>IF(AND(A6791&lt;&gt;"",ISNUMBER(A6791)),VLOOKUP(A6791,Studies!A:BR,5,FALSE),"")</f>
        <v>Alprazolam</v>
      </c>
      <c r="F6791" s="251" t="str">
        <f>IF(AND(A6791&lt;&gt;"",ISNUMBER(A6791)),VLOOKUP(A6791,Studies!A:BR,6,FALSE),"")</f>
        <v>Plasma</v>
      </c>
      <c r="G6791" s="194">
        <v>5</v>
      </c>
      <c r="H6791" s="50" t="s">
        <v>60</v>
      </c>
      <c r="I6791" s="187">
        <v>11.352</v>
      </c>
      <c r="J6791" s="41" t="s">
        <v>941</v>
      </c>
      <c r="K6791" s="41" t="s">
        <v>116</v>
      </c>
    </row>
    <row r="6792" spans="1:11" x14ac:dyDescent="0.2">
      <c r="A6792" s="30">
        <v>743</v>
      </c>
      <c r="B6792" s="249" t="str">
        <f>IF(AND(A6792&lt;&gt;"",ISNUMBER(A6792)),VLOOKUP(A6792,Studies!A:BR,2,FALSE),"")</f>
        <v>Kirkwood 1991</v>
      </c>
      <c r="C6792" s="250" t="str">
        <f>IF(AND(A6792&lt;&gt;"",ISNUMBER(A6792)),VLOOKUP(A6792,Studies!A:BR,3,FALSE),"")</f>
        <v>https://www.ncbi.nlm.nih.gov/pubmed/1914376</v>
      </c>
      <c r="D6792" s="250" t="str">
        <f>IF(AND(A6792&lt;&gt;"",ISNUMBER(A6792)),VLOOKUP(A6792,Studies!A:BR,4,FALSE),"")</f>
        <v>Men</v>
      </c>
      <c r="E6792" s="250" t="str">
        <f>IF(AND(A6792&lt;&gt;"",ISNUMBER(A6792)),VLOOKUP(A6792,Studies!A:BR,5,FALSE),"")</f>
        <v>Alprazolam</v>
      </c>
      <c r="F6792" s="251" t="str">
        <f>IF(AND(A6792&lt;&gt;"",ISNUMBER(A6792)),VLOOKUP(A6792,Studies!A:BR,6,FALSE),"")</f>
        <v>Plasma</v>
      </c>
      <c r="G6792" s="194">
        <v>7</v>
      </c>
      <c r="H6792" s="50" t="s">
        <v>60</v>
      </c>
      <c r="I6792" s="187">
        <v>9.7210000000000001</v>
      </c>
      <c r="J6792" s="41" t="s">
        <v>941</v>
      </c>
      <c r="K6792" s="41" t="s">
        <v>116</v>
      </c>
    </row>
    <row r="6793" spans="1:11" x14ac:dyDescent="0.2">
      <c r="A6793" s="30">
        <v>743</v>
      </c>
      <c r="B6793" s="249" t="str">
        <f>IF(AND(A6793&lt;&gt;"",ISNUMBER(A6793)),VLOOKUP(A6793,Studies!A:BR,2,FALSE),"")</f>
        <v>Kirkwood 1991</v>
      </c>
      <c r="C6793" s="250" t="str">
        <f>IF(AND(A6793&lt;&gt;"",ISNUMBER(A6793)),VLOOKUP(A6793,Studies!A:BR,3,FALSE),"")</f>
        <v>https://www.ncbi.nlm.nih.gov/pubmed/1914376</v>
      </c>
      <c r="D6793" s="250" t="str">
        <f>IF(AND(A6793&lt;&gt;"",ISNUMBER(A6793)),VLOOKUP(A6793,Studies!A:BR,4,FALSE),"")</f>
        <v>Men</v>
      </c>
      <c r="E6793" s="250" t="str">
        <f>IF(AND(A6793&lt;&gt;"",ISNUMBER(A6793)),VLOOKUP(A6793,Studies!A:BR,5,FALSE),"")</f>
        <v>Alprazolam</v>
      </c>
      <c r="F6793" s="251" t="str">
        <f>IF(AND(A6793&lt;&gt;"",ISNUMBER(A6793)),VLOOKUP(A6793,Studies!A:BR,6,FALSE),"")</f>
        <v>Plasma</v>
      </c>
      <c r="G6793" s="194">
        <v>9</v>
      </c>
      <c r="H6793" s="50" t="s">
        <v>60</v>
      </c>
      <c r="I6793" s="187">
        <v>8.5299999999999994</v>
      </c>
      <c r="J6793" s="41" t="s">
        <v>941</v>
      </c>
      <c r="K6793" s="41" t="s">
        <v>116</v>
      </c>
    </row>
    <row r="6794" spans="1:11" x14ac:dyDescent="0.2">
      <c r="A6794" s="30">
        <v>743</v>
      </c>
      <c r="B6794" s="249" t="str">
        <f>IF(AND(A6794&lt;&gt;"",ISNUMBER(A6794)),VLOOKUP(A6794,Studies!A:BR,2,FALSE),"")</f>
        <v>Kirkwood 1991</v>
      </c>
      <c r="C6794" s="250" t="str">
        <f>IF(AND(A6794&lt;&gt;"",ISNUMBER(A6794)),VLOOKUP(A6794,Studies!A:BR,3,FALSE),"")</f>
        <v>https://www.ncbi.nlm.nih.gov/pubmed/1914376</v>
      </c>
      <c r="D6794" s="250" t="str">
        <f>IF(AND(A6794&lt;&gt;"",ISNUMBER(A6794)),VLOOKUP(A6794,Studies!A:BR,4,FALSE),"")</f>
        <v>Men</v>
      </c>
      <c r="E6794" s="250" t="str">
        <f>IF(AND(A6794&lt;&gt;"",ISNUMBER(A6794)),VLOOKUP(A6794,Studies!A:BR,5,FALSE),"")</f>
        <v>Alprazolam</v>
      </c>
      <c r="F6794" s="251" t="str">
        <f>IF(AND(A6794&lt;&gt;"",ISNUMBER(A6794)),VLOOKUP(A6794,Studies!A:BR,6,FALSE),"")</f>
        <v>Plasma</v>
      </c>
      <c r="G6794" s="194">
        <v>12</v>
      </c>
      <c r="H6794" s="50" t="s">
        <v>60</v>
      </c>
      <c r="I6794" s="187">
        <v>7.4009999999999998</v>
      </c>
      <c r="J6794" s="41" t="s">
        <v>941</v>
      </c>
      <c r="K6794" s="41" t="s">
        <v>116</v>
      </c>
    </row>
    <row r="6795" spans="1:11" x14ac:dyDescent="0.2">
      <c r="A6795" s="30">
        <v>743</v>
      </c>
      <c r="B6795" s="249" t="str">
        <f>IF(AND(A6795&lt;&gt;"",ISNUMBER(A6795)),VLOOKUP(A6795,Studies!A:BR,2,FALSE),"")</f>
        <v>Kirkwood 1991</v>
      </c>
      <c r="C6795" s="250" t="str">
        <f>IF(AND(A6795&lt;&gt;"",ISNUMBER(A6795)),VLOOKUP(A6795,Studies!A:BR,3,FALSE),"")</f>
        <v>https://www.ncbi.nlm.nih.gov/pubmed/1914376</v>
      </c>
      <c r="D6795" s="250" t="str">
        <f>IF(AND(A6795&lt;&gt;"",ISNUMBER(A6795)),VLOOKUP(A6795,Studies!A:BR,4,FALSE),"")</f>
        <v>Men</v>
      </c>
      <c r="E6795" s="250" t="str">
        <f>IF(AND(A6795&lt;&gt;"",ISNUMBER(A6795)),VLOOKUP(A6795,Studies!A:BR,5,FALSE),"")</f>
        <v>Alprazolam</v>
      </c>
      <c r="F6795" s="251" t="str">
        <f>IF(AND(A6795&lt;&gt;"",ISNUMBER(A6795)),VLOOKUP(A6795,Studies!A:BR,6,FALSE),"")</f>
        <v>Plasma</v>
      </c>
      <c r="G6795" s="194">
        <v>24</v>
      </c>
      <c r="H6795" s="50" t="s">
        <v>60</v>
      </c>
      <c r="I6795" s="187">
        <v>3.92</v>
      </c>
      <c r="J6795" s="41" t="s">
        <v>941</v>
      </c>
      <c r="K6795" s="41" t="s">
        <v>116</v>
      </c>
    </row>
    <row r="6796" spans="1:11" x14ac:dyDescent="0.2">
      <c r="A6796" s="30">
        <v>743</v>
      </c>
      <c r="B6796" s="249" t="str">
        <f>IF(AND(A6796&lt;&gt;"",ISNUMBER(A6796)),VLOOKUP(A6796,Studies!A:BR,2,FALSE),"")</f>
        <v>Kirkwood 1991</v>
      </c>
      <c r="C6796" s="250" t="str">
        <f>IF(AND(A6796&lt;&gt;"",ISNUMBER(A6796)),VLOOKUP(A6796,Studies!A:BR,3,FALSE),"")</f>
        <v>https://www.ncbi.nlm.nih.gov/pubmed/1914376</v>
      </c>
      <c r="D6796" s="250" t="str">
        <f>IF(AND(A6796&lt;&gt;"",ISNUMBER(A6796)),VLOOKUP(A6796,Studies!A:BR,4,FALSE),"")</f>
        <v>Men</v>
      </c>
      <c r="E6796" s="250" t="str">
        <f>IF(AND(A6796&lt;&gt;"",ISNUMBER(A6796)),VLOOKUP(A6796,Studies!A:BR,5,FALSE),"")</f>
        <v>Alprazolam</v>
      </c>
      <c r="F6796" s="251" t="str">
        <f>IF(AND(A6796&lt;&gt;"",ISNUMBER(A6796)),VLOOKUP(A6796,Studies!A:BR,6,FALSE),"")</f>
        <v>Plasma</v>
      </c>
      <c r="G6796" s="194">
        <v>30</v>
      </c>
      <c r="H6796" s="50" t="s">
        <v>60</v>
      </c>
      <c r="I6796" s="187">
        <v>1.944</v>
      </c>
      <c r="J6796" s="41" t="s">
        <v>941</v>
      </c>
      <c r="K6796" s="41" t="s">
        <v>116</v>
      </c>
    </row>
    <row r="6797" spans="1:11" x14ac:dyDescent="0.2">
      <c r="A6797" s="30">
        <v>744</v>
      </c>
      <c r="B6797" s="249" t="str">
        <f>IF(AND(A6797&lt;&gt;"",ISNUMBER(A6797)),VLOOKUP(A6797,Studies!A:BR,2,FALSE),"")</f>
        <v>Kroboth 1988</v>
      </c>
      <c r="C6797" s="250" t="str">
        <f>IF(AND(A6797&lt;&gt;"",ISNUMBER(A6797)),VLOOKUP(A6797,Studies!A:BR,3,FALSE),"")</f>
        <v>https://www.ncbi.nlm.nih.gov/pubmed/3345619</v>
      </c>
      <c r="D6797" s="250" t="str">
        <f>IF(AND(A6797&lt;&gt;"",ISNUMBER(A6797)),VLOOKUP(A6797,Studies!A:BR,4,FALSE),"")</f>
        <v>0.5 mg/2 min</v>
      </c>
      <c r="E6797" s="250" t="str">
        <f>IF(AND(A6797&lt;&gt;"",ISNUMBER(A6797)),VLOOKUP(A6797,Studies!A:BR,5,FALSE),"")</f>
        <v>Alprazolam</v>
      </c>
      <c r="F6797" s="251" t="str">
        <f>IF(AND(A6797&lt;&gt;"",ISNUMBER(A6797)),VLOOKUP(A6797,Studies!A:BR,6,FALSE),"")</f>
        <v>Plasma</v>
      </c>
      <c r="G6797" s="194">
        <v>0.25</v>
      </c>
      <c r="H6797" s="50" t="s">
        <v>60</v>
      </c>
      <c r="I6797" s="187">
        <v>9.4930000000000003</v>
      </c>
      <c r="J6797" s="41" t="s">
        <v>941</v>
      </c>
      <c r="K6797" s="41" t="s">
        <v>116</v>
      </c>
    </row>
    <row r="6798" spans="1:11" x14ac:dyDescent="0.2">
      <c r="A6798" s="30">
        <v>744</v>
      </c>
      <c r="B6798" s="249" t="str">
        <f>IF(AND(A6798&lt;&gt;"",ISNUMBER(A6798)),VLOOKUP(A6798,Studies!A:BR,2,FALSE),"")</f>
        <v>Kroboth 1988</v>
      </c>
      <c r="C6798" s="250" t="str">
        <f>IF(AND(A6798&lt;&gt;"",ISNUMBER(A6798)),VLOOKUP(A6798,Studies!A:BR,3,FALSE),"")</f>
        <v>https://www.ncbi.nlm.nih.gov/pubmed/3345619</v>
      </c>
      <c r="D6798" s="250" t="str">
        <f>IF(AND(A6798&lt;&gt;"",ISNUMBER(A6798)),VLOOKUP(A6798,Studies!A:BR,4,FALSE),"")</f>
        <v>0.5 mg/2 min</v>
      </c>
      <c r="E6798" s="250" t="str">
        <f>IF(AND(A6798&lt;&gt;"",ISNUMBER(A6798)),VLOOKUP(A6798,Studies!A:BR,5,FALSE),"")</f>
        <v>Alprazolam</v>
      </c>
      <c r="F6798" s="251" t="str">
        <f>IF(AND(A6798&lt;&gt;"",ISNUMBER(A6798)),VLOOKUP(A6798,Studies!A:BR,6,FALSE),"")</f>
        <v>Plasma</v>
      </c>
      <c r="G6798" s="194">
        <v>0.5</v>
      </c>
      <c r="H6798" s="50" t="s">
        <v>60</v>
      </c>
      <c r="I6798" s="187">
        <v>6.9009999999999998</v>
      </c>
      <c r="J6798" s="41" t="s">
        <v>941</v>
      </c>
      <c r="K6798" s="41" t="s">
        <v>116</v>
      </c>
    </row>
    <row r="6799" spans="1:11" x14ac:dyDescent="0.2">
      <c r="A6799" s="30">
        <v>744</v>
      </c>
      <c r="B6799" s="249" t="str">
        <f>IF(AND(A6799&lt;&gt;"",ISNUMBER(A6799)),VLOOKUP(A6799,Studies!A:BR,2,FALSE),"")</f>
        <v>Kroboth 1988</v>
      </c>
      <c r="C6799" s="250" t="str">
        <f>IF(AND(A6799&lt;&gt;"",ISNUMBER(A6799)),VLOOKUP(A6799,Studies!A:BR,3,FALSE),"")</f>
        <v>https://www.ncbi.nlm.nih.gov/pubmed/3345619</v>
      </c>
      <c r="D6799" s="250" t="str">
        <f>IF(AND(A6799&lt;&gt;"",ISNUMBER(A6799)),VLOOKUP(A6799,Studies!A:BR,4,FALSE),"")</f>
        <v>0.5 mg/2 min</v>
      </c>
      <c r="E6799" s="250" t="str">
        <f>IF(AND(A6799&lt;&gt;"",ISNUMBER(A6799)),VLOOKUP(A6799,Studies!A:BR,5,FALSE),"")</f>
        <v>Alprazolam</v>
      </c>
      <c r="F6799" s="251" t="str">
        <f>IF(AND(A6799&lt;&gt;"",ISNUMBER(A6799)),VLOOKUP(A6799,Studies!A:BR,6,FALSE),"")</f>
        <v>Plasma</v>
      </c>
      <c r="G6799" s="194">
        <v>0.75</v>
      </c>
      <c r="H6799" s="50" t="s">
        <v>60</v>
      </c>
      <c r="I6799" s="187">
        <v>6.6790000000000003</v>
      </c>
      <c r="J6799" s="41" t="s">
        <v>941</v>
      </c>
      <c r="K6799" s="41" t="s">
        <v>116</v>
      </c>
    </row>
    <row r="6800" spans="1:11" x14ac:dyDescent="0.2">
      <c r="A6800" s="30">
        <v>744</v>
      </c>
      <c r="B6800" s="249" t="str">
        <f>IF(AND(A6800&lt;&gt;"",ISNUMBER(A6800)),VLOOKUP(A6800,Studies!A:BR,2,FALSE),"")</f>
        <v>Kroboth 1988</v>
      </c>
      <c r="C6800" s="250" t="str">
        <f>IF(AND(A6800&lt;&gt;"",ISNUMBER(A6800)),VLOOKUP(A6800,Studies!A:BR,3,FALSE),"")</f>
        <v>https://www.ncbi.nlm.nih.gov/pubmed/3345619</v>
      </c>
      <c r="D6800" s="250" t="str">
        <f>IF(AND(A6800&lt;&gt;"",ISNUMBER(A6800)),VLOOKUP(A6800,Studies!A:BR,4,FALSE),"")</f>
        <v>0.5 mg/2 min</v>
      </c>
      <c r="E6800" s="250" t="str">
        <f>IF(AND(A6800&lt;&gt;"",ISNUMBER(A6800)),VLOOKUP(A6800,Studies!A:BR,5,FALSE),"")</f>
        <v>Alprazolam</v>
      </c>
      <c r="F6800" s="251" t="str">
        <f>IF(AND(A6800&lt;&gt;"",ISNUMBER(A6800)),VLOOKUP(A6800,Studies!A:BR,6,FALSE),"")</f>
        <v>Plasma</v>
      </c>
      <c r="G6800" s="194">
        <v>1</v>
      </c>
      <c r="H6800" s="50" t="s">
        <v>60</v>
      </c>
      <c r="I6800" s="187">
        <v>6.3719999999999999</v>
      </c>
      <c r="J6800" s="41" t="s">
        <v>941</v>
      </c>
      <c r="K6800" s="41" t="s">
        <v>116</v>
      </c>
    </row>
    <row r="6801" spans="1:11" x14ac:dyDescent="0.2">
      <c r="A6801" s="30">
        <v>744</v>
      </c>
      <c r="B6801" s="249" t="str">
        <f>IF(AND(A6801&lt;&gt;"",ISNUMBER(A6801)),VLOOKUP(A6801,Studies!A:BR,2,FALSE),"")</f>
        <v>Kroboth 1988</v>
      </c>
      <c r="C6801" s="250" t="str">
        <f>IF(AND(A6801&lt;&gt;"",ISNUMBER(A6801)),VLOOKUP(A6801,Studies!A:BR,3,FALSE),"")</f>
        <v>https://www.ncbi.nlm.nih.gov/pubmed/3345619</v>
      </c>
      <c r="D6801" s="250" t="str">
        <f>IF(AND(A6801&lt;&gt;"",ISNUMBER(A6801)),VLOOKUP(A6801,Studies!A:BR,4,FALSE),"")</f>
        <v>0.5 mg/2 min</v>
      </c>
      <c r="E6801" s="250" t="str">
        <f>IF(AND(A6801&lt;&gt;"",ISNUMBER(A6801)),VLOOKUP(A6801,Studies!A:BR,5,FALSE),"")</f>
        <v>Alprazolam</v>
      </c>
      <c r="F6801" s="251" t="str">
        <f>IF(AND(A6801&lt;&gt;"",ISNUMBER(A6801)),VLOOKUP(A6801,Studies!A:BR,6,FALSE),"")</f>
        <v>Plasma</v>
      </c>
      <c r="G6801" s="194">
        <v>1.5</v>
      </c>
      <c r="H6801" s="50" t="s">
        <v>60</v>
      </c>
      <c r="I6801" s="187">
        <v>6.3019999999999996</v>
      </c>
      <c r="J6801" s="41" t="s">
        <v>941</v>
      </c>
      <c r="K6801" s="41" t="s">
        <v>116</v>
      </c>
    </row>
    <row r="6802" spans="1:11" x14ac:dyDescent="0.2">
      <c r="A6802" s="30">
        <v>744</v>
      </c>
      <c r="B6802" s="249" t="str">
        <f>IF(AND(A6802&lt;&gt;"",ISNUMBER(A6802)),VLOOKUP(A6802,Studies!A:BR,2,FALSE),"")</f>
        <v>Kroboth 1988</v>
      </c>
      <c r="C6802" s="250" t="str">
        <f>IF(AND(A6802&lt;&gt;"",ISNUMBER(A6802)),VLOOKUP(A6802,Studies!A:BR,3,FALSE),"")</f>
        <v>https://www.ncbi.nlm.nih.gov/pubmed/3345619</v>
      </c>
      <c r="D6802" s="250" t="str">
        <f>IF(AND(A6802&lt;&gt;"",ISNUMBER(A6802)),VLOOKUP(A6802,Studies!A:BR,4,FALSE),"")</f>
        <v>0.5 mg/2 min</v>
      </c>
      <c r="E6802" s="250" t="str">
        <f>IF(AND(A6802&lt;&gt;"",ISNUMBER(A6802)),VLOOKUP(A6802,Studies!A:BR,5,FALSE),"")</f>
        <v>Alprazolam</v>
      </c>
      <c r="F6802" s="251" t="str">
        <f>IF(AND(A6802&lt;&gt;"",ISNUMBER(A6802)),VLOOKUP(A6802,Studies!A:BR,6,FALSE),"")</f>
        <v>Plasma</v>
      </c>
      <c r="G6802" s="194">
        <v>2</v>
      </c>
      <c r="H6802" s="50" t="s">
        <v>60</v>
      </c>
      <c r="I6802" s="187">
        <v>6.0549999999999997</v>
      </c>
      <c r="J6802" s="41" t="s">
        <v>941</v>
      </c>
      <c r="K6802" s="41" t="s">
        <v>116</v>
      </c>
    </row>
    <row r="6803" spans="1:11" x14ac:dyDescent="0.2">
      <c r="A6803" s="30">
        <v>744</v>
      </c>
      <c r="B6803" s="249" t="str">
        <f>IF(AND(A6803&lt;&gt;"",ISNUMBER(A6803)),VLOOKUP(A6803,Studies!A:BR,2,FALSE),"")</f>
        <v>Kroboth 1988</v>
      </c>
      <c r="C6803" s="250" t="str">
        <f>IF(AND(A6803&lt;&gt;"",ISNUMBER(A6803)),VLOOKUP(A6803,Studies!A:BR,3,FALSE),"")</f>
        <v>https://www.ncbi.nlm.nih.gov/pubmed/3345619</v>
      </c>
      <c r="D6803" s="250" t="str">
        <f>IF(AND(A6803&lt;&gt;"",ISNUMBER(A6803)),VLOOKUP(A6803,Studies!A:BR,4,FALSE),"")</f>
        <v>0.5 mg/2 min</v>
      </c>
      <c r="E6803" s="250" t="str">
        <f>IF(AND(A6803&lt;&gt;"",ISNUMBER(A6803)),VLOOKUP(A6803,Studies!A:BR,5,FALSE),"")</f>
        <v>Alprazolam</v>
      </c>
      <c r="F6803" s="251" t="str">
        <f>IF(AND(A6803&lt;&gt;"",ISNUMBER(A6803)),VLOOKUP(A6803,Studies!A:BR,6,FALSE),"")</f>
        <v>Plasma</v>
      </c>
      <c r="G6803" s="194">
        <v>3</v>
      </c>
      <c r="H6803" s="50" t="s">
        <v>60</v>
      </c>
      <c r="I6803" s="187">
        <v>6.0970000000000004</v>
      </c>
      <c r="J6803" s="41" t="s">
        <v>941</v>
      </c>
      <c r="K6803" s="41" t="s">
        <v>116</v>
      </c>
    </row>
    <row r="6804" spans="1:11" x14ac:dyDescent="0.2">
      <c r="A6804" s="30">
        <v>744</v>
      </c>
      <c r="B6804" s="249" t="str">
        <f>IF(AND(A6804&lt;&gt;"",ISNUMBER(A6804)),VLOOKUP(A6804,Studies!A:BR,2,FALSE),"")</f>
        <v>Kroboth 1988</v>
      </c>
      <c r="C6804" s="250" t="str">
        <f>IF(AND(A6804&lt;&gt;"",ISNUMBER(A6804)),VLOOKUP(A6804,Studies!A:BR,3,FALSE),"")</f>
        <v>https://www.ncbi.nlm.nih.gov/pubmed/3345619</v>
      </c>
      <c r="D6804" s="250" t="str">
        <f>IF(AND(A6804&lt;&gt;"",ISNUMBER(A6804)),VLOOKUP(A6804,Studies!A:BR,4,FALSE),"")</f>
        <v>0.5 mg/2 min</v>
      </c>
      <c r="E6804" s="250" t="str">
        <f>IF(AND(A6804&lt;&gt;"",ISNUMBER(A6804)),VLOOKUP(A6804,Studies!A:BR,5,FALSE),"")</f>
        <v>Alprazolam</v>
      </c>
      <c r="F6804" s="251" t="str">
        <f>IF(AND(A6804&lt;&gt;"",ISNUMBER(A6804)),VLOOKUP(A6804,Studies!A:BR,6,FALSE),"")</f>
        <v>Plasma</v>
      </c>
      <c r="G6804" s="194">
        <v>4</v>
      </c>
      <c r="H6804" s="50" t="s">
        <v>60</v>
      </c>
      <c r="I6804" s="187">
        <v>5.5469999999999997</v>
      </c>
      <c r="J6804" s="41" t="s">
        <v>941</v>
      </c>
      <c r="K6804" s="41" t="s">
        <v>116</v>
      </c>
    </row>
    <row r="6805" spans="1:11" x14ac:dyDescent="0.2">
      <c r="A6805" s="30">
        <v>744</v>
      </c>
      <c r="B6805" s="249" t="str">
        <f>IF(AND(A6805&lt;&gt;"",ISNUMBER(A6805)),VLOOKUP(A6805,Studies!A:BR,2,FALSE),"")</f>
        <v>Kroboth 1988</v>
      </c>
      <c r="C6805" s="250" t="str">
        <f>IF(AND(A6805&lt;&gt;"",ISNUMBER(A6805)),VLOOKUP(A6805,Studies!A:BR,3,FALSE),"")</f>
        <v>https://www.ncbi.nlm.nih.gov/pubmed/3345619</v>
      </c>
      <c r="D6805" s="250" t="str">
        <f>IF(AND(A6805&lt;&gt;"",ISNUMBER(A6805)),VLOOKUP(A6805,Studies!A:BR,4,FALSE),"")</f>
        <v>0.5 mg/2 min</v>
      </c>
      <c r="E6805" s="250" t="str">
        <f>IF(AND(A6805&lt;&gt;"",ISNUMBER(A6805)),VLOOKUP(A6805,Studies!A:BR,5,FALSE),"")</f>
        <v>Alprazolam</v>
      </c>
      <c r="F6805" s="251" t="str">
        <f>IF(AND(A6805&lt;&gt;"",ISNUMBER(A6805)),VLOOKUP(A6805,Studies!A:BR,6,FALSE),"")</f>
        <v>Plasma</v>
      </c>
      <c r="G6805" s="194">
        <v>6</v>
      </c>
      <c r="H6805" s="50" t="s">
        <v>60</v>
      </c>
      <c r="I6805" s="187">
        <v>4.8129999999999997</v>
      </c>
      <c r="J6805" s="41" t="s">
        <v>941</v>
      </c>
      <c r="K6805" s="41" t="s">
        <v>116</v>
      </c>
    </row>
    <row r="6806" spans="1:11" x14ac:dyDescent="0.2">
      <c r="A6806" s="30">
        <v>744</v>
      </c>
      <c r="B6806" s="249" t="str">
        <f>IF(AND(A6806&lt;&gt;"",ISNUMBER(A6806)),VLOOKUP(A6806,Studies!A:BR,2,FALSE),"")</f>
        <v>Kroboth 1988</v>
      </c>
      <c r="C6806" s="250" t="str">
        <f>IF(AND(A6806&lt;&gt;"",ISNUMBER(A6806)),VLOOKUP(A6806,Studies!A:BR,3,FALSE),"")</f>
        <v>https://www.ncbi.nlm.nih.gov/pubmed/3345619</v>
      </c>
      <c r="D6806" s="250" t="str">
        <f>IF(AND(A6806&lt;&gt;"",ISNUMBER(A6806)),VLOOKUP(A6806,Studies!A:BR,4,FALSE),"")</f>
        <v>0.5 mg/2 min</v>
      </c>
      <c r="E6806" s="250" t="str">
        <f>IF(AND(A6806&lt;&gt;"",ISNUMBER(A6806)),VLOOKUP(A6806,Studies!A:BR,5,FALSE),"")</f>
        <v>Alprazolam</v>
      </c>
      <c r="F6806" s="251" t="str">
        <f>IF(AND(A6806&lt;&gt;"",ISNUMBER(A6806)),VLOOKUP(A6806,Studies!A:BR,6,FALSE),"")</f>
        <v>Plasma</v>
      </c>
      <c r="G6806" s="194">
        <v>8</v>
      </c>
      <c r="H6806" s="50" t="s">
        <v>60</v>
      </c>
      <c r="I6806" s="187">
        <v>4.3620000000000001</v>
      </c>
      <c r="J6806" s="41" t="s">
        <v>941</v>
      </c>
      <c r="K6806" s="41" t="s">
        <v>116</v>
      </c>
    </row>
    <row r="6807" spans="1:11" x14ac:dyDescent="0.2">
      <c r="A6807" s="30">
        <v>744</v>
      </c>
      <c r="B6807" s="249" t="str">
        <f>IF(AND(A6807&lt;&gt;"",ISNUMBER(A6807)),VLOOKUP(A6807,Studies!A:BR,2,FALSE),"")</f>
        <v>Kroboth 1988</v>
      </c>
      <c r="C6807" s="250" t="str">
        <f>IF(AND(A6807&lt;&gt;"",ISNUMBER(A6807)),VLOOKUP(A6807,Studies!A:BR,3,FALSE),"")</f>
        <v>https://www.ncbi.nlm.nih.gov/pubmed/3345619</v>
      </c>
      <c r="D6807" s="250" t="str">
        <f>IF(AND(A6807&lt;&gt;"",ISNUMBER(A6807)),VLOOKUP(A6807,Studies!A:BR,4,FALSE),"")</f>
        <v>0.5 mg/2 min</v>
      </c>
      <c r="E6807" s="250" t="str">
        <f>IF(AND(A6807&lt;&gt;"",ISNUMBER(A6807)),VLOOKUP(A6807,Studies!A:BR,5,FALSE),"")</f>
        <v>Alprazolam</v>
      </c>
      <c r="F6807" s="251" t="str">
        <f>IF(AND(A6807&lt;&gt;"",ISNUMBER(A6807)),VLOOKUP(A6807,Studies!A:BR,6,FALSE),"")</f>
        <v>Plasma</v>
      </c>
      <c r="G6807" s="194">
        <v>12</v>
      </c>
      <c r="H6807" s="50" t="s">
        <v>60</v>
      </c>
      <c r="I6807" s="187">
        <v>3.2719999999999998</v>
      </c>
      <c r="J6807" s="41" t="s">
        <v>941</v>
      </c>
      <c r="K6807" s="41" t="s">
        <v>116</v>
      </c>
    </row>
    <row r="6808" spans="1:11" x14ac:dyDescent="0.2">
      <c r="A6808" s="30">
        <v>745</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2.0 mg/2 min</v>
      </c>
      <c r="E6808" s="250" t="str">
        <f>IF(AND(A6808&lt;&gt;"",ISNUMBER(A6808)),VLOOKUP(A6808,Studies!A:BR,5,FALSE),"")</f>
        <v>Alprazolam</v>
      </c>
      <c r="F6808" s="251" t="str">
        <f>IF(AND(A6808&lt;&gt;"",ISNUMBER(A6808)),VLOOKUP(A6808,Studies!A:BR,6,FALSE),"")</f>
        <v>Plasma</v>
      </c>
      <c r="G6808" s="194">
        <v>0.25</v>
      </c>
      <c r="H6808" s="50" t="s">
        <v>60</v>
      </c>
      <c r="I6808" s="187">
        <v>37.201250000000002</v>
      </c>
      <c r="J6808" s="41" t="s">
        <v>941</v>
      </c>
      <c r="K6808" s="41" t="s">
        <v>116</v>
      </c>
    </row>
    <row r="6809" spans="1:11" x14ac:dyDescent="0.2">
      <c r="A6809" s="30">
        <v>745</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2.0 mg/2 min</v>
      </c>
      <c r="E6809" s="250" t="str">
        <f>IF(AND(A6809&lt;&gt;"",ISNUMBER(A6809)),VLOOKUP(A6809,Studies!A:BR,5,FALSE),"")</f>
        <v>Alprazolam</v>
      </c>
      <c r="F6809" s="251" t="str">
        <f>IF(AND(A6809&lt;&gt;"",ISNUMBER(A6809)),VLOOKUP(A6809,Studies!A:BR,6,FALSE),"")</f>
        <v>Plasma</v>
      </c>
      <c r="G6809" s="194">
        <v>0.5</v>
      </c>
      <c r="H6809" s="50" t="s">
        <v>60</v>
      </c>
      <c r="I6809" s="187">
        <v>33.525239999999997</v>
      </c>
      <c r="J6809" s="41" t="s">
        <v>941</v>
      </c>
      <c r="K6809" s="41" t="s">
        <v>116</v>
      </c>
    </row>
    <row r="6810" spans="1:11" x14ac:dyDescent="0.2">
      <c r="A6810" s="30">
        <v>745</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2.0 mg/2 min</v>
      </c>
      <c r="E6810" s="250" t="str">
        <f>IF(AND(A6810&lt;&gt;"",ISNUMBER(A6810)),VLOOKUP(A6810,Studies!A:BR,5,FALSE),"")</f>
        <v>Alprazolam</v>
      </c>
      <c r="F6810" s="251" t="str">
        <f>IF(AND(A6810&lt;&gt;"",ISNUMBER(A6810)),VLOOKUP(A6810,Studies!A:BR,6,FALSE),"")</f>
        <v>Plasma</v>
      </c>
      <c r="G6810" s="194">
        <v>0.75</v>
      </c>
      <c r="H6810" s="50" t="s">
        <v>60</v>
      </c>
      <c r="I6810" s="187">
        <v>30.087540000000001</v>
      </c>
      <c r="J6810" s="41" t="s">
        <v>941</v>
      </c>
      <c r="K6810" s="41" t="s">
        <v>116</v>
      </c>
    </row>
    <row r="6811" spans="1:11" x14ac:dyDescent="0.2">
      <c r="A6811" s="30">
        <v>745</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2.0 mg/2 min</v>
      </c>
      <c r="E6811" s="250" t="str">
        <f>IF(AND(A6811&lt;&gt;"",ISNUMBER(A6811)),VLOOKUP(A6811,Studies!A:BR,5,FALSE),"")</f>
        <v>Alprazolam</v>
      </c>
      <c r="F6811" s="251" t="str">
        <f>IF(AND(A6811&lt;&gt;"",ISNUMBER(A6811)),VLOOKUP(A6811,Studies!A:BR,6,FALSE),"")</f>
        <v>Plasma</v>
      </c>
      <c r="G6811" s="194">
        <v>1</v>
      </c>
      <c r="H6811" s="50" t="s">
        <v>60</v>
      </c>
      <c r="I6811" s="187">
        <v>27.751280000000001</v>
      </c>
      <c r="J6811" s="41" t="s">
        <v>941</v>
      </c>
      <c r="K6811" s="41" t="s">
        <v>116</v>
      </c>
    </row>
    <row r="6812" spans="1:11" x14ac:dyDescent="0.2">
      <c r="A6812" s="30">
        <v>745</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2.0 mg/2 min</v>
      </c>
      <c r="E6812" s="250" t="str">
        <f>IF(AND(A6812&lt;&gt;"",ISNUMBER(A6812)),VLOOKUP(A6812,Studies!A:BR,5,FALSE),"")</f>
        <v>Alprazolam</v>
      </c>
      <c r="F6812" s="251" t="str">
        <f>IF(AND(A6812&lt;&gt;"",ISNUMBER(A6812)),VLOOKUP(A6812,Studies!A:BR,6,FALSE),"")</f>
        <v>Plasma</v>
      </c>
      <c r="G6812" s="194">
        <v>1.5</v>
      </c>
      <c r="H6812" s="50" t="s">
        <v>60</v>
      </c>
      <c r="I6812" s="187">
        <v>26.93901</v>
      </c>
      <c r="J6812" s="41" t="s">
        <v>941</v>
      </c>
      <c r="K6812" s="41" t="s">
        <v>116</v>
      </c>
    </row>
    <row r="6813" spans="1:11" x14ac:dyDescent="0.2">
      <c r="A6813" s="30">
        <v>745</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2.0 mg/2 min</v>
      </c>
      <c r="E6813" s="250" t="str">
        <f>IF(AND(A6813&lt;&gt;"",ISNUMBER(A6813)),VLOOKUP(A6813,Studies!A:BR,5,FALSE),"")</f>
        <v>Alprazolam</v>
      </c>
      <c r="F6813" s="251" t="str">
        <f>IF(AND(A6813&lt;&gt;"",ISNUMBER(A6813)),VLOOKUP(A6813,Studies!A:BR,6,FALSE),"")</f>
        <v>Plasma</v>
      </c>
      <c r="G6813" s="194">
        <v>2</v>
      </c>
      <c r="H6813" s="50" t="s">
        <v>60</v>
      </c>
      <c r="I6813" s="187">
        <v>27.032969999999999</v>
      </c>
      <c r="J6813" s="41" t="s">
        <v>941</v>
      </c>
      <c r="K6813" s="41" t="s">
        <v>116</v>
      </c>
    </row>
    <row r="6814" spans="1:11" x14ac:dyDescent="0.2">
      <c r="A6814" s="30">
        <v>745</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2.0 mg/2 min</v>
      </c>
      <c r="E6814" s="250" t="str">
        <f>IF(AND(A6814&lt;&gt;"",ISNUMBER(A6814)),VLOOKUP(A6814,Studies!A:BR,5,FALSE),"")</f>
        <v>Alprazolam</v>
      </c>
      <c r="F6814" s="251" t="str">
        <f>IF(AND(A6814&lt;&gt;"",ISNUMBER(A6814)),VLOOKUP(A6814,Studies!A:BR,6,FALSE),"")</f>
        <v>Plasma</v>
      </c>
      <c r="G6814" s="194">
        <v>3</v>
      </c>
      <c r="H6814" s="50" t="s">
        <v>60</v>
      </c>
      <c r="I6814" s="187">
        <v>25.409939999999999</v>
      </c>
      <c r="J6814" s="41" t="s">
        <v>941</v>
      </c>
      <c r="K6814" s="41" t="s">
        <v>116</v>
      </c>
    </row>
    <row r="6815" spans="1:11" x14ac:dyDescent="0.2">
      <c r="A6815" s="30">
        <v>745</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2.0 mg/2 min</v>
      </c>
      <c r="E6815" s="250" t="str">
        <f>IF(AND(A6815&lt;&gt;"",ISNUMBER(A6815)),VLOOKUP(A6815,Studies!A:BR,5,FALSE),"")</f>
        <v>Alprazolam</v>
      </c>
      <c r="F6815" s="251" t="str">
        <f>IF(AND(A6815&lt;&gt;"",ISNUMBER(A6815)),VLOOKUP(A6815,Studies!A:BR,6,FALSE),"")</f>
        <v>Plasma</v>
      </c>
      <c r="G6815" s="194">
        <v>4</v>
      </c>
      <c r="H6815" s="50" t="s">
        <v>60</v>
      </c>
      <c r="I6815" s="187">
        <v>23.287369999999999</v>
      </c>
      <c r="J6815" s="41" t="s">
        <v>941</v>
      </c>
      <c r="K6815" s="41" t="s">
        <v>116</v>
      </c>
    </row>
    <row r="6816" spans="1:11" x14ac:dyDescent="0.2">
      <c r="A6816" s="30">
        <v>745</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2.0 mg/2 min</v>
      </c>
      <c r="E6816" s="250" t="str">
        <f>IF(AND(A6816&lt;&gt;"",ISNUMBER(A6816)),VLOOKUP(A6816,Studies!A:BR,5,FALSE),"")</f>
        <v>Alprazolam</v>
      </c>
      <c r="F6816" s="251" t="str">
        <f>IF(AND(A6816&lt;&gt;"",ISNUMBER(A6816)),VLOOKUP(A6816,Studies!A:BR,6,FALSE),"")</f>
        <v>Plasma</v>
      </c>
      <c r="G6816" s="194">
        <v>6</v>
      </c>
      <c r="H6816" s="50" t="s">
        <v>60</v>
      </c>
      <c r="I6816" s="187">
        <v>19.813890000000001</v>
      </c>
      <c r="J6816" s="41" t="s">
        <v>941</v>
      </c>
      <c r="K6816" s="41" t="s">
        <v>116</v>
      </c>
    </row>
    <row r="6817" spans="1:11" x14ac:dyDescent="0.2">
      <c r="A6817" s="30">
        <v>745</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2.0 mg/2 min</v>
      </c>
      <c r="E6817" s="250" t="str">
        <f>IF(AND(A6817&lt;&gt;"",ISNUMBER(A6817)),VLOOKUP(A6817,Studies!A:BR,5,FALSE),"")</f>
        <v>Alprazolam</v>
      </c>
      <c r="F6817" s="251" t="str">
        <f>IF(AND(A6817&lt;&gt;"",ISNUMBER(A6817)),VLOOKUP(A6817,Studies!A:BR,6,FALSE),"")</f>
        <v>Plasma</v>
      </c>
      <c r="G6817" s="194">
        <v>8</v>
      </c>
      <c r="H6817" s="50" t="s">
        <v>60</v>
      </c>
      <c r="I6817" s="187">
        <v>17.181650000000001</v>
      </c>
      <c r="J6817" s="41" t="s">
        <v>941</v>
      </c>
      <c r="K6817" s="41" t="s">
        <v>116</v>
      </c>
    </row>
    <row r="6818" spans="1:11" x14ac:dyDescent="0.2">
      <c r="A6818" s="30">
        <v>745</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2.0 mg/2 min</v>
      </c>
      <c r="E6818" s="250" t="str">
        <f>IF(AND(A6818&lt;&gt;"",ISNUMBER(A6818)),VLOOKUP(A6818,Studies!A:BR,5,FALSE),"")</f>
        <v>Alprazolam</v>
      </c>
      <c r="F6818" s="251" t="str">
        <f>IF(AND(A6818&lt;&gt;"",ISNUMBER(A6818)),VLOOKUP(A6818,Studies!A:BR,6,FALSE),"")</f>
        <v>Plasma</v>
      </c>
      <c r="G6818" s="194">
        <v>12</v>
      </c>
      <c r="H6818" s="50" t="s">
        <v>60</v>
      </c>
      <c r="I6818" s="187">
        <v>13.058590000000001</v>
      </c>
      <c r="J6818" s="41" t="s">
        <v>941</v>
      </c>
      <c r="K6818" s="41" t="s">
        <v>116</v>
      </c>
    </row>
    <row r="6819" spans="1:11" x14ac:dyDescent="0.2">
      <c r="A6819" s="30">
        <v>746</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1.0 mg/2 min, then 72 µg/hr for 8 hours</v>
      </c>
      <c r="E6819" s="250" t="str">
        <f>IF(AND(A6819&lt;&gt;"",ISNUMBER(A6819)),VLOOKUP(A6819,Studies!A:BR,5,FALSE),"")</f>
        <v>Alprazolam</v>
      </c>
      <c r="F6819" s="251" t="str">
        <f>IF(AND(A6819&lt;&gt;"",ISNUMBER(A6819)),VLOOKUP(A6819,Studies!A:BR,6,FALSE),"")</f>
        <v>Plasma</v>
      </c>
      <c r="G6819" s="194">
        <v>0.25</v>
      </c>
      <c r="H6819" s="50" t="s">
        <v>60</v>
      </c>
      <c r="I6819" s="187">
        <v>16.405290000000001</v>
      </c>
      <c r="J6819" s="41" t="s">
        <v>941</v>
      </c>
      <c r="K6819" s="41" t="s">
        <v>116</v>
      </c>
    </row>
    <row r="6820" spans="1:11" x14ac:dyDescent="0.2">
      <c r="A6820" s="30">
        <v>746</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1.0 mg/2 min, then 72 µg/hr for 8 hours</v>
      </c>
      <c r="E6820" s="250" t="str">
        <f>IF(AND(A6820&lt;&gt;"",ISNUMBER(A6820)),VLOOKUP(A6820,Studies!A:BR,5,FALSE),"")</f>
        <v>Alprazolam</v>
      </c>
      <c r="F6820" s="251" t="str">
        <f>IF(AND(A6820&lt;&gt;"",ISNUMBER(A6820)),VLOOKUP(A6820,Studies!A:BR,6,FALSE),"")</f>
        <v>Plasma</v>
      </c>
      <c r="G6820" s="194">
        <v>0.5</v>
      </c>
      <c r="H6820" s="50" t="s">
        <v>60</v>
      </c>
      <c r="I6820" s="187">
        <v>14.00883</v>
      </c>
      <c r="J6820" s="41" t="s">
        <v>941</v>
      </c>
      <c r="K6820" s="41" t="s">
        <v>116</v>
      </c>
    </row>
    <row r="6821" spans="1:11" x14ac:dyDescent="0.2">
      <c r="A6821" s="30">
        <v>746</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1.0 mg/2 min, then 72 µg/hr for 8 hours</v>
      </c>
      <c r="E6821" s="250" t="str">
        <f>IF(AND(A6821&lt;&gt;"",ISNUMBER(A6821)),VLOOKUP(A6821,Studies!A:BR,5,FALSE),"")</f>
        <v>Alprazolam</v>
      </c>
      <c r="F6821" s="251" t="str">
        <f>IF(AND(A6821&lt;&gt;"",ISNUMBER(A6821)),VLOOKUP(A6821,Studies!A:BR,6,FALSE),"")</f>
        <v>Plasma</v>
      </c>
      <c r="G6821" s="194">
        <v>0.75</v>
      </c>
      <c r="H6821" s="50" t="s">
        <v>60</v>
      </c>
      <c r="I6821" s="187">
        <v>13.20654</v>
      </c>
      <c r="J6821" s="41" t="s">
        <v>941</v>
      </c>
      <c r="K6821" s="41" t="s">
        <v>116</v>
      </c>
    </row>
    <row r="6822" spans="1:11" x14ac:dyDescent="0.2">
      <c r="A6822" s="30">
        <v>746</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1.0 mg/2 min, then 72 µg/hr for 8 hours</v>
      </c>
      <c r="E6822" s="250" t="str">
        <f>IF(AND(A6822&lt;&gt;"",ISNUMBER(A6822)),VLOOKUP(A6822,Studies!A:BR,5,FALSE),"")</f>
        <v>Alprazolam</v>
      </c>
      <c r="F6822" s="251" t="str">
        <f>IF(AND(A6822&lt;&gt;"",ISNUMBER(A6822)),VLOOKUP(A6822,Studies!A:BR,6,FALSE),"")</f>
        <v>Plasma</v>
      </c>
      <c r="G6822" s="194">
        <v>1</v>
      </c>
      <c r="H6822" s="50" t="s">
        <v>60</v>
      </c>
      <c r="I6822" s="187">
        <v>13.00779</v>
      </c>
      <c r="J6822" s="41" t="s">
        <v>941</v>
      </c>
      <c r="K6822" s="41" t="s">
        <v>116</v>
      </c>
    </row>
    <row r="6823" spans="1:11" x14ac:dyDescent="0.2">
      <c r="A6823" s="30">
        <v>746</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1.0 mg/2 min, then 72 µg/hr for 8 hours</v>
      </c>
      <c r="E6823" s="250" t="str">
        <f>IF(AND(A6823&lt;&gt;"",ISNUMBER(A6823)),VLOOKUP(A6823,Studies!A:BR,5,FALSE),"")</f>
        <v>Alprazolam</v>
      </c>
      <c r="F6823" s="251" t="str">
        <f>IF(AND(A6823&lt;&gt;"",ISNUMBER(A6823)),VLOOKUP(A6823,Studies!A:BR,6,FALSE),"")</f>
        <v>Plasma</v>
      </c>
      <c r="G6823" s="194">
        <v>1.5</v>
      </c>
      <c r="H6823" s="50" t="s">
        <v>60</v>
      </c>
      <c r="I6823" s="187">
        <v>12.818669999999999</v>
      </c>
      <c r="J6823" s="41" t="s">
        <v>941</v>
      </c>
      <c r="K6823" s="41" t="s">
        <v>116</v>
      </c>
    </row>
    <row r="6824" spans="1:11" x14ac:dyDescent="0.2">
      <c r="A6824" s="30">
        <v>746</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1.0 mg/2 min, then 72 µg/hr for 8 hours</v>
      </c>
      <c r="E6824" s="250" t="str">
        <f>IF(AND(A6824&lt;&gt;"",ISNUMBER(A6824)),VLOOKUP(A6824,Studies!A:BR,5,FALSE),"")</f>
        <v>Alprazolam</v>
      </c>
      <c r="F6824" s="251" t="str">
        <f>IF(AND(A6824&lt;&gt;"",ISNUMBER(A6824)),VLOOKUP(A6824,Studies!A:BR,6,FALSE),"")</f>
        <v>Plasma</v>
      </c>
      <c r="G6824" s="194">
        <v>2</v>
      </c>
      <c r="H6824" s="50" t="s">
        <v>60</v>
      </c>
      <c r="I6824" s="187">
        <v>14.185129999999999</v>
      </c>
      <c r="J6824" s="41" t="s">
        <v>941</v>
      </c>
      <c r="K6824" s="41" t="s">
        <v>116</v>
      </c>
    </row>
    <row r="6825" spans="1:11" x14ac:dyDescent="0.2">
      <c r="A6825" s="30">
        <v>746</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1.0 mg/2 min, then 72 µg/hr for 8 hours</v>
      </c>
      <c r="E6825" s="250" t="str">
        <f>IF(AND(A6825&lt;&gt;"",ISNUMBER(A6825)),VLOOKUP(A6825,Studies!A:BR,5,FALSE),"")</f>
        <v>Alprazolam</v>
      </c>
      <c r="F6825" s="251" t="str">
        <f>IF(AND(A6825&lt;&gt;"",ISNUMBER(A6825)),VLOOKUP(A6825,Studies!A:BR,6,FALSE),"")</f>
        <v>Plasma</v>
      </c>
      <c r="G6825" s="194">
        <v>3</v>
      </c>
      <c r="H6825" s="50" t="s">
        <v>60</v>
      </c>
      <c r="I6825" s="187">
        <v>14.078379999999999</v>
      </c>
      <c r="J6825" s="41" t="s">
        <v>941</v>
      </c>
      <c r="K6825" s="41" t="s">
        <v>116</v>
      </c>
    </row>
    <row r="6826" spans="1:11" x14ac:dyDescent="0.2">
      <c r="A6826" s="30">
        <v>746</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1.0 mg/2 min, then 72 µg/hr for 8 hours</v>
      </c>
      <c r="E6826" s="250" t="str">
        <f>IF(AND(A6826&lt;&gt;"",ISNUMBER(A6826)),VLOOKUP(A6826,Studies!A:BR,5,FALSE),"")</f>
        <v>Alprazolam</v>
      </c>
      <c r="F6826" s="251" t="str">
        <f>IF(AND(A6826&lt;&gt;"",ISNUMBER(A6826)),VLOOKUP(A6826,Studies!A:BR,6,FALSE),"")</f>
        <v>Plasma</v>
      </c>
      <c r="G6826" s="194">
        <v>4</v>
      </c>
      <c r="H6826" s="50" t="s">
        <v>60</v>
      </c>
      <c r="I6826" s="187">
        <v>14.02323</v>
      </c>
      <c r="J6826" s="41" t="s">
        <v>941</v>
      </c>
      <c r="K6826" s="41" t="s">
        <v>116</v>
      </c>
    </row>
    <row r="6827" spans="1:11" x14ac:dyDescent="0.2">
      <c r="A6827" s="30">
        <v>746</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1.0 mg/2 min, then 72 µg/hr for 8 hours</v>
      </c>
      <c r="E6827" s="250" t="str">
        <f>IF(AND(A6827&lt;&gt;"",ISNUMBER(A6827)),VLOOKUP(A6827,Studies!A:BR,5,FALSE),"")</f>
        <v>Alprazolam</v>
      </c>
      <c r="F6827" s="251" t="str">
        <f>IF(AND(A6827&lt;&gt;"",ISNUMBER(A6827)),VLOOKUP(A6827,Studies!A:BR,6,FALSE),"")</f>
        <v>Plasma</v>
      </c>
      <c r="G6827" s="194">
        <v>6</v>
      </c>
      <c r="H6827" s="50" t="s">
        <v>60</v>
      </c>
      <c r="I6827" s="187">
        <v>13.964090000000001</v>
      </c>
      <c r="J6827" s="41" t="s">
        <v>941</v>
      </c>
      <c r="K6827" s="41" t="s">
        <v>116</v>
      </c>
    </row>
    <row r="6828" spans="1:11" x14ac:dyDescent="0.2">
      <c r="A6828" s="30">
        <v>746</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1.0 mg/2 min, then 72 µg/hr for 8 hours</v>
      </c>
      <c r="E6828" s="250" t="str">
        <f>IF(AND(A6828&lt;&gt;"",ISNUMBER(A6828)),VLOOKUP(A6828,Studies!A:BR,5,FALSE),"")</f>
        <v>Alprazolam</v>
      </c>
      <c r="F6828" s="251" t="str">
        <f>IF(AND(A6828&lt;&gt;"",ISNUMBER(A6828)),VLOOKUP(A6828,Studies!A:BR,6,FALSE),"")</f>
        <v>Plasma</v>
      </c>
      <c r="G6828" s="194">
        <v>8</v>
      </c>
      <c r="H6828" s="50" t="s">
        <v>60</v>
      </c>
      <c r="I6828" s="187">
        <v>14.366239999999999</v>
      </c>
      <c r="J6828" s="41" t="s">
        <v>941</v>
      </c>
      <c r="K6828" s="41" t="s">
        <v>116</v>
      </c>
    </row>
    <row r="6829" spans="1:11" x14ac:dyDescent="0.2">
      <c r="A6829" s="30">
        <v>746</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1.0 mg/2 min, then 72 µg/hr for 8 hours</v>
      </c>
      <c r="E6829" s="250" t="str">
        <f>IF(AND(A6829&lt;&gt;"",ISNUMBER(A6829)),VLOOKUP(A6829,Studies!A:BR,5,FALSE),"")</f>
        <v>Alprazolam</v>
      </c>
      <c r="F6829" s="251" t="str">
        <f>IF(AND(A6829&lt;&gt;"",ISNUMBER(A6829)),VLOOKUP(A6829,Studies!A:BR,6,FALSE),"")</f>
        <v>Plasma</v>
      </c>
      <c r="G6829" s="194">
        <v>12</v>
      </c>
      <c r="H6829" s="50" t="s">
        <v>60</v>
      </c>
      <c r="I6829" s="187">
        <v>10.81635</v>
      </c>
      <c r="J6829" s="41" t="s">
        <v>941</v>
      </c>
      <c r="K6829" s="41" t="s">
        <v>116</v>
      </c>
    </row>
    <row r="6830" spans="1:11" x14ac:dyDescent="0.2">
      <c r="A6830" s="30">
        <v>747</v>
      </c>
      <c r="B6830" s="249" t="str">
        <f>IF(AND(A6830&lt;&gt;"",ISNUMBER(A6830)),VLOOKUP(A6830,Studies!A:BR,2,FALSE),"")</f>
        <v>Lin 1988</v>
      </c>
      <c r="C6830" s="250" t="str">
        <f>IF(AND(A6830&lt;&gt;"",ISNUMBER(A6830)),VLOOKUP(A6830,Studies!A:BR,3,FALSE),"")</f>
        <v>https://www.ncbi.nlm.nih.gov/pubmed/3146770</v>
      </c>
      <c r="D6830" s="250" t="str">
        <f>IF(AND(A6830&lt;&gt;"",ISNUMBER(A6830)),VLOOKUP(A6830,Studies!A:BR,4,FALSE),"")</f>
        <v>IV administration, Caucasian subjects</v>
      </c>
      <c r="E6830" s="250" t="str">
        <f>IF(AND(A6830&lt;&gt;"",ISNUMBER(A6830)),VLOOKUP(A6830,Studies!A:BR,5,FALSE),"")</f>
        <v>Alprazolam</v>
      </c>
      <c r="F6830" s="251" t="str">
        <f>IF(AND(A6830&lt;&gt;"",ISNUMBER(A6830)),VLOOKUP(A6830,Studies!A:BR,6,FALSE),"")</f>
        <v>Plasma</v>
      </c>
      <c r="G6830" s="194">
        <v>0.16666700000000001</v>
      </c>
      <c r="H6830" s="50" t="s">
        <v>60</v>
      </c>
      <c r="I6830" s="187">
        <v>12.669499999999999</v>
      </c>
      <c r="J6830" s="41" t="s">
        <v>941</v>
      </c>
      <c r="K6830" s="41" t="s">
        <v>116</v>
      </c>
    </row>
    <row r="6831" spans="1:11" x14ac:dyDescent="0.2">
      <c r="A6831" s="30">
        <v>747</v>
      </c>
      <c r="B6831" s="249" t="str">
        <f>IF(AND(A6831&lt;&gt;"",ISNUMBER(A6831)),VLOOKUP(A6831,Studies!A:BR,2,FALSE),"")</f>
        <v>Lin 1988</v>
      </c>
      <c r="C6831" s="250" t="str">
        <f>IF(AND(A6831&lt;&gt;"",ISNUMBER(A6831)),VLOOKUP(A6831,Studies!A:BR,3,FALSE),"")</f>
        <v>https://www.ncbi.nlm.nih.gov/pubmed/3146770</v>
      </c>
      <c r="D6831" s="250" t="str">
        <f>IF(AND(A6831&lt;&gt;"",ISNUMBER(A6831)),VLOOKUP(A6831,Studies!A:BR,4,FALSE),"")</f>
        <v>IV administration, Caucasian subjects</v>
      </c>
      <c r="E6831" s="250" t="str">
        <f>IF(AND(A6831&lt;&gt;"",ISNUMBER(A6831)),VLOOKUP(A6831,Studies!A:BR,5,FALSE),"")</f>
        <v>Alprazolam</v>
      </c>
      <c r="F6831" s="251" t="str">
        <f>IF(AND(A6831&lt;&gt;"",ISNUMBER(A6831)),VLOOKUP(A6831,Studies!A:BR,6,FALSE),"")</f>
        <v>Plasma</v>
      </c>
      <c r="G6831" s="194">
        <v>0.33333299999999999</v>
      </c>
      <c r="H6831" s="50" t="s">
        <v>60</v>
      </c>
      <c r="I6831" s="187">
        <v>10.70485</v>
      </c>
      <c r="J6831" s="41" t="s">
        <v>941</v>
      </c>
      <c r="K6831" s="41" t="s">
        <v>116</v>
      </c>
    </row>
    <row r="6832" spans="1:11" x14ac:dyDescent="0.2">
      <c r="A6832" s="30">
        <v>747</v>
      </c>
      <c r="B6832" s="249" t="str">
        <f>IF(AND(A6832&lt;&gt;"",ISNUMBER(A6832)),VLOOKUP(A6832,Studies!A:BR,2,FALSE),"")</f>
        <v>Lin 1988</v>
      </c>
      <c r="C6832" s="250" t="str">
        <f>IF(AND(A6832&lt;&gt;"",ISNUMBER(A6832)),VLOOKUP(A6832,Studies!A:BR,3,FALSE),"")</f>
        <v>https://www.ncbi.nlm.nih.gov/pubmed/3146770</v>
      </c>
      <c r="D6832" s="250" t="str">
        <f>IF(AND(A6832&lt;&gt;"",ISNUMBER(A6832)),VLOOKUP(A6832,Studies!A:BR,4,FALSE),"")</f>
        <v>IV administration, Caucasian subjects</v>
      </c>
      <c r="E6832" s="250" t="str">
        <f>IF(AND(A6832&lt;&gt;"",ISNUMBER(A6832)),VLOOKUP(A6832,Studies!A:BR,5,FALSE),"")</f>
        <v>Alprazolam</v>
      </c>
      <c r="F6832" s="251" t="str">
        <f>IF(AND(A6832&lt;&gt;"",ISNUMBER(A6832)),VLOOKUP(A6832,Studies!A:BR,6,FALSE),"")</f>
        <v>Plasma</v>
      </c>
      <c r="G6832" s="194">
        <v>0.66666700000000001</v>
      </c>
      <c r="H6832" s="50" t="s">
        <v>60</v>
      </c>
      <c r="I6832" s="187">
        <v>9.0585930000000001</v>
      </c>
      <c r="J6832" s="41" t="s">
        <v>941</v>
      </c>
      <c r="K6832" s="41" t="s">
        <v>116</v>
      </c>
    </row>
    <row r="6833" spans="1:15" x14ac:dyDescent="0.2">
      <c r="A6833" s="30">
        <v>747</v>
      </c>
      <c r="B6833" s="249" t="str">
        <f>IF(AND(A6833&lt;&gt;"",ISNUMBER(A6833)),VLOOKUP(A6833,Studies!A:BR,2,FALSE),"")</f>
        <v>Lin 1988</v>
      </c>
      <c r="C6833" s="250" t="str">
        <f>IF(AND(A6833&lt;&gt;"",ISNUMBER(A6833)),VLOOKUP(A6833,Studies!A:BR,3,FALSE),"")</f>
        <v>https://www.ncbi.nlm.nih.gov/pubmed/3146770</v>
      </c>
      <c r="D6833" s="250" t="str">
        <f>IF(AND(A6833&lt;&gt;"",ISNUMBER(A6833)),VLOOKUP(A6833,Studies!A:BR,4,FALSE),"")</f>
        <v>IV administration, Caucasian subjects</v>
      </c>
      <c r="E6833" s="250" t="str">
        <f>IF(AND(A6833&lt;&gt;"",ISNUMBER(A6833)),VLOOKUP(A6833,Studies!A:BR,5,FALSE),"")</f>
        <v>Alprazolam</v>
      </c>
      <c r="F6833" s="251" t="str">
        <f>IF(AND(A6833&lt;&gt;"",ISNUMBER(A6833)),VLOOKUP(A6833,Studies!A:BR,6,FALSE),"")</f>
        <v>Plasma</v>
      </c>
      <c r="G6833" s="194">
        <v>1</v>
      </c>
      <c r="H6833" s="50" t="s">
        <v>60</v>
      </c>
      <c r="I6833" s="187">
        <v>8.5693889999999993</v>
      </c>
      <c r="J6833" s="41" t="s">
        <v>941</v>
      </c>
      <c r="K6833" s="41" t="s">
        <v>116</v>
      </c>
    </row>
    <row r="6834" spans="1:15" x14ac:dyDescent="0.2">
      <c r="A6834" s="30">
        <v>747</v>
      </c>
      <c r="B6834" s="249" t="str">
        <f>IF(AND(A6834&lt;&gt;"",ISNUMBER(A6834)),VLOOKUP(A6834,Studies!A:BR,2,FALSE),"")</f>
        <v>Lin 1988</v>
      </c>
      <c r="C6834" s="250" t="str">
        <f>IF(AND(A6834&lt;&gt;"",ISNUMBER(A6834)),VLOOKUP(A6834,Studies!A:BR,3,FALSE),"")</f>
        <v>https://www.ncbi.nlm.nih.gov/pubmed/3146770</v>
      </c>
      <c r="D6834" s="250" t="str">
        <f>IF(AND(A6834&lt;&gt;"",ISNUMBER(A6834)),VLOOKUP(A6834,Studies!A:BR,4,FALSE),"")</f>
        <v>IV administration, Caucasian subjects</v>
      </c>
      <c r="E6834" s="250" t="str">
        <f>IF(AND(A6834&lt;&gt;"",ISNUMBER(A6834)),VLOOKUP(A6834,Studies!A:BR,5,FALSE),"")</f>
        <v>Alprazolam</v>
      </c>
      <c r="F6834" s="251" t="str">
        <f>IF(AND(A6834&lt;&gt;"",ISNUMBER(A6834)),VLOOKUP(A6834,Studies!A:BR,6,FALSE),"")</f>
        <v>Plasma</v>
      </c>
      <c r="G6834" s="194">
        <v>1.5</v>
      </c>
      <c r="H6834" s="50" t="s">
        <v>60</v>
      </c>
      <c r="I6834" s="187">
        <v>8.0526090000000003</v>
      </c>
      <c r="J6834" s="41" t="s">
        <v>941</v>
      </c>
      <c r="K6834" s="41" t="s">
        <v>116</v>
      </c>
    </row>
    <row r="6835" spans="1:15" x14ac:dyDescent="0.2">
      <c r="A6835" s="30">
        <v>747</v>
      </c>
      <c r="B6835" s="249" t="str">
        <f>IF(AND(A6835&lt;&gt;"",ISNUMBER(A6835)),VLOOKUP(A6835,Studies!A:BR,2,FALSE),"")</f>
        <v>Lin 1988</v>
      </c>
      <c r="C6835" s="250" t="str">
        <f>IF(AND(A6835&lt;&gt;"",ISNUMBER(A6835)),VLOOKUP(A6835,Studies!A:BR,3,FALSE),"")</f>
        <v>https://www.ncbi.nlm.nih.gov/pubmed/3146770</v>
      </c>
      <c r="D6835" s="250" t="str">
        <f>IF(AND(A6835&lt;&gt;"",ISNUMBER(A6835)),VLOOKUP(A6835,Studies!A:BR,4,FALSE),"")</f>
        <v>IV administration, Caucasian subjects</v>
      </c>
      <c r="E6835" s="250" t="str">
        <f>IF(AND(A6835&lt;&gt;"",ISNUMBER(A6835)),VLOOKUP(A6835,Studies!A:BR,5,FALSE),"")</f>
        <v>Alprazolam</v>
      </c>
      <c r="F6835" s="251" t="str">
        <f>IF(AND(A6835&lt;&gt;"",ISNUMBER(A6835)),VLOOKUP(A6835,Studies!A:BR,6,FALSE),"")</f>
        <v>Plasma</v>
      </c>
      <c r="G6835" s="194">
        <v>2</v>
      </c>
      <c r="H6835" s="50" t="s">
        <v>60</v>
      </c>
      <c r="I6835" s="187">
        <v>8.1427589999999999</v>
      </c>
      <c r="J6835" s="41" t="s">
        <v>941</v>
      </c>
      <c r="K6835" s="41" t="s">
        <v>116</v>
      </c>
    </row>
    <row r="6836" spans="1:15" x14ac:dyDescent="0.2">
      <c r="A6836" s="30">
        <v>747</v>
      </c>
      <c r="B6836" s="249" t="str">
        <f>IF(AND(A6836&lt;&gt;"",ISNUMBER(A6836)),VLOOKUP(A6836,Studies!A:BR,2,FALSE),"")</f>
        <v>Lin 1988</v>
      </c>
      <c r="C6836" s="250" t="str">
        <f>IF(AND(A6836&lt;&gt;"",ISNUMBER(A6836)),VLOOKUP(A6836,Studies!A:BR,3,FALSE),"")</f>
        <v>https://www.ncbi.nlm.nih.gov/pubmed/3146770</v>
      </c>
      <c r="D6836" s="250" t="str">
        <f>IF(AND(A6836&lt;&gt;"",ISNUMBER(A6836)),VLOOKUP(A6836,Studies!A:BR,4,FALSE),"")</f>
        <v>IV administration, Caucasian subjects</v>
      </c>
      <c r="E6836" s="250" t="str">
        <f>IF(AND(A6836&lt;&gt;"",ISNUMBER(A6836)),VLOOKUP(A6836,Studies!A:BR,5,FALSE),"")</f>
        <v>Alprazolam</v>
      </c>
      <c r="F6836" s="251" t="str">
        <f>IF(AND(A6836&lt;&gt;"",ISNUMBER(A6836)),VLOOKUP(A6836,Studies!A:BR,6,FALSE),"")</f>
        <v>Plasma</v>
      </c>
      <c r="G6836" s="194">
        <v>2.5</v>
      </c>
      <c r="H6836" s="50" t="s">
        <v>60</v>
      </c>
      <c r="I6836" s="187">
        <v>7.6259800000000002</v>
      </c>
      <c r="J6836" s="41" t="s">
        <v>941</v>
      </c>
      <c r="K6836" s="41" t="s">
        <v>116</v>
      </c>
    </row>
    <row r="6837" spans="1:15" x14ac:dyDescent="0.2">
      <c r="A6837" s="30">
        <v>747</v>
      </c>
      <c r="B6837" s="249" t="str">
        <f>IF(AND(A6837&lt;&gt;"",ISNUMBER(A6837)),VLOOKUP(A6837,Studies!A:BR,2,FALSE),"")</f>
        <v>Lin 1988</v>
      </c>
      <c r="C6837" s="250" t="str">
        <f>IF(AND(A6837&lt;&gt;"",ISNUMBER(A6837)),VLOOKUP(A6837,Studies!A:BR,3,FALSE),"")</f>
        <v>https://www.ncbi.nlm.nih.gov/pubmed/3146770</v>
      </c>
      <c r="D6837" s="250" t="str">
        <f>IF(AND(A6837&lt;&gt;"",ISNUMBER(A6837)),VLOOKUP(A6837,Studies!A:BR,4,FALSE),"")</f>
        <v>IV administration, Caucasian subjects</v>
      </c>
      <c r="E6837" s="250" t="str">
        <f>IF(AND(A6837&lt;&gt;"",ISNUMBER(A6837)),VLOOKUP(A6837,Studies!A:BR,5,FALSE),"")</f>
        <v>Alprazolam</v>
      </c>
      <c r="F6837" s="251" t="str">
        <f>IF(AND(A6837&lt;&gt;"",ISNUMBER(A6837)),VLOOKUP(A6837,Studies!A:BR,6,FALSE),"")</f>
        <v>Plasma</v>
      </c>
      <c r="G6837" s="194">
        <v>3</v>
      </c>
      <c r="H6837" s="50" t="s">
        <v>60</v>
      </c>
      <c r="I6837" s="187">
        <v>7.224761</v>
      </c>
      <c r="J6837" s="41" t="s">
        <v>941</v>
      </c>
      <c r="K6837" s="41" t="s">
        <v>116</v>
      </c>
    </row>
    <row r="6838" spans="1:15" x14ac:dyDescent="0.2">
      <c r="A6838" s="30">
        <v>747</v>
      </c>
      <c r="B6838" s="249" t="str">
        <f>IF(AND(A6838&lt;&gt;"",ISNUMBER(A6838)),VLOOKUP(A6838,Studies!A:BR,2,FALSE),"")</f>
        <v>Lin 1988</v>
      </c>
      <c r="C6838" s="250" t="str">
        <f>IF(AND(A6838&lt;&gt;"",ISNUMBER(A6838)),VLOOKUP(A6838,Studies!A:BR,3,FALSE),"")</f>
        <v>https://www.ncbi.nlm.nih.gov/pubmed/3146770</v>
      </c>
      <c r="D6838" s="250" t="str">
        <f>IF(AND(A6838&lt;&gt;"",ISNUMBER(A6838)),VLOOKUP(A6838,Studies!A:BR,4,FALSE),"")</f>
        <v>IV administration, Caucasian subjects</v>
      </c>
      <c r="E6838" s="250" t="str">
        <f>IF(AND(A6838&lt;&gt;"",ISNUMBER(A6838)),VLOOKUP(A6838,Studies!A:BR,5,FALSE),"")</f>
        <v>Alprazolam</v>
      </c>
      <c r="F6838" s="251" t="str">
        <f>IF(AND(A6838&lt;&gt;"",ISNUMBER(A6838)),VLOOKUP(A6838,Studies!A:BR,6,FALSE),"")</f>
        <v>Plasma</v>
      </c>
      <c r="G6838" s="194">
        <v>4</v>
      </c>
      <c r="H6838" s="50" t="s">
        <v>60</v>
      </c>
      <c r="I6838" s="187">
        <v>7.0584809999999996</v>
      </c>
      <c r="J6838" s="41" t="s">
        <v>941</v>
      </c>
      <c r="K6838" s="41" t="s">
        <v>116</v>
      </c>
    </row>
    <row r="6839" spans="1:15" x14ac:dyDescent="0.2">
      <c r="A6839" s="30">
        <v>747</v>
      </c>
      <c r="B6839" s="249" t="str">
        <f>IF(AND(A6839&lt;&gt;"",ISNUMBER(A6839)),VLOOKUP(A6839,Studies!A:BR,2,FALSE),"")</f>
        <v>Lin 1988</v>
      </c>
      <c r="C6839" s="250" t="str">
        <f>IF(AND(A6839&lt;&gt;"",ISNUMBER(A6839)),VLOOKUP(A6839,Studies!A:BR,3,FALSE),"")</f>
        <v>https://www.ncbi.nlm.nih.gov/pubmed/3146770</v>
      </c>
      <c r="D6839" s="250" t="str">
        <f>IF(AND(A6839&lt;&gt;"",ISNUMBER(A6839)),VLOOKUP(A6839,Studies!A:BR,4,FALSE),"")</f>
        <v>IV administration, Caucasian subjects</v>
      </c>
      <c r="E6839" s="250" t="str">
        <f>IF(AND(A6839&lt;&gt;"",ISNUMBER(A6839)),VLOOKUP(A6839,Studies!A:BR,5,FALSE),"")</f>
        <v>Alprazolam</v>
      </c>
      <c r="F6839" s="251" t="str">
        <f>IF(AND(A6839&lt;&gt;"",ISNUMBER(A6839)),VLOOKUP(A6839,Studies!A:BR,6,FALSE),"")</f>
        <v>Plasma</v>
      </c>
      <c r="G6839" s="194">
        <v>6</v>
      </c>
      <c r="H6839" s="50" t="s">
        <v>60</v>
      </c>
      <c r="I6839" s="187">
        <v>6.1474929999999999</v>
      </c>
      <c r="J6839" s="41" t="s">
        <v>941</v>
      </c>
      <c r="K6839" s="41" t="s">
        <v>116</v>
      </c>
    </row>
    <row r="6840" spans="1:15" x14ac:dyDescent="0.2">
      <c r="A6840" s="30">
        <v>747</v>
      </c>
      <c r="B6840" s="249" t="str">
        <f>IF(AND(A6840&lt;&gt;"",ISNUMBER(A6840)),VLOOKUP(A6840,Studies!A:BR,2,FALSE),"")</f>
        <v>Lin 1988</v>
      </c>
      <c r="C6840" s="250" t="str">
        <f>IF(AND(A6840&lt;&gt;"",ISNUMBER(A6840)),VLOOKUP(A6840,Studies!A:BR,3,FALSE),"")</f>
        <v>https://www.ncbi.nlm.nih.gov/pubmed/3146770</v>
      </c>
      <c r="D6840" s="250" t="str">
        <f>IF(AND(A6840&lt;&gt;"",ISNUMBER(A6840)),VLOOKUP(A6840,Studies!A:BR,4,FALSE),"")</f>
        <v>IV administration, Caucasian subjects</v>
      </c>
      <c r="E6840" s="250" t="str">
        <f>IF(AND(A6840&lt;&gt;"",ISNUMBER(A6840)),VLOOKUP(A6840,Studies!A:BR,5,FALSE),"")</f>
        <v>Alprazolam</v>
      </c>
      <c r="F6840" s="251" t="str">
        <f>IF(AND(A6840&lt;&gt;"",ISNUMBER(A6840)),VLOOKUP(A6840,Studies!A:BR,6,FALSE),"")</f>
        <v>Plasma</v>
      </c>
      <c r="G6840" s="194">
        <v>8</v>
      </c>
      <c r="H6840" s="50" t="s">
        <v>60</v>
      </c>
      <c r="I6840" s="187">
        <v>5.092028</v>
      </c>
      <c r="J6840" s="41" t="s">
        <v>941</v>
      </c>
      <c r="K6840" s="41" t="s">
        <v>116</v>
      </c>
    </row>
    <row r="6841" spans="1:15" x14ac:dyDescent="0.2">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12</v>
      </c>
      <c r="H6841" s="50" t="s">
        <v>60</v>
      </c>
      <c r="I6841" s="187">
        <v>4.0841880000000002</v>
      </c>
      <c r="J6841" s="41" t="s">
        <v>941</v>
      </c>
      <c r="K6841" s="41" t="s">
        <v>116</v>
      </c>
    </row>
    <row r="6842" spans="1:15" x14ac:dyDescent="0.2">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24</v>
      </c>
      <c r="H6842" s="50" t="s">
        <v>60</v>
      </c>
      <c r="I6842" s="187">
        <v>2.584981</v>
      </c>
      <c r="J6842" s="41" t="s">
        <v>941</v>
      </c>
      <c r="K6842" s="41" t="s">
        <v>116</v>
      </c>
    </row>
    <row r="6843" spans="1:15" x14ac:dyDescent="0.2">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36</v>
      </c>
      <c r="H6843" s="50" t="s">
        <v>60</v>
      </c>
      <c r="I6843" s="187">
        <v>1.1145860000000001</v>
      </c>
      <c r="J6843" s="41" t="s">
        <v>941</v>
      </c>
      <c r="K6843" s="41" t="s">
        <v>116</v>
      </c>
    </row>
    <row r="6844" spans="1:15" x14ac:dyDescent="0.2">
      <c r="A6844" s="30">
        <v>748</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Oral administration, Caucasian subjects</v>
      </c>
      <c r="E6844" s="250" t="str">
        <f>IF(AND(A6844&lt;&gt;"",ISNUMBER(A6844)),VLOOKUP(A6844,Studies!A:BR,5,FALSE),"")</f>
        <v>Alprazolam</v>
      </c>
      <c r="F6844" s="251" t="str">
        <f>IF(AND(A6844&lt;&gt;"",ISNUMBER(A6844)),VLOOKUP(A6844,Studies!A:BR,6,FALSE),"")</f>
        <v>Plasma</v>
      </c>
      <c r="G6844" s="194">
        <v>0.1666667</v>
      </c>
      <c r="H6844" s="50" t="s">
        <v>60</v>
      </c>
      <c r="I6844" s="187">
        <v>1.0178119999999999</v>
      </c>
      <c r="J6844" s="41" t="s">
        <v>941</v>
      </c>
      <c r="K6844" s="41" t="s">
        <v>116</v>
      </c>
    </row>
    <row r="6845" spans="1:15" x14ac:dyDescent="0.2">
      <c r="A6845" s="30">
        <v>748</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Oral administration, Caucasian subjects</v>
      </c>
      <c r="E6845" s="250" t="str">
        <f>IF(AND(A6845&lt;&gt;"",ISNUMBER(A6845)),VLOOKUP(A6845,Studies!A:BR,5,FALSE),"")</f>
        <v>Alprazolam</v>
      </c>
      <c r="F6845" s="251" t="str">
        <f>IF(AND(A6845&lt;&gt;"",ISNUMBER(A6845)),VLOOKUP(A6845,Studies!A:BR,6,FALSE),"")</f>
        <v>Plasma</v>
      </c>
      <c r="G6845" s="194">
        <v>0.3333333</v>
      </c>
      <c r="H6845" s="50" t="s">
        <v>60</v>
      </c>
      <c r="I6845" s="187">
        <v>5.1145040000000002</v>
      </c>
      <c r="J6845" s="41" t="s">
        <v>941</v>
      </c>
      <c r="K6845" s="41" t="s">
        <v>116</v>
      </c>
    </row>
    <row r="6846" spans="1:15" x14ac:dyDescent="0.2">
      <c r="A6846" s="30">
        <v>748</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Oral administration, Caucasian subjects</v>
      </c>
      <c r="E6846" s="250" t="str">
        <f>IF(AND(A6846&lt;&gt;"",ISNUMBER(A6846)),VLOOKUP(A6846,Studies!A:BR,5,FALSE),"")</f>
        <v>Alprazolam</v>
      </c>
      <c r="F6846" s="251" t="str">
        <f>IF(AND(A6846&lt;&gt;"",ISNUMBER(A6846)),VLOOKUP(A6846,Studies!A:BR,6,FALSE),"")</f>
        <v>Plasma</v>
      </c>
      <c r="G6846" s="194">
        <v>0.66666669999999995</v>
      </c>
      <c r="H6846" s="50" t="s">
        <v>60</v>
      </c>
      <c r="I6846" s="187">
        <v>7.659033</v>
      </c>
      <c r="J6846" s="41" t="s">
        <v>941</v>
      </c>
      <c r="K6846" s="41" t="s">
        <v>116</v>
      </c>
    </row>
    <row r="6847" spans="1:15" x14ac:dyDescent="0.2">
      <c r="A6847" s="30">
        <v>748</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Oral administration, Caucasian subjects</v>
      </c>
      <c r="E6847" s="250" t="str">
        <f>IF(AND(A6847&lt;&gt;"",ISNUMBER(A6847)),VLOOKUP(A6847,Studies!A:BR,5,FALSE),"")</f>
        <v>Alprazolam</v>
      </c>
      <c r="F6847" s="251" t="str">
        <f>IF(AND(A6847&lt;&gt;"",ISNUMBER(A6847)),VLOOKUP(A6847,Studies!A:BR,6,FALSE),"")</f>
        <v>Plasma</v>
      </c>
      <c r="G6847" s="194">
        <v>1</v>
      </c>
      <c r="H6847" s="50" t="s">
        <v>60</v>
      </c>
      <c r="I6847" s="187">
        <v>8.2188289999999995</v>
      </c>
      <c r="J6847" s="41" t="s">
        <v>941</v>
      </c>
      <c r="K6847" s="41" t="s">
        <v>116</v>
      </c>
    </row>
    <row r="6848" spans="1:15" x14ac:dyDescent="0.2">
      <c r="A6848" s="30">
        <v>748</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Oral administration, Caucasian subjects</v>
      </c>
      <c r="E6848" s="250" t="str">
        <f>IF(AND(A6848&lt;&gt;"",ISNUMBER(A6848)),VLOOKUP(A6848,Studies!A:BR,5,FALSE),"")</f>
        <v>Alprazolam</v>
      </c>
      <c r="F6848" s="251" t="str">
        <f>IF(AND(A6848&lt;&gt;"",ISNUMBER(A6848)),VLOOKUP(A6848,Studies!A:BR,6,FALSE),"")</f>
        <v>Plasma</v>
      </c>
      <c r="G6848" s="194">
        <v>1.5</v>
      </c>
      <c r="H6848" s="50" t="s">
        <v>60</v>
      </c>
      <c r="I6848" s="187">
        <v>7.2773539999999999</v>
      </c>
      <c r="J6848" s="41" t="s">
        <v>941</v>
      </c>
      <c r="K6848" s="41" t="s">
        <v>116</v>
      </c>
      <c r="O6848" s="199"/>
    </row>
    <row r="6849" spans="1:15" x14ac:dyDescent="0.2">
      <c r="A6849" s="30">
        <v>748</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Oral administration, Caucasian subjects</v>
      </c>
      <c r="E6849" s="250" t="str">
        <f>IF(AND(A6849&lt;&gt;"",ISNUMBER(A6849)),VLOOKUP(A6849,Studies!A:BR,5,FALSE),"")</f>
        <v>Alprazolam</v>
      </c>
      <c r="F6849" s="251" t="str">
        <f>IF(AND(A6849&lt;&gt;"",ISNUMBER(A6849)),VLOOKUP(A6849,Studies!A:BR,6,FALSE),"")</f>
        <v>Plasma</v>
      </c>
      <c r="G6849" s="194">
        <v>2</v>
      </c>
      <c r="H6849" s="50" t="s">
        <v>60</v>
      </c>
      <c r="I6849" s="187">
        <v>7.2264629999999999</v>
      </c>
      <c r="J6849" s="41" t="s">
        <v>941</v>
      </c>
      <c r="K6849" s="41" t="s">
        <v>116</v>
      </c>
      <c r="O6849" s="199"/>
    </row>
    <row r="6850" spans="1:15" x14ac:dyDescent="0.2">
      <c r="A6850" s="30">
        <v>748</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Oral administration, Caucasian subjects</v>
      </c>
      <c r="E6850" s="250" t="str">
        <f>IF(AND(A6850&lt;&gt;"",ISNUMBER(A6850)),VLOOKUP(A6850,Studies!A:BR,5,FALSE),"")</f>
        <v>Alprazolam</v>
      </c>
      <c r="F6850" s="251" t="str">
        <f>IF(AND(A6850&lt;&gt;"",ISNUMBER(A6850)),VLOOKUP(A6850,Studies!A:BR,6,FALSE),"")</f>
        <v>Plasma</v>
      </c>
      <c r="G6850" s="194">
        <v>2.5</v>
      </c>
      <c r="H6850" s="50" t="s">
        <v>60</v>
      </c>
      <c r="I6850" s="187">
        <v>6.9211200000000002</v>
      </c>
      <c r="J6850" s="41" t="s">
        <v>941</v>
      </c>
      <c r="K6850" s="41" t="s">
        <v>116</v>
      </c>
      <c r="O6850" s="199"/>
    </row>
    <row r="6851" spans="1:15" x14ac:dyDescent="0.2">
      <c r="A6851" s="30">
        <v>748</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Oral administration, Caucasian subjects</v>
      </c>
      <c r="E6851" s="250" t="str">
        <f>IF(AND(A6851&lt;&gt;"",ISNUMBER(A6851)),VLOOKUP(A6851,Studies!A:BR,5,FALSE),"")</f>
        <v>Alprazolam</v>
      </c>
      <c r="F6851" s="251" t="str">
        <f>IF(AND(A6851&lt;&gt;"",ISNUMBER(A6851)),VLOOKUP(A6851,Studies!A:BR,6,FALSE),"")</f>
        <v>Plasma</v>
      </c>
      <c r="G6851" s="194">
        <v>3</v>
      </c>
      <c r="H6851" s="50" t="s">
        <v>60</v>
      </c>
      <c r="I6851" s="187">
        <v>6.6921119999999998</v>
      </c>
      <c r="J6851" s="41" t="s">
        <v>941</v>
      </c>
      <c r="K6851" s="41" t="s">
        <v>116</v>
      </c>
      <c r="O6851" s="199"/>
    </row>
    <row r="6852" spans="1:15" x14ac:dyDescent="0.2">
      <c r="A6852" s="30">
        <v>748</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Oral administration, Caucasian subjects</v>
      </c>
      <c r="E6852" s="250" t="str">
        <f>IF(AND(A6852&lt;&gt;"",ISNUMBER(A6852)),VLOOKUP(A6852,Studies!A:BR,5,FALSE),"")</f>
        <v>Alprazolam</v>
      </c>
      <c r="F6852" s="251" t="str">
        <f>IF(AND(A6852&lt;&gt;"",ISNUMBER(A6852)),VLOOKUP(A6852,Studies!A:BR,6,FALSE),"")</f>
        <v>Plasma</v>
      </c>
      <c r="G6852" s="194">
        <v>4</v>
      </c>
      <c r="H6852" s="50" t="s">
        <v>60</v>
      </c>
      <c r="I6852" s="187">
        <v>6.4631040000000004</v>
      </c>
      <c r="J6852" s="41" t="s">
        <v>941</v>
      </c>
      <c r="K6852" s="41" t="s">
        <v>116</v>
      </c>
      <c r="O6852" s="199"/>
    </row>
    <row r="6853" spans="1:15" x14ac:dyDescent="0.2">
      <c r="A6853" s="30">
        <v>748</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Oral administration, Caucasian subjects</v>
      </c>
      <c r="E6853" s="250" t="str">
        <f>IF(AND(A6853&lt;&gt;"",ISNUMBER(A6853)),VLOOKUP(A6853,Studies!A:BR,5,FALSE),"")</f>
        <v>Alprazolam</v>
      </c>
      <c r="F6853" s="251" t="str">
        <f>IF(AND(A6853&lt;&gt;"",ISNUMBER(A6853)),VLOOKUP(A6853,Studies!A:BR,6,FALSE),"")</f>
        <v>Plasma</v>
      </c>
      <c r="G6853" s="194">
        <v>6</v>
      </c>
      <c r="H6853" s="50" t="s">
        <v>60</v>
      </c>
      <c r="I6853" s="187">
        <v>5.1908399999999997</v>
      </c>
      <c r="J6853" s="41" t="s">
        <v>941</v>
      </c>
      <c r="K6853" s="41" t="s">
        <v>116</v>
      </c>
      <c r="O6853" s="199"/>
    </row>
    <row r="6854" spans="1:15" x14ac:dyDescent="0.2">
      <c r="A6854" s="30">
        <v>748</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Oral administration, Caucasian subjects</v>
      </c>
      <c r="E6854" s="250" t="str">
        <f>IF(AND(A6854&lt;&gt;"",ISNUMBER(A6854)),VLOOKUP(A6854,Studies!A:BR,5,FALSE),"")</f>
        <v>Alprazolam</v>
      </c>
      <c r="F6854" s="251" t="str">
        <f>IF(AND(A6854&lt;&gt;"",ISNUMBER(A6854)),VLOOKUP(A6854,Studies!A:BR,6,FALSE),"")</f>
        <v>Plasma</v>
      </c>
      <c r="G6854" s="194">
        <v>8</v>
      </c>
      <c r="H6854" s="50" t="s">
        <v>60</v>
      </c>
      <c r="I6854" s="187">
        <v>4.5801530000000001</v>
      </c>
      <c r="J6854" s="41" t="s">
        <v>941</v>
      </c>
      <c r="K6854" s="41" t="s">
        <v>116</v>
      </c>
      <c r="O6854" s="199"/>
    </row>
    <row r="6855" spans="1:15" x14ac:dyDescent="0.2">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12</v>
      </c>
      <c r="H6855" s="50" t="s">
        <v>60</v>
      </c>
      <c r="I6855" s="187">
        <v>3.3078880000000002</v>
      </c>
      <c r="J6855" s="41" t="s">
        <v>941</v>
      </c>
      <c r="K6855" s="41" t="s">
        <v>116</v>
      </c>
      <c r="O6855" s="199"/>
    </row>
    <row r="6856" spans="1:15" x14ac:dyDescent="0.2">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24</v>
      </c>
      <c r="H6856" s="50" t="s">
        <v>60</v>
      </c>
      <c r="I6856" s="187">
        <v>1.6284989999999999</v>
      </c>
      <c r="J6856" s="41" t="s">
        <v>941</v>
      </c>
      <c r="K6856" s="41" t="s">
        <v>116</v>
      </c>
      <c r="O6856" s="199"/>
    </row>
    <row r="6857" spans="1:15" x14ac:dyDescent="0.2">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36</v>
      </c>
      <c r="H6857" s="50" t="s">
        <v>60</v>
      </c>
      <c r="I6857" s="187">
        <v>0.89058519999999997</v>
      </c>
      <c r="J6857" s="41" t="s">
        <v>941</v>
      </c>
      <c r="K6857" s="41" t="s">
        <v>116</v>
      </c>
    </row>
    <row r="6858" spans="1:15" x14ac:dyDescent="0.2">
      <c r="A6858" s="30">
        <v>749</v>
      </c>
      <c r="B6858" s="249" t="str">
        <f>IF(AND(A6858&lt;&gt;"",ISNUMBER(A6858)),VLOOKUP(A6858,Studies!A:BR,2,FALSE),"")</f>
        <v>Schmider 1999</v>
      </c>
      <c r="C6858" s="250" t="str">
        <f>IF(AND(A6858&lt;&gt;"",ISNUMBER(A6858)),VLOOKUP(A6858,Studies!A:BR,3,FALSE),"")</f>
        <v>https://www.ncbi.nlm.nih.gov/pubmed/10634135</v>
      </c>
      <c r="D6858" s="250" t="str">
        <f>IF(AND(A6858&lt;&gt;"",ISNUMBER(A6858)),VLOOKUP(A6858,Studies!A:BR,4,FALSE),"")</f>
        <v>Alprazolam alone</v>
      </c>
      <c r="E6858" s="250" t="str">
        <f>IF(AND(A6858&lt;&gt;"",ISNUMBER(A6858)),VLOOKUP(A6858,Studies!A:BR,5,FALSE),"")</f>
        <v>Alprazolam</v>
      </c>
      <c r="F6858" s="251" t="str">
        <f>IF(AND(A6858&lt;&gt;"",ISNUMBER(A6858)),VLOOKUP(A6858,Studies!A:BR,6,FALSE),"")</f>
        <v>Plasma</v>
      </c>
      <c r="G6858" s="194">
        <v>0.5</v>
      </c>
      <c r="H6858" s="50" t="s">
        <v>60</v>
      </c>
      <c r="I6858" s="187">
        <v>12.026960000000001</v>
      </c>
      <c r="J6858" s="41" t="s">
        <v>968</v>
      </c>
      <c r="K6858" s="41" t="s">
        <v>116</v>
      </c>
      <c r="O6858" s="59">
        <v>0.5</v>
      </c>
    </row>
    <row r="6859" spans="1:15" x14ac:dyDescent="0.2">
      <c r="A6859" s="30">
        <v>749</v>
      </c>
      <c r="B6859" s="249" t="str">
        <f>IF(AND(A6859&lt;&gt;"",ISNUMBER(A6859)),VLOOKUP(A6859,Studies!A:BR,2,FALSE),"")</f>
        <v>Schmider 1999</v>
      </c>
      <c r="C6859" s="250" t="str">
        <f>IF(AND(A6859&lt;&gt;"",ISNUMBER(A6859)),VLOOKUP(A6859,Studies!A:BR,3,FALSE),"")</f>
        <v>https://www.ncbi.nlm.nih.gov/pubmed/10634135</v>
      </c>
      <c r="D6859" s="250" t="str">
        <f>IF(AND(A6859&lt;&gt;"",ISNUMBER(A6859)),VLOOKUP(A6859,Studies!A:BR,4,FALSE),"")</f>
        <v>Alprazolam alone</v>
      </c>
      <c r="E6859" s="250" t="str">
        <f>IF(AND(A6859&lt;&gt;"",ISNUMBER(A6859)),VLOOKUP(A6859,Studies!A:BR,5,FALSE),"")</f>
        <v>Alprazolam</v>
      </c>
      <c r="F6859" s="251" t="str">
        <f>IF(AND(A6859&lt;&gt;"",ISNUMBER(A6859)),VLOOKUP(A6859,Studies!A:BR,6,FALSE),"")</f>
        <v>Plasma</v>
      </c>
      <c r="G6859" s="194">
        <v>1</v>
      </c>
      <c r="H6859" s="50" t="s">
        <v>60</v>
      </c>
      <c r="I6859" s="187">
        <v>12.355600000000001</v>
      </c>
      <c r="J6859" s="41" t="s">
        <v>968</v>
      </c>
      <c r="K6859" s="41" t="s">
        <v>116</v>
      </c>
      <c r="O6859" s="59">
        <v>0.5</v>
      </c>
    </row>
    <row r="6860" spans="1:15" x14ac:dyDescent="0.2">
      <c r="A6860" s="30">
        <v>749</v>
      </c>
      <c r="B6860" s="249" t="str">
        <f>IF(AND(A6860&lt;&gt;"",ISNUMBER(A6860)),VLOOKUP(A6860,Studies!A:BR,2,FALSE),"")</f>
        <v>Schmider 1999</v>
      </c>
      <c r="C6860" s="250" t="str">
        <f>IF(AND(A6860&lt;&gt;"",ISNUMBER(A6860)),VLOOKUP(A6860,Studies!A:BR,3,FALSE),"")</f>
        <v>https://www.ncbi.nlm.nih.gov/pubmed/10634135</v>
      </c>
      <c r="D6860" s="250" t="str">
        <f>IF(AND(A6860&lt;&gt;"",ISNUMBER(A6860)),VLOOKUP(A6860,Studies!A:BR,4,FALSE),"")</f>
        <v>Alprazolam alone</v>
      </c>
      <c r="E6860" s="250" t="str">
        <f>IF(AND(A6860&lt;&gt;"",ISNUMBER(A6860)),VLOOKUP(A6860,Studies!A:BR,5,FALSE),"")</f>
        <v>Alprazolam</v>
      </c>
      <c r="F6860" s="251" t="str">
        <f>IF(AND(A6860&lt;&gt;"",ISNUMBER(A6860)),VLOOKUP(A6860,Studies!A:BR,6,FALSE),"")</f>
        <v>Plasma</v>
      </c>
      <c r="G6860" s="194">
        <v>2</v>
      </c>
      <c r="H6860" s="50" t="s">
        <v>60</v>
      </c>
      <c r="I6860" s="187">
        <v>12.283340000000001</v>
      </c>
      <c r="J6860" s="41" t="s">
        <v>968</v>
      </c>
      <c r="K6860" s="41" t="s">
        <v>116</v>
      </c>
      <c r="O6860" s="59">
        <v>0.5</v>
      </c>
    </row>
    <row r="6861" spans="1:15" x14ac:dyDescent="0.2">
      <c r="A6861" s="30">
        <v>749</v>
      </c>
      <c r="B6861" s="249" t="str">
        <f>IF(AND(A6861&lt;&gt;"",ISNUMBER(A6861)),VLOOKUP(A6861,Studies!A:BR,2,FALSE),"")</f>
        <v>Schmider 1999</v>
      </c>
      <c r="C6861" s="250" t="str">
        <f>IF(AND(A6861&lt;&gt;"",ISNUMBER(A6861)),VLOOKUP(A6861,Studies!A:BR,3,FALSE),"")</f>
        <v>https://www.ncbi.nlm.nih.gov/pubmed/10634135</v>
      </c>
      <c r="D6861" s="250" t="str">
        <f>IF(AND(A6861&lt;&gt;"",ISNUMBER(A6861)),VLOOKUP(A6861,Studies!A:BR,4,FALSE),"")</f>
        <v>Alprazolam alone</v>
      </c>
      <c r="E6861" s="250" t="str">
        <f>IF(AND(A6861&lt;&gt;"",ISNUMBER(A6861)),VLOOKUP(A6861,Studies!A:BR,5,FALSE),"")</f>
        <v>Alprazolam</v>
      </c>
      <c r="F6861" s="251" t="str">
        <f>IF(AND(A6861&lt;&gt;"",ISNUMBER(A6861)),VLOOKUP(A6861,Studies!A:BR,6,FALSE),"")</f>
        <v>Plasma</v>
      </c>
      <c r="G6861" s="194">
        <v>3</v>
      </c>
      <c r="H6861" s="50" t="s">
        <v>60</v>
      </c>
      <c r="I6861" s="187">
        <v>11.25484</v>
      </c>
      <c r="J6861" s="41" t="s">
        <v>968</v>
      </c>
      <c r="K6861" s="41" t="s">
        <v>116</v>
      </c>
      <c r="O6861" s="59">
        <v>0.5</v>
      </c>
    </row>
    <row r="6862" spans="1:15" x14ac:dyDescent="0.2">
      <c r="A6862" s="30">
        <v>749</v>
      </c>
      <c r="B6862" s="249" t="str">
        <f>IF(AND(A6862&lt;&gt;"",ISNUMBER(A6862)),VLOOKUP(A6862,Studies!A:BR,2,FALSE),"")</f>
        <v>Schmider 1999</v>
      </c>
      <c r="C6862" s="250" t="str">
        <f>IF(AND(A6862&lt;&gt;"",ISNUMBER(A6862)),VLOOKUP(A6862,Studies!A:BR,3,FALSE),"")</f>
        <v>https://www.ncbi.nlm.nih.gov/pubmed/10634135</v>
      </c>
      <c r="D6862" s="250" t="str">
        <f>IF(AND(A6862&lt;&gt;"",ISNUMBER(A6862)),VLOOKUP(A6862,Studies!A:BR,4,FALSE),"")</f>
        <v>Alprazolam alone</v>
      </c>
      <c r="E6862" s="250" t="str">
        <f>IF(AND(A6862&lt;&gt;"",ISNUMBER(A6862)),VLOOKUP(A6862,Studies!A:BR,5,FALSE),"")</f>
        <v>Alprazolam</v>
      </c>
      <c r="F6862" s="251" t="str">
        <f>IF(AND(A6862&lt;&gt;"",ISNUMBER(A6862)),VLOOKUP(A6862,Studies!A:BR,6,FALSE),"")</f>
        <v>Plasma</v>
      </c>
      <c r="G6862" s="194">
        <v>4</v>
      </c>
      <c r="H6862" s="50" t="s">
        <v>60</v>
      </c>
      <c r="I6862" s="187">
        <v>10.654199999999999</v>
      </c>
      <c r="J6862" s="41" t="s">
        <v>968</v>
      </c>
      <c r="K6862" s="41" t="s">
        <v>116</v>
      </c>
      <c r="L6862" s="195">
        <v>1.2326630000000001</v>
      </c>
      <c r="M6862" s="52" t="s">
        <v>968</v>
      </c>
      <c r="N6862" s="52" t="s">
        <v>949</v>
      </c>
      <c r="O6862" s="59">
        <v>0.5</v>
      </c>
    </row>
    <row r="6863" spans="1:15" x14ac:dyDescent="0.2">
      <c r="A6863" s="30">
        <v>749</v>
      </c>
      <c r="B6863" s="249" t="str">
        <f>IF(AND(A6863&lt;&gt;"",ISNUMBER(A6863)),VLOOKUP(A6863,Studies!A:BR,2,FALSE),"")</f>
        <v>Schmider 1999</v>
      </c>
      <c r="C6863" s="250" t="str">
        <f>IF(AND(A6863&lt;&gt;"",ISNUMBER(A6863)),VLOOKUP(A6863,Studies!A:BR,3,FALSE),"")</f>
        <v>https://www.ncbi.nlm.nih.gov/pubmed/10634135</v>
      </c>
      <c r="D6863" s="250" t="str">
        <f>IF(AND(A6863&lt;&gt;"",ISNUMBER(A6863)),VLOOKUP(A6863,Studies!A:BR,4,FALSE),"")</f>
        <v>Alprazolam alone</v>
      </c>
      <c r="E6863" s="250" t="str">
        <f>IF(AND(A6863&lt;&gt;"",ISNUMBER(A6863)),VLOOKUP(A6863,Studies!A:BR,5,FALSE),"")</f>
        <v>Alprazolam</v>
      </c>
      <c r="F6863" s="251" t="str">
        <f>IF(AND(A6863&lt;&gt;"",ISNUMBER(A6863)),VLOOKUP(A6863,Studies!A:BR,6,FALSE),"")</f>
        <v>Plasma</v>
      </c>
      <c r="G6863" s="194">
        <v>6</v>
      </c>
      <c r="H6863" s="50" t="s">
        <v>60</v>
      </c>
      <c r="I6863" s="187">
        <v>8.4466599999999996</v>
      </c>
      <c r="J6863" s="41" t="s">
        <v>968</v>
      </c>
      <c r="K6863" s="41" t="s">
        <v>116</v>
      </c>
      <c r="L6863" s="195">
        <v>0.95594199999999996</v>
      </c>
      <c r="M6863" s="52" t="s">
        <v>968</v>
      </c>
      <c r="N6863" s="52" t="s">
        <v>949</v>
      </c>
      <c r="O6863" s="59">
        <v>0.5</v>
      </c>
    </row>
    <row r="6864" spans="1:15" x14ac:dyDescent="0.2">
      <c r="A6864" s="30">
        <v>749</v>
      </c>
      <c r="B6864" s="249" t="str">
        <f>IF(AND(A6864&lt;&gt;"",ISNUMBER(A6864)),VLOOKUP(A6864,Studies!A:BR,2,FALSE),"")</f>
        <v>Schmider 1999</v>
      </c>
      <c r="C6864" s="250" t="str">
        <f>IF(AND(A6864&lt;&gt;"",ISNUMBER(A6864)),VLOOKUP(A6864,Studies!A:BR,3,FALSE),"")</f>
        <v>https://www.ncbi.nlm.nih.gov/pubmed/10634135</v>
      </c>
      <c r="D6864" s="250" t="str">
        <f>IF(AND(A6864&lt;&gt;"",ISNUMBER(A6864)),VLOOKUP(A6864,Studies!A:BR,4,FALSE),"")</f>
        <v>Alprazolam alone</v>
      </c>
      <c r="E6864" s="250" t="str">
        <f>IF(AND(A6864&lt;&gt;"",ISNUMBER(A6864)),VLOOKUP(A6864,Studies!A:BR,5,FALSE),"")</f>
        <v>Alprazolam</v>
      </c>
      <c r="F6864" s="251" t="str">
        <f>IF(AND(A6864&lt;&gt;"",ISNUMBER(A6864)),VLOOKUP(A6864,Studies!A:BR,6,FALSE),"")</f>
        <v>Plasma</v>
      </c>
      <c r="G6864" s="194">
        <v>8</v>
      </c>
      <c r="H6864" s="50" t="s">
        <v>60</v>
      </c>
      <c r="I6864" s="187">
        <v>7.2454749999999999</v>
      </c>
      <c r="J6864" s="41" t="s">
        <v>968</v>
      </c>
      <c r="K6864" s="41" t="s">
        <v>116</v>
      </c>
      <c r="L6864" s="195">
        <v>0.80500499999999997</v>
      </c>
      <c r="M6864" s="52" t="s">
        <v>968</v>
      </c>
      <c r="N6864" s="52" t="s">
        <v>949</v>
      </c>
      <c r="O6864" s="59">
        <v>0.5</v>
      </c>
    </row>
    <row r="6865" spans="1:15" x14ac:dyDescent="0.2">
      <c r="A6865" s="30">
        <v>749</v>
      </c>
      <c r="B6865" s="249" t="str">
        <f>IF(AND(A6865&lt;&gt;"",ISNUMBER(A6865)),VLOOKUP(A6865,Studies!A:BR,2,FALSE),"")</f>
        <v>Schmider 1999</v>
      </c>
      <c r="C6865" s="250" t="str">
        <f>IF(AND(A6865&lt;&gt;"",ISNUMBER(A6865)),VLOOKUP(A6865,Studies!A:BR,3,FALSE),"")</f>
        <v>https://www.ncbi.nlm.nih.gov/pubmed/10634135</v>
      </c>
      <c r="D6865" s="250" t="str">
        <f>IF(AND(A6865&lt;&gt;"",ISNUMBER(A6865)),VLOOKUP(A6865,Studies!A:BR,4,FALSE),"")</f>
        <v>Alprazolam alone</v>
      </c>
      <c r="E6865" s="250" t="str">
        <f>IF(AND(A6865&lt;&gt;"",ISNUMBER(A6865)),VLOOKUP(A6865,Studies!A:BR,5,FALSE),"")</f>
        <v>Alprazolam</v>
      </c>
      <c r="F6865" s="251" t="str">
        <f>IF(AND(A6865&lt;&gt;"",ISNUMBER(A6865)),VLOOKUP(A6865,Studies!A:BR,6,FALSE),"")</f>
        <v>Plasma</v>
      </c>
      <c r="G6865" s="194">
        <v>10</v>
      </c>
      <c r="H6865" s="50" t="s">
        <v>60</v>
      </c>
      <c r="I6865" s="187">
        <v>7.0254909999999997</v>
      </c>
      <c r="J6865" s="41" t="s">
        <v>968</v>
      </c>
      <c r="K6865" s="41" t="s">
        <v>116</v>
      </c>
      <c r="L6865" s="195">
        <v>0.93048500000000001</v>
      </c>
      <c r="M6865" s="52" t="s">
        <v>968</v>
      </c>
      <c r="N6865" s="52" t="s">
        <v>949</v>
      </c>
      <c r="O6865" s="59">
        <v>0.5</v>
      </c>
    </row>
    <row r="6866" spans="1:15" x14ac:dyDescent="0.2">
      <c r="A6866" s="30">
        <v>749</v>
      </c>
      <c r="B6866" s="249" t="str">
        <f>IF(AND(A6866&lt;&gt;"",ISNUMBER(A6866)),VLOOKUP(A6866,Studies!A:BR,2,FALSE),"")</f>
        <v>Schmider 1999</v>
      </c>
      <c r="C6866" s="250" t="str">
        <f>IF(AND(A6866&lt;&gt;"",ISNUMBER(A6866)),VLOOKUP(A6866,Studies!A:BR,3,FALSE),"")</f>
        <v>https://www.ncbi.nlm.nih.gov/pubmed/10634135</v>
      </c>
      <c r="D6866" s="250" t="str">
        <f>IF(AND(A6866&lt;&gt;"",ISNUMBER(A6866)),VLOOKUP(A6866,Studies!A:BR,4,FALSE),"")</f>
        <v>Alprazolam alone</v>
      </c>
      <c r="E6866" s="250" t="str">
        <f>IF(AND(A6866&lt;&gt;"",ISNUMBER(A6866)),VLOOKUP(A6866,Studies!A:BR,5,FALSE),"")</f>
        <v>Alprazolam</v>
      </c>
      <c r="F6866" s="251" t="str">
        <f>IF(AND(A6866&lt;&gt;"",ISNUMBER(A6866)),VLOOKUP(A6866,Studies!A:BR,6,FALSE),"")</f>
        <v>Plasma</v>
      </c>
      <c r="G6866" s="194">
        <v>24</v>
      </c>
      <c r="H6866" s="50" t="s">
        <v>60</v>
      </c>
      <c r="I6866" s="187">
        <v>3.42137</v>
      </c>
      <c r="J6866" s="41" t="s">
        <v>968</v>
      </c>
      <c r="K6866" s="41" t="s">
        <v>116</v>
      </c>
      <c r="L6866" s="195">
        <v>0.52838399999999996</v>
      </c>
      <c r="M6866" s="52" t="s">
        <v>968</v>
      </c>
      <c r="N6866" s="52" t="s">
        <v>949</v>
      </c>
      <c r="O6866" s="59">
        <v>0.5</v>
      </c>
    </row>
    <row r="6867" spans="1:15" x14ac:dyDescent="0.2">
      <c r="A6867" s="30">
        <v>750</v>
      </c>
      <c r="B6867" s="249" t="str">
        <f>IF(AND(A6867&lt;&gt;"",ISNUMBER(A6867)),VLOOKUP(A6867,Studies!A:BR,2,FALSE),"")</f>
        <v>Schmith 1991</v>
      </c>
      <c r="C6867" s="250" t="str">
        <f>IF(AND(A6867&lt;&gt;"",ISNUMBER(A6867)),VLOOKUP(A6867,Studies!A:BR,3,FALSE),"")</f>
        <v>https://www.ncbi.nlm.nih.gov/pubmed/1880224</v>
      </c>
      <c r="D6867" s="250" t="str">
        <f>IF(AND(A6867&lt;&gt;"",ISNUMBER(A6867)),VLOOKUP(A6867,Studies!A:BR,4,FALSE),"")</f>
        <v>Normal subjects 0.5 mg</v>
      </c>
      <c r="E6867" s="250" t="str">
        <f>IF(AND(A6867&lt;&gt;"",ISNUMBER(A6867)),VLOOKUP(A6867,Studies!A:BR,5,FALSE),"")</f>
        <v>Alprazolam</v>
      </c>
      <c r="F6867" s="251" t="str">
        <f>IF(AND(A6867&lt;&gt;"",ISNUMBER(A6867)),VLOOKUP(A6867,Studies!A:BR,6,FALSE),"")</f>
        <v>Plasma</v>
      </c>
      <c r="G6867" s="194">
        <v>0.5</v>
      </c>
      <c r="H6867" s="50" t="s">
        <v>60</v>
      </c>
      <c r="I6867" s="187">
        <v>5.98</v>
      </c>
      <c r="J6867" s="41" t="s">
        <v>941</v>
      </c>
      <c r="K6867" s="41" t="s">
        <v>116</v>
      </c>
    </row>
    <row r="6868" spans="1:15" x14ac:dyDescent="0.2">
      <c r="A6868" s="30">
        <v>750</v>
      </c>
      <c r="B6868" s="249" t="str">
        <f>IF(AND(A6868&lt;&gt;"",ISNUMBER(A6868)),VLOOKUP(A6868,Studies!A:BR,2,FALSE),"")</f>
        <v>Schmith 1991</v>
      </c>
      <c r="C6868" s="250" t="str">
        <f>IF(AND(A6868&lt;&gt;"",ISNUMBER(A6868)),VLOOKUP(A6868,Studies!A:BR,3,FALSE),"")</f>
        <v>https://www.ncbi.nlm.nih.gov/pubmed/1880224</v>
      </c>
      <c r="D6868" s="250" t="str">
        <f>IF(AND(A6868&lt;&gt;"",ISNUMBER(A6868)),VLOOKUP(A6868,Studies!A:BR,4,FALSE),"")</f>
        <v>Normal subjects 0.5 mg</v>
      </c>
      <c r="E6868" s="250" t="str">
        <f>IF(AND(A6868&lt;&gt;"",ISNUMBER(A6868)),VLOOKUP(A6868,Studies!A:BR,5,FALSE),"")</f>
        <v>Alprazolam</v>
      </c>
      <c r="F6868" s="251" t="str">
        <f>IF(AND(A6868&lt;&gt;"",ISNUMBER(A6868)),VLOOKUP(A6868,Studies!A:BR,6,FALSE),"")</f>
        <v>Plasma</v>
      </c>
      <c r="G6868" s="194">
        <v>1</v>
      </c>
      <c r="H6868" s="50" t="s">
        <v>60</v>
      </c>
      <c r="I6868" s="187">
        <v>5.9790000000000001</v>
      </c>
      <c r="J6868" s="41" t="s">
        <v>941</v>
      </c>
      <c r="K6868" s="41" t="s">
        <v>116</v>
      </c>
    </row>
    <row r="6869" spans="1:15" x14ac:dyDescent="0.2">
      <c r="A6869" s="30">
        <v>750</v>
      </c>
      <c r="B6869" s="249" t="str">
        <f>IF(AND(A6869&lt;&gt;"",ISNUMBER(A6869)),VLOOKUP(A6869,Studies!A:BR,2,FALSE),"")</f>
        <v>Schmith 1991</v>
      </c>
      <c r="C6869" s="250" t="str">
        <f>IF(AND(A6869&lt;&gt;"",ISNUMBER(A6869)),VLOOKUP(A6869,Studies!A:BR,3,FALSE),"")</f>
        <v>https://www.ncbi.nlm.nih.gov/pubmed/1880224</v>
      </c>
      <c r="D6869" s="250" t="str">
        <f>IF(AND(A6869&lt;&gt;"",ISNUMBER(A6869)),VLOOKUP(A6869,Studies!A:BR,4,FALSE),"")</f>
        <v>Normal subjects 0.5 mg</v>
      </c>
      <c r="E6869" s="250" t="str">
        <f>IF(AND(A6869&lt;&gt;"",ISNUMBER(A6869)),VLOOKUP(A6869,Studies!A:BR,5,FALSE),"")</f>
        <v>Alprazolam</v>
      </c>
      <c r="F6869" s="251" t="str">
        <f>IF(AND(A6869&lt;&gt;"",ISNUMBER(A6869)),VLOOKUP(A6869,Studies!A:BR,6,FALSE),"")</f>
        <v>Plasma</v>
      </c>
      <c r="G6869" s="194">
        <v>2</v>
      </c>
      <c r="H6869" s="50" t="s">
        <v>60</v>
      </c>
      <c r="I6869" s="187">
        <v>6.1580000000000004</v>
      </c>
      <c r="J6869" s="41" t="s">
        <v>941</v>
      </c>
      <c r="K6869" s="41" t="s">
        <v>116</v>
      </c>
    </row>
    <row r="6870" spans="1:15" x14ac:dyDescent="0.2">
      <c r="A6870" s="30">
        <v>750</v>
      </c>
      <c r="B6870" s="249" t="str">
        <f>IF(AND(A6870&lt;&gt;"",ISNUMBER(A6870)),VLOOKUP(A6870,Studies!A:BR,2,FALSE),"")</f>
        <v>Schmith 1991</v>
      </c>
      <c r="C6870" s="250" t="str">
        <f>IF(AND(A6870&lt;&gt;"",ISNUMBER(A6870)),VLOOKUP(A6870,Studies!A:BR,3,FALSE),"")</f>
        <v>https://www.ncbi.nlm.nih.gov/pubmed/1880224</v>
      </c>
      <c r="D6870" s="250" t="str">
        <f>IF(AND(A6870&lt;&gt;"",ISNUMBER(A6870)),VLOOKUP(A6870,Studies!A:BR,4,FALSE),"")</f>
        <v>Normal subjects 0.5 mg</v>
      </c>
      <c r="E6870" s="250" t="str">
        <f>IF(AND(A6870&lt;&gt;"",ISNUMBER(A6870)),VLOOKUP(A6870,Studies!A:BR,5,FALSE),"")</f>
        <v>Alprazolam</v>
      </c>
      <c r="F6870" s="251" t="str">
        <f>IF(AND(A6870&lt;&gt;"",ISNUMBER(A6870)),VLOOKUP(A6870,Studies!A:BR,6,FALSE),"")</f>
        <v>Plasma</v>
      </c>
      <c r="G6870" s="194">
        <v>3</v>
      </c>
      <c r="H6870" s="50" t="s">
        <v>60</v>
      </c>
      <c r="I6870" s="187">
        <v>4.8979999999999997</v>
      </c>
      <c r="J6870" s="41" t="s">
        <v>941</v>
      </c>
      <c r="K6870" s="41" t="s">
        <v>116</v>
      </c>
    </row>
    <row r="6871" spans="1:15" x14ac:dyDescent="0.2">
      <c r="A6871" s="30">
        <v>750</v>
      </c>
      <c r="B6871" s="249" t="str">
        <f>IF(AND(A6871&lt;&gt;"",ISNUMBER(A6871)),VLOOKUP(A6871,Studies!A:BR,2,FALSE),"")</f>
        <v>Schmith 1991</v>
      </c>
      <c r="C6871" s="250" t="str">
        <f>IF(AND(A6871&lt;&gt;"",ISNUMBER(A6871)),VLOOKUP(A6871,Studies!A:BR,3,FALSE),"")</f>
        <v>https://www.ncbi.nlm.nih.gov/pubmed/1880224</v>
      </c>
      <c r="D6871" s="250" t="str">
        <f>IF(AND(A6871&lt;&gt;"",ISNUMBER(A6871)),VLOOKUP(A6871,Studies!A:BR,4,FALSE),"")</f>
        <v>Normal subjects 0.5 mg</v>
      </c>
      <c r="E6871" s="250" t="str">
        <f>IF(AND(A6871&lt;&gt;"",ISNUMBER(A6871)),VLOOKUP(A6871,Studies!A:BR,5,FALSE),"")</f>
        <v>Alprazolam</v>
      </c>
      <c r="F6871" s="251" t="str">
        <f>IF(AND(A6871&lt;&gt;"",ISNUMBER(A6871)),VLOOKUP(A6871,Studies!A:BR,6,FALSE),"")</f>
        <v>Plasma</v>
      </c>
      <c r="G6871" s="194">
        <v>4</v>
      </c>
      <c r="H6871" s="50" t="s">
        <v>60</v>
      </c>
      <c r="I6871" s="187">
        <v>4.8520000000000003</v>
      </c>
      <c r="J6871" s="41" t="s">
        <v>941</v>
      </c>
      <c r="K6871" s="41" t="s">
        <v>116</v>
      </c>
    </row>
    <row r="6872" spans="1:15" x14ac:dyDescent="0.2">
      <c r="A6872" s="30">
        <v>750</v>
      </c>
      <c r="B6872" s="249" t="str">
        <f>IF(AND(A6872&lt;&gt;"",ISNUMBER(A6872)),VLOOKUP(A6872,Studies!A:BR,2,FALSE),"")</f>
        <v>Schmith 1991</v>
      </c>
      <c r="C6872" s="250" t="str">
        <f>IF(AND(A6872&lt;&gt;"",ISNUMBER(A6872)),VLOOKUP(A6872,Studies!A:BR,3,FALSE),"")</f>
        <v>https://www.ncbi.nlm.nih.gov/pubmed/1880224</v>
      </c>
      <c r="D6872" s="250" t="str">
        <f>IF(AND(A6872&lt;&gt;"",ISNUMBER(A6872)),VLOOKUP(A6872,Studies!A:BR,4,FALSE),"")</f>
        <v>Normal subjects 0.5 mg</v>
      </c>
      <c r="E6872" s="250" t="str">
        <f>IF(AND(A6872&lt;&gt;"",ISNUMBER(A6872)),VLOOKUP(A6872,Studies!A:BR,5,FALSE),"")</f>
        <v>Alprazolam</v>
      </c>
      <c r="F6872" s="251" t="str">
        <f>IF(AND(A6872&lt;&gt;"",ISNUMBER(A6872)),VLOOKUP(A6872,Studies!A:BR,6,FALSE),"")</f>
        <v>Plasma</v>
      </c>
      <c r="G6872" s="194">
        <v>6</v>
      </c>
      <c r="H6872" s="50" t="s">
        <v>60</v>
      </c>
      <c r="I6872" s="187">
        <v>3.9510000000000001</v>
      </c>
      <c r="J6872" s="41" t="s">
        <v>941</v>
      </c>
      <c r="K6872" s="41" t="s">
        <v>116</v>
      </c>
    </row>
    <row r="6873" spans="1:15" x14ac:dyDescent="0.2">
      <c r="A6873" s="30">
        <v>750</v>
      </c>
      <c r="B6873" s="249" t="str">
        <f>IF(AND(A6873&lt;&gt;"",ISNUMBER(A6873)),VLOOKUP(A6873,Studies!A:BR,2,FALSE),"")</f>
        <v>Schmith 1991</v>
      </c>
      <c r="C6873" s="250" t="str">
        <f>IF(AND(A6873&lt;&gt;"",ISNUMBER(A6873)),VLOOKUP(A6873,Studies!A:BR,3,FALSE),"")</f>
        <v>https://www.ncbi.nlm.nih.gov/pubmed/1880224</v>
      </c>
      <c r="D6873" s="250" t="str">
        <f>IF(AND(A6873&lt;&gt;"",ISNUMBER(A6873)),VLOOKUP(A6873,Studies!A:BR,4,FALSE),"")</f>
        <v>Normal subjects 0.5 mg</v>
      </c>
      <c r="E6873" s="250" t="str">
        <f>IF(AND(A6873&lt;&gt;"",ISNUMBER(A6873)),VLOOKUP(A6873,Studies!A:BR,5,FALSE),"")</f>
        <v>Alprazolam</v>
      </c>
      <c r="F6873" s="251" t="str">
        <f>IF(AND(A6873&lt;&gt;"",ISNUMBER(A6873)),VLOOKUP(A6873,Studies!A:BR,6,FALSE),"")</f>
        <v>Plasma</v>
      </c>
      <c r="G6873" s="194">
        <v>8</v>
      </c>
      <c r="H6873" s="50" t="s">
        <v>60</v>
      </c>
      <c r="I6873" s="187">
        <v>3.9950000000000001</v>
      </c>
      <c r="J6873" s="41" t="s">
        <v>941</v>
      </c>
      <c r="K6873" s="41" t="s">
        <v>116</v>
      </c>
    </row>
    <row r="6874" spans="1:15" x14ac:dyDescent="0.2">
      <c r="A6874" s="30">
        <v>750</v>
      </c>
      <c r="B6874" s="249" t="str">
        <f>IF(AND(A6874&lt;&gt;"",ISNUMBER(A6874)),VLOOKUP(A6874,Studies!A:BR,2,FALSE),"")</f>
        <v>Schmith 1991</v>
      </c>
      <c r="C6874" s="250" t="str">
        <f>IF(AND(A6874&lt;&gt;"",ISNUMBER(A6874)),VLOOKUP(A6874,Studies!A:BR,3,FALSE),"")</f>
        <v>https://www.ncbi.nlm.nih.gov/pubmed/1880224</v>
      </c>
      <c r="D6874" s="250" t="str">
        <f>IF(AND(A6874&lt;&gt;"",ISNUMBER(A6874)),VLOOKUP(A6874,Studies!A:BR,4,FALSE),"")</f>
        <v>Normal subjects 0.5 mg</v>
      </c>
      <c r="E6874" s="250" t="str">
        <f>IF(AND(A6874&lt;&gt;"",ISNUMBER(A6874)),VLOOKUP(A6874,Studies!A:BR,5,FALSE),"")</f>
        <v>Alprazolam</v>
      </c>
      <c r="F6874" s="251" t="str">
        <f>IF(AND(A6874&lt;&gt;"",ISNUMBER(A6874)),VLOOKUP(A6874,Studies!A:BR,6,FALSE),"")</f>
        <v>Plasma</v>
      </c>
      <c r="G6874" s="194">
        <v>10</v>
      </c>
      <c r="H6874" s="50" t="s">
        <v>60</v>
      </c>
      <c r="I6874" s="187">
        <v>3.093</v>
      </c>
      <c r="J6874" s="41" t="s">
        <v>941</v>
      </c>
      <c r="K6874" s="41" t="s">
        <v>116</v>
      </c>
    </row>
    <row r="6875" spans="1:15" x14ac:dyDescent="0.2">
      <c r="A6875" s="30">
        <v>750</v>
      </c>
      <c r="B6875" s="249" t="str">
        <f>IF(AND(A6875&lt;&gt;"",ISNUMBER(A6875)),VLOOKUP(A6875,Studies!A:BR,2,FALSE),"")</f>
        <v>Schmith 1991</v>
      </c>
      <c r="C6875" s="250" t="str">
        <f>IF(AND(A6875&lt;&gt;"",ISNUMBER(A6875)),VLOOKUP(A6875,Studies!A:BR,3,FALSE),"")</f>
        <v>https://www.ncbi.nlm.nih.gov/pubmed/1880224</v>
      </c>
      <c r="D6875" s="250" t="str">
        <f>IF(AND(A6875&lt;&gt;"",ISNUMBER(A6875)),VLOOKUP(A6875,Studies!A:BR,4,FALSE),"")</f>
        <v>Normal subjects 0.5 mg</v>
      </c>
      <c r="E6875" s="250" t="str">
        <f>IF(AND(A6875&lt;&gt;"",ISNUMBER(A6875)),VLOOKUP(A6875,Studies!A:BR,5,FALSE),"")</f>
        <v>Alprazolam</v>
      </c>
      <c r="F6875" s="251" t="str">
        <f>IF(AND(A6875&lt;&gt;"",ISNUMBER(A6875)),VLOOKUP(A6875,Studies!A:BR,6,FALSE),"")</f>
        <v>Plasma</v>
      </c>
      <c r="G6875" s="194">
        <v>12</v>
      </c>
      <c r="H6875" s="50" t="s">
        <v>60</v>
      </c>
      <c r="I6875" s="187">
        <v>2.1920000000000002</v>
      </c>
      <c r="J6875" s="41" t="s">
        <v>941</v>
      </c>
      <c r="K6875" s="41" t="s">
        <v>116</v>
      </c>
    </row>
    <row r="6876" spans="1:15" x14ac:dyDescent="0.2">
      <c r="A6876" s="30">
        <v>750</v>
      </c>
      <c r="B6876" s="249" t="str">
        <f>IF(AND(A6876&lt;&gt;"",ISNUMBER(A6876)),VLOOKUP(A6876,Studies!A:BR,2,FALSE),"")</f>
        <v>Schmith 1991</v>
      </c>
      <c r="C6876" s="250" t="str">
        <f>IF(AND(A6876&lt;&gt;"",ISNUMBER(A6876)),VLOOKUP(A6876,Studies!A:BR,3,FALSE),"")</f>
        <v>https://www.ncbi.nlm.nih.gov/pubmed/1880224</v>
      </c>
      <c r="D6876" s="250" t="str">
        <f>IF(AND(A6876&lt;&gt;"",ISNUMBER(A6876)),VLOOKUP(A6876,Studies!A:BR,4,FALSE),"")</f>
        <v>Normal subjects 0.5 mg</v>
      </c>
      <c r="E6876" s="250" t="str">
        <f>IF(AND(A6876&lt;&gt;"",ISNUMBER(A6876)),VLOOKUP(A6876,Studies!A:BR,5,FALSE),"")</f>
        <v>Alprazolam</v>
      </c>
      <c r="F6876" s="251" t="str">
        <f>IF(AND(A6876&lt;&gt;"",ISNUMBER(A6876)),VLOOKUP(A6876,Studies!A:BR,6,FALSE),"")</f>
        <v>Plasma</v>
      </c>
      <c r="G6876" s="194">
        <v>14</v>
      </c>
      <c r="H6876" s="50" t="s">
        <v>60</v>
      </c>
      <c r="I6876" s="187">
        <v>1.381</v>
      </c>
      <c r="J6876" s="41" t="s">
        <v>941</v>
      </c>
      <c r="K6876" s="41" t="s">
        <v>116</v>
      </c>
    </row>
    <row r="6877" spans="1:15" x14ac:dyDescent="0.2">
      <c r="A6877" s="30">
        <v>750</v>
      </c>
      <c r="B6877" s="249" t="str">
        <f>IF(AND(A6877&lt;&gt;"",ISNUMBER(A6877)),VLOOKUP(A6877,Studies!A:BR,2,FALSE),"")</f>
        <v>Schmith 1991</v>
      </c>
      <c r="C6877" s="250" t="str">
        <f>IF(AND(A6877&lt;&gt;"",ISNUMBER(A6877)),VLOOKUP(A6877,Studies!A:BR,3,FALSE),"")</f>
        <v>https://www.ncbi.nlm.nih.gov/pubmed/1880224</v>
      </c>
      <c r="D6877" s="250" t="str">
        <f>IF(AND(A6877&lt;&gt;"",ISNUMBER(A6877)),VLOOKUP(A6877,Studies!A:BR,4,FALSE),"")</f>
        <v>Normal subjects 0.5 mg</v>
      </c>
      <c r="E6877" s="250" t="str">
        <f>IF(AND(A6877&lt;&gt;"",ISNUMBER(A6877)),VLOOKUP(A6877,Studies!A:BR,5,FALSE),"")</f>
        <v>Alprazolam</v>
      </c>
      <c r="F6877" s="251" t="str">
        <f>IF(AND(A6877&lt;&gt;"",ISNUMBER(A6877)),VLOOKUP(A6877,Studies!A:BR,6,FALSE),"")</f>
        <v>Plasma</v>
      </c>
      <c r="G6877" s="194">
        <v>16</v>
      </c>
      <c r="H6877" s="50" t="s">
        <v>60</v>
      </c>
      <c r="I6877" s="187">
        <v>2.2789999999999999</v>
      </c>
      <c r="J6877" s="41" t="s">
        <v>941</v>
      </c>
      <c r="K6877" s="41" t="s">
        <v>116</v>
      </c>
    </row>
    <row r="6878" spans="1:15" x14ac:dyDescent="0.2">
      <c r="A6878" s="30">
        <v>751</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2 mg</v>
      </c>
      <c r="E6878" s="250" t="str">
        <f>IF(AND(A6878&lt;&gt;"",ISNUMBER(A6878)),VLOOKUP(A6878,Studies!A:BR,5,FALSE),"")</f>
        <v>Alprazolam</v>
      </c>
      <c r="F6878" s="251" t="str">
        <f>IF(AND(A6878&lt;&gt;"",ISNUMBER(A6878)),VLOOKUP(A6878,Studies!A:BR,6,FALSE),"")</f>
        <v>Plasma</v>
      </c>
      <c r="G6878" s="194">
        <v>0.5</v>
      </c>
      <c r="H6878" s="50" t="s">
        <v>60</v>
      </c>
      <c r="I6878" s="187">
        <v>24.46</v>
      </c>
      <c r="J6878" s="41" t="s">
        <v>941</v>
      </c>
      <c r="K6878" s="41" t="s">
        <v>116</v>
      </c>
    </row>
    <row r="6879" spans="1:15" x14ac:dyDescent="0.2">
      <c r="A6879" s="30">
        <v>751</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2 mg</v>
      </c>
      <c r="E6879" s="250" t="str">
        <f>IF(AND(A6879&lt;&gt;"",ISNUMBER(A6879)),VLOOKUP(A6879,Studies!A:BR,5,FALSE),"")</f>
        <v>Alprazolam</v>
      </c>
      <c r="F6879" s="251" t="str">
        <f>IF(AND(A6879&lt;&gt;"",ISNUMBER(A6879)),VLOOKUP(A6879,Studies!A:BR,6,FALSE),"")</f>
        <v>Plasma</v>
      </c>
      <c r="G6879" s="194">
        <v>1</v>
      </c>
      <c r="H6879" s="50" t="s">
        <v>60</v>
      </c>
      <c r="I6879" s="187">
        <v>23.2</v>
      </c>
      <c r="J6879" s="41" t="s">
        <v>941</v>
      </c>
      <c r="K6879" s="41" t="s">
        <v>116</v>
      </c>
    </row>
    <row r="6880" spans="1:15" x14ac:dyDescent="0.2">
      <c r="A6880" s="30">
        <v>751</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2 mg</v>
      </c>
      <c r="E6880" s="250" t="str">
        <f>IF(AND(A6880&lt;&gt;"",ISNUMBER(A6880)),VLOOKUP(A6880,Studies!A:BR,5,FALSE),"")</f>
        <v>Alprazolam</v>
      </c>
      <c r="F6880" s="251" t="str">
        <f>IF(AND(A6880&lt;&gt;"",ISNUMBER(A6880)),VLOOKUP(A6880,Studies!A:BR,6,FALSE),"")</f>
        <v>Plasma</v>
      </c>
      <c r="G6880" s="194">
        <v>1.5</v>
      </c>
      <c r="H6880" s="50" t="s">
        <v>60</v>
      </c>
      <c r="I6880" s="187">
        <v>23.65</v>
      </c>
      <c r="J6880" s="41" t="s">
        <v>941</v>
      </c>
      <c r="K6880" s="41" t="s">
        <v>116</v>
      </c>
    </row>
    <row r="6881" spans="1:11" x14ac:dyDescent="0.2">
      <c r="A6881" s="30">
        <v>751</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2 mg</v>
      </c>
      <c r="E6881" s="250" t="str">
        <f>IF(AND(A6881&lt;&gt;"",ISNUMBER(A6881)),VLOOKUP(A6881,Studies!A:BR,5,FALSE),"")</f>
        <v>Alprazolam</v>
      </c>
      <c r="F6881" s="251" t="str">
        <f>IF(AND(A6881&lt;&gt;"",ISNUMBER(A6881)),VLOOKUP(A6881,Studies!A:BR,6,FALSE),"")</f>
        <v>Plasma</v>
      </c>
      <c r="G6881" s="194">
        <v>2</v>
      </c>
      <c r="H6881" s="50" t="s">
        <v>60</v>
      </c>
      <c r="I6881" s="187">
        <v>24.009</v>
      </c>
      <c r="J6881" s="41" t="s">
        <v>941</v>
      </c>
      <c r="K6881" s="41" t="s">
        <v>116</v>
      </c>
    </row>
    <row r="6882" spans="1:11" x14ac:dyDescent="0.2">
      <c r="A6882" s="30">
        <v>751</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2 mg</v>
      </c>
      <c r="E6882" s="250" t="str">
        <f>IF(AND(A6882&lt;&gt;"",ISNUMBER(A6882)),VLOOKUP(A6882,Studies!A:BR,5,FALSE),"")</f>
        <v>Alprazolam</v>
      </c>
      <c r="F6882" s="251" t="str">
        <f>IF(AND(A6882&lt;&gt;"",ISNUMBER(A6882)),VLOOKUP(A6882,Studies!A:BR,6,FALSE),"")</f>
        <v>Plasma</v>
      </c>
      <c r="G6882" s="194">
        <v>3</v>
      </c>
      <c r="H6882" s="50" t="s">
        <v>60</v>
      </c>
      <c r="I6882" s="187">
        <v>23.422999999999998</v>
      </c>
      <c r="J6882" s="41" t="s">
        <v>941</v>
      </c>
      <c r="K6882" s="41" t="s">
        <v>116</v>
      </c>
    </row>
    <row r="6883" spans="1:11" x14ac:dyDescent="0.2">
      <c r="A6883" s="30">
        <v>751</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2 mg</v>
      </c>
      <c r="E6883" s="250" t="str">
        <f>IF(AND(A6883&lt;&gt;"",ISNUMBER(A6883)),VLOOKUP(A6883,Studies!A:BR,5,FALSE),"")</f>
        <v>Alprazolam</v>
      </c>
      <c r="F6883" s="251" t="str">
        <f>IF(AND(A6883&lt;&gt;"",ISNUMBER(A6883)),VLOOKUP(A6883,Studies!A:BR,6,FALSE),"")</f>
        <v>Plasma</v>
      </c>
      <c r="G6883" s="194">
        <v>4</v>
      </c>
      <c r="H6883" s="50" t="s">
        <v>60</v>
      </c>
      <c r="I6883" s="187">
        <v>21.263999999999999</v>
      </c>
      <c r="J6883" s="41" t="s">
        <v>941</v>
      </c>
      <c r="K6883" s="41" t="s">
        <v>116</v>
      </c>
    </row>
    <row r="6884" spans="1:11" x14ac:dyDescent="0.2">
      <c r="A6884" s="30">
        <v>751</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2 mg</v>
      </c>
      <c r="E6884" s="250" t="str">
        <f>IF(AND(A6884&lt;&gt;"",ISNUMBER(A6884)),VLOOKUP(A6884,Studies!A:BR,5,FALSE),"")</f>
        <v>Alprazolam</v>
      </c>
      <c r="F6884" s="251" t="str">
        <f>IF(AND(A6884&lt;&gt;"",ISNUMBER(A6884)),VLOOKUP(A6884,Studies!A:BR,6,FALSE),"")</f>
        <v>Plasma</v>
      </c>
      <c r="G6884" s="194">
        <v>6</v>
      </c>
      <c r="H6884" s="50" t="s">
        <v>60</v>
      </c>
      <c r="I6884" s="187">
        <v>16.451000000000001</v>
      </c>
      <c r="J6884" s="41" t="s">
        <v>941</v>
      </c>
      <c r="K6884" s="41" t="s">
        <v>116</v>
      </c>
    </row>
    <row r="6885" spans="1:11" x14ac:dyDescent="0.2">
      <c r="A6885" s="30">
        <v>751</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2 mg</v>
      </c>
      <c r="E6885" s="250" t="str">
        <f>IF(AND(A6885&lt;&gt;"",ISNUMBER(A6885)),VLOOKUP(A6885,Studies!A:BR,5,FALSE),"")</f>
        <v>Alprazolam</v>
      </c>
      <c r="F6885" s="251" t="str">
        <f>IF(AND(A6885&lt;&gt;"",ISNUMBER(A6885)),VLOOKUP(A6885,Studies!A:BR,6,FALSE),"")</f>
        <v>Plasma</v>
      </c>
      <c r="G6885" s="194">
        <v>8</v>
      </c>
      <c r="H6885" s="50" t="s">
        <v>60</v>
      </c>
      <c r="I6885" s="187">
        <v>14.471</v>
      </c>
      <c r="J6885" s="41" t="s">
        <v>941</v>
      </c>
      <c r="K6885" s="41" t="s">
        <v>116</v>
      </c>
    </row>
    <row r="6886" spans="1:11" x14ac:dyDescent="0.2">
      <c r="A6886" s="30">
        <v>751</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2 mg</v>
      </c>
      <c r="E6886" s="250" t="str">
        <f>IF(AND(A6886&lt;&gt;"",ISNUMBER(A6886)),VLOOKUP(A6886,Studies!A:BR,5,FALSE),"")</f>
        <v>Alprazolam</v>
      </c>
      <c r="F6886" s="251" t="str">
        <f>IF(AND(A6886&lt;&gt;"",ISNUMBER(A6886)),VLOOKUP(A6886,Studies!A:BR,6,FALSE),"")</f>
        <v>Plasma</v>
      </c>
      <c r="G6886" s="194">
        <v>10</v>
      </c>
      <c r="H6886" s="50" t="s">
        <v>60</v>
      </c>
      <c r="I6886" s="187">
        <v>13.21</v>
      </c>
      <c r="J6886" s="41" t="s">
        <v>941</v>
      </c>
      <c r="K6886" s="41" t="s">
        <v>116</v>
      </c>
    </row>
    <row r="6887" spans="1:11" x14ac:dyDescent="0.2">
      <c r="A6887" s="30">
        <v>751</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2 mg</v>
      </c>
      <c r="E6887" s="250" t="str">
        <f>IF(AND(A6887&lt;&gt;"",ISNUMBER(A6887)),VLOOKUP(A6887,Studies!A:BR,5,FALSE),"")</f>
        <v>Alprazolam</v>
      </c>
      <c r="F6887" s="251" t="str">
        <f>IF(AND(A6887&lt;&gt;"",ISNUMBER(A6887)),VLOOKUP(A6887,Studies!A:BR,6,FALSE),"")</f>
        <v>Plasma</v>
      </c>
      <c r="G6887" s="194">
        <v>12</v>
      </c>
      <c r="H6887" s="50" t="s">
        <v>60</v>
      </c>
      <c r="I6887" s="187">
        <v>11.635</v>
      </c>
      <c r="J6887" s="41" t="s">
        <v>941</v>
      </c>
      <c r="K6887" s="41" t="s">
        <v>116</v>
      </c>
    </row>
    <row r="6888" spans="1:11" x14ac:dyDescent="0.2">
      <c r="A6888" s="30">
        <v>751</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2 mg</v>
      </c>
      <c r="E6888" s="250" t="str">
        <f>IF(AND(A6888&lt;&gt;"",ISNUMBER(A6888)),VLOOKUP(A6888,Studies!A:BR,5,FALSE),"")</f>
        <v>Alprazolam</v>
      </c>
      <c r="F6888" s="251" t="str">
        <f>IF(AND(A6888&lt;&gt;"",ISNUMBER(A6888)),VLOOKUP(A6888,Studies!A:BR,6,FALSE),"")</f>
        <v>Plasma</v>
      </c>
      <c r="G6888" s="194">
        <v>14</v>
      </c>
      <c r="H6888" s="50" t="s">
        <v>60</v>
      </c>
      <c r="I6888" s="187">
        <v>9.8339999999999996</v>
      </c>
      <c r="J6888" s="41" t="s">
        <v>941</v>
      </c>
      <c r="K6888" s="41" t="s">
        <v>116</v>
      </c>
    </row>
    <row r="6889" spans="1:11" x14ac:dyDescent="0.2">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16</v>
      </c>
      <c r="H6889" s="50" t="s">
        <v>60</v>
      </c>
      <c r="I6889" s="187">
        <v>9.1129999999999995</v>
      </c>
      <c r="J6889" s="41" t="s">
        <v>941</v>
      </c>
      <c r="K6889" s="41" t="s">
        <v>116</v>
      </c>
    </row>
    <row r="6890" spans="1:11" x14ac:dyDescent="0.2">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24</v>
      </c>
      <c r="H6890" s="50" t="s">
        <v>60</v>
      </c>
      <c r="I6890" s="187">
        <v>6.2729999999999997</v>
      </c>
      <c r="J6890" s="41" t="s">
        <v>941</v>
      </c>
      <c r="K6890" s="41" t="s">
        <v>116</v>
      </c>
    </row>
    <row r="6891" spans="1:11" x14ac:dyDescent="0.2">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30</v>
      </c>
      <c r="H6891" s="50" t="s">
        <v>60</v>
      </c>
      <c r="I6891" s="187">
        <v>4.6040000000000001</v>
      </c>
      <c r="J6891" s="41" t="s">
        <v>941</v>
      </c>
      <c r="K6891" s="41" t="s">
        <v>116</v>
      </c>
    </row>
    <row r="6892" spans="1:11" x14ac:dyDescent="0.2">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36</v>
      </c>
      <c r="H6892" s="50" t="s">
        <v>60</v>
      </c>
      <c r="I6892" s="187">
        <v>2.8</v>
      </c>
      <c r="J6892" s="41" t="s">
        <v>941</v>
      </c>
      <c r="K6892" s="41" t="s">
        <v>116</v>
      </c>
    </row>
    <row r="6893" spans="1:11" x14ac:dyDescent="0.2">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48</v>
      </c>
      <c r="H6893" s="50" t="s">
        <v>60</v>
      </c>
      <c r="I6893" s="187">
        <v>1.216</v>
      </c>
      <c r="J6893" s="41" t="s">
        <v>941</v>
      </c>
      <c r="K6893" s="41" t="s">
        <v>116</v>
      </c>
    </row>
    <row r="6894" spans="1:11" x14ac:dyDescent="0.2">
      <c r="A6894" s="30">
        <v>752</v>
      </c>
      <c r="B6894" s="249" t="str">
        <f>IF(AND(A6894&lt;&gt;"",ISNUMBER(A6894)),VLOOKUP(A6894,Studies!A:BR,2,FALSE),"")</f>
        <v>Smith 1984</v>
      </c>
      <c r="C6894" s="250" t="str">
        <f>IF(AND(A6894&lt;&gt;"",ISNUMBER(A6894)),VLOOKUP(A6894,Studies!A:BR,3,FALSE),"")</f>
        <v>https://www.ncbi.nlm.nih.gov/pubmed/6152055</v>
      </c>
      <c r="D6894" s="250" t="str">
        <f>IF(AND(A6894&lt;&gt;"",ISNUMBER(A6894)),VLOOKUP(A6894,Studies!A:BR,4,FALSE),"")</f>
        <v>IV administration</v>
      </c>
      <c r="E6894" s="250" t="str">
        <f>IF(AND(A6894&lt;&gt;"",ISNUMBER(A6894)),VLOOKUP(A6894,Studies!A:BR,5,FALSE),"")</f>
        <v>Alprazolam</v>
      </c>
      <c r="F6894" s="251" t="str">
        <f>IF(AND(A6894&lt;&gt;"",ISNUMBER(A6894)),VLOOKUP(A6894,Studies!A:BR,6,FALSE),"")</f>
        <v>Plasma</v>
      </c>
      <c r="G6894" s="194">
        <v>0.1666667</v>
      </c>
      <c r="H6894" s="50" t="s">
        <v>60</v>
      </c>
      <c r="I6894" s="187">
        <v>22.606999999999999</v>
      </c>
      <c r="J6894" s="41" t="s">
        <v>941</v>
      </c>
      <c r="K6894" s="41" t="s">
        <v>116</v>
      </c>
    </row>
    <row r="6895" spans="1:11" x14ac:dyDescent="0.2">
      <c r="A6895" s="30">
        <v>752</v>
      </c>
      <c r="B6895" s="249" t="str">
        <f>IF(AND(A6895&lt;&gt;"",ISNUMBER(A6895)),VLOOKUP(A6895,Studies!A:BR,2,FALSE),"")</f>
        <v>Smith 1984</v>
      </c>
      <c r="C6895" s="250" t="str">
        <f>IF(AND(A6895&lt;&gt;"",ISNUMBER(A6895)),VLOOKUP(A6895,Studies!A:BR,3,FALSE),"")</f>
        <v>https://www.ncbi.nlm.nih.gov/pubmed/6152055</v>
      </c>
      <c r="D6895" s="250" t="str">
        <f>IF(AND(A6895&lt;&gt;"",ISNUMBER(A6895)),VLOOKUP(A6895,Studies!A:BR,4,FALSE),"")</f>
        <v>IV administration</v>
      </c>
      <c r="E6895" s="250" t="str">
        <f>IF(AND(A6895&lt;&gt;"",ISNUMBER(A6895)),VLOOKUP(A6895,Studies!A:BR,5,FALSE),"")</f>
        <v>Alprazolam</v>
      </c>
      <c r="F6895" s="251" t="str">
        <f>IF(AND(A6895&lt;&gt;"",ISNUMBER(A6895)),VLOOKUP(A6895,Studies!A:BR,6,FALSE),"")</f>
        <v>Plasma</v>
      </c>
      <c r="G6895" s="194">
        <v>0.3333333</v>
      </c>
      <c r="H6895" s="50" t="s">
        <v>60</v>
      </c>
      <c r="I6895" s="187">
        <v>21.089490000000001</v>
      </c>
      <c r="J6895" s="41" t="s">
        <v>941</v>
      </c>
      <c r="K6895" s="41" t="s">
        <v>116</v>
      </c>
    </row>
    <row r="6896" spans="1:11" x14ac:dyDescent="0.2">
      <c r="A6896" s="30">
        <v>752</v>
      </c>
      <c r="B6896" s="249" t="str">
        <f>IF(AND(A6896&lt;&gt;"",ISNUMBER(A6896)),VLOOKUP(A6896,Studies!A:BR,2,FALSE),"")</f>
        <v>Smith 1984</v>
      </c>
      <c r="C6896" s="250" t="str">
        <f>IF(AND(A6896&lt;&gt;"",ISNUMBER(A6896)),VLOOKUP(A6896,Studies!A:BR,3,FALSE),"")</f>
        <v>https://www.ncbi.nlm.nih.gov/pubmed/6152055</v>
      </c>
      <c r="D6896" s="250" t="str">
        <f>IF(AND(A6896&lt;&gt;"",ISNUMBER(A6896)),VLOOKUP(A6896,Studies!A:BR,4,FALSE),"")</f>
        <v>IV administration</v>
      </c>
      <c r="E6896" s="250" t="str">
        <f>IF(AND(A6896&lt;&gt;"",ISNUMBER(A6896)),VLOOKUP(A6896,Studies!A:BR,5,FALSE),"")</f>
        <v>Alprazolam</v>
      </c>
      <c r="F6896" s="251" t="str">
        <f>IF(AND(A6896&lt;&gt;"",ISNUMBER(A6896)),VLOOKUP(A6896,Studies!A:BR,6,FALSE),"")</f>
        <v>Plasma</v>
      </c>
      <c r="G6896" s="194">
        <v>0.66666669999999995</v>
      </c>
      <c r="H6896" s="50" t="s">
        <v>60</v>
      </c>
      <c r="I6896" s="187">
        <v>17.7821</v>
      </c>
      <c r="J6896" s="41" t="s">
        <v>941</v>
      </c>
      <c r="K6896" s="41" t="s">
        <v>116</v>
      </c>
    </row>
    <row r="6897" spans="1:11" x14ac:dyDescent="0.2">
      <c r="A6897" s="30">
        <v>752</v>
      </c>
      <c r="B6897" s="249" t="str">
        <f>IF(AND(A6897&lt;&gt;"",ISNUMBER(A6897)),VLOOKUP(A6897,Studies!A:BR,2,FALSE),"")</f>
        <v>Smith 1984</v>
      </c>
      <c r="C6897" s="250" t="str">
        <f>IF(AND(A6897&lt;&gt;"",ISNUMBER(A6897)),VLOOKUP(A6897,Studies!A:BR,3,FALSE),"")</f>
        <v>https://www.ncbi.nlm.nih.gov/pubmed/6152055</v>
      </c>
      <c r="D6897" s="250" t="str">
        <f>IF(AND(A6897&lt;&gt;"",ISNUMBER(A6897)),VLOOKUP(A6897,Studies!A:BR,4,FALSE),"")</f>
        <v>IV administration</v>
      </c>
      <c r="E6897" s="250" t="str">
        <f>IF(AND(A6897&lt;&gt;"",ISNUMBER(A6897)),VLOOKUP(A6897,Studies!A:BR,5,FALSE),"")</f>
        <v>Alprazolam</v>
      </c>
      <c r="F6897" s="251" t="str">
        <f>IF(AND(A6897&lt;&gt;"",ISNUMBER(A6897)),VLOOKUP(A6897,Studies!A:BR,6,FALSE),"")</f>
        <v>Plasma</v>
      </c>
      <c r="G6897" s="194">
        <v>1</v>
      </c>
      <c r="H6897" s="50" t="s">
        <v>60</v>
      </c>
      <c r="I6897" s="187">
        <v>17.237349999999999</v>
      </c>
      <c r="J6897" s="41" t="s">
        <v>941</v>
      </c>
      <c r="K6897" s="41" t="s">
        <v>116</v>
      </c>
    </row>
    <row r="6898" spans="1:11" x14ac:dyDescent="0.2">
      <c r="A6898" s="30">
        <v>752</v>
      </c>
      <c r="B6898" s="249" t="str">
        <f>IF(AND(A6898&lt;&gt;"",ISNUMBER(A6898)),VLOOKUP(A6898,Studies!A:BR,2,FALSE),"")</f>
        <v>Smith 1984</v>
      </c>
      <c r="C6898" s="250" t="str">
        <f>IF(AND(A6898&lt;&gt;"",ISNUMBER(A6898)),VLOOKUP(A6898,Studies!A:BR,3,FALSE),"")</f>
        <v>https://www.ncbi.nlm.nih.gov/pubmed/6152055</v>
      </c>
      <c r="D6898" s="250" t="str">
        <f>IF(AND(A6898&lt;&gt;"",ISNUMBER(A6898)),VLOOKUP(A6898,Studies!A:BR,4,FALSE),"")</f>
        <v>IV administration</v>
      </c>
      <c r="E6898" s="250" t="str">
        <f>IF(AND(A6898&lt;&gt;"",ISNUMBER(A6898)),VLOOKUP(A6898,Studies!A:BR,5,FALSE),"")</f>
        <v>Alprazolam</v>
      </c>
      <c r="F6898" s="251" t="str">
        <f>IF(AND(A6898&lt;&gt;"",ISNUMBER(A6898)),VLOOKUP(A6898,Studies!A:BR,6,FALSE),"")</f>
        <v>Plasma</v>
      </c>
      <c r="G6898" s="194">
        <v>1.5</v>
      </c>
      <c r="H6898" s="50" t="s">
        <v>60</v>
      </c>
      <c r="I6898" s="187">
        <v>16.614789999999999</v>
      </c>
      <c r="J6898" s="41" t="s">
        <v>941</v>
      </c>
      <c r="K6898" s="41" t="s">
        <v>116</v>
      </c>
    </row>
    <row r="6899" spans="1:11" x14ac:dyDescent="0.2">
      <c r="A6899" s="30">
        <v>752</v>
      </c>
      <c r="B6899" s="249" t="str">
        <f>IF(AND(A6899&lt;&gt;"",ISNUMBER(A6899)),VLOOKUP(A6899,Studies!A:BR,2,FALSE),"")</f>
        <v>Smith 1984</v>
      </c>
      <c r="C6899" s="250" t="str">
        <f>IF(AND(A6899&lt;&gt;"",ISNUMBER(A6899)),VLOOKUP(A6899,Studies!A:BR,3,FALSE),"")</f>
        <v>https://www.ncbi.nlm.nih.gov/pubmed/6152055</v>
      </c>
      <c r="D6899" s="250" t="str">
        <f>IF(AND(A6899&lt;&gt;"",ISNUMBER(A6899)),VLOOKUP(A6899,Studies!A:BR,4,FALSE),"")</f>
        <v>IV administration</v>
      </c>
      <c r="E6899" s="250" t="str">
        <f>IF(AND(A6899&lt;&gt;"",ISNUMBER(A6899)),VLOOKUP(A6899,Studies!A:BR,5,FALSE),"")</f>
        <v>Alprazolam</v>
      </c>
      <c r="F6899" s="251" t="str">
        <f>IF(AND(A6899&lt;&gt;"",ISNUMBER(A6899)),VLOOKUP(A6899,Studies!A:BR,6,FALSE),"")</f>
        <v>Plasma</v>
      </c>
      <c r="G6899" s="194">
        <v>2</v>
      </c>
      <c r="H6899" s="50" t="s">
        <v>60</v>
      </c>
      <c r="I6899" s="187">
        <v>15.99222</v>
      </c>
      <c r="J6899" s="41" t="s">
        <v>941</v>
      </c>
      <c r="K6899" s="41" t="s">
        <v>116</v>
      </c>
    </row>
    <row r="6900" spans="1:11" x14ac:dyDescent="0.2">
      <c r="A6900" s="30">
        <v>752</v>
      </c>
      <c r="B6900" s="249" t="str">
        <f>IF(AND(A6900&lt;&gt;"",ISNUMBER(A6900)),VLOOKUP(A6900,Studies!A:BR,2,FALSE),"")</f>
        <v>Smith 1984</v>
      </c>
      <c r="C6900" s="250" t="str">
        <f>IF(AND(A6900&lt;&gt;"",ISNUMBER(A6900)),VLOOKUP(A6900,Studies!A:BR,3,FALSE),"")</f>
        <v>https://www.ncbi.nlm.nih.gov/pubmed/6152055</v>
      </c>
      <c r="D6900" s="250" t="str">
        <f>IF(AND(A6900&lt;&gt;"",ISNUMBER(A6900)),VLOOKUP(A6900,Studies!A:BR,4,FALSE),"")</f>
        <v>IV administration</v>
      </c>
      <c r="E6900" s="250" t="str">
        <f>IF(AND(A6900&lt;&gt;"",ISNUMBER(A6900)),VLOOKUP(A6900,Studies!A:BR,5,FALSE),"")</f>
        <v>Alprazolam</v>
      </c>
      <c r="F6900" s="251" t="str">
        <f>IF(AND(A6900&lt;&gt;"",ISNUMBER(A6900)),VLOOKUP(A6900,Studies!A:BR,6,FALSE),"")</f>
        <v>Plasma</v>
      </c>
      <c r="G6900" s="194">
        <v>2.5</v>
      </c>
      <c r="H6900" s="50" t="s">
        <v>60</v>
      </c>
      <c r="I6900" s="187">
        <v>15.21401</v>
      </c>
      <c r="J6900" s="41" t="s">
        <v>941</v>
      </c>
      <c r="K6900" s="41" t="s">
        <v>116</v>
      </c>
    </row>
    <row r="6901" spans="1:11" x14ac:dyDescent="0.2">
      <c r="A6901" s="30">
        <v>752</v>
      </c>
      <c r="B6901" s="249" t="str">
        <f>IF(AND(A6901&lt;&gt;"",ISNUMBER(A6901)),VLOOKUP(A6901,Studies!A:BR,2,FALSE),"")</f>
        <v>Smith 1984</v>
      </c>
      <c r="C6901" s="250" t="str">
        <f>IF(AND(A6901&lt;&gt;"",ISNUMBER(A6901)),VLOOKUP(A6901,Studies!A:BR,3,FALSE),"")</f>
        <v>https://www.ncbi.nlm.nih.gov/pubmed/6152055</v>
      </c>
      <c r="D6901" s="250" t="str">
        <f>IF(AND(A6901&lt;&gt;"",ISNUMBER(A6901)),VLOOKUP(A6901,Studies!A:BR,4,FALSE),"")</f>
        <v>IV administration</v>
      </c>
      <c r="E6901" s="250" t="str">
        <f>IF(AND(A6901&lt;&gt;"",ISNUMBER(A6901)),VLOOKUP(A6901,Studies!A:BR,5,FALSE),"")</f>
        <v>Alprazolam</v>
      </c>
      <c r="F6901" s="251" t="str">
        <f>IF(AND(A6901&lt;&gt;"",ISNUMBER(A6901)),VLOOKUP(A6901,Studies!A:BR,6,FALSE),"")</f>
        <v>Plasma</v>
      </c>
      <c r="G6901" s="194">
        <v>3</v>
      </c>
      <c r="H6901" s="50" t="s">
        <v>60</v>
      </c>
      <c r="I6901" s="187">
        <v>15.71984</v>
      </c>
      <c r="J6901" s="41" t="s">
        <v>941</v>
      </c>
      <c r="K6901" s="41" t="s">
        <v>116</v>
      </c>
    </row>
    <row r="6902" spans="1:11" x14ac:dyDescent="0.2">
      <c r="A6902" s="30">
        <v>752</v>
      </c>
      <c r="B6902" s="249" t="str">
        <f>IF(AND(A6902&lt;&gt;"",ISNUMBER(A6902)),VLOOKUP(A6902,Studies!A:BR,2,FALSE),"")</f>
        <v>Smith 1984</v>
      </c>
      <c r="C6902" s="250" t="str">
        <f>IF(AND(A6902&lt;&gt;"",ISNUMBER(A6902)),VLOOKUP(A6902,Studies!A:BR,3,FALSE),"")</f>
        <v>https://www.ncbi.nlm.nih.gov/pubmed/6152055</v>
      </c>
      <c r="D6902" s="250" t="str">
        <f>IF(AND(A6902&lt;&gt;"",ISNUMBER(A6902)),VLOOKUP(A6902,Studies!A:BR,4,FALSE),"")</f>
        <v>IV administration</v>
      </c>
      <c r="E6902" s="250" t="str">
        <f>IF(AND(A6902&lt;&gt;"",ISNUMBER(A6902)),VLOOKUP(A6902,Studies!A:BR,5,FALSE),"")</f>
        <v>Alprazolam</v>
      </c>
      <c r="F6902" s="251" t="str">
        <f>IF(AND(A6902&lt;&gt;"",ISNUMBER(A6902)),VLOOKUP(A6902,Studies!A:BR,6,FALSE),"")</f>
        <v>Plasma</v>
      </c>
      <c r="G6902" s="194">
        <v>4</v>
      </c>
      <c r="H6902" s="50" t="s">
        <v>60</v>
      </c>
      <c r="I6902" s="187">
        <v>14.708170000000001</v>
      </c>
      <c r="J6902" s="41" t="s">
        <v>941</v>
      </c>
      <c r="K6902" s="41" t="s">
        <v>116</v>
      </c>
    </row>
    <row r="6903" spans="1:11" x14ac:dyDescent="0.2">
      <c r="A6903" s="30">
        <v>752</v>
      </c>
      <c r="B6903" s="249" t="str">
        <f>IF(AND(A6903&lt;&gt;"",ISNUMBER(A6903)),VLOOKUP(A6903,Studies!A:BR,2,FALSE),"")</f>
        <v>Smith 1984</v>
      </c>
      <c r="C6903" s="250" t="str">
        <f>IF(AND(A6903&lt;&gt;"",ISNUMBER(A6903)),VLOOKUP(A6903,Studies!A:BR,3,FALSE),"")</f>
        <v>https://www.ncbi.nlm.nih.gov/pubmed/6152055</v>
      </c>
      <c r="D6903" s="250" t="str">
        <f>IF(AND(A6903&lt;&gt;"",ISNUMBER(A6903)),VLOOKUP(A6903,Studies!A:BR,4,FALSE),"")</f>
        <v>IV administration</v>
      </c>
      <c r="E6903" s="250" t="str">
        <f>IF(AND(A6903&lt;&gt;"",ISNUMBER(A6903)),VLOOKUP(A6903,Studies!A:BR,5,FALSE),"")</f>
        <v>Alprazolam</v>
      </c>
      <c r="F6903" s="251" t="str">
        <f>IF(AND(A6903&lt;&gt;"",ISNUMBER(A6903)),VLOOKUP(A6903,Studies!A:BR,6,FALSE),"")</f>
        <v>Plasma</v>
      </c>
      <c r="G6903" s="194">
        <v>6</v>
      </c>
      <c r="H6903" s="50" t="s">
        <v>60</v>
      </c>
      <c r="I6903" s="187">
        <v>12.723739999999999</v>
      </c>
      <c r="J6903" s="41" t="s">
        <v>941</v>
      </c>
      <c r="K6903" s="41" t="s">
        <v>116</v>
      </c>
    </row>
    <row r="6904" spans="1:11" x14ac:dyDescent="0.2">
      <c r="A6904" s="30">
        <v>752</v>
      </c>
      <c r="B6904" s="249" t="str">
        <f>IF(AND(A6904&lt;&gt;"",ISNUMBER(A6904)),VLOOKUP(A6904,Studies!A:BR,2,FALSE),"")</f>
        <v>Smith 1984</v>
      </c>
      <c r="C6904" s="250" t="str">
        <f>IF(AND(A6904&lt;&gt;"",ISNUMBER(A6904)),VLOOKUP(A6904,Studies!A:BR,3,FALSE),"")</f>
        <v>https://www.ncbi.nlm.nih.gov/pubmed/6152055</v>
      </c>
      <c r="D6904" s="250" t="str">
        <f>IF(AND(A6904&lt;&gt;"",ISNUMBER(A6904)),VLOOKUP(A6904,Studies!A:BR,4,FALSE),"")</f>
        <v>IV administration</v>
      </c>
      <c r="E6904" s="250" t="str">
        <f>IF(AND(A6904&lt;&gt;"",ISNUMBER(A6904)),VLOOKUP(A6904,Studies!A:BR,5,FALSE),"")</f>
        <v>Alprazolam</v>
      </c>
      <c r="F6904" s="251" t="str">
        <f>IF(AND(A6904&lt;&gt;"",ISNUMBER(A6904)),VLOOKUP(A6904,Studies!A:BR,6,FALSE),"")</f>
        <v>Plasma</v>
      </c>
      <c r="G6904" s="194">
        <v>8</v>
      </c>
      <c r="H6904" s="50" t="s">
        <v>60</v>
      </c>
      <c r="I6904" s="187">
        <v>10.15564</v>
      </c>
      <c r="J6904" s="41" t="s">
        <v>941</v>
      </c>
      <c r="K6904" s="41" t="s">
        <v>116</v>
      </c>
    </row>
    <row r="6905" spans="1:11" x14ac:dyDescent="0.2">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12</v>
      </c>
      <c r="H6905" s="50" t="s">
        <v>60</v>
      </c>
      <c r="I6905" s="187">
        <v>7.7821009999999999</v>
      </c>
      <c r="J6905" s="41" t="s">
        <v>941</v>
      </c>
      <c r="K6905" s="41" t="s">
        <v>116</v>
      </c>
    </row>
    <row r="6906" spans="1:11" x14ac:dyDescent="0.2">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24</v>
      </c>
      <c r="H6906" s="50" t="s">
        <v>60</v>
      </c>
      <c r="I6906" s="187">
        <v>4.1245139999999996</v>
      </c>
      <c r="J6906" s="41" t="s">
        <v>941</v>
      </c>
      <c r="K6906" s="41" t="s">
        <v>116</v>
      </c>
    </row>
    <row r="6907" spans="1:11" x14ac:dyDescent="0.2">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36</v>
      </c>
      <c r="H6907" s="50" t="s">
        <v>60</v>
      </c>
      <c r="I6907" s="187">
        <v>2.0622569999999998</v>
      </c>
      <c r="J6907" s="41" t="s">
        <v>941</v>
      </c>
      <c r="K6907" s="41" t="s">
        <v>116</v>
      </c>
    </row>
    <row r="6908" spans="1:11" x14ac:dyDescent="0.2">
      <c r="A6908" s="30">
        <v>753</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Oral administration</v>
      </c>
      <c r="E6908" s="250" t="str">
        <f>IF(AND(A6908&lt;&gt;"",ISNUMBER(A6908)),VLOOKUP(A6908,Studies!A:BR,5,FALSE),"")</f>
        <v>Alprazolam</v>
      </c>
      <c r="F6908" s="251" t="str">
        <f>IF(AND(A6908&lt;&gt;"",ISNUMBER(A6908)),VLOOKUP(A6908,Studies!A:BR,6,FALSE),"")</f>
        <v>Plasma</v>
      </c>
      <c r="G6908" s="194">
        <v>0.3333333</v>
      </c>
      <c r="H6908" s="50" t="s">
        <v>60</v>
      </c>
      <c r="I6908" s="187">
        <v>5.836576</v>
      </c>
      <c r="J6908" s="41" t="s">
        <v>941</v>
      </c>
      <c r="K6908" s="41" t="s">
        <v>116</v>
      </c>
    </row>
    <row r="6909" spans="1:11" x14ac:dyDescent="0.2">
      <c r="A6909" s="30">
        <v>753</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Oral administration</v>
      </c>
      <c r="E6909" s="250" t="str">
        <f>IF(AND(A6909&lt;&gt;"",ISNUMBER(A6909)),VLOOKUP(A6909,Studies!A:BR,5,FALSE),"")</f>
        <v>Alprazolam</v>
      </c>
      <c r="F6909" s="251" t="str">
        <f>IF(AND(A6909&lt;&gt;"",ISNUMBER(A6909)),VLOOKUP(A6909,Studies!A:BR,6,FALSE),"")</f>
        <v>Plasma</v>
      </c>
      <c r="G6909" s="194">
        <v>0.66666669999999995</v>
      </c>
      <c r="H6909" s="50" t="s">
        <v>60</v>
      </c>
      <c r="I6909" s="187">
        <v>16.342410000000001</v>
      </c>
      <c r="J6909" s="41" t="s">
        <v>941</v>
      </c>
      <c r="K6909" s="41" t="s">
        <v>116</v>
      </c>
    </row>
    <row r="6910" spans="1:11" x14ac:dyDescent="0.2">
      <c r="A6910" s="30">
        <v>753</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Oral administration</v>
      </c>
      <c r="E6910" s="250" t="str">
        <f>IF(AND(A6910&lt;&gt;"",ISNUMBER(A6910)),VLOOKUP(A6910,Studies!A:BR,5,FALSE),"")</f>
        <v>Alprazolam</v>
      </c>
      <c r="F6910" s="251" t="str">
        <f>IF(AND(A6910&lt;&gt;"",ISNUMBER(A6910)),VLOOKUP(A6910,Studies!A:BR,6,FALSE),"")</f>
        <v>Plasma</v>
      </c>
      <c r="G6910" s="194">
        <v>1</v>
      </c>
      <c r="H6910" s="50" t="s">
        <v>60</v>
      </c>
      <c r="I6910" s="187">
        <v>14.74708</v>
      </c>
      <c r="J6910" s="41" t="s">
        <v>941</v>
      </c>
      <c r="K6910" s="41" t="s">
        <v>116</v>
      </c>
    </row>
    <row r="6911" spans="1:11" x14ac:dyDescent="0.2">
      <c r="A6911" s="30">
        <v>753</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Oral administration</v>
      </c>
      <c r="E6911" s="250" t="str">
        <f>IF(AND(A6911&lt;&gt;"",ISNUMBER(A6911)),VLOOKUP(A6911,Studies!A:BR,5,FALSE),"")</f>
        <v>Alprazolam</v>
      </c>
      <c r="F6911" s="251" t="str">
        <f>IF(AND(A6911&lt;&gt;"",ISNUMBER(A6911)),VLOOKUP(A6911,Studies!A:BR,6,FALSE),"")</f>
        <v>Plasma</v>
      </c>
      <c r="G6911" s="194">
        <v>1.5</v>
      </c>
      <c r="H6911" s="50" t="s">
        <v>60</v>
      </c>
      <c r="I6911" s="187">
        <v>13.929959999999999</v>
      </c>
      <c r="J6911" s="41" t="s">
        <v>941</v>
      </c>
      <c r="K6911" s="41" t="s">
        <v>116</v>
      </c>
    </row>
    <row r="6912" spans="1:11" x14ac:dyDescent="0.2">
      <c r="A6912" s="30">
        <v>753</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Oral administration</v>
      </c>
      <c r="E6912" s="250" t="str">
        <f>IF(AND(A6912&lt;&gt;"",ISNUMBER(A6912)),VLOOKUP(A6912,Studies!A:BR,5,FALSE),"")</f>
        <v>Alprazolam</v>
      </c>
      <c r="F6912" s="251" t="str">
        <f>IF(AND(A6912&lt;&gt;"",ISNUMBER(A6912)),VLOOKUP(A6912,Studies!A:BR,6,FALSE),"")</f>
        <v>Plasma</v>
      </c>
      <c r="G6912" s="194">
        <v>2</v>
      </c>
      <c r="H6912" s="50" t="s">
        <v>60</v>
      </c>
      <c r="I6912" s="187">
        <v>13.501950000000001</v>
      </c>
      <c r="J6912" s="41" t="s">
        <v>941</v>
      </c>
      <c r="K6912" s="41" t="s">
        <v>116</v>
      </c>
    </row>
    <row r="6913" spans="1:11" x14ac:dyDescent="0.2">
      <c r="A6913" s="30">
        <v>753</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Oral administration</v>
      </c>
      <c r="E6913" s="250" t="str">
        <f>IF(AND(A6913&lt;&gt;"",ISNUMBER(A6913)),VLOOKUP(A6913,Studies!A:BR,5,FALSE),"")</f>
        <v>Alprazolam</v>
      </c>
      <c r="F6913" s="251" t="str">
        <f>IF(AND(A6913&lt;&gt;"",ISNUMBER(A6913)),VLOOKUP(A6913,Studies!A:BR,6,FALSE),"")</f>
        <v>Plasma</v>
      </c>
      <c r="G6913" s="194">
        <v>2.5</v>
      </c>
      <c r="H6913" s="50" t="s">
        <v>60</v>
      </c>
      <c r="I6913" s="187">
        <v>13.813230000000001</v>
      </c>
      <c r="J6913" s="41" t="s">
        <v>941</v>
      </c>
      <c r="K6913" s="41" t="s">
        <v>116</v>
      </c>
    </row>
    <row r="6914" spans="1:11" x14ac:dyDescent="0.2">
      <c r="A6914" s="30">
        <v>753</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Oral administration</v>
      </c>
      <c r="E6914" s="250" t="str">
        <f>IF(AND(A6914&lt;&gt;"",ISNUMBER(A6914)),VLOOKUP(A6914,Studies!A:BR,5,FALSE),"")</f>
        <v>Alprazolam</v>
      </c>
      <c r="F6914" s="251" t="str">
        <f>IF(AND(A6914&lt;&gt;"",ISNUMBER(A6914)),VLOOKUP(A6914,Studies!A:BR,6,FALSE),"")</f>
        <v>Plasma</v>
      </c>
      <c r="G6914" s="194">
        <v>3</v>
      </c>
      <c r="H6914" s="50" t="s">
        <v>60</v>
      </c>
      <c r="I6914" s="187">
        <v>13.035019999999999</v>
      </c>
      <c r="J6914" s="41" t="s">
        <v>941</v>
      </c>
      <c r="K6914" s="41" t="s">
        <v>116</v>
      </c>
    </row>
    <row r="6915" spans="1:11" x14ac:dyDescent="0.2">
      <c r="A6915" s="30">
        <v>753</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Oral administration</v>
      </c>
      <c r="E6915" s="250" t="str">
        <f>IF(AND(A6915&lt;&gt;"",ISNUMBER(A6915)),VLOOKUP(A6915,Studies!A:BR,5,FALSE),"")</f>
        <v>Alprazolam</v>
      </c>
      <c r="F6915" s="251" t="str">
        <f>IF(AND(A6915&lt;&gt;"",ISNUMBER(A6915)),VLOOKUP(A6915,Studies!A:BR,6,FALSE),"")</f>
        <v>Plasma</v>
      </c>
      <c r="G6915" s="194">
        <v>4</v>
      </c>
      <c r="H6915" s="50" t="s">
        <v>60</v>
      </c>
      <c r="I6915" s="187">
        <v>12.68482</v>
      </c>
      <c r="J6915" s="41" t="s">
        <v>941</v>
      </c>
      <c r="K6915" s="41" t="s">
        <v>116</v>
      </c>
    </row>
    <row r="6916" spans="1:11" x14ac:dyDescent="0.2">
      <c r="A6916" s="30">
        <v>753</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Oral administration</v>
      </c>
      <c r="E6916" s="250" t="str">
        <f>IF(AND(A6916&lt;&gt;"",ISNUMBER(A6916)),VLOOKUP(A6916,Studies!A:BR,5,FALSE),"")</f>
        <v>Alprazolam</v>
      </c>
      <c r="F6916" s="251" t="str">
        <f>IF(AND(A6916&lt;&gt;"",ISNUMBER(A6916)),VLOOKUP(A6916,Studies!A:BR,6,FALSE),"")</f>
        <v>Plasma</v>
      </c>
      <c r="G6916" s="194">
        <v>6</v>
      </c>
      <c r="H6916" s="50" t="s">
        <v>60</v>
      </c>
      <c r="I6916" s="187">
        <v>10.7393</v>
      </c>
      <c r="J6916" s="41" t="s">
        <v>941</v>
      </c>
      <c r="K6916" s="41" t="s">
        <v>116</v>
      </c>
    </row>
    <row r="6917" spans="1:11" x14ac:dyDescent="0.2">
      <c r="A6917" s="30">
        <v>753</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Oral administration</v>
      </c>
      <c r="E6917" s="250" t="str">
        <f>IF(AND(A6917&lt;&gt;"",ISNUMBER(A6917)),VLOOKUP(A6917,Studies!A:BR,5,FALSE),"")</f>
        <v>Alprazolam</v>
      </c>
      <c r="F6917" s="251" t="str">
        <f>IF(AND(A6917&lt;&gt;"",ISNUMBER(A6917)),VLOOKUP(A6917,Studies!A:BR,6,FALSE),"")</f>
        <v>Plasma</v>
      </c>
      <c r="G6917" s="194">
        <v>8</v>
      </c>
      <c r="H6917" s="50" t="s">
        <v>60</v>
      </c>
      <c r="I6917" s="187">
        <v>9.3385210000000001</v>
      </c>
      <c r="J6917" s="41" t="s">
        <v>941</v>
      </c>
      <c r="K6917" s="41" t="s">
        <v>116</v>
      </c>
    </row>
    <row r="6918" spans="1:11" x14ac:dyDescent="0.2">
      <c r="A6918" s="30">
        <v>753</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Oral administration</v>
      </c>
      <c r="E6918" s="250" t="str">
        <f>IF(AND(A6918&lt;&gt;"",ISNUMBER(A6918)),VLOOKUP(A6918,Studies!A:BR,5,FALSE),"")</f>
        <v>Alprazolam</v>
      </c>
      <c r="F6918" s="251" t="str">
        <f>IF(AND(A6918&lt;&gt;"",ISNUMBER(A6918)),VLOOKUP(A6918,Studies!A:BR,6,FALSE),"")</f>
        <v>Plasma</v>
      </c>
      <c r="G6918" s="194">
        <v>12</v>
      </c>
      <c r="H6918" s="50" t="s">
        <v>60</v>
      </c>
      <c r="I6918" s="187">
        <v>7.0428009999999999</v>
      </c>
      <c r="J6918" s="41" t="s">
        <v>941</v>
      </c>
      <c r="K6918" s="41" t="s">
        <v>116</v>
      </c>
    </row>
    <row r="6919" spans="1:11" x14ac:dyDescent="0.2">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24</v>
      </c>
      <c r="H6919" s="50" t="s">
        <v>60</v>
      </c>
      <c r="I6919" s="187">
        <v>3.7354090000000002</v>
      </c>
      <c r="J6919" s="41" t="s">
        <v>941</v>
      </c>
      <c r="K6919" s="41" t="s">
        <v>116</v>
      </c>
    </row>
    <row r="6920" spans="1:11" x14ac:dyDescent="0.2">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36</v>
      </c>
      <c r="H6920" s="50" t="s">
        <v>60</v>
      </c>
      <c r="I6920" s="187">
        <v>1.7509729999999999</v>
      </c>
      <c r="J6920" s="41" t="s">
        <v>941</v>
      </c>
      <c r="K6920" s="41" t="s">
        <v>116</v>
      </c>
    </row>
    <row r="6921" spans="1:11" x14ac:dyDescent="0.2">
      <c r="A6921" s="30">
        <v>754</v>
      </c>
      <c r="B6921" s="249" t="str">
        <f>IF(AND(A6921&lt;&gt;"",ISNUMBER(A6921)),VLOOKUP(A6921,Studies!A:BR,2,FALSE),"")</f>
        <v>Wennerholm 2005</v>
      </c>
      <c r="C6921" s="250" t="str">
        <f>IF(AND(A6921&lt;&gt;"",ISNUMBER(A6921)),VLOOKUP(A6921,Studies!A:BR,3,FALSE),"")</f>
        <v>https://www.ncbi.nlm.nih.gov/pubmed/15806426</v>
      </c>
      <c r="D6921" s="250" t="str">
        <f>IF(AND(A6921&lt;&gt;"",ISNUMBER(A6921)),VLOOKUP(A6921,Studies!A:BR,4,FALSE),"")</f>
        <v>Figure 1</v>
      </c>
      <c r="E6921" s="250" t="str">
        <f>IF(AND(A6921&lt;&gt;"",ISNUMBER(A6921)),VLOOKUP(A6921,Studies!A:BR,5,FALSE),"")</f>
        <v>Alprazolam</v>
      </c>
      <c r="F6921" s="251" t="str">
        <f>IF(AND(A6921&lt;&gt;"",ISNUMBER(A6921)),VLOOKUP(A6921,Studies!A:BR,6,FALSE),"")</f>
        <v>Plasma</v>
      </c>
      <c r="G6921" s="194">
        <v>0.5</v>
      </c>
      <c r="H6921" s="50" t="s">
        <v>60</v>
      </c>
      <c r="I6921" s="187">
        <v>17.52413</v>
      </c>
      <c r="J6921" s="41" t="s">
        <v>941</v>
      </c>
      <c r="K6921" s="41" t="s">
        <v>116</v>
      </c>
    </row>
    <row r="6922" spans="1:11" x14ac:dyDescent="0.2">
      <c r="A6922" s="30">
        <v>754</v>
      </c>
      <c r="B6922" s="249" t="str">
        <f>IF(AND(A6922&lt;&gt;"",ISNUMBER(A6922)),VLOOKUP(A6922,Studies!A:BR,2,FALSE),"")</f>
        <v>Wennerholm 2005</v>
      </c>
      <c r="C6922" s="250" t="str">
        <f>IF(AND(A6922&lt;&gt;"",ISNUMBER(A6922)),VLOOKUP(A6922,Studies!A:BR,3,FALSE),"")</f>
        <v>https://www.ncbi.nlm.nih.gov/pubmed/15806426</v>
      </c>
      <c r="D6922" s="250" t="str">
        <f>IF(AND(A6922&lt;&gt;"",ISNUMBER(A6922)),VLOOKUP(A6922,Studies!A:BR,4,FALSE),"")</f>
        <v>Figure 1</v>
      </c>
      <c r="E6922" s="250" t="str">
        <f>IF(AND(A6922&lt;&gt;"",ISNUMBER(A6922)),VLOOKUP(A6922,Studies!A:BR,5,FALSE),"")</f>
        <v>Alprazolam</v>
      </c>
      <c r="F6922" s="251" t="str">
        <f>IF(AND(A6922&lt;&gt;"",ISNUMBER(A6922)),VLOOKUP(A6922,Studies!A:BR,6,FALSE),"")</f>
        <v>Plasma</v>
      </c>
      <c r="G6922" s="194">
        <v>1</v>
      </c>
      <c r="H6922" s="50" t="s">
        <v>60</v>
      </c>
      <c r="I6922" s="187">
        <v>17.23311</v>
      </c>
      <c r="J6922" s="41" t="s">
        <v>941</v>
      </c>
      <c r="K6922" s="41" t="s">
        <v>116</v>
      </c>
    </row>
    <row r="6923" spans="1:11" x14ac:dyDescent="0.2">
      <c r="A6923" s="30">
        <v>754</v>
      </c>
      <c r="B6923" s="249" t="str">
        <f>IF(AND(A6923&lt;&gt;"",ISNUMBER(A6923)),VLOOKUP(A6923,Studies!A:BR,2,FALSE),"")</f>
        <v>Wennerholm 2005</v>
      </c>
      <c r="C6923" s="250" t="str">
        <f>IF(AND(A6923&lt;&gt;"",ISNUMBER(A6923)),VLOOKUP(A6923,Studies!A:BR,3,FALSE),"")</f>
        <v>https://www.ncbi.nlm.nih.gov/pubmed/15806426</v>
      </c>
      <c r="D6923" s="250" t="str">
        <f>IF(AND(A6923&lt;&gt;"",ISNUMBER(A6923)),VLOOKUP(A6923,Studies!A:BR,4,FALSE),"")</f>
        <v>Figure 1</v>
      </c>
      <c r="E6923" s="250" t="str">
        <f>IF(AND(A6923&lt;&gt;"",ISNUMBER(A6923)),VLOOKUP(A6923,Studies!A:BR,5,FALSE),"")</f>
        <v>Alprazolam</v>
      </c>
      <c r="F6923" s="251" t="str">
        <f>IF(AND(A6923&lt;&gt;"",ISNUMBER(A6923)),VLOOKUP(A6923,Studies!A:BR,6,FALSE),"")</f>
        <v>Plasma</v>
      </c>
      <c r="G6923" s="194">
        <v>1.5</v>
      </c>
      <c r="H6923" s="50" t="s">
        <v>60</v>
      </c>
      <c r="I6923" s="187">
        <v>16.116569999999999</v>
      </c>
      <c r="J6923" s="41" t="s">
        <v>941</v>
      </c>
      <c r="K6923" s="41" t="s">
        <v>116</v>
      </c>
    </row>
    <row r="6924" spans="1:11" x14ac:dyDescent="0.2">
      <c r="A6924" s="30">
        <v>754</v>
      </c>
      <c r="B6924" s="249" t="str">
        <f>IF(AND(A6924&lt;&gt;"",ISNUMBER(A6924)),VLOOKUP(A6924,Studies!A:BR,2,FALSE),"")</f>
        <v>Wennerholm 2005</v>
      </c>
      <c r="C6924" s="250" t="str">
        <f>IF(AND(A6924&lt;&gt;"",ISNUMBER(A6924)),VLOOKUP(A6924,Studies!A:BR,3,FALSE),"")</f>
        <v>https://www.ncbi.nlm.nih.gov/pubmed/15806426</v>
      </c>
      <c r="D6924" s="250" t="str">
        <f>IF(AND(A6924&lt;&gt;"",ISNUMBER(A6924)),VLOOKUP(A6924,Studies!A:BR,4,FALSE),"")</f>
        <v>Figure 1</v>
      </c>
      <c r="E6924" s="250" t="str">
        <f>IF(AND(A6924&lt;&gt;"",ISNUMBER(A6924)),VLOOKUP(A6924,Studies!A:BR,5,FALSE),"")</f>
        <v>Alprazolam</v>
      </c>
      <c r="F6924" s="251" t="str">
        <f>IF(AND(A6924&lt;&gt;"",ISNUMBER(A6924)),VLOOKUP(A6924,Studies!A:BR,6,FALSE),"")</f>
        <v>Plasma</v>
      </c>
      <c r="G6924" s="194">
        <v>2</v>
      </c>
      <c r="H6924" s="50" t="s">
        <v>60</v>
      </c>
      <c r="I6924" s="187">
        <v>15.32691</v>
      </c>
      <c r="J6924" s="41" t="s">
        <v>941</v>
      </c>
      <c r="K6924" s="41" t="s">
        <v>116</v>
      </c>
    </row>
    <row r="6925" spans="1:11" x14ac:dyDescent="0.2">
      <c r="A6925" s="30">
        <v>754</v>
      </c>
      <c r="B6925" s="249" t="str">
        <f>IF(AND(A6925&lt;&gt;"",ISNUMBER(A6925)),VLOOKUP(A6925,Studies!A:BR,2,FALSE),"")</f>
        <v>Wennerholm 2005</v>
      </c>
      <c r="C6925" s="250" t="str">
        <f>IF(AND(A6925&lt;&gt;"",ISNUMBER(A6925)),VLOOKUP(A6925,Studies!A:BR,3,FALSE),"")</f>
        <v>https://www.ncbi.nlm.nih.gov/pubmed/15806426</v>
      </c>
      <c r="D6925" s="250" t="str">
        <f>IF(AND(A6925&lt;&gt;"",ISNUMBER(A6925)),VLOOKUP(A6925,Studies!A:BR,4,FALSE),"")</f>
        <v>Figure 1</v>
      </c>
      <c r="E6925" s="250" t="str">
        <f>IF(AND(A6925&lt;&gt;"",ISNUMBER(A6925)),VLOOKUP(A6925,Studies!A:BR,5,FALSE),"")</f>
        <v>Alprazolam</v>
      </c>
      <c r="F6925" s="251" t="str">
        <f>IF(AND(A6925&lt;&gt;"",ISNUMBER(A6925)),VLOOKUP(A6925,Studies!A:BR,6,FALSE),"")</f>
        <v>Plasma</v>
      </c>
      <c r="G6925" s="194">
        <v>2.5</v>
      </c>
      <c r="H6925" s="50" t="s">
        <v>60</v>
      </c>
      <c r="I6925" s="187">
        <v>15.58573</v>
      </c>
      <c r="J6925" s="41" t="s">
        <v>941</v>
      </c>
      <c r="K6925" s="41" t="s">
        <v>116</v>
      </c>
    </row>
    <row r="6926" spans="1:11" x14ac:dyDescent="0.2">
      <c r="A6926" s="30">
        <v>754</v>
      </c>
      <c r="B6926" s="249" t="str">
        <f>IF(AND(A6926&lt;&gt;"",ISNUMBER(A6926)),VLOOKUP(A6926,Studies!A:BR,2,FALSE),"")</f>
        <v>Wennerholm 2005</v>
      </c>
      <c r="C6926" s="250" t="str">
        <f>IF(AND(A6926&lt;&gt;"",ISNUMBER(A6926)),VLOOKUP(A6926,Studies!A:BR,3,FALSE),"")</f>
        <v>https://www.ncbi.nlm.nih.gov/pubmed/15806426</v>
      </c>
      <c r="D6926" s="250" t="str">
        <f>IF(AND(A6926&lt;&gt;"",ISNUMBER(A6926)),VLOOKUP(A6926,Studies!A:BR,4,FALSE),"")</f>
        <v>Figure 1</v>
      </c>
      <c r="E6926" s="250" t="str">
        <f>IF(AND(A6926&lt;&gt;"",ISNUMBER(A6926)),VLOOKUP(A6926,Studies!A:BR,5,FALSE),"")</f>
        <v>Alprazolam</v>
      </c>
      <c r="F6926" s="251" t="str">
        <f>IF(AND(A6926&lt;&gt;"",ISNUMBER(A6926)),VLOOKUP(A6926,Studies!A:BR,6,FALSE),"")</f>
        <v>Plasma</v>
      </c>
      <c r="G6926" s="194">
        <v>3</v>
      </c>
      <c r="H6926" s="50" t="s">
        <v>60</v>
      </c>
      <c r="I6926" s="187">
        <v>16.116569999999999</v>
      </c>
      <c r="J6926" s="41" t="s">
        <v>941</v>
      </c>
      <c r="K6926" s="41" t="s">
        <v>116</v>
      </c>
    </row>
    <row r="6927" spans="1:11" x14ac:dyDescent="0.2">
      <c r="A6927" s="30">
        <v>754</v>
      </c>
      <c r="B6927" s="249" t="str">
        <f>IF(AND(A6927&lt;&gt;"",ISNUMBER(A6927)),VLOOKUP(A6927,Studies!A:BR,2,FALSE),"")</f>
        <v>Wennerholm 2005</v>
      </c>
      <c r="C6927" s="250" t="str">
        <f>IF(AND(A6927&lt;&gt;"",ISNUMBER(A6927)),VLOOKUP(A6927,Studies!A:BR,3,FALSE),"")</f>
        <v>https://www.ncbi.nlm.nih.gov/pubmed/15806426</v>
      </c>
      <c r="D6927" s="250" t="str">
        <f>IF(AND(A6927&lt;&gt;"",ISNUMBER(A6927)),VLOOKUP(A6927,Studies!A:BR,4,FALSE),"")</f>
        <v>Figure 1</v>
      </c>
      <c r="E6927" s="250" t="str">
        <f>IF(AND(A6927&lt;&gt;"",ISNUMBER(A6927)),VLOOKUP(A6927,Studies!A:BR,5,FALSE),"")</f>
        <v>Alprazolam</v>
      </c>
      <c r="F6927" s="251" t="str">
        <f>IF(AND(A6927&lt;&gt;"",ISNUMBER(A6927)),VLOOKUP(A6927,Studies!A:BR,6,FALSE),"")</f>
        <v>Plasma</v>
      </c>
      <c r="G6927" s="194">
        <v>4</v>
      </c>
      <c r="H6927" s="50" t="s">
        <v>60</v>
      </c>
      <c r="I6927" s="187">
        <v>14.333880000000001</v>
      </c>
      <c r="J6927" s="41" t="s">
        <v>941</v>
      </c>
      <c r="K6927" s="41" t="s">
        <v>116</v>
      </c>
    </row>
    <row r="6928" spans="1:11" x14ac:dyDescent="0.2">
      <c r="A6928" s="30">
        <v>754</v>
      </c>
      <c r="B6928" s="249" t="str">
        <f>IF(AND(A6928&lt;&gt;"",ISNUMBER(A6928)),VLOOKUP(A6928,Studies!A:BR,2,FALSE),"")</f>
        <v>Wennerholm 2005</v>
      </c>
      <c r="C6928" s="250" t="str">
        <f>IF(AND(A6928&lt;&gt;"",ISNUMBER(A6928)),VLOOKUP(A6928,Studies!A:BR,3,FALSE),"")</f>
        <v>https://www.ncbi.nlm.nih.gov/pubmed/15806426</v>
      </c>
      <c r="D6928" s="250" t="str">
        <f>IF(AND(A6928&lt;&gt;"",ISNUMBER(A6928)),VLOOKUP(A6928,Studies!A:BR,4,FALSE),"")</f>
        <v>Figure 1</v>
      </c>
      <c r="E6928" s="250" t="str">
        <f>IF(AND(A6928&lt;&gt;"",ISNUMBER(A6928)),VLOOKUP(A6928,Studies!A:BR,5,FALSE),"")</f>
        <v>Alprazolam</v>
      </c>
      <c r="F6928" s="251" t="str">
        <f>IF(AND(A6928&lt;&gt;"",ISNUMBER(A6928)),VLOOKUP(A6928,Studies!A:BR,6,FALSE),"")</f>
        <v>Plasma</v>
      </c>
      <c r="G6928" s="194">
        <v>6</v>
      </c>
      <c r="H6928" s="50" t="s">
        <v>60</v>
      </c>
      <c r="I6928" s="187">
        <v>12.963649999999999</v>
      </c>
      <c r="J6928" s="41" t="s">
        <v>941</v>
      </c>
      <c r="K6928" s="41" t="s">
        <v>116</v>
      </c>
    </row>
    <row r="6929" spans="1:14" x14ac:dyDescent="0.2">
      <c r="A6929" s="30">
        <v>754</v>
      </c>
      <c r="B6929" s="249" t="str">
        <f>IF(AND(A6929&lt;&gt;"",ISNUMBER(A6929)),VLOOKUP(A6929,Studies!A:BR,2,FALSE),"")</f>
        <v>Wennerholm 2005</v>
      </c>
      <c r="C6929" s="250" t="str">
        <f>IF(AND(A6929&lt;&gt;"",ISNUMBER(A6929)),VLOOKUP(A6929,Studies!A:BR,3,FALSE),"")</f>
        <v>https://www.ncbi.nlm.nih.gov/pubmed/15806426</v>
      </c>
      <c r="D6929" s="250" t="str">
        <f>IF(AND(A6929&lt;&gt;"",ISNUMBER(A6929)),VLOOKUP(A6929,Studies!A:BR,4,FALSE),"")</f>
        <v>Figure 1</v>
      </c>
      <c r="E6929" s="250" t="str">
        <f>IF(AND(A6929&lt;&gt;"",ISNUMBER(A6929)),VLOOKUP(A6929,Studies!A:BR,5,FALSE),"")</f>
        <v>Alprazolam</v>
      </c>
      <c r="F6929" s="251" t="str">
        <f>IF(AND(A6929&lt;&gt;"",ISNUMBER(A6929)),VLOOKUP(A6929,Studies!A:BR,6,FALSE),"")</f>
        <v>Plasma</v>
      </c>
      <c r="G6929" s="194">
        <v>8</v>
      </c>
      <c r="H6929" s="50" t="s">
        <v>60</v>
      </c>
      <c r="I6929" s="187">
        <v>11.52971</v>
      </c>
      <c r="J6929" s="41" t="s">
        <v>941</v>
      </c>
      <c r="K6929" s="41" t="s">
        <v>116</v>
      </c>
    </row>
    <row r="6930" spans="1:14" x14ac:dyDescent="0.2">
      <c r="A6930" s="30">
        <v>754</v>
      </c>
      <c r="B6930" s="249" t="str">
        <f>IF(AND(A6930&lt;&gt;"",ISNUMBER(A6930)),VLOOKUP(A6930,Studies!A:BR,2,FALSE),"")</f>
        <v>Wennerholm 2005</v>
      </c>
      <c r="C6930" s="250" t="str">
        <f>IF(AND(A6930&lt;&gt;"",ISNUMBER(A6930)),VLOOKUP(A6930,Studies!A:BR,3,FALSE),"")</f>
        <v>https://www.ncbi.nlm.nih.gov/pubmed/15806426</v>
      </c>
      <c r="D6930" s="250" t="str">
        <f>IF(AND(A6930&lt;&gt;"",ISNUMBER(A6930)),VLOOKUP(A6930,Studies!A:BR,4,FALSE),"")</f>
        <v>Figure 1</v>
      </c>
      <c r="E6930" s="250" t="str">
        <f>IF(AND(A6930&lt;&gt;"",ISNUMBER(A6930)),VLOOKUP(A6930,Studies!A:BR,5,FALSE),"")</f>
        <v>Alprazolam</v>
      </c>
      <c r="F6930" s="251" t="str">
        <f>IF(AND(A6930&lt;&gt;"",ISNUMBER(A6930)),VLOOKUP(A6930,Studies!A:BR,6,FALSE),"")</f>
        <v>Plasma</v>
      </c>
      <c r="G6930" s="194">
        <v>10</v>
      </c>
      <c r="H6930" s="50" t="s">
        <v>60</v>
      </c>
      <c r="I6930" s="187">
        <v>9.9166190000000007</v>
      </c>
      <c r="J6930" s="41" t="s">
        <v>941</v>
      </c>
      <c r="K6930" s="41" t="s">
        <v>116</v>
      </c>
    </row>
    <row r="6931" spans="1:14" x14ac:dyDescent="0.2">
      <c r="A6931" s="30">
        <v>754</v>
      </c>
      <c r="B6931" s="249" t="str">
        <f>IF(AND(A6931&lt;&gt;"",ISNUMBER(A6931)),VLOOKUP(A6931,Studies!A:BR,2,FALSE),"")</f>
        <v>Wennerholm 2005</v>
      </c>
      <c r="C6931" s="250" t="str">
        <f>IF(AND(A6931&lt;&gt;"",ISNUMBER(A6931)),VLOOKUP(A6931,Studies!A:BR,3,FALSE),"")</f>
        <v>https://www.ncbi.nlm.nih.gov/pubmed/15806426</v>
      </c>
      <c r="D6931" s="250" t="str">
        <f>IF(AND(A6931&lt;&gt;"",ISNUMBER(A6931)),VLOOKUP(A6931,Studies!A:BR,4,FALSE),"")</f>
        <v>Figure 1</v>
      </c>
      <c r="E6931" s="250" t="str">
        <f>IF(AND(A6931&lt;&gt;"",ISNUMBER(A6931)),VLOOKUP(A6931,Studies!A:BR,5,FALSE),"")</f>
        <v>Alprazolam</v>
      </c>
      <c r="F6931" s="251" t="str">
        <f>IF(AND(A6931&lt;&gt;"",ISNUMBER(A6931)),VLOOKUP(A6931,Studies!A:BR,6,FALSE),"")</f>
        <v>Plasma</v>
      </c>
      <c r="G6931" s="194">
        <v>24</v>
      </c>
      <c r="H6931" s="50" t="s">
        <v>60</v>
      </c>
      <c r="I6931" s="187">
        <v>4.9080510000000004</v>
      </c>
      <c r="J6931" s="41" t="s">
        <v>941</v>
      </c>
      <c r="K6931" s="41" t="s">
        <v>116</v>
      </c>
    </row>
    <row r="6932" spans="1:14" x14ac:dyDescent="0.2">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48</v>
      </c>
      <c r="H6932" s="50" t="s">
        <v>60</v>
      </c>
      <c r="I6932" s="187">
        <v>1.222567</v>
      </c>
      <c r="J6932" s="41" t="s">
        <v>941</v>
      </c>
      <c r="K6932" s="41" t="s">
        <v>116</v>
      </c>
    </row>
    <row r="6933" spans="1:14" x14ac:dyDescent="0.2">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72</v>
      </c>
      <c r="H6933" s="50" t="s">
        <v>60</v>
      </c>
      <c r="I6933" s="187">
        <v>0.37231399999999998</v>
      </c>
      <c r="J6933" s="41" t="s">
        <v>941</v>
      </c>
      <c r="K6933" s="41" t="s">
        <v>116</v>
      </c>
    </row>
    <row r="6934" spans="1:14" x14ac:dyDescent="0.2">
      <c r="A6934" s="30">
        <v>755</v>
      </c>
      <c r="B6934" s="249" t="str">
        <f>IF(AND(A6934&lt;&gt;"",ISNUMBER(A6934)),VLOOKUP(A6934,Studies!A:BR,2,FALSE),"")</f>
        <v>Venkatakrishnan 2005</v>
      </c>
      <c r="C6934" s="250" t="str">
        <f>IF(AND(A6934&lt;&gt;"",ISNUMBER(A6934)),VLOOKUP(A6934,Studies!A:BR,3,FALSE),"")</f>
        <v>https://www.ncbi.nlm.nih.gov/pubmed/15831776</v>
      </c>
      <c r="D6934" s="250" t="str">
        <f>IF(AND(A6934&lt;&gt;"",ISNUMBER(A6934)),VLOOKUP(A6934,Studies!A:BR,4,FALSE),"")</f>
        <v>Alprazolam</v>
      </c>
      <c r="E6934" s="250" t="str">
        <f>IF(AND(A6934&lt;&gt;"",ISNUMBER(A6934)),VLOOKUP(A6934,Studies!A:BR,5,FALSE),"")</f>
        <v>Alprazolam</v>
      </c>
      <c r="F6934" s="251" t="str">
        <f>IF(AND(A6934&lt;&gt;"",ISNUMBER(A6934)),VLOOKUP(A6934,Studies!A:BR,6,FALSE),"")</f>
        <v>Plasma</v>
      </c>
      <c r="G6934" s="194">
        <v>0.5</v>
      </c>
      <c r="H6934" s="50" t="s">
        <v>60</v>
      </c>
      <c r="I6934" s="187">
        <v>19.784469999999999</v>
      </c>
      <c r="J6934" s="41" t="s">
        <v>941</v>
      </c>
      <c r="K6934" s="41" t="s">
        <v>116</v>
      </c>
      <c r="L6934" s="195">
        <v>4.3323289999999997</v>
      </c>
      <c r="M6934" s="52" t="s">
        <v>941</v>
      </c>
      <c r="N6934" s="52" t="s">
        <v>949</v>
      </c>
    </row>
    <row r="6935" spans="1:14" x14ac:dyDescent="0.2">
      <c r="A6935" s="30">
        <v>755</v>
      </c>
      <c r="B6935" s="249" t="str">
        <f>IF(AND(A6935&lt;&gt;"",ISNUMBER(A6935)),VLOOKUP(A6935,Studies!A:BR,2,FALSE),"")</f>
        <v>Venkatakrishnan 2005</v>
      </c>
      <c r="C6935" s="250" t="str">
        <f>IF(AND(A6935&lt;&gt;"",ISNUMBER(A6935)),VLOOKUP(A6935,Studies!A:BR,3,FALSE),"")</f>
        <v>https://www.ncbi.nlm.nih.gov/pubmed/15831776</v>
      </c>
      <c r="D6935" s="250" t="str">
        <f>IF(AND(A6935&lt;&gt;"",ISNUMBER(A6935)),VLOOKUP(A6935,Studies!A:BR,4,FALSE),"")</f>
        <v>Alprazolam</v>
      </c>
      <c r="E6935" s="250" t="str">
        <f>IF(AND(A6935&lt;&gt;"",ISNUMBER(A6935)),VLOOKUP(A6935,Studies!A:BR,5,FALSE),"")</f>
        <v>Alprazolam</v>
      </c>
      <c r="F6935" s="251" t="str">
        <f>IF(AND(A6935&lt;&gt;"",ISNUMBER(A6935)),VLOOKUP(A6935,Studies!A:BR,6,FALSE),"")</f>
        <v>Plasma</v>
      </c>
      <c r="G6935" s="194">
        <v>0.57999999999999996</v>
      </c>
      <c r="H6935" s="50" t="s">
        <v>60</v>
      </c>
      <c r="I6935" s="187">
        <v>13.69741</v>
      </c>
      <c r="J6935" s="41" t="s">
        <v>941</v>
      </c>
      <c r="K6935" s="41" t="s">
        <v>116</v>
      </c>
      <c r="L6935" s="195">
        <v>2.9994079999999999</v>
      </c>
      <c r="M6935" s="52" t="s">
        <v>941</v>
      </c>
      <c r="N6935" s="52" t="s">
        <v>949</v>
      </c>
    </row>
    <row r="6936" spans="1:14" x14ac:dyDescent="0.2">
      <c r="A6936" s="30">
        <v>755</v>
      </c>
      <c r="B6936" s="249" t="str">
        <f>IF(AND(A6936&lt;&gt;"",ISNUMBER(A6936)),VLOOKUP(A6936,Studies!A:BR,2,FALSE),"")</f>
        <v>Venkatakrishnan 2005</v>
      </c>
      <c r="C6936" s="250" t="str">
        <f>IF(AND(A6936&lt;&gt;"",ISNUMBER(A6936)),VLOOKUP(A6936,Studies!A:BR,3,FALSE),"")</f>
        <v>https://www.ncbi.nlm.nih.gov/pubmed/15831776</v>
      </c>
      <c r="D6936" s="250" t="str">
        <f>IF(AND(A6936&lt;&gt;"",ISNUMBER(A6936)),VLOOKUP(A6936,Studies!A:BR,4,FALSE),"")</f>
        <v>Alprazolam</v>
      </c>
      <c r="E6936" s="250" t="str">
        <f>IF(AND(A6936&lt;&gt;"",ISNUMBER(A6936)),VLOOKUP(A6936,Studies!A:BR,5,FALSE),"")</f>
        <v>Alprazolam</v>
      </c>
      <c r="F6936" s="251" t="str">
        <f>IF(AND(A6936&lt;&gt;"",ISNUMBER(A6936)),VLOOKUP(A6936,Studies!A:BR,6,FALSE),"")</f>
        <v>Plasma</v>
      </c>
      <c r="G6936" s="194">
        <v>0.67</v>
      </c>
      <c r="H6936" s="50" t="s">
        <v>60</v>
      </c>
      <c r="I6936" s="187">
        <v>13.16601</v>
      </c>
      <c r="J6936" s="41" t="s">
        <v>941</v>
      </c>
      <c r="K6936" s="41" t="s">
        <v>116</v>
      </c>
      <c r="L6936" s="195">
        <v>2.000362</v>
      </c>
      <c r="M6936" s="52" t="s">
        <v>941</v>
      </c>
      <c r="N6936" s="52" t="s">
        <v>949</v>
      </c>
    </row>
    <row r="6937" spans="1:14" x14ac:dyDescent="0.2">
      <c r="A6937" s="30">
        <v>755</v>
      </c>
      <c r="B6937" s="249" t="str">
        <f>IF(AND(A6937&lt;&gt;"",ISNUMBER(A6937)),VLOOKUP(A6937,Studies!A:BR,2,FALSE),"")</f>
        <v>Venkatakrishnan 2005</v>
      </c>
      <c r="C6937" s="250" t="str">
        <f>IF(AND(A6937&lt;&gt;"",ISNUMBER(A6937)),VLOOKUP(A6937,Studies!A:BR,3,FALSE),"")</f>
        <v>https://www.ncbi.nlm.nih.gov/pubmed/15831776</v>
      </c>
      <c r="D6937" s="250" t="str">
        <f>IF(AND(A6937&lt;&gt;"",ISNUMBER(A6937)),VLOOKUP(A6937,Studies!A:BR,4,FALSE),"")</f>
        <v>Alprazolam</v>
      </c>
      <c r="E6937" s="250" t="str">
        <f>IF(AND(A6937&lt;&gt;"",ISNUMBER(A6937)),VLOOKUP(A6937,Studies!A:BR,5,FALSE),"")</f>
        <v>Alprazolam</v>
      </c>
      <c r="F6937" s="251" t="str">
        <f>IF(AND(A6937&lt;&gt;"",ISNUMBER(A6937)),VLOOKUP(A6937,Studies!A:BR,6,FALSE),"")</f>
        <v>Plasma</v>
      </c>
      <c r="G6937" s="194">
        <v>0.75</v>
      </c>
      <c r="H6937" s="50" t="s">
        <v>60</v>
      </c>
      <c r="I6937" s="187">
        <v>12.16391</v>
      </c>
      <c r="J6937" s="41" t="s">
        <v>941</v>
      </c>
      <c r="K6937" s="41" t="s">
        <v>116</v>
      </c>
      <c r="L6937" s="195">
        <v>2.0879569999999998</v>
      </c>
      <c r="M6937" s="52" t="s">
        <v>941</v>
      </c>
      <c r="N6937" s="52" t="s">
        <v>949</v>
      </c>
    </row>
    <row r="6938" spans="1:14" x14ac:dyDescent="0.2">
      <c r="A6938" s="30">
        <v>755</v>
      </c>
      <c r="B6938" s="249" t="str">
        <f>IF(AND(A6938&lt;&gt;"",ISNUMBER(A6938)),VLOOKUP(A6938,Studies!A:BR,2,FALSE),"")</f>
        <v>Venkatakrishnan 2005</v>
      </c>
      <c r="C6938" s="250" t="str">
        <f>IF(AND(A6938&lt;&gt;"",ISNUMBER(A6938)),VLOOKUP(A6938,Studies!A:BR,3,FALSE),"")</f>
        <v>https://www.ncbi.nlm.nih.gov/pubmed/15831776</v>
      </c>
      <c r="D6938" s="250" t="str">
        <f>IF(AND(A6938&lt;&gt;"",ISNUMBER(A6938)),VLOOKUP(A6938,Studies!A:BR,4,FALSE),"")</f>
        <v>Alprazolam</v>
      </c>
      <c r="E6938" s="250" t="str">
        <f>IF(AND(A6938&lt;&gt;"",ISNUMBER(A6938)),VLOOKUP(A6938,Studies!A:BR,5,FALSE),"")</f>
        <v>Alprazolam</v>
      </c>
      <c r="F6938" s="251" t="str">
        <f>IF(AND(A6938&lt;&gt;"",ISNUMBER(A6938)),VLOOKUP(A6938,Studies!A:BR,6,FALSE),"")</f>
        <v>Plasma</v>
      </c>
      <c r="G6938" s="194">
        <v>1</v>
      </c>
      <c r="H6938" s="50" t="s">
        <v>60</v>
      </c>
      <c r="I6938" s="187">
        <v>10.802580000000001</v>
      </c>
      <c r="J6938" s="41" t="s">
        <v>941</v>
      </c>
      <c r="K6938" s="41" t="s">
        <v>116</v>
      </c>
      <c r="L6938" s="195">
        <v>1.9260900000000001</v>
      </c>
      <c r="M6938" s="52" t="s">
        <v>941</v>
      </c>
      <c r="N6938" s="52" t="s">
        <v>949</v>
      </c>
    </row>
    <row r="6939" spans="1:14" x14ac:dyDescent="0.2">
      <c r="A6939" s="30">
        <v>755</v>
      </c>
      <c r="B6939" s="249" t="str">
        <f>IF(AND(A6939&lt;&gt;"",ISNUMBER(A6939)),VLOOKUP(A6939,Studies!A:BR,2,FALSE),"")</f>
        <v>Venkatakrishnan 2005</v>
      </c>
      <c r="C6939" s="250" t="str">
        <f>IF(AND(A6939&lt;&gt;"",ISNUMBER(A6939)),VLOOKUP(A6939,Studies!A:BR,3,FALSE),"")</f>
        <v>https://www.ncbi.nlm.nih.gov/pubmed/15831776</v>
      </c>
      <c r="D6939" s="250" t="str">
        <f>IF(AND(A6939&lt;&gt;"",ISNUMBER(A6939)),VLOOKUP(A6939,Studies!A:BR,4,FALSE),"")</f>
        <v>Alprazolam</v>
      </c>
      <c r="E6939" s="250" t="str">
        <f>IF(AND(A6939&lt;&gt;"",ISNUMBER(A6939)),VLOOKUP(A6939,Studies!A:BR,5,FALSE),"")</f>
        <v>Alprazolam</v>
      </c>
      <c r="F6939" s="251" t="str">
        <f>IF(AND(A6939&lt;&gt;"",ISNUMBER(A6939)),VLOOKUP(A6939,Studies!A:BR,6,FALSE),"")</f>
        <v>Plasma</v>
      </c>
      <c r="G6939" s="194">
        <v>1.25</v>
      </c>
      <c r="H6939" s="50" t="s">
        <v>60</v>
      </c>
      <c r="I6939" s="187">
        <v>9.9248440000000002</v>
      </c>
      <c r="J6939" s="41" t="s">
        <v>941</v>
      </c>
      <c r="K6939" s="41" t="s">
        <v>116</v>
      </c>
      <c r="L6939" s="195">
        <v>1.379291</v>
      </c>
      <c r="M6939" s="52" t="s">
        <v>941</v>
      </c>
      <c r="N6939" s="52" t="s">
        <v>949</v>
      </c>
    </row>
    <row r="6940" spans="1:14" x14ac:dyDescent="0.2">
      <c r="A6940" s="30">
        <v>755</v>
      </c>
      <c r="B6940" s="249" t="str">
        <f>IF(AND(A6940&lt;&gt;"",ISNUMBER(A6940)),VLOOKUP(A6940,Studies!A:BR,2,FALSE),"")</f>
        <v>Venkatakrishnan 2005</v>
      </c>
      <c r="C6940" s="250" t="str">
        <f>IF(AND(A6940&lt;&gt;"",ISNUMBER(A6940)),VLOOKUP(A6940,Studies!A:BR,3,FALSE),"")</f>
        <v>https://www.ncbi.nlm.nih.gov/pubmed/15831776</v>
      </c>
      <c r="D6940" s="250" t="str">
        <f>IF(AND(A6940&lt;&gt;"",ISNUMBER(A6940)),VLOOKUP(A6940,Studies!A:BR,4,FALSE),"")</f>
        <v>Alprazolam</v>
      </c>
      <c r="E6940" s="250" t="str">
        <f>IF(AND(A6940&lt;&gt;"",ISNUMBER(A6940)),VLOOKUP(A6940,Studies!A:BR,5,FALSE),"")</f>
        <v>Alprazolam</v>
      </c>
      <c r="F6940" s="251" t="str">
        <f>IF(AND(A6940&lt;&gt;"",ISNUMBER(A6940)),VLOOKUP(A6940,Studies!A:BR,6,FALSE),"")</f>
        <v>Plasma</v>
      </c>
      <c r="G6940" s="194">
        <v>1.5</v>
      </c>
      <c r="H6940" s="50" t="s">
        <v>60</v>
      </c>
      <c r="I6940" s="187">
        <v>10.038970000000001</v>
      </c>
      <c r="J6940" s="41" t="s">
        <v>941</v>
      </c>
      <c r="K6940" s="41" t="s">
        <v>116</v>
      </c>
      <c r="L6940" s="195">
        <v>1.395086</v>
      </c>
      <c r="M6940" s="52" t="s">
        <v>941</v>
      </c>
      <c r="N6940" s="52" t="s">
        <v>949</v>
      </c>
    </row>
    <row r="6941" spans="1:14" x14ac:dyDescent="0.2">
      <c r="A6941" s="30">
        <v>755</v>
      </c>
      <c r="B6941" s="249" t="str">
        <f>IF(AND(A6941&lt;&gt;"",ISNUMBER(A6941)),VLOOKUP(A6941,Studies!A:BR,2,FALSE),"")</f>
        <v>Venkatakrishnan 2005</v>
      </c>
      <c r="C6941" s="250" t="str">
        <f>IF(AND(A6941&lt;&gt;"",ISNUMBER(A6941)),VLOOKUP(A6941,Studies!A:BR,3,FALSE),"")</f>
        <v>https://www.ncbi.nlm.nih.gov/pubmed/15831776</v>
      </c>
      <c r="D6941" s="250" t="str">
        <f>IF(AND(A6941&lt;&gt;"",ISNUMBER(A6941)),VLOOKUP(A6941,Studies!A:BR,4,FALSE),"")</f>
        <v>Alprazolam</v>
      </c>
      <c r="E6941" s="250" t="str">
        <f>IF(AND(A6941&lt;&gt;"",ISNUMBER(A6941)),VLOOKUP(A6941,Studies!A:BR,5,FALSE),"")</f>
        <v>Alprazolam</v>
      </c>
      <c r="F6941" s="251" t="str">
        <f>IF(AND(A6941&lt;&gt;"",ISNUMBER(A6941)),VLOOKUP(A6941,Studies!A:BR,6,FALSE),"")</f>
        <v>Plasma</v>
      </c>
      <c r="G6941" s="194">
        <v>2</v>
      </c>
      <c r="H6941" s="50" t="s">
        <v>60</v>
      </c>
      <c r="I6941" s="187">
        <v>9.2243739999999992</v>
      </c>
      <c r="J6941" s="41" t="s">
        <v>941</v>
      </c>
      <c r="K6941" s="41" t="s">
        <v>116</v>
      </c>
      <c r="L6941" s="195">
        <v>1.401437</v>
      </c>
      <c r="M6941" s="52" t="s">
        <v>941</v>
      </c>
      <c r="N6941" s="52" t="s">
        <v>949</v>
      </c>
    </row>
    <row r="6942" spans="1:14" x14ac:dyDescent="0.2">
      <c r="A6942" s="30">
        <v>755</v>
      </c>
      <c r="B6942" s="249" t="str">
        <f>IF(AND(A6942&lt;&gt;"",ISNUMBER(A6942)),VLOOKUP(A6942,Studies!A:BR,2,FALSE),"")</f>
        <v>Venkatakrishnan 2005</v>
      </c>
      <c r="C6942" s="250" t="str">
        <f>IF(AND(A6942&lt;&gt;"",ISNUMBER(A6942)),VLOOKUP(A6942,Studies!A:BR,3,FALSE),"")</f>
        <v>https://www.ncbi.nlm.nih.gov/pubmed/15831776</v>
      </c>
      <c r="D6942" s="250" t="str">
        <f>IF(AND(A6942&lt;&gt;"",ISNUMBER(A6942)),VLOOKUP(A6942,Studies!A:BR,4,FALSE),"")</f>
        <v>Alprazolam</v>
      </c>
      <c r="E6942" s="250" t="str">
        <f>IF(AND(A6942&lt;&gt;"",ISNUMBER(A6942)),VLOOKUP(A6942,Studies!A:BR,5,FALSE),"")</f>
        <v>Alprazolam</v>
      </c>
      <c r="F6942" s="251" t="str">
        <f>IF(AND(A6942&lt;&gt;"",ISNUMBER(A6942)),VLOOKUP(A6942,Studies!A:BR,6,FALSE),"")</f>
        <v>Plasma</v>
      </c>
      <c r="G6942" s="194">
        <v>2.5</v>
      </c>
      <c r="H6942" s="50" t="s">
        <v>60</v>
      </c>
      <c r="I6942" s="187">
        <v>9.7084609999999998</v>
      </c>
      <c r="J6942" s="41" t="s">
        <v>941</v>
      </c>
      <c r="K6942" s="41" t="s">
        <v>116</v>
      </c>
      <c r="L6942" s="195">
        <v>0.91986800000000002</v>
      </c>
      <c r="M6942" s="52" t="s">
        <v>941</v>
      </c>
      <c r="N6942" s="52" t="s">
        <v>949</v>
      </c>
    </row>
    <row r="6943" spans="1:14" x14ac:dyDescent="0.2">
      <c r="A6943" s="30">
        <v>755</v>
      </c>
      <c r="B6943" s="249" t="str">
        <f>IF(AND(A6943&lt;&gt;"",ISNUMBER(A6943)),VLOOKUP(A6943,Studies!A:BR,2,FALSE),"")</f>
        <v>Venkatakrishnan 2005</v>
      </c>
      <c r="C6943" s="250" t="str">
        <f>IF(AND(A6943&lt;&gt;"",ISNUMBER(A6943)),VLOOKUP(A6943,Studies!A:BR,3,FALSE),"")</f>
        <v>https://www.ncbi.nlm.nih.gov/pubmed/15831776</v>
      </c>
      <c r="D6943" s="250" t="str">
        <f>IF(AND(A6943&lt;&gt;"",ISNUMBER(A6943)),VLOOKUP(A6943,Studies!A:BR,4,FALSE),"")</f>
        <v>Alprazolam</v>
      </c>
      <c r="E6943" s="250" t="str">
        <f>IF(AND(A6943&lt;&gt;"",ISNUMBER(A6943)),VLOOKUP(A6943,Studies!A:BR,5,FALSE),"")</f>
        <v>Alprazolam</v>
      </c>
      <c r="F6943" s="251" t="str">
        <f>IF(AND(A6943&lt;&gt;"",ISNUMBER(A6943)),VLOOKUP(A6943,Studies!A:BR,6,FALSE),"")</f>
        <v>Plasma</v>
      </c>
      <c r="G6943" s="194">
        <v>3</v>
      </c>
      <c r="H6943" s="50" t="s">
        <v>60</v>
      </c>
      <c r="I6943" s="187">
        <v>9.2810520000000007</v>
      </c>
      <c r="J6943" s="41" t="s">
        <v>941</v>
      </c>
      <c r="K6943" s="41" t="s">
        <v>116</v>
      </c>
      <c r="L6943" s="195">
        <v>1.3497950000000001</v>
      </c>
      <c r="M6943" s="52" t="s">
        <v>941</v>
      </c>
      <c r="N6943" s="52" t="s">
        <v>949</v>
      </c>
    </row>
    <row r="6944" spans="1:14" x14ac:dyDescent="0.2">
      <c r="A6944" s="30">
        <v>755</v>
      </c>
      <c r="B6944" s="249" t="str">
        <f>IF(AND(A6944&lt;&gt;"",ISNUMBER(A6944)),VLOOKUP(A6944,Studies!A:BR,2,FALSE),"")</f>
        <v>Venkatakrishnan 2005</v>
      </c>
      <c r="C6944" s="250" t="str">
        <f>IF(AND(A6944&lt;&gt;"",ISNUMBER(A6944)),VLOOKUP(A6944,Studies!A:BR,3,FALSE),"")</f>
        <v>https://www.ncbi.nlm.nih.gov/pubmed/15831776</v>
      </c>
      <c r="D6944" s="250" t="str">
        <f>IF(AND(A6944&lt;&gt;"",ISNUMBER(A6944)),VLOOKUP(A6944,Studies!A:BR,4,FALSE),"")</f>
        <v>Alprazolam</v>
      </c>
      <c r="E6944" s="250" t="str">
        <f>IF(AND(A6944&lt;&gt;"",ISNUMBER(A6944)),VLOOKUP(A6944,Studies!A:BR,5,FALSE),"")</f>
        <v>Alprazolam</v>
      </c>
      <c r="F6944" s="251" t="str">
        <f>IF(AND(A6944&lt;&gt;"",ISNUMBER(A6944)),VLOOKUP(A6944,Studies!A:BR,6,FALSE),"")</f>
        <v>Plasma</v>
      </c>
      <c r="G6944" s="194">
        <v>3.5</v>
      </c>
      <c r="H6944" s="50" t="s">
        <v>60</v>
      </c>
      <c r="I6944" s="187">
        <v>8.7231919999999992</v>
      </c>
      <c r="J6944" s="41" t="s">
        <v>941</v>
      </c>
      <c r="K6944" s="41" t="s">
        <v>116</v>
      </c>
      <c r="L6944" s="195">
        <v>1.439581</v>
      </c>
      <c r="M6944" s="52" t="s">
        <v>941</v>
      </c>
      <c r="N6944" s="52" t="s">
        <v>949</v>
      </c>
    </row>
    <row r="6945" spans="1:16" x14ac:dyDescent="0.2">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4.5</v>
      </c>
      <c r="H6945" s="50" t="s">
        <v>60</v>
      </c>
      <c r="I6945" s="187">
        <v>8.1544500000000006</v>
      </c>
      <c r="J6945" s="41" t="s">
        <v>941</v>
      </c>
      <c r="K6945" s="41" t="s">
        <v>116</v>
      </c>
      <c r="L6945" s="195">
        <v>1.0808040000000001</v>
      </c>
      <c r="M6945" s="52" t="s">
        <v>941</v>
      </c>
      <c r="N6945" s="52" t="s">
        <v>949</v>
      </c>
    </row>
    <row r="6946" spans="1:16" x14ac:dyDescent="0.2">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5.5</v>
      </c>
      <c r="H6946" s="50" t="s">
        <v>60</v>
      </c>
      <c r="I6946" s="187">
        <v>7.3268500000000003</v>
      </c>
      <c r="J6946" s="41" t="s">
        <v>941</v>
      </c>
      <c r="K6946" s="41" t="s">
        <v>116</v>
      </c>
      <c r="L6946" s="195">
        <v>0.87775000000000003</v>
      </c>
      <c r="M6946" s="52" t="s">
        <v>941</v>
      </c>
      <c r="N6946" s="52" t="s">
        <v>949</v>
      </c>
    </row>
    <row r="6947" spans="1:16" x14ac:dyDescent="0.2">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6.5</v>
      </c>
      <c r="H6947" s="50" t="s">
        <v>60</v>
      </c>
      <c r="I6947" s="187">
        <v>6.8880059999999999</v>
      </c>
      <c r="J6947" s="41" t="s">
        <v>941</v>
      </c>
      <c r="K6947" s="41" t="s">
        <v>116</v>
      </c>
      <c r="L6947" s="195">
        <v>0.78170700000000004</v>
      </c>
      <c r="M6947" s="52" t="s">
        <v>941</v>
      </c>
      <c r="N6947" s="52" t="s">
        <v>949</v>
      </c>
    </row>
    <row r="6948" spans="1:16" x14ac:dyDescent="0.2">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8.5</v>
      </c>
      <c r="H6948" s="50" t="s">
        <v>60</v>
      </c>
      <c r="I6948" s="187">
        <v>6.0876320000000002</v>
      </c>
      <c r="J6948" s="41" t="s">
        <v>941</v>
      </c>
      <c r="K6948" s="41" t="s">
        <v>116</v>
      </c>
      <c r="L6948" s="195">
        <v>0.65259599999999995</v>
      </c>
      <c r="M6948" s="52" t="s">
        <v>941</v>
      </c>
      <c r="N6948" s="52" t="s">
        <v>949</v>
      </c>
    </row>
    <row r="6949" spans="1:16" x14ac:dyDescent="0.2">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10.5</v>
      </c>
      <c r="H6949" s="50" t="s">
        <v>60</v>
      </c>
      <c r="I6949" s="187">
        <v>5.7257239999999996</v>
      </c>
      <c r="J6949" s="41" t="s">
        <v>941</v>
      </c>
      <c r="K6949" s="41" t="s">
        <v>116</v>
      </c>
      <c r="L6949" s="195">
        <v>0.68597399999999997</v>
      </c>
      <c r="M6949" s="52" t="s">
        <v>941</v>
      </c>
      <c r="N6949" s="52" t="s">
        <v>949</v>
      </c>
    </row>
    <row r="6950" spans="1:16" x14ac:dyDescent="0.2">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12.5</v>
      </c>
      <c r="H6950" s="50" t="s">
        <v>60</v>
      </c>
      <c r="I6950" s="187">
        <v>5.0318860000000001</v>
      </c>
      <c r="J6950" s="41" t="s">
        <v>941</v>
      </c>
      <c r="K6950" s="41" t="s">
        <v>116</v>
      </c>
      <c r="L6950" s="195">
        <v>0.66696599999999995</v>
      </c>
      <c r="M6950" s="52" t="s">
        <v>941</v>
      </c>
      <c r="N6950" s="52" t="s">
        <v>949</v>
      </c>
    </row>
    <row r="6951" spans="1:16" x14ac:dyDescent="0.2">
      <c r="A6951" s="30">
        <v>756</v>
      </c>
      <c r="B6951" s="249" t="str">
        <f>IF(AND(A6951&lt;&gt;"",ISNUMBER(A6951)),VLOOKUP(A6951,Studies!A:BR,2,FALSE),"")</f>
        <v>Eberts 1980</v>
      </c>
      <c r="C6951" s="250" t="str">
        <f>IF(AND(A6951&lt;&gt;"",ISNUMBER(A6951)),VLOOKUP(A6951,Studies!A:BR,3,FALSE),"")</f>
        <v>Eberts, F. S., Philopoulos, Y., Reineke, L. M., &amp; Vliek, R. W. (1980). Disposition of 14C-alprazolam, a new anxiolytic-antidepressant, in man. Pharmacologist, 22, 279.</v>
      </c>
      <c r="D6951" s="250" t="str">
        <f>IF(AND(A6951&lt;&gt;"",ISNUMBER(A6951)),VLOOKUP(A6951,Studies!A:BR,4,FALSE),"")</f>
        <v>14C-Alprazolam</v>
      </c>
      <c r="E6951" s="250" t="str">
        <f>IF(AND(A6951&lt;&gt;"",ISNUMBER(A6951)),VLOOKUP(A6951,Studies!A:BR,5,FALSE),"")</f>
        <v>Alprazolam</v>
      </c>
      <c r="F6951" s="251" t="str">
        <f>IF(AND(A6951&lt;&gt;"",ISNUMBER(A6951)),VLOOKUP(A6951,Studies!A:BR,6,FALSE),"")</f>
        <v>Urine</v>
      </c>
      <c r="G6951" s="194">
        <v>72</v>
      </c>
      <c r="H6951" s="50" t="s">
        <v>60</v>
      </c>
      <c r="I6951" s="187">
        <v>20</v>
      </c>
      <c r="J6951" s="41" t="s">
        <v>447</v>
      </c>
      <c r="K6951" s="41" t="s">
        <v>116</v>
      </c>
      <c r="P6951" s="42" t="s">
        <v>2128</v>
      </c>
    </row>
    <row r="6952" spans="1:16" x14ac:dyDescent="0.2">
      <c r="A6952" s="30">
        <v>757</v>
      </c>
      <c r="B6952" s="249" t="str">
        <f>IF(AND(A6952&lt;&gt;"",ISNUMBER(A6952)),VLOOKUP(A6952,Studies!A:BR,2,FALSE),"")</f>
        <v>Phillips 1986</v>
      </c>
      <c r="C6952" s="250" t="str">
        <f>IF(AND(A6952&lt;&gt;"",ISNUMBER(A6952)),VLOOKUP(A6952,Studies!A:BR,3,FALSE),"")</f>
        <v>https://www.ncbi.nlm.nih.gov/pubmed/3771812</v>
      </c>
      <c r="D6952" s="250" t="str">
        <f>IF(AND(A6952&lt;&gt;"",ISNUMBER(A6952)),VLOOKUP(A6952,Studies!A:BR,4,FALSE),"")</f>
        <v>Triazolam after 3 days of erythromycin</v>
      </c>
      <c r="E6952" s="250" t="str">
        <f>IF(AND(A6952&lt;&gt;"",ISNUMBER(A6952)),VLOOKUP(A6952,Studies!A:BR,5,FALSE),"")</f>
        <v>Triazolam</v>
      </c>
      <c r="F6952" s="251" t="str">
        <f>IF(AND(A6952&lt;&gt;"",ISNUMBER(A6952)),VLOOKUP(A6952,Studies!A:BR,6,FALSE),"")</f>
        <v>Plasma</v>
      </c>
      <c r="G6952" s="194">
        <v>64.342690000000005</v>
      </c>
      <c r="H6952" s="50" t="s">
        <v>60</v>
      </c>
      <c r="I6952" s="187">
        <v>0.29331699999999999</v>
      </c>
      <c r="J6952" s="41" t="s">
        <v>941</v>
      </c>
      <c r="K6952" s="41" t="s">
        <v>116</v>
      </c>
      <c r="L6952" s="195">
        <v>0.29247400000000001</v>
      </c>
      <c r="M6952" s="52" t="s">
        <v>941</v>
      </c>
      <c r="N6952" s="52" t="s">
        <v>117</v>
      </c>
      <c r="P6952" s="42" t="s">
        <v>2192</v>
      </c>
    </row>
    <row r="6953" spans="1:16" x14ac:dyDescent="0.2">
      <c r="A6953" s="30">
        <v>757</v>
      </c>
      <c r="B6953" s="249" t="str">
        <f>IF(AND(A6953&lt;&gt;"",ISNUMBER(A6953)),VLOOKUP(A6953,Studies!A:BR,2,FALSE),"")</f>
        <v>Phillips 1986</v>
      </c>
      <c r="C6953" s="250" t="str">
        <f>IF(AND(A6953&lt;&gt;"",ISNUMBER(A6953)),VLOOKUP(A6953,Studies!A:BR,3,FALSE),"")</f>
        <v>https://www.ncbi.nlm.nih.gov/pubmed/3771812</v>
      </c>
      <c r="D6953" s="250" t="str">
        <f>IF(AND(A6953&lt;&gt;"",ISNUMBER(A6953)),VLOOKUP(A6953,Studies!A:BR,4,FALSE),"")</f>
        <v>Triazolam after 3 days of erythromycin</v>
      </c>
      <c r="E6953" s="250" t="str">
        <f>IF(AND(A6953&lt;&gt;"",ISNUMBER(A6953)),VLOOKUP(A6953,Studies!A:BR,5,FALSE),"")</f>
        <v>Triazolam</v>
      </c>
      <c r="F6953" s="251" t="str">
        <f>IF(AND(A6953&lt;&gt;"",ISNUMBER(A6953)),VLOOKUP(A6953,Studies!A:BR,6,FALSE),"")</f>
        <v>Plasma</v>
      </c>
      <c r="G6953" s="194">
        <v>64.673789999999997</v>
      </c>
      <c r="H6953" s="50" t="s">
        <v>60</v>
      </c>
      <c r="I6953" s="187">
        <v>2.3781859999999999</v>
      </c>
      <c r="J6953" s="41" t="s">
        <v>941</v>
      </c>
      <c r="K6953" s="41" t="s">
        <v>116</v>
      </c>
      <c r="L6953" s="195">
        <v>1.3923939999999999</v>
      </c>
      <c r="M6953" s="52" t="s">
        <v>941</v>
      </c>
      <c r="N6953" s="52" t="s">
        <v>117</v>
      </c>
      <c r="P6953" s="42" t="s">
        <v>2192</v>
      </c>
    </row>
    <row r="6954" spans="1:16" x14ac:dyDescent="0.2">
      <c r="A6954" s="30">
        <v>757</v>
      </c>
      <c r="B6954" s="249" t="str">
        <f>IF(AND(A6954&lt;&gt;"",ISNUMBER(A6954)),VLOOKUP(A6954,Studies!A:BR,2,FALSE),"")</f>
        <v>Phillips 1986</v>
      </c>
      <c r="C6954" s="250" t="str">
        <f>IF(AND(A6954&lt;&gt;"",ISNUMBER(A6954)),VLOOKUP(A6954,Studies!A:BR,3,FALSE),"")</f>
        <v>https://www.ncbi.nlm.nih.gov/pubmed/3771812</v>
      </c>
      <c r="D6954" s="250" t="str">
        <f>IF(AND(A6954&lt;&gt;"",ISNUMBER(A6954)),VLOOKUP(A6954,Studies!A:BR,4,FALSE),"")</f>
        <v>Triazolam after 3 days of erythromycin</v>
      </c>
      <c r="E6954" s="250" t="str">
        <f>IF(AND(A6954&lt;&gt;"",ISNUMBER(A6954)),VLOOKUP(A6954,Studies!A:BR,5,FALSE),"")</f>
        <v>Triazolam</v>
      </c>
      <c r="F6954" s="251" t="str">
        <f>IF(AND(A6954&lt;&gt;"",ISNUMBER(A6954)),VLOOKUP(A6954,Studies!A:BR,6,FALSE),"")</f>
        <v>Plasma</v>
      </c>
      <c r="G6954" s="194">
        <v>64.895349999999993</v>
      </c>
      <c r="H6954" s="50" t="s">
        <v>60</v>
      </c>
      <c r="I6954" s="187">
        <v>3.2921209999999999</v>
      </c>
      <c r="J6954" s="41" t="s">
        <v>941</v>
      </c>
      <c r="K6954" s="41" t="s">
        <v>116</v>
      </c>
      <c r="L6954" s="195">
        <v>1.31264</v>
      </c>
      <c r="M6954" s="52" t="s">
        <v>941</v>
      </c>
      <c r="N6954" s="52" t="s">
        <v>117</v>
      </c>
      <c r="P6954" s="42" t="s">
        <v>2192</v>
      </c>
    </row>
    <row r="6955" spans="1:16" x14ac:dyDescent="0.2">
      <c r="A6955" s="30">
        <v>757</v>
      </c>
      <c r="B6955" s="249" t="str">
        <f>IF(AND(A6955&lt;&gt;"",ISNUMBER(A6955)),VLOOKUP(A6955,Studies!A:BR,2,FALSE),"")</f>
        <v>Phillips 1986</v>
      </c>
      <c r="C6955" s="250" t="str">
        <f>IF(AND(A6955&lt;&gt;"",ISNUMBER(A6955)),VLOOKUP(A6955,Studies!A:BR,3,FALSE),"")</f>
        <v>https://www.ncbi.nlm.nih.gov/pubmed/3771812</v>
      </c>
      <c r="D6955" s="250" t="str">
        <f>IF(AND(A6955&lt;&gt;"",ISNUMBER(A6955)),VLOOKUP(A6955,Studies!A:BR,4,FALSE),"")</f>
        <v>Triazolam after 3 days of erythromycin</v>
      </c>
      <c r="E6955" s="250" t="str">
        <f>IF(AND(A6955&lt;&gt;"",ISNUMBER(A6955)),VLOOKUP(A6955,Studies!A:BR,5,FALSE),"")</f>
        <v>Triazolam</v>
      </c>
      <c r="F6955" s="251" t="str">
        <f>IF(AND(A6955&lt;&gt;"",ISNUMBER(A6955)),VLOOKUP(A6955,Studies!A:BR,6,FALSE),"")</f>
        <v>Plasma</v>
      </c>
      <c r="G6955" s="194">
        <v>65.133260000000007</v>
      </c>
      <c r="H6955" s="50" t="s">
        <v>60</v>
      </c>
      <c r="I6955" s="187">
        <v>3.5852430000000002</v>
      </c>
      <c r="J6955" s="41" t="s">
        <v>941</v>
      </c>
      <c r="K6955" s="41" t="s">
        <v>116</v>
      </c>
      <c r="L6955" s="195">
        <v>1.2949029999999999</v>
      </c>
      <c r="M6955" s="52" t="s">
        <v>941</v>
      </c>
      <c r="N6955" s="52" t="s">
        <v>117</v>
      </c>
      <c r="P6955" s="42" t="s">
        <v>2192</v>
      </c>
    </row>
    <row r="6956" spans="1:16" x14ac:dyDescent="0.2">
      <c r="A6956" s="30">
        <v>757</v>
      </c>
      <c r="B6956" s="249" t="str">
        <f>IF(AND(A6956&lt;&gt;"",ISNUMBER(A6956)),VLOOKUP(A6956,Studies!A:BR,2,FALSE),"")</f>
        <v>Phillips 1986</v>
      </c>
      <c r="C6956" s="250" t="str">
        <f>IF(AND(A6956&lt;&gt;"",ISNUMBER(A6956)),VLOOKUP(A6956,Studies!A:BR,3,FALSE),"")</f>
        <v>https://www.ncbi.nlm.nih.gov/pubmed/3771812</v>
      </c>
      <c r="D6956" s="250" t="str">
        <f>IF(AND(A6956&lt;&gt;"",ISNUMBER(A6956)),VLOOKUP(A6956,Studies!A:BR,4,FALSE),"")</f>
        <v>Triazolam after 3 days of erythromycin</v>
      </c>
      <c r="E6956" s="250" t="str">
        <f>IF(AND(A6956&lt;&gt;"",ISNUMBER(A6956)),VLOOKUP(A6956,Studies!A:BR,5,FALSE),"")</f>
        <v>Triazolam</v>
      </c>
      <c r="F6956" s="251" t="str">
        <f>IF(AND(A6956&lt;&gt;"",ISNUMBER(A6956)),VLOOKUP(A6956,Studies!A:BR,6,FALSE),"")</f>
        <v>Plasma</v>
      </c>
      <c r="G6956" s="194">
        <v>65.661879999999996</v>
      </c>
      <c r="H6956" s="50" t="s">
        <v>60</v>
      </c>
      <c r="I6956" s="187">
        <v>3.497528</v>
      </c>
      <c r="J6956" s="41" t="s">
        <v>941</v>
      </c>
      <c r="K6956" s="41" t="s">
        <v>116</v>
      </c>
      <c r="L6956" s="195">
        <v>1.0022340000000001</v>
      </c>
      <c r="M6956" s="52" t="s">
        <v>941</v>
      </c>
      <c r="N6956" s="52" t="s">
        <v>117</v>
      </c>
      <c r="P6956" s="42" t="s">
        <v>2192</v>
      </c>
    </row>
    <row r="6957" spans="1:16" x14ac:dyDescent="0.2">
      <c r="A6957" s="30">
        <v>757</v>
      </c>
      <c r="B6957" s="249" t="str">
        <f>IF(AND(A6957&lt;&gt;"",ISNUMBER(A6957)),VLOOKUP(A6957,Studies!A:BR,2,FALSE),"")</f>
        <v>Phillips 1986</v>
      </c>
      <c r="C6957" s="250" t="str">
        <f>IF(AND(A6957&lt;&gt;"",ISNUMBER(A6957)),VLOOKUP(A6957,Studies!A:BR,3,FALSE),"")</f>
        <v>https://www.ncbi.nlm.nih.gov/pubmed/3771812</v>
      </c>
      <c r="D6957" s="250" t="str">
        <f>IF(AND(A6957&lt;&gt;"",ISNUMBER(A6957)),VLOOKUP(A6957,Studies!A:BR,4,FALSE),"")</f>
        <v>Triazolam after 3 days of erythromycin</v>
      </c>
      <c r="E6957" s="250" t="str">
        <f>IF(AND(A6957&lt;&gt;"",ISNUMBER(A6957)),VLOOKUP(A6957,Studies!A:BR,5,FALSE),"")</f>
        <v>Triazolam</v>
      </c>
      <c r="F6957" s="251" t="str">
        <f>IF(AND(A6957&lt;&gt;"",ISNUMBER(A6957)),VLOOKUP(A6957,Studies!A:BR,6,FALSE),"")</f>
        <v>Plasma</v>
      </c>
      <c r="G6957" s="194">
        <v>66.150750000000002</v>
      </c>
      <c r="H6957" s="50" t="s">
        <v>60</v>
      </c>
      <c r="I6957" s="187">
        <v>3.5871230000000001</v>
      </c>
      <c r="J6957" s="41" t="s">
        <v>941</v>
      </c>
      <c r="K6957" s="41" t="s">
        <v>116</v>
      </c>
      <c r="L6957" s="195">
        <v>0.81592600000000004</v>
      </c>
      <c r="M6957" s="52" t="s">
        <v>941</v>
      </c>
      <c r="N6957" s="52" t="s">
        <v>117</v>
      </c>
      <c r="P6957" s="42" t="s">
        <v>2192</v>
      </c>
    </row>
    <row r="6958" spans="1:16" x14ac:dyDescent="0.2">
      <c r="A6958" s="30">
        <v>757</v>
      </c>
      <c r="B6958" s="249" t="str">
        <f>IF(AND(A6958&lt;&gt;"",ISNUMBER(A6958)),VLOOKUP(A6958,Studies!A:BR,2,FALSE),"")</f>
        <v>Phillips 1986</v>
      </c>
      <c r="C6958" s="250" t="str">
        <f>IF(AND(A6958&lt;&gt;"",ISNUMBER(A6958)),VLOOKUP(A6958,Studies!A:BR,3,FALSE),"")</f>
        <v>https://www.ncbi.nlm.nih.gov/pubmed/3771812</v>
      </c>
      <c r="D6958" s="250" t="str">
        <f>IF(AND(A6958&lt;&gt;"",ISNUMBER(A6958)),VLOOKUP(A6958,Studies!A:BR,4,FALSE),"")</f>
        <v>Triazolam after 3 days of erythromycin</v>
      </c>
      <c r="E6958" s="250" t="str">
        <f>IF(AND(A6958&lt;&gt;"",ISNUMBER(A6958)),VLOOKUP(A6958,Studies!A:BR,5,FALSE),"")</f>
        <v>Triazolam</v>
      </c>
      <c r="F6958" s="251" t="str">
        <f>IF(AND(A6958&lt;&gt;"",ISNUMBER(A6958)),VLOOKUP(A6958,Studies!A:BR,6,FALSE),"")</f>
        <v>Plasma</v>
      </c>
      <c r="G6958" s="194">
        <v>67.173150000000007</v>
      </c>
      <c r="H6958" s="50" t="s">
        <v>60</v>
      </c>
      <c r="I6958" s="187">
        <v>3.4027599999999998</v>
      </c>
      <c r="J6958" s="41" t="s">
        <v>941</v>
      </c>
      <c r="K6958" s="41" t="s">
        <v>116</v>
      </c>
      <c r="L6958" s="195">
        <v>0.780385</v>
      </c>
      <c r="M6958" s="52" t="s">
        <v>941</v>
      </c>
      <c r="N6958" s="52" t="s">
        <v>117</v>
      </c>
      <c r="P6958" s="42" t="s">
        <v>2192</v>
      </c>
    </row>
    <row r="6959" spans="1:16" x14ac:dyDescent="0.2">
      <c r="A6959" s="30">
        <v>757</v>
      </c>
      <c r="B6959" s="249" t="str">
        <f>IF(AND(A6959&lt;&gt;"",ISNUMBER(A6959)),VLOOKUP(A6959,Studies!A:BR,2,FALSE),"")</f>
        <v>Phillips 1986</v>
      </c>
      <c r="C6959" s="250" t="str">
        <f>IF(AND(A6959&lt;&gt;"",ISNUMBER(A6959)),VLOOKUP(A6959,Studies!A:BR,3,FALSE),"")</f>
        <v>https://www.ncbi.nlm.nih.gov/pubmed/3771812</v>
      </c>
      <c r="D6959" s="250" t="str">
        <f>IF(AND(A6959&lt;&gt;"",ISNUMBER(A6959)),VLOOKUP(A6959,Studies!A:BR,4,FALSE),"")</f>
        <v>Triazolam after 3 days of erythromycin</v>
      </c>
      <c r="E6959" s="250" t="str">
        <f>IF(AND(A6959&lt;&gt;"",ISNUMBER(A6959)),VLOOKUP(A6959,Studies!A:BR,5,FALSE),"")</f>
        <v>Triazolam</v>
      </c>
      <c r="F6959" s="251" t="str">
        <f>IF(AND(A6959&lt;&gt;"",ISNUMBER(A6959)),VLOOKUP(A6959,Studies!A:BR,6,FALSE),"")</f>
        <v>Plasma</v>
      </c>
      <c r="G6959" s="194">
        <v>68.166290000000004</v>
      </c>
      <c r="H6959" s="50" t="s">
        <v>60</v>
      </c>
      <c r="I6959" s="187">
        <v>2.996613</v>
      </c>
      <c r="J6959" s="41" t="s">
        <v>941</v>
      </c>
      <c r="K6959" s="41" t="s">
        <v>116</v>
      </c>
      <c r="L6959" s="195">
        <v>0.798122</v>
      </c>
      <c r="M6959" s="52" t="s">
        <v>941</v>
      </c>
      <c r="N6959" s="52" t="s">
        <v>117</v>
      </c>
      <c r="P6959" s="42" t="s">
        <v>2192</v>
      </c>
    </row>
    <row r="6960" spans="1:16" x14ac:dyDescent="0.2">
      <c r="A6960" s="30">
        <v>757</v>
      </c>
      <c r="B6960" s="249" t="str">
        <f>IF(AND(A6960&lt;&gt;"",ISNUMBER(A6960)),VLOOKUP(A6960,Studies!A:BR,2,FALSE),"")</f>
        <v>Phillips 1986</v>
      </c>
      <c r="C6960" s="250" t="str">
        <f>IF(AND(A6960&lt;&gt;"",ISNUMBER(A6960)),VLOOKUP(A6960,Studies!A:BR,3,FALSE),"")</f>
        <v>https://www.ncbi.nlm.nih.gov/pubmed/3771812</v>
      </c>
      <c r="D6960" s="250" t="str">
        <f>IF(AND(A6960&lt;&gt;"",ISNUMBER(A6960)),VLOOKUP(A6960,Studies!A:BR,4,FALSE),"")</f>
        <v>Triazolam after 3 days of erythromycin</v>
      </c>
      <c r="E6960" s="250" t="str">
        <f>IF(AND(A6960&lt;&gt;"",ISNUMBER(A6960)),VLOOKUP(A6960,Studies!A:BR,5,FALSE),"")</f>
        <v>Triazolam</v>
      </c>
      <c r="F6960" s="251" t="str">
        <f>IF(AND(A6960&lt;&gt;"",ISNUMBER(A6960)),VLOOKUP(A6960,Studies!A:BR,6,FALSE),"")</f>
        <v>Plasma</v>
      </c>
      <c r="G6960" s="194">
        <v>70.079139999999995</v>
      </c>
      <c r="H6960" s="50" t="s">
        <v>60</v>
      </c>
      <c r="I6960" s="187">
        <v>2.308351</v>
      </c>
      <c r="J6960" s="41" t="s">
        <v>941</v>
      </c>
      <c r="K6960" s="41" t="s">
        <v>116</v>
      </c>
      <c r="L6960" s="195">
        <v>0.90467699999999995</v>
      </c>
      <c r="M6960" s="52" t="s">
        <v>941</v>
      </c>
      <c r="N6960" s="52" t="s">
        <v>117</v>
      </c>
      <c r="P6960" s="42" t="s">
        <v>2192</v>
      </c>
    </row>
    <row r="6961" spans="1:16" x14ac:dyDescent="0.2">
      <c r="A6961" s="30">
        <v>757</v>
      </c>
      <c r="B6961" s="249" t="str">
        <f>IF(AND(A6961&lt;&gt;"",ISNUMBER(A6961)),VLOOKUP(A6961,Studies!A:BR,2,FALSE),"")</f>
        <v>Phillips 1986</v>
      </c>
      <c r="C6961" s="250" t="str">
        <f>IF(AND(A6961&lt;&gt;"",ISNUMBER(A6961)),VLOOKUP(A6961,Studies!A:BR,3,FALSE),"")</f>
        <v>https://www.ncbi.nlm.nih.gov/pubmed/3771812</v>
      </c>
      <c r="D6961" s="250" t="str">
        <f>IF(AND(A6961&lt;&gt;"",ISNUMBER(A6961)),VLOOKUP(A6961,Studies!A:BR,4,FALSE),"")</f>
        <v>Triazolam after 3 days of erythromycin</v>
      </c>
      <c r="E6961" s="250" t="str">
        <f>IF(AND(A6961&lt;&gt;"",ISNUMBER(A6961)),VLOOKUP(A6961,Studies!A:BR,5,FALSE),"")</f>
        <v>Triazolam</v>
      </c>
      <c r="F6961" s="251" t="str">
        <f>IF(AND(A6961&lt;&gt;"",ISNUMBER(A6961)),VLOOKUP(A6961,Studies!A:BR,6,FALSE),"")</f>
        <v>Plasma</v>
      </c>
      <c r="G6961" s="194">
        <v>72.014700000000005</v>
      </c>
      <c r="H6961" s="50" t="s">
        <v>60</v>
      </c>
      <c r="I6961" s="187">
        <v>2.090198</v>
      </c>
      <c r="J6961" s="41" t="s">
        <v>941</v>
      </c>
      <c r="K6961" s="41" t="s">
        <v>116</v>
      </c>
      <c r="L6961" s="195">
        <v>0.88687499999999997</v>
      </c>
      <c r="M6961" s="52" t="s">
        <v>941</v>
      </c>
      <c r="N6961" s="52" t="s">
        <v>117</v>
      </c>
      <c r="P6961" s="42" t="s">
        <v>2192</v>
      </c>
    </row>
    <row r="6962" spans="1:16" x14ac:dyDescent="0.2">
      <c r="A6962" s="30">
        <v>757</v>
      </c>
      <c r="B6962" s="249" t="str">
        <f>IF(AND(A6962&lt;&gt;"",ISNUMBER(A6962)),VLOOKUP(A6962,Studies!A:BR,2,FALSE),"")</f>
        <v>Phillips 1986</v>
      </c>
      <c r="C6962" s="250" t="str">
        <f>IF(AND(A6962&lt;&gt;"",ISNUMBER(A6962)),VLOOKUP(A6962,Studies!A:BR,3,FALSE),"")</f>
        <v>https://www.ncbi.nlm.nih.gov/pubmed/3771812</v>
      </c>
      <c r="D6962" s="250" t="str">
        <f>IF(AND(A6962&lt;&gt;"",ISNUMBER(A6962)),VLOOKUP(A6962,Studies!A:BR,4,FALSE),"")</f>
        <v>Triazolam after 3 days of erythromycin</v>
      </c>
      <c r="E6962" s="250" t="str">
        <f>IF(AND(A6962&lt;&gt;"",ISNUMBER(A6962)),VLOOKUP(A6962,Studies!A:BR,5,FALSE),"")</f>
        <v>Triazolam</v>
      </c>
      <c r="F6962" s="251" t="str">
        <f>IF(AND(A6962&lt;&gt;"",ISNUMBER(A6962)),VLOOKUP(A6962,Studies!A:BR,6,FALSE),"")</f>
        <v>Plasma</v>
      </c>
      <c r="G6962" s="194">
        <v>73.99306</v>
      </c>
      <c r="H6962" s="50" t="s">
        <v>60</v>
      </c>
      <c r="I6962" s="187">
        <v>1.5794410000000001</v>
      </c>
      <c r="J6962" s="41" t="s">
        <v>941</v>
      </c>
      <c r="K6962" s="41" t="s">
        <v>116</v>
      </c>
      <c r="L6962" s="195">
        <v>0.79818800000000001</v>
      </c>
      <c r="M6962" s="52" t="s">
        <v>941</v>
      </c>
      <c r="N6962" s="52" t="s">
        <v>117</v>
      </c>
      <c r="P6962" s="42" t="s">
        <v>2192</v>
      </c>
    </row>
    <row r="6963" spans="1:16" x14ac:dyDescent="0.2">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76.003460000000004</v>
      </c>
      <c r="H6963" s="50" t="s">
        <v>60</v>
      </c>
      <c r="I6963" s="187">
        <v>1.184043</v>
      </c>
      <c r="J6963" s="41" t="s">
        <v>941</v>
      </c>
      <c r="K6963" s="41" t="s">
        <v>116</v>
      </c>
      <c r="L6963" s="195">
        <v>0.70056600000000002</v>
      </c>
      <c r="M6963" s="52" t="s">
        <v>941</v>
      </c>
      <c r="N6963" s="52" t="s">
        <v>117</v>
      </c>
      <c r="P6963" s="42" t="s">
        <v>2192</v>
      </c>
    </row>
    <row r="6964" spans="1:16" x14ac:dyDescent="0.2">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77.973650000000006</v>
      </c>
      <c r="H6964" s="50" t="s">
        <v>60</v>
      </c>
      <c r="I6964" s="187">
        <v>0.98369200000000001</v>
      </c>
      <c r="J6964" s="41" t="s">
        <v>941</v>
      </c>
      <c r="K6964" s="41" t="s">
        <v>116</v>
      </c>
      <c r="L6964" s="195">
        <v>0.71843299999999999</v>
      </c>
      <c r="M6964" s="52" t="s">
        <v>941</v>
      </c>
      <c r="N6964" s="52" t="s">
        <v>117</v>
      </c>
      <c r="P6964" s="42" t="s">
        <v>2192</v>
      </c>
    </row>
    <row r="6965" spans="1:16" x14ac:dyDescent="0.2">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81.983959999999996</v>
      </c>
      <c r="H6965" s="50" t="s">
        <v>60</v>
      </c>
      <c r="I6965" s="187">
        <v>0.59198899999999999</v>
      </c>
      <c r="J6965" s="41" t="s">
        <v>941</v>
      </c>
      <c r="K6965" s="41" t="s">
        <v>116</v>
      </c>
      <c r="L6965" s="195">
        <v>0.60294499999999995</v>
      </c>
      <c r="M6965" s="52" t="s">
        <v>941</v>
      </c>
      <c r="N6965" s="52" t="s">
        <v>117</v>
      </c>
      <c r="P6965" s="42" t="s">
        <v>2192</v>
      </c>
    </row>
    <row r="6966" spans="1:16" x14ac:dyDescent="0.2">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87.991829999999993</v>
      </c>
      <c r="H6966" s="50" t="s">
        <v>60</v>
      </c>
      <c r="I6966" s="187">
        <v>0.29266900000000001</v>
      </c>
      <c r="J6966" s="41" t="s">
        <v>941</v>
      </c>
      <c r="K6966" s="41" t="s">
        <v>116</v>
      </c>
      <c r="L6966" s="195">
        <v>0.41676600000000003</v>
      </c>
      <c r="M6966" s="52" t="s">
        <v>941</v>
      </c>
      <c r="N6966" s="52" t="s">
        <v>117</v>
      </c>
      <c r="P6966" s="42" t="s">
        <v>2192</v>
      </c>
    </row>
    <row r="6967" spans="1:16" x14ac:dyDescent="0.2">
      <c r="A6967" s="30">
        <v>758</v>
      </c>
      <c r="B6967" s="249" t="str">
        <f>IF(AND(A6967&lt;&gt;"",ISNUMBER(A6967)),VLOOKUP(A6967,Studies!A:BR,2,FALSE),"")</f>
        <v>Ferrier 1985</v>
      </c>
      <c r="C6967" s="250" t="str">
        <f>IF(AND(A6967&lt;&gt;"",ISNUMBER(A6967)),VLOOKUP(A6967,Studies!A:BR,3,FALSE),"")</f>
        <v>https://www.ncbi.nlm.nih.gov/pubmed/3920934</v>
      </c>
      <c r="D6967" s="250" t="str">
        <f>IF(AND(A6967&lt;&gt;"",ISNUMBER(A6967)),VLOOKUP(A6967,Studies!A:BR,4,FALSE),"")</f>
        <v>healthy control patients</v>
      </c>
      <c r="E6967" s="250" t="str">
        <f>IF(AND(A6967&lt;&gt;"",ISNUMBER(A6967)),VLOOKUP(A6967,Studies!A:BR,5,FALSE),"")</f>
        <v>Alfentanil</v>
      </c>
      <c r="F6967" s="251" t="str">
        <f>IF(AND(A6967&lt;&gt;"",ISNUMBER(A6967)),VLOOKUP(A6967,Studies!A:BR,6,FALSE),"")</f>
        <v>Plasma</v>
      </c>
      <c r="G6967" s="194">
        <v>8.3299999999999999E-2</v>
      </c>
      <c r="H6967" s="50" t="s">
        <v>60</v>
      </c>
      <c r="I6967" s="187">
        <v>310.72329999999999</v>
      </c>
      <c r="J6967" s="41" t="s">
        <v>941</v>
      </c>
      <c r="K6967" s="41" t="s">
        <v>116</v>
      </c>
      <c r="L6967" s="195">
        <v>90.681349999999995</v>
      </c>
      <c r="M6967" s="52" t="s">
        <v>941</v>
      </c>
      <c r="N6967" s="52" t="s">
        <v>117</v>
      </c>
    </row>
    <row r="6968" spans="1:16" x14ac:dyDescent="0.2">
      <c r="A6968" s="30">
        <v>758</v>
      </c>
      <c r="B6968" s="249" t="str">
        <f>IF(AND(A6968&lt;&gt;"",ISNUMBER(A6968)),VLOOKUP(A6968,Studies!A:BR,2,FALSE),"")</f>
        <v>Ferrier 1985</v>
      </c>
      <c r="C6968" s="250" t="str">
        <f>IF(AND(A6968&lt;&gt;"",ISNUMBER(A6968)),VLOOKUP(A6968,Studies!A:BR,3,FALSE),"")</f>
        <v>https://www.ncbi.nlm.nih.gov/pubmed/3920934</v>
      </c>
      <c r="D6968" s="250" t="str">
        <f>IF(AND(A6968&lt;&gt;"",ISNUMBER(A6968)),VLOOKUP(A6968,Studies!A:BR,4,FALSE),"")</f>
        <v>healthy control patients</v>
      </c>
      <c r="E6968" s="250" t="str">
        <f>IF(AND(A6968&lt;&gt;"",ISNUMBER(A6968)),VLOOKUP(A6968,Studies!A:BR,5,FALSE),"")</f>
        <v>Alfentanil</v>
      </c>
      <c r="F6968" s="251" t="str">
        <f>IF(AND(A6968&lt;&gt;"",ISNUMBER(A6968)),VLOOKUP(A6968,Studies!A:BR,6,FALSE),"")</f>
        <v>Plasma</v>
      </c>
      <c r="G6968" s="194">
        <v>0.16669999999999999</v>
      </c>
      <c r="H6968" s="50" t="s">
        <v>60</v>
      </c>
      <c r="I6968" s="187">
        <v>232.88890000000001</v>
      </c>
      <c r="J6968" s="41" t="s">
        <v>941</v>
      </c>
      <c r="K6968" s="41" t="s">
        <v>116</v>
      </c>
      <c r="L6968" s="195">
        <v>55.639139999999998</v>
      </c>
      <c r="M6968" s="52" t="s">
        <v>941</v>
      </c>
      <c r="N6968" s="52" t="s">
        <v>117</v>
      </c>
    </row>
    <row r="6969" spans="1:16" x14ac:dyDescent="0.2">
      <c r="A6969" s="30">
        <v>758</v>
      </c>
      <c r="B6969" s="249" t="str">
        <f>IF(AND(A6969&lt;&gt;"",ISNUMBER(A6969)),VLOOKUP(A6969,Studies!A:BR,2,FALSE),"")</f>
        <v>Ferrier 1985</v>
      </c>
      <c r="C6969" s="250" t="str">
        <f>IF(AND(A6969&lt;&gt;"",ISNUMBER(A6969)),VLOOKUP(A6969,Studies!A:BR,3,FALSE),"")</f>
        <v>https://www.ncbi.nlm.nih.gov/pubmed/3920934</v>
      </c>
      <c r="D6969" s="250" t="str">
        <f>IF(AND(A6969&lt;&gt;"",ISNUMBER(A6969)),VLOOKUP(A6969,Studies!A:BR,4,FALSE),"")</f>
        <v>healthy control patients</v>
      </c>
      <c r="E6969" s="250" t="str">
        <f>IF(AND(A6969&lt;&gt;"",ISNUMBER(A6969)),VLOOKUP(A6969,Studies!A:BR,5,FALSE),"")</f>
        <v>Alfentanil</v>
      </c>
      <c r="F6969" s="251" t="str">
        <f>IF(AND(A6969&lt;&gt;"",ISNUMBER(A6969)),VLOOKUP(A6969,Studies!A:BR,6,FALSE),"")</f>
        <v>Plasma</v>
      </c>
      <c r="G6969" s="194">
        <v>0.25</v>
      </c>
      <c r="H6969" s="50" t="s">
        <v>60</v>
      </c>
      <c r="I6969" s="187">
        <v>182.30889999999999</v>
      </c>
      <c r="J6969" s="41" t="s">
        <v>941</v>
      </c>
      <c r="K6969" s="41" t="s">
        <v>116</v>
      </c>
      <c r="L6969" s="195">
        <v>45.486600000000003</v>
      </c>
      <c r="M6969" s="52" t="s">
        <v>941</v>
      </c>
      <c r="N6969" s="52" t="s">
        <v>117</v>
      </c>
    </row>
    <row r="6970" spans="1:16" x14ac:dyDescent="0.2">
      <c r="A6970" s="30">
        <v>758</v>
      </c>
      <c r="B6970" s="249" t="str">
        <f>IF(AND(A6970&lt;&gt;"",ISNUMBER(A6970)),VLOOKUP(A6970,Studies!A:BR,2,FALSE),"")</f>
        <v>Ferrier 1985</v>
      </c>
      <c r="C6970" s="250" t="str">
        <f>IF(AND(A6970&lt;&gt;"",ISNUMBER(A6970)),VLOOKUP(A6970,Studies!A:BR,3,FALSE),"")</f>
        <v>https://www.ncbi.nlm.nih.gov/pubmed/3920934</v>
      </c>
      <c r="D6970" s="250" t="str">
        <f>IF(AND(A6970&lt;&gt;"",ISNUMBER(A6970)),VLOOKUP(A6970,Studies!A:BR,4,FALSE),"")</f>
        <v>healthy control patients</v>
      </c>
      <c r="E6970" s="250" t="str">
        <f>IF(AND(A6970&lt;&gt;"",ISNUMBER(A6970)),VLOOKUP(A6970,Studies!A:BR,5,FALSE),"")</f>
        <v>Alfentanil</v>
      </c>
      <c r="F6970" s="251" t="str">
        <f>IF(AND(A6970&lt;&gt;"",ISNUMBER(A6970)),VLOOKUP(A6970,Studies!A:BR,6,FALSE),"")</f>
        <v>Plasma</v>
      </c>
      <c r="G6970" s="194">
        <v>0.5</v>
      </c>
      <c r="H6970" s="50" t="s">
        <v>60</v>
      </c>
      <c r="I6970" s="187">
        <v>118.3359</v>
      </c>
      <c r="J6970" s="41" t="s">
        <v>941</v>
      </c>
      <c r="K6970" s="41" t="s">
        <v>116</v>
      </c>
      <c r="L6970" s="195">
        <v>33.234580000000001</v>
      </c>
      <c r="M6970" s="52" t="s">
        <v>941</v>
      </c>
      <c r="N6970" s="52" t="s">
        <v>117</v>
      </c>
    </row>
    <row r="6971" spans="1:16" x14ac:dyDescent="0.2">
      <c r="A6971" s="30">
        <v>758</v>
      </c>
      <c r="B6971" s="249" t="str">
        <f>IF(AND(A6971&lt;&gt;"",ISNUMBER(A6971)),VLOOKUP(A6971,Studies!A:BR,2,FALSE),"")</f>
        <v>Ferrier 1985</v>
      </c>
      <c r="C6971" s="250" t="str">
        <f>IF(AND(A6971&lt;&gt;"",ISNUMBER(A6971)),VLOOKUP(A6971,Studies!A:BR,3,FALSE),"")</f>
        <v>https://www.ncbi.nlm.nih.gov/pubmed/3920934</v>
      </c>
      <c r="D6971" s="250" t="str">
        <f>IF(AND(A6971&lt;&gt;"",ISNUMBER(A6971)),VLOOKUP(A6971,Studies!A:BR,4,FALSE),"")</f>
        <v>healthy control patients</v>
      </c>
      <c r="E6971" s="250" t="str">
        <f>IF(AND(A6971&lt;&gt;"",ISNUMBER(A6971)),VLOOKUP(A6971,Studies!A:BR,5,FALSE),"")</f>
        <v>Alfentanil</v>
      </c>
      <c r="F6971" s="251" t="str">
        <f>IF(AND(A6971&lt;&gt;"",ISNUMBER(A6971)),VLOOKUP(A6971,Studies!A:BR,6,FALSE),"")</f>
        <v>Plasma</v>
      </c>
      <c r="G6971" s="194">
        <v>1</v>
      </c>
      <c r="H6971" s="50" t="s">
        <v>60</v>
      </c>
      <c r="I6971" s="187">
        <v>84.813410000000005</v>
      </c>
      <c r="J6971" s="41" t="s">
        <v>941</v>
      </c>
      <c r="K6971" s="41" t="s">
        <v>116</v>
      </c>
      <c r="L6971" s="195">
        <v>46.188510000000001</v>
      </c>
      <c r="M6971" s="52" t="s">
        <v>941</v>
      </c>
      <c r="N6971" s="52" t="s">
        <v>117</v>
      </c>
    </row>
    <row r="6972" spans="1:16" x14ac:dyDescent="0.2">
      <c r="A6972" s="30">
        <v>758</v>
      </c>
      <c r="B6972" s="249" t="str">
        <f>IF(AND(A6972&lt;&gt;"",ISNUMBER(A6972)),VLOOKUP(A6972,Studies!A:BR,2,FALSE),"")</f>
        <v>Ferrier 1985</v>
      </c>
      <c r="C6972" s="250" t="str">
        <f>IF(AND(A6972&lt;&gt;"",ISNUMBER(A6972)),VLOOKUP(A6972,Studies!A:BR,3,FALSE),"")</f>
        <v>https://www.ncbi.nlm.nih.gov/pubmed/3920934</v>
      </c>
      <c r="D6972" s="250" t="str">
        <f>IF(AND(A6972&lt;&gt;"",ISNUMBER(A6972)),VLOOKUP(A6972,Studies!A:BR,4,FALSE),"")</f>
        <v>healthy control patients</v>
      </c>
      <c r="E6972" s="250" t="str">
        <f>IF(AND(A6972&lt;&gt;"",ISNUMBER(A6972)),VLOOKUP(A6972,Studies!A:BR,5,FALSE),"")</f>
        <v>Alfentanil</v>
      </c>
      <c r="F6972" s="251" t="str">
        <f>IF(AND(A6972&lt;&gt;"",ISNUMBER(A6972)),VLOOKUP(A6972,Studies!A:BR,6,FALSE),"")</f>
        <v>Plasma</v>
      </c>
      <c r="G6972" s="194">
        <v>1.5</v>
      </c>
      <c r="H6972" s="50" t="s">
        <v>60</v>
      </c>
      <c r="I6972" s="187">
        <v>69.178049999999999</v>
      </c>
      <c r="J6972" s="41" t="s">
        <v>941</v>
      </c>
      <c r="K6972" s="41" t="s">
        <v>116</v>
      </c>
      <c r="L6972" s="195">
        <v>28.991759999999999</v>
      </c>
      <c r="M6972" s="52" t="s">
        <v>941</v>
      </c>
      <c r="N6972" s="52" t="s">
        <v>117</v>
      </c>
    </row>
    <row r="6973" spans="1:16" x14ac:dyDescent="0.2">
      <c r="A6973" s="30">
        <v>758</v>
      </c>
      <c r="B6973" s="249" t="str">
        <f>IF(AND(A6973&lt;&gt;"",ISNUMBER(A6973)),VLOOKUP(A6973,Studies!A:BR,2,FALSE),"")</f>
        <v>Ferrier 1985</v>
      </c>
      <c r="C6973" s="250" t="str">
        <f>IF(AND(A6973&lt;&gt;"",ISNUMBER(A6973)),VLOOKUP(A6973,Studies!A:BR,3,FALSE),"")</f>
        <v>https://www.ncbi.nlm.nih.gov/pubmed/3920934</v>
      </c>
      <c r="D6973" s="250" t="str">
        <f>IF(AND(A6973&lt;&gt;"",ISNUMBER(A6973)),VLOOKUP(A6973,Studies!A:BR,4,FALSE),"")</f>
        <v>healthy control patients</v>
      </c>
      <c r="E6973" s="250" t="str">
        <f>IF(AND(A6973&lt;&gt;"",ISNUMBER(A6973)),VLOOKUP(A6973,Studies!A:BR,5,FALSE),"")</f>
        <v>Alfentanil</v>
      </c>
      <c r="F6973" s="251" t="str">
        <f>IF(AND(A6973&lt;&gt;"",ISNUMBER(A6973)),VLOOKUP(A6973,Studies!A:BR,6,FALSE),"")</f>
        <v>Plasma</v>
      </c>
      <c r="G6973" s="194">
        <v>2</v>
      </c>
      <c r="H6973" s="50" t="s">
        <v>60</v>
      </c>
      <c r="I6973" s="187">
        <v>40.630310000000001</v>
      </c>
      <c r="J6973" s="41" t="s">
        <v>941</v>
      </c>
      <c r="K6973" s="41" t="s">
        <v>116</v>
      </c>
      <c r="L6973" s="195">
        <v>14.215400000000001</v>
      </c>
      <c r="M6973" s="52" t="s">
        <v>941</v>
      </c>
      <c r="N6973" s="52" t="s">
        <v>117</v>
      </c>
    </row>
    <row r="6974" spans="1:16" x14ac:dyDescent="0.2">
      <c r="A6974" s="30">
        <v>758</v>
      </c>
      <c r="B6974" s="249" t="str">
        <f>IF(AND(A6974&lt;&gt;"",ISNUMBER(A6974)),VLOOKUP(A6974,Studies!A:BR,2,FALSE),"")</f>
        <v>Ferrier 1985</v>
      </c>
      <c r="C6974" s="250" t="str">
        <f>IF(AND(A6974&lt;&gt;"",ISNUMBER(A6974)),VLOOKUP(A6974,Studies!A:BR,3,FALSE),"")</f>
        <v>https://www.ncbi.nlm.nih.gov/pubmed/3920934</v>
      </c>
      <c r="D6974" s="250" t="str">
        <f>IF(AND(A6974&lt;&gt;"",ISNUMBER(A6974)),VLOOKUP(A6974,Studies!A:BR,4,FALSE),"")</f>
        <v>healthy control patients</v>
      </c>
      <c r="E6974" s="250" t="str">
        <f>IF(AND(A6974&lt;&gt;"",ISNUMBER(A6974)),VLOOKUP(A6974,Studies!A:BR,5,FALSE),"")</f>
        <v>Alfentanil</v>
      </c>
      <c r="F6974" s="251" t="str">
        <f>IF(AND(A6974&lt;&gt;"",ISNUMBER(A6974)),VLOOKUP(A6974,Studies!A:BR,6,FALSE),"")</f>
        <v>Plasma</v>
      </c>
      <c r="G6974" s="194">
        <v>3</v>
      </c>
      <c r="H6974" s="50" t="s">
        <v>60</v>
      </c>
      <c r="I6974" s="187">
        <v>24.50067</v>
      </c>
      <c r="J6974" s="41" t="s">
        <v>941</v>
      </c>
      <c r="K6974" s="41" t="s">
        <v>116</v>
      </c>
      <c r="L6974" s="195">
        <v>13.62027</v>
      </c>
      <c r="M6974" s="52" t="s">
        <v>941</v>
      </c>
      <c r="N6974" s="52" t="s">
        <v>117</v>
      </c>
    </row>
    <row r="6975" spans="1:16" x14ac:dyDescent="0.2">
      <c r="A6975" s="30">
        <v>758</v>
      </c>
      <c r="B6975" s="249" t="str">
        <f>IF(AND(A6975&lt;&gt;"",ISNUMBER(A6975)),VLOOKUP(A6975,Studies!A:BR,2,FALSE),"")</f>
        <v>Ferrier 1985</v>
      </c>
      <c r="C6975" s="250" t="str">
        <f>IF(AND(A6975&lt;&gt;"",ISNUMBER(A6975)),VLOOKUP(A6975,Studies!A:BR,3,FALSE),"")</f>
        <v>https://www.ncbi.nlm.nih.gov/pubmed/3920934</v>
      </c>
      <c r="D6975" s="250" t="str">
        <f>IF(AND(A6975&lt;&gt;"",ISNUMBER(A6975)),VLOOKUP(A6975,Studies!A:BR,4,FALSE),"")</f>
        <v>healthy control patients</v>
      </c>
      <c r="E6975" s="250" t="str">
        <f>IF(AND(A6975&lt;&gt;"",ISNUMBER(A6975)),VLOOKUP(A6975,Studies!A:BR,5,FALSE),"")</f>
        <v>Alfentanil</v>
      </c>
      <c r="F6975" s="251" t="str">
        <f>IF(AND(A6975&lt;&gt;"",ISNUMBER(A6975)),VLOOKUP(A6975,Studies!A:BR,6,FALSE),"")</f>
        <v>Plasma</v>
      </c>
      <c r="G6975" s="194">
        <v>4</v>
      </c>
      <c r="H6975" s="50" t="s">
        <v>60</v>
      </c>
      <c r="I6975" s="187">
        <v>22.668199999999999</v>
      </c>
      <c r="J6975" s="41" t="s">
        <v>941</v>
      </c>
      <c r="K6975" s="41" t="s">
        <v>116</v>
      </c>
      <c r="L6975" s="195">
        <v>14.13805</v>
      </c>
      <c r="M6975" s="52" t="s">
        <v>941</v>
      </c>
      <c r="N6975" s="52" t="s">
        <v>117</v>
      </c>
    </row>
    <row r="6976" spans="1:16" x14ac:dyDescent="0.2">
      <c r="A6976" s="30">
        <v>758</v>
      </c>
      <c r="B6976" s="249" t="str">
        <f>IF(AND(A6976&lt;&gt;"",ISNUMBER(A6976)),VLOOKUP(A6976,Studies!A:BR,2,FALSE),"")</f>
        <v>Ferrier 1985</v>
      </c>
      <c r="C6976" s="250" t="str">
        <f>IF(AND(A6976&lt;&gt;"",ISNUMBER(A6976)),VLOOKUP(A6976,Studies!A:BR,3,FALSE),"")</f>
        <v>https://www.ncbi.nlm.nih.gov/pubmed/3920934</v>
      </c>
      <c r="D6976" s="250" t="str">
        <f>IF(AND(A6976&lt;&gt;"",ISNUMBER(A6976)),VLOOKUP(A6976,Studies!A:BR,4,FALSE),"")</f>
        <v>healthy control patients</v>
      </c>
      <c r="E6976" s="250" t="str">
        <f>IF(AND(A6976&lt;&gt;"",ISNUMBER(A6976)),VLOOKUP(A6976,Studies!A:BR,5,FALSE),"")</f>
        <v>Alfentanil</v>
      </c>
      <c r="F6976" s="251" t="str">
        <f>IF(AND(A6976&lt;&gt;"",ISNUMBER(A6976)),VLOOKUP(A6976,Studies!A:BR,6,FALSE),"")</f>
        <v>Plasma</v>
      </c>
      <c r="G6976" s="194">
        <v>5</v>
      </c>
      <c r="H6976" s="50" t="s">
        <v>60</v>
      </c>
      <c r="I6976" s="187">
        <v>9.4633900000000004</v>
      </c>
      <c r="J6976" s="41" t="s">
        <v>941</v>
      </c>
      <c r="K6976" s="41" t="s">
        <v>116</v>
      </c>
      <c r="L6976" s="195">
        <v>7.0071029999999999</v>
      </c>
      <c r="M6976" s="52" t="s">
        <v>941</v>
      </c>
      <c r="N6976" s="52" t="s">
        <v>117</v>
      </c>
    </row>
    <row r="6977" spans="1:14" x14ac:dyDescent="0.2">
      <c r="A6977" s="30">
        <v>758</v>
      </c>
      <c r="B6977" s="249" t="str">
        <f>IF(AND(A6977&lt;&gt;"",ISNUMBER(A6977)),VLOOKUP(A6977,Studies!A:BR,2,FALSE),"")</f>
        <v>Ferrier 1985</v>
      </c>
      <c r="C6977" s="250" t="str">
        <f>IF(AND(A6977&lt;&gt;"",ISNUMBER(A6977)),VLOOKUP(A6977,Studies!A:BR,3,FALSE),"")</f>
        <v>https://www.ncbi.nlm.nih.gov/pubmed/3920934</v>
      </c>
      <c r="D6977" s="250" t="str">
        <f>IF(AND(A6977&lt;&gt;"",ISNUMBER(A6977)),VLOOKUP(A6977,Studies!A:BR,4,FALSE),"")</f>
        <v>healthy control patients</v>
      </c>
      <c r="E6977" s="250" t="str">
        <f>IF(AND(A6977&lt;&gt;"",ISNUMBER(A6977)),VLOOKUP(A6977,Studies!A:BR,5,FALSE),"")</f>
        <v>Alfentanil</v>
      </c>
      <c r="F6977" s="251" t="str">
        <f>IF(AND(A6977&lt;&gt;"",ISNUMBER(A6977)),VLOOKUP(A6977,Studies!A:BR,6,FALSE),"")</f>
        <v>Plasma</v>
      </c>
      <c r="G6977" s="194">
        <v>6</v>
      </c>
      <c r="H6977" s="50" t="s">
        <v>60</v>
      </c>
      <c r="I6977" s="187">
        <v>9.538653</v>
      </c>
      <c r="J6977" s="41" t="s">
        <v>941</v>
      </c>
      <c r="K6977" s="41" t="s">
        <v>116</v>
      </c>
      <c r="L6977" s="195">
        <v>7.0608740000000001</v>
      </c>
      <c r="M6977" s="52" t="s">
        <v>941</v>
      </c>
      <c r="N6977" s="52" t="s">
        <v>117</v>
      </c>
    </row>
    <row r="6978" spans="1:14" x14ac:dyDescent="0.2">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8</v>
      </c>
      <c r="H6978" s="50" t="s">
        <v>60</v>
      </c>
      <c r="I6978" s="187">
        <v>4.0295399999999999</v>
      </c>
      <c r="J6978" s="41" t="s">
        <v>941</v>
      </c>
      <c r="K6978" s="41" t="s">
        <v>116</v>
      </c>
      <c r="L6978" s="195">
        <v>2.9682750000000002</v>
      </c>
      <c r="M6978" s="52" t="s">
        <v>941</v>
      </c>
      <c r="N6978" s="52" t="s">
        <v>117</v>
      </c>
    </row>
    <row r="6979" spans="1:14" x14ac:dyDescent="0.2">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10</v>
      </c>
      <c r="H6979" s="50" t="s">
        <v>60</v>
      </c>
      <c r="I6979" s="187">
        <v>2.2312370000000001</v>
      </c>
      <c r="J6979" s="41" t="s">
        <v>941</v>
      </c>
      <c r="K6979" s="41" t="s">
        <v>116</v>
      </c>
      <c r="L6979" s="195">
        <v>1.979983</v>
      </c>
      <c r="M6979" s="52" t="s">
        <v>941</v>
      </c>
      <c r="N6979" s="52" t="s">
        <v>117</v>
      </c>
    </row>
    <row r="6980" spans="1:14" x14ac:dyDescent="0.2">
      <c r="A6980" s="30">
        <v>759</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cirrhosis patients patients</v>
      </c>
      <c r="E6980" s="250" t="str">
        <f>IF(AND(A6980&lt;&gt;"",ISNUMBER(A6980)),VLOOKUP(A6980,Studies!A:BR,5,FALSE),"")</f>
        <v>Alfentanil</v>
      </c>
      <c r="F6980" s="251" t="str">
        <f>IF(AND(A6980&lt;&gt;"",ISNUMBER(A6980)),VLOOKUP(A6980,Studies!A:BR,6,FALSE),"")</f>
        <v>Plasma</v>
      </c>
      <c r="G6980" s="194">
        <v>8.3299999999999999E-2</v>
      </c>
      <c r="H6980" s="50" t="s">
        <v>60</v>
      </c>
      <c r="I6980" s="187">
        <v>364.0659</v>
      </c>
      <c r="J6980" s="41" t="s">
        <v>941</v>
      </c>
      <c r="K6980" s="41" t="s">
        <v>116</v>
      </c>
      <c r="L6980" s="195">
        <v>221.7527</v>
      </c>
      <c r="M6980" s="52" t="s">
        <v>941</v>
      </c>
      <c r="N6980" s="52" t="s">
        <v>117</v>
      </c>
    </row>
    <row r="6981" spans="1:14" x14ac:dyDescent="0.2">
      <c r="A6981" s="30">
        <v>759</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cirrhosis patients patients</v>
      </c>
      <c r="E6981" s="250" t="str">
        <f>IF(AND(A6981&lt;&gt;"",ISNUMBER(A6981)),VLOOKUP(A6981,Studies!A:BR,5,FALSE),"")</f>
        <v>Alfentanil</v>
      </c>
      <c r="F6981" s="251" t="str">
        <f>IF(AND(A6981&lt;&gt;"",ISNUMBER(A6981)),VLOOKUP(A6981,Studies!A:BR,6,FALSE),"")</f>
        <v>Plasma</v>
      </c>
      <c r="G6981" s="194">
        <v>0.16669999999999999</v>
      </c>
      <c r="H6981" s="50" t="s">
        <v>60</v>
      </c>
      <c r="I6981" s="187">
        <v>272.8</v>
      </c>
      <c r="J6981" s="41" t="s">
        <v>941</v>
      </c>
      <c r="K6981" s="41" t="s">
        <v>116</v>
      </c>
      <c r="L6981" s="195">
        <v>101.6477</v>
      </c>
      <c r="M6981" s="52" t="s">
        <v>941</v>
      </c>
      <c r="N6981" s="52" t="s">
        <v>117</v>
      </c>
    </row>
    <row r="6982" spans="1:14" x14ac:dyDescent="0.2">
      <c r="A6982" s="30">
        <v>759</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cirrhosis patients patients</v>
      </c>
      <c r="E6982" s="250" t="str">
        <f>IF(AND(A6982&lt;&gt;"",ISNUMBER(A6982)),VLOOKUP(A6982,Studies!A:BR,5,FALSE),"")</f>
        <v>Alfentanil</v>
      </c>
      <c r="F6982" s="251" t="str">
        <f>IF(AND(A6982&lt;&gt;"",ISNUMBER(A6982)),VLOOKUP(A6982,Studies!A:BR,6,FALSE),"")</f>
        <v>Plasma</v>
      </c>
      <c r="G6982" s="194">
        <v>0.25</v>
      </c>
      <c r="H6982" s="50" t="s">
        <v>60</v>
      </c>
      <c r="I6982" s="187">
        <v>210.50989999999999</v>
      </c>
      <c r="J6982" s="41" t="s">
        <v>941</v>
      </c>
      <c r="K6982" s="41" t="s">
        <v>116</v>
      </c>
      <c r="L6982" s="195">
        <v>62.152079999999998</v>
      </c>
      <c r="M6982" s="52" t="s">
        <v>941</v>
      </c>
      <c r="N6982" s="52" t="s">
        <v>117</v>
      </c>
    </row>
    <row r="6983" spans="1:14" x14ac:dyDescent="0.2">
      <c r="A6983" s="30">
        <v>759</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cirrhosis patients patients</v>
      </c>
      <c r="E6983" s="250" t="str">
        <f>IF(AND(A6983&lt;&gt;"",ISNUMBER(A6983)),VLOOKUP(A6983,Studies!A:BR,5,FALSE),"")</f>
        <v>Alfentanil</v>
      </c>
      <c r="F6983" s="251" t="str">
        <f>IF(AND(A6983&lt;&gt;"",ISNUMBER(A6983)),VLOOKUP(A6983,Studies!A:BR,6,FALSE),"")</f>
        <v>Plasma</v>
      </c>
      <c r="G6983" s="194">
        <v>0.5</v>
      </c>
      <c r="H6983" s="50" t="s">
        <v>60</v>
      </c>
      <c r="I6983" s="187">
        <v>181.99100000000001</v>
      </c>
      <c r="J6983" s="41" t="s">
        <v>941</v>
      </c>
      <c r="K6983" s="41" t="s">
        <v>116</v>
      </c>
      <c r="L6983" s="195">
        <v>106.30800000000001</v>
      </c>
      <c r="M6983" s="52" t="s">
        <v>941</v>
      </c>
      <c r="N6983" s="52" t="s">
        <v>117</v>
      </c>
    </row>
    <row r="6984" spans="1:14" x14ac:dyDescent="0.2">
      <c r="A6984" s="30">
        <v>759</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cirrhosis patients patients</v>
      </c>
      <c r="E6984" s="250" t="str">
        <f>IF(AND(A6984&lt;&gt;"",ISNUMBER(A6984)),VLOOKUP(A6984,Studies!A:BR,5,FALSE),"")</f>
        <v>Alfentanil</v>
      </c>
      <c r="F6984" s="251" t="str">
        <f>IF(AND(A6984&lt;&gt;"",ISNUMBER(A6984)),VLOOKUP(A6984,Studies!A:BR,6,FALSE),"")</f>
        <v>Plasma</v>
      </c>
      <c r="G6984" s="194">
        <v>1</v>
      </c>
      <c r="H6984" s="50" t="s">
        <v>60</v>
      </c>
      <c r="I6984" s="187">
        <v>112.96599999999999</v>
      </c>
      <c r="J6984" s="41" t="s">
        <v>941</v>
      </c>
      <c r="K6984" s="41" t="s">
        <v>116</v>
      </c>
      <c r="L6984" s="195">
        <v>41.912219999999998</v>
      </c>
      <c r="M6984" s="52" t="s">
        <v>941</v>
      </c>
      <c r="N6984" s="52" t="s">
        <v>117</v>
      </c>
    </row>
    <row r="6985" spans="1:14" x14ac:dyDescent="0.2">
      <c r="A6985" s="30">
        <v>759</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cirrhosis patients patients</v>
      </c>
      <c r="E6985" s="250" t="str">
        <f>IF(AND(A6985&lt;&gt;"",ISNUMBER(A6985)),VLOOKUP(A6985,Studies!A:BR,5,FALSE),"")</f>
        <v>Alfentanil</v>
      </c>
      <c r="F6985" s="251" t="str">
        <f>IF(AND(A6985&lt;&gt;"",ISNUMBER(A6985)),VLOOKUP(A6985,Studies!A:BR,6,FALSE),"")</f>
        <v>Plasma</v>
      </c>
      <c r="G6985" s="194">
        <v>1.5</v>
      </c>
      <c r="H6985" s="50" t="s">
        <v>60</v>
      </c>
      <c r="I6985" s="187">
        <v>104.7948</v>
      </c>
      <c r="J6985" s="41" t="s">
        <v>941</v>
      </c>
      <c r="K6985" s="41" t="s">
        <v>116</v>
      </c>
      <c r="L6985" s="195">
        <v>49.534579999999998</v>
      </c>
      <c r="M6985" s="52" t="s">
        <v>941</v>
      </c>
      <c r="N6985" s="52" t="s">
        <v>117</v>
      </c>
    </row>
    <row r="6986" spans="1:14" x14ac:dyDescent="0.2">
      <c r="A6986" s="30">
        <v>759</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cirrhosis patients patients</v>
      </c>
      <c r="E6986" s="250" t="str">
        <f>IF(AND(A6986&lt;&gt;"",ISNUMBER(A6986)),VLOOKUP(A6986,Studies!A:BR,5,FALSE),"")</f>
        <v>Alfentanil</v>
      </c>
      <c r="F6986" s="251" t="str">
        <f>IF(AND(A6986&lt;&gt;"",ISNUMBER(A6986)),VLOOKUP(A6986,Studies!A:BR,6,FALSE),"")</f>
        <v>Plasma</v>
      </c>
      <c r="G6986" s="194">
        <v>2</v>
      </c>
      <c r="H6986" s="50" t="s">
        <v>60</v>
      </c>
      <c r="I6986" s="187">
        <v>91.790499999999994</v>
      </c>
      <c r="J6986" s="41" t="s">
        <v>941</v>
      </c>
      <c r="K6986" s="41" t="s">
        <v>116</v>
      </c>
      <c r="L6986" s="195">
        <v>45.330660000000002</v>
      </c>
      <c r="M6986" s="52" t="s">
        <v>941</v>
      </c>
      <c r="N6986" s="52" t="s">
        <v>117</v>
      </c>
    </row>
    <row r="6987" spans="1:14" x14ac:dyDescent="0.2">
      <c r="A6987" s="30">
        <v>759</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cirrhosis patients patients</v>
      </c>
      <c r="E6987" s="250" t="str">
        <f>IF(AND(A6987&lt;&gt;"",ISNUMBER(A6987)),VLOOKUP(A6987,Studies!A:BR,5,FALSE),"")</f>
        <v>Alfentanil</v>
      </c>
      <c r="F6987" s="251" t="str">
        <f>IF(AND(A6987&lt;&gt;"",ISNUMBER(A6987)),VLOOKUP(A6987,Studies!A:BR,6,FALSE),"")</f>
        <v>Plasma</v>
      </c>
      <c r="G6987" s="194">
        <v>3</v>
      </c>
      <c r="H6987" s="50" t="s">
        <v>60</v>
      </c>
      <c r="I6987" s="187">
        <v>67.500979999999998</v>
      </c>
      <c r="J6987" s="41" t="s">
        <v>941</v>
      </c>
      <c r="K6987" s="41" t="s">
        <v>116</v>
      </c>
      <c r="L6987" s="195">
        <v>47.139389999999999</v>
      </c>
      <c r="M6987" s="52" t="s">
        <v>941</v>
      </c>
      <c r="N6987" s="52" t="s">
        <v>117</v>
      </c>
    </row>
    <row r="6988" spans="1:14" x14ac:dyDescent="0.2">
      <c r="A6988" s="30">
        <v>759</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cirrhosis patients patients</v>
      </c>
      <c r="E6988" s="250" t="str">
        <f>IF(AND(A6988&lt;&gt;"",ISNUMBER(A6988)),VLOOKUP(A6988,Studies!A:BR,5,FALSE),"")</f>
        <v>Alfentanil</v>
      </c>
      <c r="F6988" s="251" t="str">
        <f>IF(AND(A6988&lt;&gt;"",ISNUMBER(A6988)),VLOOKUP(A6988,Studies!A:BR,6,FALSE),"")</f>
        <v>Plasma</v>
      </c>
      <c r="G6988" s="194">
        <v>4</v>
      </c>
      <c r="H6988" s="50" t="s">
        <v>60</v>
      </c>
      <c r="I6988" s="187">
        <v>49.671190000000003</v>
      </c>
      <c r="J6988" s="41" t="s">
        <v>941</v>
      </c>
      <c r="K6988" s="41" t="s">
        <v>116</v>
      </c>
      <c r="L6988" s="195">
        <v>37.075049999999997</v>
      </c>
      <c r="M6988" s="52" t="s">
        <v>941</v>
      </c>
      <c r="N6988" s="52" t="s">
        <v>117</v>
      </c>
    </row>
    <row r="6989" spans="1:14" x14ac:dyDescent="0.2">
      <c r="A6989" s="30">
        <v>759</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cirrhosis patients patients</v>
      </c>
      <c r="E6989" s="250" t="str">
        <f>IF(AND(A6989&lt;&gt;"",ISNUMBER(A6989)),VLOOKUP(A6989,Studies!A:BR,5,FALSE),"")</f>
        <v>Alfentanil</v>
      </c>
      <c r="F6989" s="251" t="str">
        <f>IF(AND(A6989&lt;&gt;"",ISNUMBER(A6989)),VLOOKUP(A6989,Studies!A:BR,6,FALSE),"")</f>
        <v>Plasma</v>
      </c>
      <c r="G6989" s="194">
        <v>5</v>
      </c>
      <c r="H6989" s="50" t="s">
        <v>60</v>
      </c>
      <c r="I6989" s="187">
        <v>47.270449999999997</v>
      </c>
      <c r="J6989" s="41" t="s">
        <v>941</v>
      </c>
      <c r="K6989" s="41" t="s">
        <v>116</v>
      </c>
      <c r="L6989" s="195">
        <v>38.876060000000003</v>
      </c>
      <c r="M6989" s="52" t="s">
        <v>941</v>
      </c>
      <c r="N6989" s="52" t="s">
        <v>117</v>
      </c>
    </row>
    <row r="6990" spans="1:14" x14ac:dyDescent="0.2">
      <c r="A6990" s="30">
        <v>759</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cirrhosis patients patients</v>
      </c>
      <c r="E6990" s="250" t="str">
        <f>IF(AND(A6990&lt;&gt;"",ISNUMBER(A6990)),VLOOKUP(A6990,Studies!A:BR,5,FALSE),"")</f>
        <v>Alfentanil</v>
      </c>
      <c r="F6990" s="251" t="str">
        <f>IF(AND(A6990&lt;&gt;"",ISNUMBER(A6990)),VLOOKUP(A6990,Studies!A:BR,6,FALSE),"")</f>
        <v>Plasma</v>
      </c>
      <c r="G6990" s="194">
        <v>6</v>
      </c>
      <c r="H6990" s="50" t="s">
        <v>60</v>
      </c>
      <c r="I6990" s="187">
        <v>37.372390000000003</v>
      </c>
      <c r="J6990" s="41" t="s">
        <v>941</v>
      </c>
      <c r="K6990" s="41" t="s">
        <v>116</v>
      </c>
      <c r="L6990" s="195">
        <v>33.689830000000001</v>
      </c>
      <c r="M6990" s="52" t="s">
        <v>941</v>
      </c>
      <c r="N6990" s="52" t="s">
        <v>117</v>
      </c>
    </row>
    <row r="6991" spans="1:14" x14ac:dyDescent="0.2">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8</v>
      </c>
      <c r="H6991" s="50" t="s">
        <v>60</v>
      </c>
      <c r="I6991" s="187">
        <v>29.79543</v>
      </c>
      <c r="J6991" s="41" t="s">
        <v>941</v>
      </c>
      <c r="K6991" s="41" t="s">
        <v>116</v>
      </c>
      <c r="L6991" s="195">
        <v>27.621649999999999</v>
      </c>
      <c r="M6991" s="52" t="s">
        <v>941</v>
      </c>
      <c r="N6991" s="52" t="s">
        <v>117</v>
      </c>
    </row>
    <row r="6992" spans="1:14" x14ac:dyDescent="0.2">
      <c r="A6992" s="30">
        <v>764</v>
      </c>
      <c r="B6992" s="249" t="str">
        <f>IF(AND(A6992&lt;&gt;"",ISNUMBER(A6992)),VLOOKUP(A6992,Studies!A:BR,2,FALSE),"")</f>
        <v>Kharasch 2011b</v>
      </c>
      <c r="C6992" s="250" t="str">
        <f>IF(AND(A6992&lt;&gt;"",ISNUMBER(A6992)),VLOOKUP(A6992,Studies!A:BR,3,FALSE),"")</f>
        <v>https://www.ncbi.nlm.nih.gov/pmc/articles/PMC3584707/</v>
      </c>
      <c r="D6992" s="250" t="str">
        <f>IF(AND(A6992&lt;&gt;"",ISNUMBER(A6992)),VLOOKUP(A6992,Studies!A:BR,4,FALSE),"")</f>
        <v>Alfentanil IV Control simultaneous</v>
      </c>
      <c r="E6992" s="250" t="str">
        <f>IF(AND(A6992&lt;&gt;"",ISNUMBER(A6992)),VLOOKUP(A6992,Studies!A:BR,5,FALSE),"")</f>
        <v>Alfentanil</v>
      </c>
      <c r="F6992" s="251" t="str">
        <f>IF(AND(A6992&lt;&gt;"",ISNUMBER(A6992)),VLOOKUP(A6992,Studies!A:BR,6,FALSE),"")</f>
        <v>Plasma</v>
      </c>
      <c r="G6992" s="194">
        <v>24.083300000000001</v>
      </c>
      <c r="H6992" s="50" t="s">
        <v>60</v>
      </c>
      <c r="I6992" s="187">
        <v>58.449269999999999</v>
      </c>
      <c r="J6992" s="41" t="s">
        <v>941</v>
      </c>
      <c r="K6992" s="41" t="s">
        <v>116</v>
      </c>
    </row>
    <row r="6993" spans="1:11" x14ac:dyDescent="0.2">
      <c r="A6993" s="30">
        <v>764</v>
      </c>
      <c r="B6993" s="249" t="str">
        <f>IF(AND(A6993&lt;&gt;"",ISNUMBER(A6993)),VLOOKUP(A6993,Studies!A:BR,2,FALSE),"")</f>
        <v>Kharasch 2011b</v>
      </c>
      <c r="C6993" s="250" t="str">
        <f>IF(AND(A6993&lt;&gt;"",ISNUMBER(A6993)),VLOOKUP(A6993,Studies!A:BR,3,FALSE),"")</f>
        <v>https://www.ncbi.nlm.nih.gov/pmc/articles/PMC3584707/</v>
      </c>
      <c r="D6993" s="250" t="str">
        <f>IF(AND(A6993&lt;&gt;"",ISNUMBER(A6993)),VLOOKUP(A6993,Studies!A:BR,4,FALSE),"")</f>
        <v>Alfentanil IV Control simultaneous</v>
      </c>
      <c r="E6993" s="250" t="str">
        <f>IF(AND(A6993&lt;&gt;"",ISNUMBER(A6993)),VLOOKUP(A6993,Studies!A:BR,5,FALSE),"")</f>
        <v>Alfentanil</v>
      </c>
      <c r="F6993" s="251" t="str">
        <f>IF(AND(A6993&lt;&gt;"",ISNUMBER(A6993)),VLOOKUP(A6993,Studies!A:BR,6,FALSE),"")</f>
        <v>Plasma</v>
      </c>
      <c r="G6993" s="194">
        <v>24.166</v>
      </c>
      <c r="H6993" s="50" t="s">
        <v>60</v>
      </c>
      <c r="I6993" s="187">
        <v>36.200369999999999</v>
      </c>
      <c r="J6993" s="41" t="s">
        <v>941</v>
      </c>
      <c r="K6993" s="41" t="s">
        <v>116</v>
      </c>
    </row>
    <row r="6994" spans="1:11" x14ac:dyDescent="0.2">
      <c r="A6994" s="30">
        <v>764</v>
      </c>
      <c r="B6994" s="249" t="str">
        <f>IF(AND(A6994&lt;&gt;"",ISNUMBER(A6994)),VLOOKUP(A6994,Studies!A:BR,2,FALSE),"")</f>
        <v>Kharasch 2011b</v>
      </c>
      <c r="C6994" s="250" t="str">
        <f>IF(AND(A6994&lt;&gt;"",ISNUMBER(A6994)),VLOOKUP(A6994,Studies!A:BR,3,FALSE),"")</f>
        <v>https://www.ncbi.nlm.nih.gov/pmc/articles/PMC3584707/</v>
      </c>
      <c r="D6994" s="250" t="str">
        <f>IF(AND(A6994&lt;&gt;"",ISNUMBER(A6994)),VLOOKUP(A6994,Studies!A:BR,4,FALSE),"")</f>
        <v>Alfentanil IV Control simultaneous</v>
      </c>
      <c r="E6994" s="250" t="str">
        <f>IF(AND(A6994&lt;&gt;"",ISNUMBER(A6994)),VLOOKUP(A6994,Studies!A:BR,5,FALSE),"")</f>
        <v>Alfentanil</v>
      </c>
      <c r="F6994" s="251" t="str">
        <f>IF(AND(A6994&lt;&gt;"",ISNUMBER(A6994)),VLOOKUP(A6994,Studies!A:BR,6,FALSE),"")</f>
        <v>Plasma</v>
      </c>
      <c r="G6994" s="194">
        <v>24.75</v>
      </c>
      <c r="H6994" s="50" t="s">
        <v>60</v>
      </c>
      <c r="I6994" s="187">
        <v>15.585140000000001</v>
      </c>
      <c r="J6994" s="41" t="s">
        <v>941</v>
      </c>
      <c r="K6994" s="41" t="s">
        <v>116</v>
      </c>
    </row>
    <row r="6995" spans="1:11" x14ac:dyDescent="0.2">
      <c r="A6995" s="30">
        <v>764</v>
      </c>
      <c r="B6995" s="249" t="str">
        <f>IF(AND(A6995&lt;&gt;"",ISNUMBER(A6995)),VLOOKUP(A6995,Studies!A:BR,2,FALSE),"")</f>
        <v>Kharasch 2011b</v>
      </c>
      <c r="C6995" s="250" t="str">
        <f>IF(AND(A6995&lt;&gt;"",ISNUMBER(A6995)),VLOOKUP(A6995,Studies!A:BR,3,FALSE),"")</f>
        <v>https://www.ncbi.nlm.nih.gov/pmc/articles/PMC3584707/</v>
      </c>
      <c r="D6995" s="250" t="str">
        <f>IF(AND(A6995&lt;&gt;"",ISNUMBER(A6995)),VLOOKUP(A6995,Studies!A:BR,4,FALSE),"")</f>
        <v>Alfentanil IV Control simultaneous</v>
      </c>
      <c r="E6995" s="250" t="str">
        <f>IF(AND(A6995&lt;&gt;"",ISNUMBER(A6995)),VLOOKUP(A6995,Studies!A:BR,5,FALSE),"")</f>
        <v>Alfentanil</v>
      </c>
      <c r="F6995" s="251" t="str">
        <f>IF(AND(A6995&lt;&gt;"",ISNUMBER(A6995)),VLOOKUP(A6995,Studies!A:BR,6,FALSE),"")</f>
        <v>Plasma</v>
      </c>
      <c r="G6995" s="194">
        <v>25</v>
      </c>
      <c r="H6995" s="50" t="s">
        <v>60</v>
      </c>
      <c r="I6995" s="187">
        <v>12.34989</v>
      </c>
      <c r="J6995" s="41" t="s">
        <v>941</v>
      </c>
      <c r="K6995" s="41" t="s">
        <v>116</v>
      </c>
    </row>
    <row r="6996" spans="1:11" x14ac:dyDescent="0.2">
      <c r="A6996" s="30">
        <v>764</v>
      </c>
      <c r="B6996" s="249" t="str">
        <f>IF(AND(A6996&lt;&gt;"",ISNUMBER(A6996)),VLOOKUP(A6996,Studies!A:BR,2,FALSE),"")</f>
        <v>Kharasch 2011b</v>
      </c>
      <c r="C6996" s="250" t="str">
        <f>IF(AND(A6996&lt;&gt;"",ISNUMBER(A6996)),VLOOKUP(A6996,Studies!A:BR,3,FALSE),"")</f>
        <v>https://www.ncbi.nlm.nih.gov/pmc/articles/PMC3584707/</v>
      </c>
      <c r="D6996" s="250" t="str">
        <f>IF(AND(A6996&lt;&gt;"",ISNUMBER(A6996)),VLOOKUP(A6996,Studies!A:BR,4,FALSE),"")</f>
        <v>Alfentanil IV Control simultaneous</v>
      </c>
      <c r="E6996" s="250" t="str">
        <f>IF(AND(A6996&lt;&gt;"",ISNUMBER(A6996)),VLOOKUP(A6996,Studies!A:BR,5,FALSE),"")</f>
        <v>Alfentanil</v>
      </c>
      <c r="F6996" s="251" t="str">
        <f>IF(AND(A6996&lt;&gt;"",ISNUMBER(A6996)),VLOOKUP(A6996,Studies!A:BR,6,FALSE),"")</f>
        <v>Plasma</v>
      </c>
      <c r="G6996" s="194">
        <v>25.5</v>
      </c>
      <c r="H6996" s="50" t="s">
        <v>60</v>
      </c>
      <c r="I6996" s="187">
        <v>9.7818690000000004</v>
      </c>
      <c r="J6996" s="41" t="s">
        <v>941</v>
      </c>
      <c r="K6996" s="41" t="s">
        <v>116</v>
      </c>
    </row>
    <row r="6997" spans="1:11" x14ac:dyDescent="0.2">
      <c r="A6997" s="30">
        <v>764</v>
      </c>
      <c r="B6997" s="249" t="str">
        <f>IF(AND(A6997&lt;&gt;"",ISNUMBER(A6997)),VLOOKUP(A6997,Studies!A:BR,2,FALSE),"")</f>
        <v>Kharasch 2011b</v>
      </c>
      <c r="C6997" s="250" t="str">
        <f>IF(AND(A6997&lt;&gt;"",ISNUMBER(A6997)),VLOOKUP(A6997,Studies!A:BR,3,FALSE),"")</f>
        <v>https://www.ncbi.nlm.nih.gov/pmc/articles/PMC3584707/</v>
      </c>
      <c r="D6997" s="250" t="str">
        <f>IF(AND(A6997&lt;&gt;"",ISNUMBER(A6997)),VLOOKUP(A6997,Studies!A:BR,4,FALSE),"")</f>
        <v>Alfentanil IV Control simultaneous</v>
      </c>
      <c r="E6997" s="250" t="str">
        <f>IF(AND(A6997&lt;&gt;"",ISNUMBER(A6997)),VLOOKUP(A6997,Studies!A:BR,5,FALSE),"")</f>
        <v>Alfentanil</v>
      </c>
      <c r="F6997" s="251" t="str">
        <f>IF(AND(A6997&lt;&gt;"",ISNUMBER(A6997)),VLOOKUP(A6997,Studies!A:BR,6,FALSE),"")</f>
        <v>Plasma</v>
      </c>
      <c r="G6997" s="194">
        <v>26</v>
      </c>
      <c r="H6997" s="50" t="s">
        <v>60</v>
      </c>
      <c r="I6997" s="187">
        <v>7.9760099999999996</v>
      </c>
      <c r="J6997" s="41" t="s">
        <v>941</v>
      </c>
      <c r="K6997" s="41" t="s">
        <v>116</v>
      </c>
    </row>
    <row r="6998" spans="1:11" x14ac:dyDescent="0.2">
      <c r="A6998" s="30">
        <v>764</v>
      </c>
      <c r="B6998" s="249" t="str">
        <f>IF(AND(A6998&lt;&gt;"",ISNUMBER(A6998)),VLOOKUP(A6998,Studies!A:BR,2,FALSE),"")</f>
        <v>Kharasch 2011b</v>
      </c>
      <c r="C6998" s="250" t="str">
        <f>IF(AND(A6998&lt;&gt;"",ISNUMBER(A6998)),VLOOKUP(A6998,Studies!A:BR,3,FALSE),"")</f>
        <v>https://www.ncbi.nlm.nih.gov/pmc/articles/PMC3584707/</v>
      </c>
      <c r="D6998" s="250" t="str">
        <f>IF(AND(A6998&lt;&gt;"",ISNUMBER(A6998)),VLOOKUP(A6998,Studies!A:BR,4,FALSE),"")</f>
        <v>Alfentanil IV Control simultaneous</v>
      </c>
      <c r="E6998" s="250" t="str">
        <f>IF(AND(A6998&lt;&gt;"",ISNUMBER(A6998)),VLOOKUP(A6998,Studies!A:BR,5,FALSE),"")</f>
        <v>Alfentanil</v>
      </c>
      <c r="F6998" s="251" t="str">
        <f>IF(AND(A6998&lt;&gt;"",ISNUMBER(A6998)),VLOOKUP(A6998,Studies!A:BR,6,FALSE),"")</f>
        <v>Plasma</v>
      </c>
      <c r="G6998" s="194">
        <v>26.5</v>
      </c>
      <c r="H6998" s="50" t="s">
        <v>60</v>
      </c>
      <c r="I6998" s="187">
        <v>6.0485439999999997</v>
      </c>
      <c r="J6998" s="41" t="s">
        <v>941</v>
      </c>
      <c r="K6998" s="41" t="s">
        <v>116</v>
      </c>
    </row>
    <row r="6999" spans="1:11" x14ac:dyDescent="0.2">
      <c r="A6999" s="30">
        <v>764</v>
      </c>
      <c r="B6999" s="249" t="str">
        <f>IF(AND(A6999&lt;&gt;"",ISNUMBER(A6999)),VLOOKUP(A6999,Studies!A:BR,2,FALSE),"")</f>
        <v>Kharasch 2011b</v>
      </c>
      <c r="C6999" s="250" t="str">
        <f>IF(AND(A6999&lt;&gt;"",ISNUMBER(A6999)),VLOOKUP(A6999,Studies!A:BR,3,FALSE),"")</f>
        <v>https://www.ncbi.nlm.nih.gov/pmc/articles/PMC3584707/</v>
      </c>
      <c r="D6999" s="250" t="str">
        <f>IF(AND(A6999&lt;&gt;"",ISNUMBER(A6999)),VLOOKUP(A6999,Studies!A:BR,4,FALSE),"")</f>
        <v>Alfentanil IV Control simultaneous</v>
      </c>
      <c r="E6999" s="250" t="str">
        <f>IF(AND(A6999&lt;&gt;"",ISNUMBER(A6999)),VLOOKUP(A6999,Studies!A:BR,5,FALSE),"")</f>
        <v>Alfentanil</v>
      </c>
      <c r="F6999" s="251" t="str">
        <f>IF(AND(A6999&lt;&gt;"",ISNUMBER(A6999)),VLOOKUP(A6999,Studies!A:BR,6,FALSE),"")</f>
        <v>Plasma</v>
      </c>
      <c r="G6999" s="194">
        <v>27</v>
      </c>
      <c r="H6999" s="50" t="s">
        <v>60</v>
      </c>
      <c r="I6999" s="187">
        <v>4.7909699999999997</v>
      </c>
      <c r="J6999" s="41" t="s">
        <v>941</v>
      </c>
      <c r="K6999" s="41" t="s">
        <v>116</v>
      </c>
    </row>
    <row r="7000" spans="1:11" x14ac:dyDescent="0.2">
      <c r="A7000" s="30">
        <v>764</v>
      </c>
      <c r="B7000" s="249" t="str">
        <f>IF(AND(A7000&lt;&gt;"",ISNUMBER(A7000)),VLOOKUP(A7000,Studies!A:BR,2,FALSE),"")</f>
        <v>Kharasch 2011b</v>
      </c>
      <c r="C7000" s="250" t="str">
        <f>IF(AND(A7000&lt;&gt;"",ISNUMBER(A7000)),VLOOKUP(A7000,Studies!A:BR,3,FALSE),"")</f>
        <v>https://www.ncbi.nlm.nih.gov/pmc/articles/PMC3584707/</v>
      </c>
      <c r="D7000" s="250" t="str">
        <f>IF(AND(A7000&lt;&gt;"",ISNUMBER(A7000)),VLOOKUP(A7000,Studies!A:BR,4,FALSE),"")</f>
        <v>Alfentanil IV Control simultaneous</v>
      </c>
      <c r="E7000" s="250" t="str">
        <f>IF(AND(A7000&lt;&gt;"",ISNUMBER(A7000)),VLOOKUP(A7000,Studies!A:BR,5,FALSE),"")</f>
        <v>Alfentanil</v>
      </c>
      <c r="F7000" s="251" t="str">
        <f>IF(AND(A7000&lt;&gt;"",ISNUMBER(A7000)),VLOOKUP(A7000,Studies!A:BR,6,FALSE),"")</f>
        <v>Plasma</v>
      </c>
      <c r="G7000" s="194">
        <v>27.5</v>
      </c>
      <c r="H7000" s="50" t="s">
        <v>60</v>
      </c>
      <c r="I7000" s="187">
        <v>3.6861860000000002</v>
      </c>
      <c r="J7000" s="41" t="s">
        <v>941</v>
      </c>
      <c r="K7000" s="41" t="s">
        <v>116</v>
      </c>
    </row>
    <row r="7001" spans="1:11" x14ac:dyDescent="0.2">
      <c r="A7001" s="30">
        <v>764</v>
      </c>
      <c r="B7001" s="249" t="str">
        <f>IF(AND(A7001&lt;&gt;"",ISNUMBER(A7001)),VLOOKUP(A7001,Studies!A:BR,2,FALSE),"")</f>
        <v>Kharasch 2011b</v>
      </c>
      <c r="C7001" s="250" t="str">
        <f>IF(AND(A7001&lt;&gt;"",ISNUMBER(A7001)),VLOOKUP(A7001,Studies!A:BR,3,FALSE),"")</f>
        <v>https://www.ncbi.nlm.nih.gov/pmc/articles/PMC3584707/</v>
      </c>
      <c r="D7001" s="250" t="str">
        <f>IF(AND(A7001&lt;&gt;"",ISNUMBER(A7001)),VLOOKUP(A7001,Studies!A:BR,4,FALSE),"")</f>
        <v>Alfentanil IV Control simultaneous</v>
      </c>
      <c r="E7001" s="250" t="str">
        <f>IF(AND(A7001&lt;&gt;"",ISNUMBER(A7001)),VLOOKUP(A7001,Studies!A:BR,5,FALSE),"")</f>
        <v>Alfentanil</v>
      </c>
      <c r="F7001" s="251" t="str">
        <f>IF(AND(A7001&lt;&gt;"",ISNUMBER(A7001)),VLOOKUP(A7001,Studies!A:BR,6,FALSE),"")</f>
        <v>Plasma</v>
      </c>
      <c r="G7001" s="194">
        <v>28</v>
      </c>
      <c r="H7001" s="50" t="s">
        <v>60</v>
      </c>
      <c r="I7001" s="187">
        <v>2.7953009999999998</v>
      </c>
      <c r="J7001" s="41" t="s">
        <v>941</v>
      </c>
      <c r="K7001" s="41" t="s">
        <v>116</v>
      </c>
    </row>
    <row r="7002" spans="1:11" x14ac:dyDescent="0.2">
      <c r="A7002" s="30">
        <v>764</v>
      </c>
      <c r="B7002" s="249" t="str">
        <f>IF(AND(A7002&lt;&gt;"",ISNUMBER(A7002)),VLOOKUP(A7002,Studies!A:BR,2,FALSE),"")</f>
        <v>Kharasch 2011b</v>
      </c>
      <c r="C7002" s="250" t="str">
        <f>IF(AND(A7002&lt;&gt;"",ISNUMBER(A7002)),VLOOKUP(A7002,Studies!A:BR,3,FALSE),"")</f>
        <v>https://www.ncbi.nlm.nih.gov/pmc/articles/PMC3584707/</v>
      </c>
      <c r="D7002" s="250" t="str">
        <f>IF(AND(A7002&lt;&gt;"",ISNUMBER(A7002)),VLOOKUP(A7002,Studies!A:BR,4,FALSE),"")</f>
        <v>Alfentanil IV Control simultaneous</v>
      </c>
      <c r="E7002" s="250" t="str">
        <f>IF(AND(A7002&lt;&gt;"",ISNUMBER(A7002)),VLOOKUP(A7002,Studies!A:BR,5,FALSE),"")</f>
        <v>Alfentanil</v>
      </c>
      <c r="F7002" s="251" t="str">
        <f>IF(AND(A7002&lt;&gt;"",ISNUMBER(A7002)),VLOOKUP(A7002,Studies!A:BR,6,FALSE),"")</f>
        <v>Plasma</v>
      </c>
      <c r="G7002" s="194">
        <v>29</v>
      </c>
      <c r="H7002" s="50" t="s">
        <v>60</v>
      </c>
      <c r="I7002" s="187">
        <v>1.7283980000000001</v>
      </c>
      <c r="J7002" s="41" t="s">
        <v>941</v>
      </c>
      <c r="K7002" s="41" t="s">
        <v>116</v>
      </c>
    </row>
    <row r="7003" spans="1:11" x14ac:dyDescent="0.2">
      <c r="A7003" s="30">
        <v>764</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simultaneous</v>
      </c>
      <c r="E7003" s="250" t="str">
        <f>IF(AND(A7003&lt;&gt;"",ISNUMBER(A7003)),VLOOKUP(A7003,Studies!A:BR,5,FALSE),"")</f>
        <v>Alfentanil</v>
      </c>
      <c r="F7003" s="251" t="str">
        <f>IF(AND(A7003&lt;&gt;"",ISNUMBER(A7003)),VLOOKUP(A7003,Studies!A:BR,6,FALSE),"")</f>
        <v>Plasma</v>
      </c>
      <c r="G7003" s="194">
        <v>30</v>
      </c>
      <c r="H7003" s="50" t="s">
        <v>60</v>
      </c>
      <c r="I7003" s="187">
        <v>1.2003090000000001</v>
      </c>
      <c r="J7003" s="41" t="s">
        <v>941</v>
      </c>
      <c r="K7003" s="41" t="s">
        <v>116</v>
      </c>
    </row>
    <row r="7004" spans="1:11" x14ac:dyDescent="0.2">
      <c r="A7004" s="30">
        <v>764</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simultaneous</v>
      </c>
      <c r="E7004" s="250" t="str">
        <f>IF(AND(A7004&lt;&gt;"",ISNUMBER(A7004)),VLOOKUP(A7004,Studies!A:BR,5,FALSE),"")</f>
        <v>Alfentanil</v>
      </c>
      <c r="F7004" s="251" t="str">
        <f>IF(AND(A7004&lt;&gt;"",ISNUMBER(A7004)),VLOOKUP(A7004,Studies!A:BR,6,FALSE),"")</f>
        <v>Plasma</v>
      </c>
      <c r="G7004" s="194">
        <v>31</v>
      </c>
      <c r="H7004" s="50" t="s">
        <v>60</v>
      </c>
      <c r="I7004" s="187">
        <v>0.82156050000000003</v>
      </c>
      <c r="J7004" s="41" t="s">
        <v>941</v>
      </c>
      <c r="K7004" s="41" t="s">
        <v>116</v>
      </c>
    </row>
    <row r="7005" spans="1:11" x14ac:dyDescent="0.2">
      <c r="A7005" s="30">
        <v>764</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simultaneous</v>
      </c>
      <c r="E7005" s="250" t="str">
        <f>IF(AND(A7005&lt;&gt;"",ISNUMBER(A7005)),VLOOKUP(A7005,Studies!A:BR,5,FALSE),"")</f>
        <v>Alfentanil</v>
      </c>
      <c r="F7005" s="251" t="str">
        <f>IF(AND(A7005&lt;&gt;"",ISNUMBER(A7005)),VLOOKUP(A7005,Studies!A:BR,6,FALSE),"")</f>
        <v>Plasma</v>
      </c>
      <c r="G7005" s="194">
        <v>32</v>
      </c>
      <c r="H7005" s="50" t="s">
        <v>60</v>
      </c>
      <c r="I7005" s="187">
        <v>0.46564329999999998</v>
      </c>
      <c r="J7005" s="41" t="s">
        <v>941</v>
      </c>
      <c r="K7005" s="41" t="s">
        <v>116</v>
      </c>
    </row>
    <row r="7006" spans="1:11" x14ac:dyDescent="0.2">
      <c r="A7006" s="30">
        <v>765</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Grapefruit coadmin simultaneous</v>
      </c>
      <c r="E7006" s="250" t="str">
        <f>IF(AND(A7006&lt;&gt;"",ISNUMBER(A7006)),VLOOKUP(A7006,Studies!A:BR,5,FALSE),"")</f>
        <v>Alfentanil</v>
      </c>
      <c r="F7006" s="251" t="str">
        <f>IF(AND(A7006&lt;&gt;"",ISNUMBER(A7006)),VLOOKUP(A7006,Studies!A:BR,6,FALSE),"")</f>
        <v>Plasma</v>
      </c>
      <c r="G7006" s="194">
        <v>24.083300000000001</v>
      </c>
      <c r="H7006" s="50" t="s">
        <v>60</v>
      </c>
      <c r="I7006" s="187">
        <v>47.699750000000002</v>
      </c>
      <c r="J7006" s="41" t="s">
        <v>941</v>
      </c>
      <c r="K7006" s="41" t="s">
        <v>116</v>
      </c>
    </row>
    <row r="7007" spans="1:11" x14ac:dyDescent="0.2">
      <c r="A7007" s="30">
        <v>765</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Grapefruit coadmin simultaneous</v>
      </c>
      <c r="E7007" s="250" t="str">
        <f>IF(AND(A7007&lt;&gt;"",ISNUMBER(A7007)),VLOOKUP(A7007,Studies!A:BR,5,FALSE),"")</f>
        <v>Alfentanil</v>
      </c>
      <c r="F7007" s="251" t="str">
        <f>IF(AND(A7007&lt;&gt;"",ISNUMBER(A7007)),VLOOKUP(A7007,Studies!A:BR,6,FALSE),"")</f>
        <v>Plasma</v>
      </c>
      <c r="G7007" s="194">
        <v>24.166</v>
      </c>
      <c r="H7007" s="50" t="s">
        <v>60</v>
      </c>
      <c r="I7007" s="187">
        <v>35.16366</v>
      </c>
      <c r="J7007" s="41" t="s">
        <v>941</v>
      </c>
      <c r="K7007" s="41" t="s">
        <v>116</v>
      </c>
    </row>
    <row r="7008" spans="1:11" x14ac:dyDescent="0.2">
      <c r="A7008" s="30">
        <v>765</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Grapefruit coadmin simultaneous</v>
      </c>
      <c r="E7008" s="250" t="str">
        <f>IF(AND(A7008&lt;&gt;"",ISNUMBER(A7008)),VLOOKUP(A7008,Studies!A:BR,5,FALSE),"")</f>
        <v>Alfentanil</v>
      </c>
      <c r="F7008" s="251" t="str">
        <f>IF(AND(A7008&lt;&gt;"",ISNUMBER(A7008)),VLOOKUP(A7008,Studies!A:BR,6,FALSE),"")</f>
        <v>Plasma</v>
      </c>
      <c r="G7008" s="194">
        <v>24.33</v>
      </c>
      <c r="H7008" s="50" t="s">
        <v>60</v>
      </c>
      <c r="I7008" s="187">
        <v>27.86863</v>
      </c>
      <c r="J7008" s="41" t="s">
        <v>941</v>
      </c>
      <c r="K7008" s="41" t="s">
        <v>116</v>
      </c>
    </row>
    <row r="7009" spans="1:11" x14ac:dyDescent="0.2">
      <c r="A7009" s="30">
        <v>765</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Grapefruit coadmin simultaneous</v>
      </c>
      <c r="E7009" s="250" t="str">
        <f>IF(AND(A7009&lt;&gt;"",ISNUMBER(A7009)),VLOOKUP(A7009,Studies!A:BR,5,FALSE),"")</f>
        <v>Alfentanil</v>
      </c>
      <c r="F7009" s="251" t="str">
        <f>IF(AND(A7009&lt;&gt;"",ISNUMBER(A7009)),VLOOKUP(A7009,Studies!A:BR,6,FALSE),"")</f>
        <v>Plasma</v>
      </c>
      <c r="G7009" s="194">
        <v>24.5</v>
      </c>
      <c r="H7009" s="50" t="s">
        <v>60</v>
      </c>
      <c r="I7009" s="187">
        <v>21.769490000000001</v>
      </c>
      <c r="J7009" s="41" t="s">
        <v>941</v>
      </c>
      <c r="K7009" s="41" t="s">
        <v>116</v>
      </c>
    </row>
    <row r="7010" spans="1:11" x14ac:dyDescent="0.2">
      <c r="A7010" s="30">
        <v>765</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Grapefruit coadmin simultaneous</v>
      </c>
      <c r="E7010" s="250" t="str">
        <f>IF(AND(A7010&lt;&gt;"",ISNUMBER(A7010)),VLOOKUP(A7010,Studies!A:BR,5,FALSE),"")</f>
        <v>Alfentanil</v>
      </c>
      <c r="F7010" s="251" t="str">
        <f>IF(AND(A7010&lt;&gt;"",ISNUMBER(A7010)),VLOOKUP(A7010,Studies!A:BR,6,FALSE),"")</f>
        <v>Plasma</v>
      </c>
      <c r="G7010" s="194">
        <v>25</v>
      </c>
      <c r="H7010" s="50" t="s">
        <v>60</v>
      </c>
      <c r="I7010" s="187">
        <v>13.66864</v>
      </c>
      <c r="J7010" s="41" t="s">
        <v>941</v>
      </c>
      <c r="K7010" s="41" t="s">
        <v>116</v>
      </c>
    </row>
    <row r="7011" spans="1:11" x14ac:dyDescent="0.2">
      <c r="A7011" s="30">
        <v>765</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Grapefruit coadmin simultaneous</v>
      </c>
      <c r="E7011" s="250" t="str">
        <f>IF(AND(A7011&lt;&gt;"",ISNUMBER(A7011)),VLOOKUP(A7011,Studies!A:BR,5,FALSE),"")</f>
        <v>Alfentanil</v>
      </c>
      <c r="F7011" s="251" t="str">
        <f>IF(AND(A7011&lt;&gt;"",ISNUMBER(A7011)),VLOOKUP(A7011,Studies!A:BR,6,FALSE),"")</f>
        <v>Plasma</v>
      </c>
      <c r="G7011" s="194">
        <v>25.5</v>
      </c>
      <c r="H7011" s="50" t="s">
        <v>60</v>
      </c>
      <c r="I7011" s="187">
        <v>10.98606</v>
      </c>
      <c r="J7011" s="41" t="s">
        <v>941</v>
      </c>
      <c r="K7011" s="41" t="s">
        <v>116</v>
      </c>
    </row>
    <row r="7012" spans="1:11" x14ac:dyDescent="0.2">
      <c r="A7012" s="30">
        <v>765</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Grapefruit coadmin simultaneous</v>
      </c>
      <c r="E7012" s="250" t="str">
        <f>IF(AND(A7012&lt;&gt;"",ISNUMBER(A7012)),VLOOKUP(A7012,Studies!A:BR,5,FALSE),"")</f>
        <v>Alfentanil</v>
      </c>
      <c r="F7012" s="251" t="str">
        <f>IF(AND(A7012&lt;&gt;"",ISNUMBER(A7012)),VLOOKUP(A7012,Studies!A:BR,6,FALSE),"")</f>
        <v>Plasma</v>
      </c>
      <c r="G7012" s="194">
        <v>26</v>
      </c>
      <c r="H7012" s="50" t="s">
        <v>60</v>
      </c>
      <c r="I7012" s="187">
        <v>9.0891280000000005</v>
      </c>
      <c r="J7012" s="41" t="s">
        <v>941</v>
      </c>
      <c r="K7012" s="41" t="s">
        <v>116</v>
      </c>
    </row>
    <row r="7013" spans="1:11" x14ac:dyDescent="0.2">
      <c r="A7013" s="30">
        <v>765</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Grapefruit coadmin simultaneous</v>
      </c>
      <c r="E7013" s="250" t="str">
        <f>IF(AND(A7013&lt;&gt;"",ISNUMBER(A7013)),VLOOKUP(A7013,Studies!A:BR,5,FALSE),"")</f>
        <v>Alfentanil</v>
      </c>
      <c r="F7013" s="251" t="str">
        <f>IF(AND(A7013&lt;&gt;"",ISNUMBER(A7013)),VLOOKUP(A7013,Studies!A:BR,6,FALSE),"")</f>
        <v>Plasma</v>
      </c>
      <c r="G7013" s="194">
        <v>26.5</v>
      </c>
      <c r="H7013" s="50" t="s">
        <v>60</v>
      </c>
      <c r="I7013" s="187">
        <v>7.1989179999999999</v>
      </c>
      <c r="J7013" s="41" t="s">
        <v>941</v>
      </c>
      <c r="K7013" s="41" t="s">
        <v>116</v>
      </c>
    </row>
    <row r="7014" spans="1:11" x14ac:dyDescent="0.2">
      <c r="A7014" s="30">
        <v>765</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Grapefruit coadmin simultaneous</v>
      </c>
      <c r="E7014" s="250" t="str">
        <f>IF(AND(A7014&lt;&gt;"",ISNUMBER(A7014)),VLOOKUP(A7014,Studies!A:BR,5,FALSE),"")</f>
        <v>Alfentanil</v>
      </c>
      <c r="F7014" s="251" t="str">
        <f>IF(AND(A7014&lt;&gt;"",ISNUMBER(A7014)),VLOOKUP(A7014,Studies!A:BR,6,FALSE),"")</f>
        <v>Plasma</v>
      </c>
      <c r="G7014" s="194">
        <v>27</v>
      </c>
      <c r="H7014" s="50" t="s">
        <v>60</v>
      </c>
      <c r="I7014" s="187">
        <v>6.1312990000000003</v>
      </c>
      <c r="J7014" s="41" t="s">
        <v>941</v>
      </c>
      <c r="K7014" s="41" t="s">
        <v>116</v>
      </c>
    </row>
    <row r="7015" spans="1:11" x14ac:dyDescent="0.2">
      <c r="A7015" s="30">
        <v>765</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Grapefruit coadmin simultaneous</v>
      </c>
      <c r="E7015" s="250" t="str">
        <f>IF(AND(A7015&lt;&gt;"",ISNUMBER(A7015)),VLOOKUP(A7015,Studies!A:BR,5,FALSE),"")</f>
        <v>Alfentanil</v>
      </c>
      <c r="F7015" s="251" t="str">
        <f>IF(AND(A7015&lt;&gt;"",ISNUMBER(A7015)),VLOOKUP(A7015,Studies!A:BR,6,FALSE),"")</f>
        <v>Plasma</v>
      </c>
      <c r="G7015" s="194">
        <v>27.5</v>
      </c>
      <c r="H7015" s="50" t="s">
        <v>60</v>
      </c>
      <c r="I7015" s="187">
        <v>5.0724640000000001</v>
      </c>
      <c r="J7015" s="41" t="s">
        <v>941</v>
      </c>
      <c r="K7015" s="41" t="s">
        <v>116</v>
      </c>
    </row>
    <row r="7016" spans="1:11" x14ac:dyDescent="0.2">
      <c r="A7016" s="30">
        <v>765</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Grapefruit coadmin simultaneous</v>
      </c>
      <c r="E7016" s="250" t="str">
        <f>IF(AND(A7016&lt;&gt;"",ISNUMBER(A7016)),VLOOKUP(A7016,Studies!A:BR,5,FALSE),"")</f>
        <v>Alfentanil</v>
      </c>
      <c r="F7016" s="251" t="str">
        <f>IF(AND(A7016&lt;&gt;"",ISNUMBER(A7016)),VLOOKUP(A7016,Studies!A:BR,6,FALSE),"")</f>
        <v>Plasma</v>
      </c>
      <c r="G7016" s="194">
        <v>28</v>
      </c>
      <c r="H7016" s="50" t="s">
        <v>60</v>
      </c>
      <c r="I7016" s="187">
        <v>3.7365020000000002</v>
      </c>
      <c r="J7016" s="41" t="s">
        <v>941</v>
      </c>
      <c r="K7016" s="41" t="s">
        <v>116</v>
      </c>
    </row>
    <row r="7017" spans="1:11" x14ac:dyDescent="0.2">
      <c r="A7017" s="30">
        <v>765</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simultaneous</v>
      </c>
      <c r="E7017" s="250" t="str">
        <f>IF(AND(A7017&lt;&gt;"",ISNUMBER(A7017)),VLOOKUP(A7017,Studies!A:BR,5,FALSE),"")</f>
        <v>Alfentanil</v>
      </c>
      <c r="F7017" s="251" t="str">
        <f>IF(AND(A7017&lt;&gt;"",ISNUMBER(A7017)),VLOOKUP(A7017,Studies!A:BR,6,FALSE),"")</f>
        <v>Plasma</v>
      </c>
      <c r="G7017" s="194">
        <v>29</v>
      </c>
      <c r="H7017" s="50" t="s">
        <v>60</v>
      </c>
      <c r="I7017" s="187">
        <v>2.5206309999999998</v>
      </c>
      <c r="J7017" s="41" t="s">
        <v>941</v>
      </c>
      <c r="K7017" s="41" t="s">
        <v>116</v>
      </c>
    </row>
    <row r="7018" spans="1:11" x14ac:dyDescent="0.2">
      <c r="A7018" s="30">
        <v>765</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simultaneous</v>
      </c>
      <c r="E7018" s="250" t="str">
        <f>IF(AND(A7018&lt;&gt;"",ISNUMBER(A7018)),VLOOKUP(A7018,Studies!A:BR,5,FALSE),"")</f>
        <v>Alfentanil</v>
      </c>
      <c r="F7018" s="251" t="str">
        <f>IF(AND(A7018&lt;&gt;"",ISNUMBER(A7018)),VLOOKUP(A7018,Studies!A:BR,6,FALSE),"")</f>
        <v>Plasma</v>
      </c>
      <c r="G7018" s="194">
        <v>30</v>
      </c>
      <c r="H7018" s="50" t="s">
        <v>60</v>
      </c>
      <c r="I7018" s="187">
        <v>1.725266</v>
      </c>
      <c r="J7018" s="41" t="s">
        <v>941</v>
      </c>
      <c r="K7018" s="41" t="s">
        <v>116</v>
      </c>
    </row>
    <row r="7019" spans="1:11" x14ac:dyDescent="0.2">
      <c r="A7019" s="30">
        <v>765</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Grapefruit coadmin simultaneous</v>
      </c>
      <c r="E7019" s="250" t="str">
        <f>IF(AND(A7019&lt;&gt;"",ISNUMBER(A7019)),VLOOKUP(A7019,Studies!A:BR,5,FALSE),"")</f>
        <v>Alfentanil</v>
      </c>
      <c r="F7019" s="251" t="str">
        <f>IF(AND(A7019&lt;&gt;"",ISNUMBER(A7019)),VLOOKUP(A7019,Studies!A:BR,6,FALSE),"")</f>
        <v>Plasma</v>
      </c>
      <c r="G7019" s="194">
        <v>31</v>
      </c>
      <c r="H7019" s="50" t="s">
        <v>60</v>
      </c>
      <c r="I7019" s="187">
        <v>1.1142749999999999</v>
      </c>
      <c r="J7019" s="41" t="s">
        <v>941</v>
      </c>
      <c r="K7019" s="41" t="s">
        <v>116</v>
      </c>
    </row>
    <row r="7020" spans="1:11" x14ac:dyDescent="0.2">
      <c r="A7020" s="30">
        <v>765</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Grapefruit coadmin simultaneous</v>
      </c>
      <c r="E7020" s="250" t="str">
        <f>IF(AND(A7020&lt;&gt;"",ISNUMBER(A7020)),VLOOKUP(A7020,Studies!A:BR,5,FALSE),"")</f>
        <v>Alfentanil</v>
      </c>
      <c r="F7020" s="251" t="str">
        <f>IF(AND(A7020&lt;&gt;"",ISNUMBER(A7020)),VLOOKUP(A7020,Studies!A:BR,6,FALSE),"")</f>
        <v>Plasma</v>
      </c>
      <c r="G7020" s="194">
        <v>32</v>
      </c>
      <c r="H7020" s="50" t="s">
        <v>60</v>
      </c>
      <c r="I7020" s="187">
        <v>0.76267430000000003</v>
      </c>
      <c r="J7020" s="41" t="s">
        <v>941</v>
      </c>
      <c r="K7020" s="41" t="s">
        <v>116</v>
      </c>
    </row>
    <row r="7021" spans="1:11" x14ac:dyDescent="0.2">
      <c r="A7021" s="30">
        <v>766</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Ketoconazole coadmin simultaneous</v>
      </c>
      <c r="E7021" s="250" t="str">
        <f>IF(AND(A7021&lt;&gt;"",ISNUMBER(A7021)),VLOOKUP(A7021,Studies!A:BR,5,FALSE),"")</f>
        <v>Alfentanil</v>
      </c>
      <c r="F7021" s="251" t="str">
        <f>IF(AND(A7021&lt;&gt;"",ISNUMBER(A7021)),VLOOKUP(A7021,Studies!A:BR,6,FALSE),"")</f>
        <v>Plasma</v>
      </c>
      <c r="G7021" s="194">
        <v>84.083299999999994</v>
      </c>
      <c r="H7021" s="50" t="s">
        <v>60</v>
      </c>
      <c r="I7021" s="187">
        <v>36.209580000000003</v>
      </c>
      <c r="J7021" s="41" t="s">
        <v>941</v>
      </c>
      <c r="K7021" s="41" t="s">
        <v>116</v>
      </c>
    </row>
    <row r="7022" spans="1:11" x14ac:dyDescent="0.2">
      <c r="A7022" s="30">
        <v>766</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Ketoconazole coadmin simultaneous</v>
      </c>
      <c r="E7022" s="250" t="str">
        <f>IF(AND(A7022&lt;&gt;"",ISNUMBER(A7022)),VLOOKUP(A7022,Studies!A:BR,5,FALSE),"")</f>
        <v>Alfentanil</v>
      </c>
      <c r="F7022" s="251" t="str">
        <f>IF(AND(A7022&lt;&gt;"",ISNUMBER(A7022)),VLOOKUP(A7022,Studies!A:BR,6,FALSE),"")</f>
        <v>Plasma</v>
      </c>
      <c r="G7022" s="194">
        <v>84.5</v>
      </c>
      <c r="H7022" s="50" t="s">
        <v>60</v>
      </c>
      <c r="I7022" s="187">
        <v>18.55696</v>
      </c>
      <c r="J7022" s="41" t="s">
        <v>941</v>
      </c>
      <c r="K7022" s="41" t="s">
        <v>116</v>
      </c>
    </row>
    <row r="7023" spans="1:11" x14ac:dyDescent="0.2">
      <c r="A7023" s="30">
        <v>766</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Ketoconazole coadmin simultaneous</v>
      </c>
      <c r="E7023" s="250" t="str">
        <f>IF(AND(A7023&lt;&gt;"",ISNUMBER(A7023)),VLOOKUP(A7023,Studies!A:BR,5,FALSE),"")</f>
        <v>Alfentanil</v>
      </c>
      <c r="F7023" s="251" t="str">
        <f>IF(AND(A7023&lt;&gt;"",ISNUMBER(A7023)),VLOOKUP(A7023,Studies!A:BR,6,FALSE),"")</f>
        <v>Plasma</v>
      </c>
      <c r="G7023" s="194">
        <v>84.75</v>
      </c>
      <c r="H7023" s="50" t="s">
        <v>60</v>
      </c>
      <c r="I7023" s="187">
        <v>17.001380000000001</v>
      </c>
      <c r="J7023" s="41" t="s">
        <v>941</v>
      </c>
      <c r="K7023" s="41" t="s">
        <v>116</v>
      </c>
    </row>
    <row r="7024" spans="1:11" x14ac:dyDescent="0.2">
      <c r="A7024" s="30">
        <v>766</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Ketoconazole coadmin simultaneous</v>
      </c>
      <c r="E7024" s="250" t="str">
        <f>IF(AND(A7024&lt;&gt;"",ISNUMBER(A7024)),VLOOKUP(A7024,Studies!A:BR,5,FALSE),"")</f>
        <v>Alfentanil</v>
      </c>
      <c r="F7024" s="251" t="str">
        <f>IF(AND(A7024&lt;&gt;"",ISNUMBER(A7024)),VLOOKUP(A7024,Studies!A:BR,6,FALSE),"")</f>
        <v>Plasma</v>
      </c>
      <c r="G7024" s="194">
        <v>85</v>
      </c>
      <c r="H7024" s="50" t="s">
        <v>60</v>
      </c>
      <c r="I7024" s="187">
        <v>15.577199999999999</v>
      </c>
      <c r="J7024" s="41" t="s">
        <v>941</v>
      </c>
      <c r="K7024" s="41" t="s">
        <v>116</v>
      </c>
    </row>
    <row r="7025" spans="1:11" x14ac:dyDescent="0.2">
      <c r="A7025" s="30">
        <v>766</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Ketoconazole coadmin simultaneous</v>
      </c>
      <c r="E7025" s="250" t="str">
        <f>IF(AND(A7025&lt;&gt;"",ISNUMBER(A7025)),VLOOKUP(A7025,Studies!A:BR,5,FALSE),"")</f>
        <v>Alfentanil</v>
      </c>
      <c r="F7025" s="251" t="str">
        <f>IF(AND(A7025&lt;&gt;"",ISNUMBER(A7025)),VLOOKUP(A7025,Studies!A:BR,6,FALSE),"")</f>
        <v>Plasma</v>
      </c>
      <c r="G7025" s="194">
        <v>85.5</v>
      </c>
      <c r="H7025" s="50" t="s">
        <v>60</v>
      </c>
      <c r="I7025" s="187">
        <v>14.059990000000001</v>
      </c>
      <c r="J7025" s="41" t="s">
        <v>941</v>
      </c>
      <c r="K7025" s="41" t="s">
        <v>116</v>
      </c>
    </row>
    <row r="7026" spans="1:11" x14ac:dyDescent="0.2">
      <c r="A7026" s="30">
        <v>766</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Ketoconazole coadmin simultaneous</v>
      </c>
      <c r="E7026" s="250" t="str">
        <f>IF(AND(A7026&lt;&gt;"",ISNUMBER(A7026)),VLOOKUP(A7026,Studies!A:BR,5,FALSE),"")</f>
        <v>Alfentanil</v>
      </c>
      <c r="F7026" s="251" t="str">
        <f>IF(AND(A7026&lt;&gt;"",ISNUMBER(A7026)),VLOOKUP(A7026,Studies!A:BR,6,FALSE),"")</f>
        <v>Plasma</v>
      </c>
      <c r="G7026" s="194">
        <v>86</v>
      </c>
      <c r="H7026" s="50" t="s">
        <v>60</v>
      </c>
      <c r="I7026" s="187">
        <v>13.06386</v>
      </c>
      <c r="J7026" s="41" t="s">
        <v>941</v>
      </c>
      <c r="K7026" s="41" t="s">
        <v>116</v>
      </c>
    </row>
    <row r="7027" spans="1:11" x14ac:dyDescent="0.2">
      <c r="A7027" s="30">
        <v>766</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Ketoconazole coadmin simultaneous</v>
      </c>
      <c r="E7027" s="250" t="str">
        <f>IF(AND(A7027&lt;&gt;"",ISNUMBER(A7027)),VLOOKUP(A7027,Studies!A:BR,5,FALSE),"")</f>
        <v>Alfentanil</v>
      </c>
      <c r="F7027" s="251" t="str">
        <f>IF(AND(A7027&lt;&gt;"",ISNUMBER(A7027)),VLOOKUP(A7027,Studies!A:BR,6,FALSE),"")</f>
        <v>Plasma</v>
      </c>
      <c r="G7027" s="194">
        <v>86.5</v>
      </c>
      <c r="H7027" s="50" t="s">
        <v>60</v>
      </c>
      <c r="I7027" s="187">
        <v>12.863759999999999</v>
      </c>
      <c r="J7027" s="41" t="s">
        <v>941</v>
      </c>
      <c r="K7027" s="41" t="s">
        <v>116</v>
      </c>
    </row>
    <row r="7028" spans="1:11" x14ac:dyDescent="0.2">
      <c r="A7028" s="30">
        <v>766</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Ketoconazole coadmin simultaneous</v>
      </c>
      <c r="E7028" s="250" t="str">
        <f>IF(AND(A7028&lt;&gt;"",ISNUMBER(A7028)),VLOOKUP(A7028,Studies!A:BR,5,FALSE),"")</f>
        <v>Alfentanil</v>
      </c>
      <c r="F7028" s="251" t="str">
        <f>IF(AND(A7028&lt;&gt;"",ISNUMBER(A7028)),VLOOKUP(A7028,Studies!A:BR,6,FALSE),"")</f>
        <v>Plasma</v>
      </c>
      <c r="G7028" s="194">
        <v>87</v>
      </c>
      <c r="H7028" s="50" t="s">
        <v>60</v>
      </c>
      <c r="I7028" s="187">
        <v>12.30477</v>
      </c>
      <c r="J7028" s="41" t="s">
        <v>941</v>
      </c>
      <c r="K7028" s="41" t="s">
        <v>116</v>
      </c>
    </row>
    <row r="7029" spans="1:11" x14ac:dyDescent="0.2">
      <c r="A7029" s="30">
        <v>766</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Ketoconazole coadmin simultaneous</v>
      </c>
      <c r="E7029" s="250" t="str">
        <f>IF(AND(A7029&lt;&gt;"",ISNUMBER(A7029)),VLOOKUP(A7029,Studies!A:BR,5,FALSE),"")</f>
        <v>Alfentanil</v>
      </c>
      <c r="F7029" s="251" t="str">
        <f>IF(AND(A7029&lt;&gt;"",ISNUMBER(A7029)),VLOOKUP(A7029,Studies!A:BR,6,FALSE),"")</f>
        <v>Plasma</v>
      </c>
      <c r="G7029" s="194">
        <v>87.5</v>
      </c>
      <c r="H7029" s="50" t="s">
        <v>60</v>
      </c>
      <c r="I7029" s="187">
        <v>11.941739999999999</v>
      </c>
      <c r="J7029" s="41" t="s">
        <v>941</v>
      </c>
      <c r="K7029" s="41" t="s">
        <v>116</v>
      </c>
    </row>
    <row r="7030" spans="1:11" x14ac:dyDescent="0.2">
      <c r="A7030" s="30">
        <v>766</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simultaneous</v>
      </c>
      <c r="E7030" s="250" t="str">
        <f>IF(AND(A7030&lt;&gt;"",ISNUMBER(A7030)),VLOOKUP(A7030,Studies!A:BR,5,FALSE),"")</f>
        <v>Alfentanil</v>
      </c>
      <c r="F7030" s="251" t="str">
        <f>IF(AND(A7030&lt;&gt;"",ISNUMBER(A7030)),VLOOKUP(A7030,Studies!A:BR,6,FALSE),"")</f>
        <v>Plasma</v>
      </c>
      <c r="G7030" s="194">
        <v>88</v>
      </c>
      <c r="H7030" s="50" t="s">
        <v>60</v>
      </c>
      <c r="I7030" s="187">
        <v>10.778269999999999</v>
      </c>
      <c r="J7030" s="41" t="s">
        <v>941</v>
      </c>
      <c r="K7030" s="41" t="s">
        <v>116</v>
      </c>
    </row>
    <row r="7031" spans="1:11" x14ac:dyDescent="0.2">
      <c r="A7031" s="30">
        <v>766</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simultaneous</v>
      </c>
      <c r="E7031" s="250" t="str">
        <f>IF(AND(A7031&lt;&gt;"",ISNUMBER(A7031)),VLOOKUP(A7031,Studies!A:BR,5,FALSE),"")</f>
        <v>Alfentanil</v>
      </c>
      <c r="F7031" s="251" t="str">
        <f>IF(AND(A7031&lt;&gt;"",ISNUMBER(A7031)),VLOOKUP(A7031,Studies!A:BR,6,FALSE),"")</f>
        <v>Plasma</v>
      </c>
      <c r="G7031" s="194">
        <v>89</v>
      </c>
      <c r="H7031" s="50" t="s">
        <v>60</v>
      </c>
      <c r="I7031" s="187">
        <v>9.1716499999999996</v>
      </c>
      <c r="J7031" s="41" t="s">
        <v>941</v>
      </c>
      <c r="K7031" s="41" t="s">
        <v>116</v>
      </c>
    </row>
    <row r="7032" spans="1:11" x14ac:dyDescent="0.2">
      <c r="A7032" s="30">
        <v>766</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simultaneous</v>
      </c>
      <c r="E7032" s="250" t="str">
        <f>IF(AND(A7032&lt;&gt;"",ISNUMBER(A7032)),VLOOKUP(A7032,Studies!A:BR,5,FALSE),"")</f>
        <v>Alfentanil</v>
      </c>
      <c r="F7032" s="251" t="str">
        <f>IF(AND(A7032&lt;&gt;"",ISNUMBER(A7032)),VLOOKUP(A7032,Studies!A:BR,6,FALSE),"")</f>
        <v>Plasma</v>
      </c>
      <c r="G7032" s="194">
        <v>90</v>
      </c>
      <c r="H7032" s="50" t="s">
        <v>60</v>
      </c>
      <c r="I7032" s="187">
        <v>7.9183459999999997</v>
      </c>
      <c r="J7032" s="41" t="s">
        <v>941</v>
      </c>
      <c r="K7032" s="41" t="s">
        <v>116</v>
      </c>
    </row>
    <row r="7033" spans="1:11" x14ac:dyDescent="0.2">
      <c r="A7033" s="30">
        <v>766</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simultaneous</v>
      </c>
      <c r="E7033" s="250" t="str">
        <f>IF(AND(A7033&lt;&gt;"",ISNUMBER(A7033)),VLOOKUP(A7033,Studies!A:BR,5,FALSE),"")</f>
        <v>Alfentanil</v>
      </c>
      <c r="F7033" s="251" t="str">
        <f>IF(AND(A7033&lt;&gt;"",ISNUMBER(A7033)),VLOOKUP(A7033,Studies!A:BR,6,FALSE),"")</f>
        <v>Plasma</v>
      </c>
      <c r="G7033" s="194">
        <v>91</v>
      </c>
      <c r="H7033" s="50" t="s">
        <v>60</v>
      </c>
      <c r="I7033" s="187">
        <v>7.5670270000000004</v>
      </c>
      <c r="J7033" s="41" t="s">
        <v>941</v>
      </c>
      <c r="K7033" s="41" t="s">
        <v>116</v>
      </c>
    </row>
    <row r="7034" spans="1:11" x14ac:dyDescent="0.2">
      <c r="A7034" s="30">
        <v>766</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simultaneous</v>
      </c>
      <c r="E7034" s="250" t="str">
        <f>IF(AND(A7034&lt;&gt;"",ISNUMBER(A7034)),VLOOKUP(A7034,Studies!A:BR,5,FALSE),"")</f>
        <v>Alfentanil</v>
      </c>
      <c r="F7034" s="251" t="str">
        <f>IF(AND(A7034&lt;&gt;"",ISNUMBER(A7034)),VLOOKUP(A7034,Studies!A:BR,6,FALSE),"")</f>
        <v>Plasma</v>
      </c>
      <c r="G7034" s="194">
        <v>92</v>
      </c>
      <c r="H7034" s="50" t="s">
        <v>60</v>
      </c>
      <c r="I7034" s="187">
        <v>6.3461040000000004</v>
      </c>
      <c r="J7034" s="41" t="s">
        <v>941</v>
      </c>
      <c r="K7034" s="41" t="s">
        <v>116</v>
      </c>
    </row>
    <row r="7035" spans="1:11" x14ac:dyDescent="0.2">
      <c r="A7035" s="30">
        <v>767</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Rifampin coadmin simultaneous</v>
      </c>
      <c r="E7035" s="250" t="str">
        <f>IF(AND(A7035&lt;&gt;"",ISNUMBER(A7035)),VLOOKUP(A7035,Studies!A:BR,5,FALSE),"")</f>
        <v>Alfentanil</v>
      </c>
      <c r="F7035" s="251" t="str">
        <f>IF(AND(A7035&lt;&gt;"",ISNUMBER(A7035)),VLOOKUP(A7035,Studies!A:BR,6,FALSE),"")</f>
        <v>Plasma</v>
      </c>
      <c r="G7035" s="194">
        <v>132.166</v>
      </c>
      <c r="H7035" s="50" t="s">
        <v>60</v>
      </c>
      <c r="I7035" s="187">
        <v>21.468150000000001</v>
      </c>
      <c r="J7035" s="41" t="s">
        <v>941</v>
      </c>
      <c r="K7035" s="41" t="s">
        <v>116</v>
      </c>
    </row>
    <row r="7036" spans="1:11" x14ac:dyDescent="0.2">
      <c r="A7036" s="30">
        <v>767</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Rifampin coadmin simultaneous</v>
      </c>
      <c r="E7036" s="250" t="str">
        <f>IF(AND(A7036&lt;&gt;"",ISNUMBER(A7036)),VLOOKUP(A7036,Studies!A:BR,5,FALSE),"")</f>
        <v>Alfentanil</v>
      </c>
      <c r="F7036" s="251" t="str">
        <f>IF(AND(A7036&lt;&gt;"",ISNUMBER(A7036)),VLOOKUP(A7036,Studies!A:BR,6,FALSE),"")</f>
        <v>Plasma</v>
      </c>
      <c r="G7036" s="194">
        <v>132.33000000000001</v>
      </c>
      <c r="H7036" s="50" t="s">
        <v>60</v>
      </c>
      <c r="I7036" s="187">
        <v>12.010730000000001</v>
      </c>
      <c r="J7036" s="41" t="s">
        <v>941</v>
      </c>
      <c r="K7036" s="41" t="s">
        <v>116</v>
      </c>
    </row>
    <row r="7037" spans="1:11" x14ac:dyDescent="0.2">
      <c r="A7037" s="30">
        <v>767</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Rifampin coadmin simultaneous</v>
      </c>
      <c r="E7037" s="250" t="str">
        <f>IF(AND(A7037&lt;&gt;"",ISNUMBER(A7037)),VLOOKUP(A7037,Studies!A:BR,5,FALSE),"")</f>
        <v>Alfentanil</v>
      </c>
      <c r="F7037" s="251" t="str">
        <f>IF(AND(A7037&lt;&gt;"",ISNUMBER(A7037)),VLOOKUP(A7037,Studies!A:BR,6,FALSE),"")</f>
        <v>Plasma</v>
      </c>
      <c r="G7037" s="194">
        <v>132.5</v>
      </c>
      <c r="H7037" s="50" t="s">
        <v>60</v>
      </c>
      <c r="I7037" s="187">
        <v>9.3818450000000002</v>
      </c>
      <c r="J7037" s="41" t="s">
        <v>941</v>
      </c>
      <c r="K7037" s="41" t="s">
        <v>116</v>
      </c>
    </row>
    <row r="7038" spans="1:11" x14ac:dyDescent="0.2">
      <c r="A7038" s="30">
        <v>767</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Rifampin coadmin simultaneous</v>
      </c>
      <c r="E7038" s="250" t="str">
        <f>IF(AND(A7038&lt;&gt;"",ISNUMBER(A7038)),VLOOKUP(A7038,Studies!A:BR,5,FALSE),"")</f>
        <v>Alfentanil</v>
      </c>
      <c r="F7038" s="251" t="str">
        <f>IF(AND(A7038&lt;&gt;"",ISNUMBER(A7038)),VLOOKUP(A7038,Studies!A:BR,6,FALSE),"")</f>
        <v>Plasma</v>
      </c>
      <c r="G7038" s="194">
        <v>132.75</v>
      </c>
      <c r="H7038" s="50" t="s">
        <v>60</v>
      </c>
      <c r="I7038" s="187">
        <v>5.725625</v>
      </c>
      <c r="J7038" s="41" t="s">
        <v>941</v>
      </c>
      <c r="K7038" s="41" t="s">
        <v>116</v>
      </c>
    </row>
    <row r="7039" spans="1:11" x14ac:dyDescent="0.2">
      <c r="A7039" s="30">
        <v>767</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Rifampin coadmin simultaneous</v>
      </c>
      <c r="E7039" s="250" t="str">
        <f>IF(AND(A7039&lt;&gt;"",ISNUMBER(A7039)),VLOOKUP(A7039,Studies!A:BR,5,FALSE),"")</f>
        <v>Alfentanil</v>
      </c>
      <c r="F7039" s="251" t="str">
        <f>IF(AND(A7039&lt;&gt;"",ISNUMBER(A7039)),VLOOKUP(A7039,Studies!A:BR,6,FALSE),"")</f>
        <v>Plasma</v>
      </c>
      <c r="G7039" s="194">
        <v>133</v>
      </c>
      <c r="H7039" s="50" t="s">
        <v>60</v>
      </c>
      <c r="I7039" s="187">
        <v>4.4717000000000002</v>
      </c>
      <c r="J7039" s="41" t="s">
        <v>941</v>
      </c>
      <c r="K7039" s="41" t="s">
        <v>116</v>
      </c>
    </row>
    <row r="7040" spans="1:11" x14ac:dyDescent="0.2">
      <c r="A7040" s="30">
        <v>767</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Rifampin coadmin simultaneous</v>
      </c>
      <c r="E7040" s="250" t="str">
        <f>IF(AND(A7040&lt;&gt;"",ISNUMBER(A7040)),VLOOKUP(A7040,Studies!A:BR,5,FALSE),"")</f>
        <v>Alfentanil</v>
      </c>
      <c r="F7040" s="251" t="str">
        <f>IF(AND(A7040&lt;&gt;"",ISNUMBER(A7040)),VLOOKUP(A7040,Studies!A:BR,6,FALSE),"")</f>
        <v>Plasma</v>
      </c>
      <c r="G7040" s="194">
        <v>133.5</v>
      </c>
      <c r="H7040" s="50" t="s">
        <v>60</v>
      </c>
      <c r="I7040" s="187">
        <v>2.6884220000000001</v>
      </c>
      <c r="J7040" s="41" t="s">
        <v>941</v>
      </c>
      <c r="K7040" s="41" t="s">
        <v>116</v>
      </c>
    </row>
    <row r="7041" spans="1:11" x14ac:dyDescent="0.2">
      <c r="A7041" s="30">
        <v>767</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Rifampin coadmin simultaneous</v>
      </c>
      <c r="E7041" s="250" t="str">
        <f>IF(AND(A7041&lt;&gt;"",ISNUMBER(A7041)),VLOOKUP(A7041,Studies!A:BR,5,FALSE),"")</f>
        <v>Alfentanil</v>
      </c>
      <c r="F7041" s="251" t="str">
        <f>IF(AND(A7041&lt;&gt;"",ISNUMBER(A7041)),VLOOKUP(A7041,Studies!A:BR,6,FALSE),"")</f>
        <v>Plasma</v>
      </c>
      <c r="G7041" s="194">
        <v>134</v>
      </c>
      <c r="H7041" s="50" t="s">
        <v>60</v>
      </c>
      <c r="I7041" s="187">
        <v>1.688115</v>
      </c>
      <c r="J7041" s="41" t="s">
        <v>941</v>
      </c>
      <c r="K7041" s="41" t="s">
        <v>116</v>
      </c>
    </row>
    <row r="7042" spans="1:11" x14ac:dyDescent="0.2">
      <c r="A7042" s="30">
        <v>767</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Rifampin coadmin simultaneous</v>
      </c>
      <c r="E7042" s="250" t="str">
        <f>IF(AND(A7042&lt;&gt;"",ISNUMBER(A7042)),VLOOKUP(A7042,Studies!A:BR,5,FALSE),"")</f>
        <v>Alfentanil</v>
      </c>
      <c r="F7042" s="251" t="str">
        <f>IF(AND(A7042&lt;&gt;"",ISNUMBER(A7042)),VLOOKUP(A7042,Studies!A:BR,6,FALSE),"")</f>
        <v>Plasma</v>
      </c>
      <c r="G7042" s="194">
        <v>134.5</v>
      </c>
      <c r="H7042" s="50" t="s">
        <v>60</v>
      </c>
      <c r="I7042" s="187">
        <v>1.156474</v>
      </c>
      <c r="J7042" s="41" t="s">
        <v>941</v>
      </c>
      <c r="K7042" s="41" t="s">
        <v>116</v>
      </c>
    </row>
    <row r="7043" spans="1:11" x14ac:dyDescent="0.2">
      <c r="A7043" s="30">
        <v>767</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Rifampin coadmin simultaneous</v>
      </c>
      <c r="E7043" s="250" t="str">
        <f>IF(AND(A7043&lt;&gt;"",ISNUMBER(A7043)),VLOOKUP(A7043,Studies!A:BR,5,FALSE),"")</f>
        <v>Alfentanil</v>
      </c>
      <c r="F7043" s="251" t="str">
        <f>IF(AND(A7043&lt;&gt;"",ISNUMBER(A7043)),VLOOKUP(A7043,Studies!A:BR,6,FALSE),"")</f>
        <v>Plasma</v>
      </c>
      <c r="G7043" s="194">
        <v>135</v>
      </c>
      <c r="H7043" s="50" t="s">
        <v>60</v>
      </c>
      <c r="I7043" s="187">
        <v>0.74763049999999998</v>
      </c>
      <c r="J7043" s="41" t="s">
        <v>941</v>
      </c>
      <c r="K7043" s="41" t="s">
        <v>116</v>
      </c>
    </row>
    <row r="7044" spans="1:11" x14ac:dyDescent="0.2">
      <c r="A7044" s="30">
        <v>767</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Rifampin coadmin simultaneous</v>
      </c>
      <c r="E7044" s="250" t="str">
        <f>IF(AND(A7044&lt;&gt;"",ISNUMBER(A7044)),VLOOKUP(A7044,Studies!A:BR,5,FALSE),"")</f>
        <v>Alfentanil</v>
      </c>
      <c r="F7044" s="251" t="str">
        <f>IF(AND(A7044&lt;&gt;"",ISNUMBER(A7044)),VLOOKUP(A7044,Studies!A:BR,6,FALSE),"")</f>
        <v>Plasma</v>
      </c>
      <c r="G7044" s="194">
        <v>135.5</v>
      </c>
      <c r="H7044" s="50" t="s">
        <v>60</v>
      </c>
      <c r="I7044" s="187">
        <v>0.41799540000000002</v>
      </c>
      <c r="J7044" s="41" t="s">
        <v>941</v>
      </c>
      <c r="K7044" s="41" t="s">
        <v>116</v>
      </c>
    </row>
    <row r="7045" spans="1:11" x14ac:dyDescent="0.2">
      <c r="A7045" s="30">
        <v>767</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Rifampin coadmin simultaneous</v>
      </c>
      <c r="E7045" s="250" t="str">
        <f>IF(AND(A7045&lt;&gt;"",ISNUMBER(A7045)),VLOOKUP(A7045,Studies!A:BR,5,FALSE),"")</f>
        <v>Alfentanil</v>
      </c>
      <c r="F7045" s="251" t="str">
        <f>IF(AND(A7045&lt;&gt;"",ISNUMBER(A7045)),VLOOKUP(A7045,Studies!A:BR,6,FALSE),"")</f>
        <v>Plasma</v>
      </c>
      <c r="G7045" s="194">
        <v>136</v>
      </c>
      <c r="H7045" s="50" t="s">
        <v>60</v>
      </c>
      <c r="I7045" s="187">
        <v>0.26632159999999999</v>
      </c>
      <c r="J7045" s="41" t="s">
        <v>941</v>
      </c>
      <c r="K7045" s="41" t="s">
        <v>116</v>
      </c>
    </row>
    <row r="7046" spans="1:11" x14ac:dyDescent="0.2">
      <c r="A7046" s="30">
        <v>767</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Rifampin coadmin simultaneous</v>
      </c>
      <c r="E7046" s="250" t="str">
        <f>IF(AND(A7046&lt;&gt;"",ISNUMBER(A7046)),VLOOKUP(A7046,Studies!A:BR,5,FALSE),"")</f>
        <v>Alfentanil</v>
      </c>
      <c r="F7046" s="251" t="str">
        <f>IF(AND(A7046&lt;&gt;"",ISNUMBER(A7046)),VLOOKUP(A7046,Studies!A:BR,6,FALSE),"")</f>
        <v>Plasma</v>
      </c>
      <c r="G7046" s="194">
        <v>137</v>
      </c>
      <c r="H7046" s="50" t="s">
        <v>60</v>
      </c>
      <c r="I7046" s="187">
        <v>0.12141780000000001</v>
      </c>
      <c r="J7046" s="41" t="s">
        <v>941</v>
      </c>
      <c r="K7046" s="41" t="s">
        <v>116</v>
      </c>
    </row>
    <row r="7047" spans="1:11" x14ac:dyDescent="0.2">
      <c r="A7047" s="30">
        <v>768</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PO Control sequential</v>
      </c>
      <c r="E7047" s="250" t="str">
        <f>IF(AND(A7047&lt;&gt;"",ISNUMBER(A7047)),VLOOKUP(A7047,Studies!A:BR,5,FALSE),"")</f>
        <v>Alfentanil</v>
      </c>
      <c r="F7047" s="251" t="str">
        <f>IF(AND(A7047&lt;&gt;"",ISNUMBER(A7047)),VLOOKUP(A7047,Studies!A:BR,6,FALSE),"")</f>
        <v>Plasma</v>
      </c>
      <c r="G7047" s="194">
        <v>0.16600000000000001</v>
      </c>
      <c r="H7047" s="50" t="s">
        <v>60</v>
      </c>
      <c r="I7047" s="187">
        <v>11.328609999999999</v>
      </c>
      <c r="J7047" s="41" t="s">
        <v>941</v>
      </c>
      <c r="K7047" s="41" t="s">
        <v>116</v>
      </c>
    </row>
    <row r="7048" spans="1:11" x14ac:dyDescent="0.2">
      <c r="A7048" s="30">
        <v>768</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PO Control sequential</v>
      </c>
      <c r="E7048" s="250" t="str">
        <f>IF(AND(A7048&lt;&gt;"",ISNUMBER(A7048)),VLOOKUP(A7048,Studies!A:BR,5,FALSE),"")</f>
        <v>Alfentanil</v>
      </c>
      <c r="F7048" s="251" t="str">
        <f>IF(AND(A7048&lt;&gt;"",ISNUMBER(A7048)),VLOOKUP(A7048,Studies!A:BR,6,FALSE),"")</f>
        <v>Plasma</v>
      </c>
      <c r="G7048" s="194">
        <v>0.25</v>
      </c>
      <c r="H7048" s="50" t="s">
        <v>60</v>
      </c>
      <c r="I7048" s="187">
        <v>25.02655</v>
      </c>
      <c r="J7048" s="41" t="s">
        <v>941</v>
      </c>
      <c r="K7048" s="41" t="s">
        <v>116</v>
      </c>
    </row>
    <row r="7049" spans="1:11" x14ac:dyDescent="0.2">
      <c r="A7049" s="30">
        <v>768</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PO Control sequential</v>
      </c>
      <c r="E7049" s="250" t="str">
        <f>IF(AND(A7049&lt;&gt;"",ISNUMBER(A7049)),VLOOKUP(A7049,Studies!A:BR,5,FALSE),"")</f>
        <v>Alfentanil</v>
      </c>
      <c r="F7049" s="251" t="str">
        <f>IF(AND(A7049&lt;&gt;"",ISNUMBER(A7049)),VLOOKUP(A7049,Studies!A:BR,6,FALSE),"")</f>
        <v>Plasma</v>
      </c>
      <c r="G7049" s="194">
        <v>0.5</v>
      </c>
      <c r="H7049" s="50" t="s">
        <v>60</v>
      </c>
      <c r="I7049" s="187">
        <v>39.228580000000001</v>
      </c>
      <c r="J7049" s="41" t="s">
        <v>941</v>
      </c>
      <c r="K7049" s="41" t="s">
        <v>116</v>
      </c>
    </row>
    <row r="7050" spans="1:11" x14ac:dyDescent="0.2">
      <c r="A7050" s="30">
        <v>768</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PO Control sequential</v>
      </c>
      <c r="E7050" s="250" t="str">
        <f>IF(AND(A7050&lt;&gt;"",ISNUMBER(A7050)),VLOOKUP(A7050,Studies!A:BR,5,FALSE),"")</f>
        <v>Alfentanil</v>
      </c>
      <c r="F7050" s="251" t="str">
        <f>IF(AND(A7050&lt;&gt;"",ISNUMBER(A7050)),VLOOKUP(A7050,Studies!A:BR,6,FALSE),"")</f>
        <v>Plasma</v>
      </c>
      <c r="G7050" s="194">
        <v>0.75</v>
      </c>
      <c r="H7050" s="50" t="s">
        <v>60</v>
      </c>
      <c r="I7050" s="187">
        <v>39.730820000000001</v>
      </c>
      <c r="J7050" s="41" t="s">
        <v>941</v>
      </c>
      <c r="K7050" s="41" t="s">
        <v>116</v>
      </c>
    </row>
    <row r="7051" spans="1:11" x14ac:dyDescent="0.2">
      <c r="A7051" s="30">
        <v>768</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PO Control sequential</v>
      </c>
      <c r="E7051" s="250" t="str">
        <f>IF(AND(A7051&lt;&gt;"",ISNUMBER(A7051)),VLOOKUP(A7051,Studies!A:BR,5,FALSE),"")</f>
        <v>Alfentanil</v>
      </c>
      <c r="F7051" s="251" t="str">
        <f>IF(AND(A7051&lt;&gt;"",ISNUMBER(A7051)),VLOOKUP(A7051,Studies!A:BR,6,FALSE),"")</f>
        <v>Plasma</v>
      </c>
      <c r="G7051" s="194">
        <v>1</v>
      </c>
      <c r="H7051" s="50" t="s">
        <v>60</v>
      </c>
      <c r="I7051" s="187">
        <v>34.820430000000002</v>
      </c>
      <c r="J7051" s="41" t="s">
        <v>941</v>
      </c>
      <c r="K7051" s="41" t="s">
        <v>116</v>
      </c>
    </row>
    <row r="7052" spans="1:11" x14ac:dyDescent="0.2">
      <c r="A7052" s="30">
        <v>768</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PO Control sequential</v>
      </c>
      <c r="E7052" s="250" t="str">
        <f>IF(AND(A7052&lt;&gt;"",ISNUMBER(A7052)),VLOOKUP(A7052,Studies!A:BR,5,FALSE),"")</f>
        <v>Alfentanil</v>
      </c>
      <c r="F7052" s="251" t="str">
        <f>IF(AND(A7052&lt;&gt;"",ISNUMBER(A7052)),VLOOKUP(A7052,Studies!A:BR,6,FALSE),"")</f>
        <v>Plasma</v>
      </c>
      <c r="G7052" s="194">
        <v>1.5</v>
      </c>
      <c r="H7052" s="50" t="s">
        <v>60</v>
      </c>
      <c r="I7052" s="187">
        <v>28.89414</v>
      </c>
      <c r="J7052" s="41" t="s">
        <v>941</v>
      </c>
      <c r="K7052" s="41" t="s">
        <v>116</v>
      </c>
    </row>
    <row r="7053" spans="1:11" x14ac:dyDescent="0.2">
      <c r="A7053" s="30">
        <v>768</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PO Control sequential</v>
      </c>
      <c r="E7053" s="250" t="str">
        <f>IF(AND(A7053&lt;&gt;"",ISNUMBER(A7053)),VLOOKUP(A7053,Studies!A:BR,5,FALSE),"")</f>
        <v>Alfentanil</v>
      </c>
      <c r="F7053" s="251" t="str">
        <f>IF(AND(A7053&lt;&gt;"",ISNUMBER(A7053)),VLOOKUP(A7053,Studies!A:BR,6,FALSE),"")</f>
        <v>Plasma</v>
      </c>
      <c r="G7053" s="194">
        <v>2</v>
      </c>
      <c r="H7053" s="50" t="s">
        <v>60</v>
      </c>
      <c r="I7053" s="187">
        <v>26.511900000000001</v>
      </c>
      <c r="J7053" s="41" t="s">
        <v>941</v>
      </c>
      <c r="K7053" s="41" t="s">
        <v>116</v>
      </c>
    </row>
    <row r="7054" spans="1:11" x14ac:dyDescent="0.2">
      <c r="A7054" s="30">
        <v>768</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PO Control sequential</v>
      </c>
      <c r="E7054" s="250" t="str">
        <f>IF(AND(A7054&lt;&gt;"",ISNUMBER(A7054)),VLOOKUP(A7054,Studies!A:BR,5,FALSE),"")</f>
        <v>Alfentanil</v>
      </c>
      <c r="F7054" s="251" t="str">
        <f>IF(AND(A7054&lt;&gt;"",ISNUMBER(A7054)),VLOOKUP(A7054,Studies!A:BR,6,FALSE),"")</f>
        <v>Plasma</v>
      </c>
      <c r="G7054" s="194">
        <v>3</v>
      </c>
      <c r="H7054" s="50" t="s">
        <v>60</v>
      </c>
      <c r="I7054" s="187">
        <v>15.32774</v>
      </c>
      <c r="J7054" s="41" t="s">
        <v>941</v>
      </c>
      <c r="K7054" s="41" t="s">
        <v>116</v>
      </c>
    </row>
    <row r="7055" spans="1:11" x14ac:dyDescent="0.2">
      <c r="A7055" s="30">
        <v>768</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PO Control sequential</v>
      </c>
      <c r="E7055" s="250" t="str">
        <f>IF(AND(A7055&lt;&gt;"",ISNUMBER(A7055)),VLOOKUP(A7055,Studies!A:BR,5,FALSE),"")</f>
        <v>Alfentanil</v>
      </c>
      <c r="F7055" s="251" t="str">
        <f>IF(AND(A7055&lt;&gt;"",ISNUMBER(A7055)),VLOOKUP(A7055,Studies!A:BR,6,FALSE),"")</f>
        <v>Plasma</v>
      </c>
      <c r="G7055" s="194">
        <v>4</v>
      </c>
      <c r="H7055" s="50" t="s">
        <v>60</v>
      </c>
      <c r="I7055" s="187">
        <v>9.0491779999999995</v>
      </c>
      <c r="J7055" s="41" t="s">
        <v>941</v>
      </c>
      <c r="K7055" s="41" t="s">
        <v>116</v>
      </c>
    </row>
    <row r="7056" spans="1:11" x14ac:dyDescent="0.2">
      <c r="A7056" s="30">
        <v>768</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PO Control sequential</v>
      </c>
      <c r="E7056" s="250" t="str">
        <f>IF(AND(A7056&lt;&gt;"",ISNUMBER(A7056)),VLOOKUP(A7056,Studies!A:BR,5,FALSE),"")</f>
        <v>Alfentanil</v>
      </c>
      <c r="F7056" s="251" t="str">
        <f>IF(AND(A7056&lt;&gt;"",ISNUMBER(A7056)),VLOOKUP(A7056,Studies!A:BR,6,FALSE),"")</f>
        <v>Plasma</v>
      </c>
      <c r="G7056" s="194">
        <v>5</v>
      </c>
      <c r="H7056" s="50" t="s">
        <v>60</v>
      </c>
      <c r="I7056" s="187">
        <v>5.1377430000000004</v>
      </c>
      <c r="J7056" s="41" t="s">
        <v>941</v>
      </c>
      <c r="K7056" s="41" t="s">
        <v>116</v>
      </c>
    </row>
    <row r="7057" spans="1:14" x14ac:dyDescent="0.2">
      <c r="A7057" s="30">
        <v>768</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PO Control sequential</v>
      </c>
      <c r="E7057" s="250" t="str">
        <f>IF(AND(A7057&lt;&gt;"",ISNUMBER(A7057)),VLOOKUP(A7057,Studies!A:BR,5,FALSE),"")</f>
        <v>Alfentanil</v>
      </c>
      <c r="F7057" s="251" t="str">
        <f>IF(AND(A7057&lt;&gt;"",ISNUMBER(A7057)),VLOOKUP(A7057,Studies!A:BR,6,FALSE),"")</f>
        <v>Plasma</v>
      </c>
      <c r="G7057" s="194">
        <v>6</v>
      </c>
      <c r="H7057" s="50" t="s">
        <v>60</v>
      </c>
      <c r="I7057" s="187">
        <v>3.0871409999999999</v>
      </c>
      <c r="J7057" s="41" t="s">
        <v>941</v>
      </c>
      <c r="K7057" s="41" t="s">
        <v>116</v>
      </c>
    </row>
    <row r="7058" spans="1:14" x14ac:dyDescent="0.2">
      <c r="A7058" s="30">
        <v>768</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PO Control sequential</v>
      </c>
      <c r="E7058" s="250" t="str">
        <f>IF(AND(A7058&lt;&gt;"",ISNUMBER(A7058)),VLOOKUP(A7058,Studies!A:BR,5,FALSE),"")</f>
        <v>Alfentanil</v>
      </c>
      <c r="F7058" s="251" t="str">
        <f>IF(AND(A7058&lt;&gt;"",ISNUMBER(A7058)),VLOOKUP(A7058,Studies!A:BR,6,FALSE),"")</f>
        <v>Plasma</v>
      </c>
      <c r="G7058" s="194">
        <v>7</v>
      </c>
      <c r="H7058" s="50" t="s">
        <v>60</v>
      </c>
      <c r="I7058" s="187">
        <v>2.051339</v>
      </c>
      <c r="J7058" s="41" t="s">
        <v>941</v>
      </c>
      <c r="K7058" s="41" t="s">
        <v>116</v>
      </c>
    </row>
    <row r="7059" spans="1:14" x14ac:dyDescent="0.2">
      <c r="A7059" s="30">
        <v>768</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PO Control sequential</v>
      </c>
      <c r="E7059" s="250" t="str">
        <f>IF(AND(A7059&lt;&gt;"",ISNUMBER(A7059)),VLOOKUP(A7059,Studies!A:BR,5,FALSE),"")</f>
        <v>Alfentanil</v>
      </c>
      <c r="F7059" s="251" t="str">
        <f>IF(AND(A7059&lt;&gt;"",ISNUMBER(A7059)),VLOOKUP(A7059,Studies!A:BR,6,FALSE),"")</f>
        <v>Plasma</v>
      </c>
      <c r="G7059" s="194">
        <v>8</v>
      </c>
      <c r="H7059" s="50" t="s">
        <v>60</v>
      </c>
      <c r="I7059" s="187">
        <v>1.1835640000000001</v>
      </c>
      <c r="J7059" s="41" t="s">
        <v>941</v>
      </c>
      <c r="K7059" s="41" t="s">
        <v>116</v>
      </c>
    </row>
    <row r="7060" spans="1:14" x14ac:dyDescent="0.2">
      <c r="A7060" s="30">
        <v>769</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PO Grapefruit coadmin sequential</v>
      </c>
      <c r="E7060" s="250" t="str">
        <f>IF(AND(A7060&lt;&gt;"",ISNUMBER(A7060)),VLOOKUP(A7060,Studies!A:BR,5,FALSE),"")</f>
        <v>Alfentanil</v>
      </c>
      <c r="F7060" s="251" t="str">
        <f>IF(AND(A7060&lt;&gt;"",ISNUMBER(A7060)),VLOOKUP(A7060,Studies!A:BR,6,FALSE),"")</f>
        <v>Plasma</v>
      </c>
      <c r="G7060" s="194">
        <v>0.16600000000000001</v>
      </c>
      <c r="H7060" s="50" t="s">
        <v>60</v>
      </c>
      <c r="I7060" s="187">
        <v>29.256360000000001</v>
      </c>
      <c r="J7060" s="41" t="s">
        <v>941</v>
      </c>
      <c r="K7060" s="41" t="s">
        <v>116</v>
      </c>
      <c r="L7060" s="195">
        <v>40.76146</v>
      </c>
      <c r="M7060" s="52" t="s">
        <v>941</v>
      </c>
      <c r="N7060" s="52" t="s">
        <v>117</v>
      </c>
    </row>
    <row r="7061" spans="1:14" x14ac:dyDescent="0.2">
      <c r="A7061" s="30">
        <v>769</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PO Grapefruit coadmin sequential</v>
      </c>
      <c r="E7061" s="250" t="str">
        <f>IF(AND(A7061&lt;&gt;"",ISNUMBER(A7061)),VLOOKUP(A7061,Studies!A:BR,5,FALSE),"")</f>
        <v>Alfentanil</v>
      </c>
      <c r="F7061" s="251" t="str">
        <f>IF(AND(A7061&lt;&gt;"",ISNUMBER(A7061)),VLOOKUP(A7061,Studies!A:BR,6,FALSE),"")</f>
        <v>Plasma</v>
      </c>
      <c r="G7061" s="194">
        <v>0.25</v>
      </c>
      <c r="H7061" s="50" t="s">
        <v>60</v>
      </c>
      <c r="I7061" s="187">
        <v>31.62238</v>
      </c>
      <c r="J7061" s="41" t="s">
        <v>941</v>
      </c>
      <c r="K7061" s="41" t="s">
        <v>116</v>
      </c>
      <c r="L7061" s="195">
        <v>30.782609999999998</v>
      </c>
      <c r="M7061" s="52" t="s">
        <v>941</v>
      </c>
      <c r="N7061" s="52" t="s">
        <v>117</v>
      </c>
    </row>
    <row r="7062" spans="1:14" x14ac:dyDescent="0.2">
      <c r="A7062" s="30">
        <v>769</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PO Grapefruit coadmin sequential</v>
      </c>
      <c r="E7062" s="250" t="str">
        <f>IF(AND(A7062&lt;&gt;"",ISNUMBER(A7062)),VLOOKUP(A7062,Studies!A:BR,5,FALSE),"")</f>
        <v>Alfentanil</v>
      </c>
      <c r="F7062" s="251" t="str">
        <f>IF(AND(A7062&lt;&gt;"",ISNUMBER(A7062)),VLOOKUP(A7062,Studies!A:BR,6,FALSE),"")</f>
        <v>Plasma</v>
      </c>
      <c r="G7062" s="194">
        <v>0.5</v>
      </c>
      <c r="H7062" s="50" t="s">
        <v>60</v>
      </c>
      <c r="I7062" s="187">
        <v>40.919550000000001</v>
      </c>
      <c r="J7062" s="41" t="s">
        <v>941</v>
      </c>
      <c r="K7062" s="41" t="s">
        <v>116</v>
      </c>
      <c r="L7062" s="195">
        <v>30.275200000000002</v>
      </c>
      <c r="M7062" s="52" t="s">
        <v>941</v>
      </c>
      <c r="N7062" s="52" t="s">
        <v>117</v>
      </c>
    </row>
    <row r="7063" spans="1:14" x14ac:dyDescent="0.2">
      <c r="A7063" s="30">
        <v>769</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PO Grapefruit coadmin sequential</v>
      </c>
      <c r="E7063" s="250" t="str">
        <f>IF(AND(A7063&lt;&gt;"",ISNUMBER(A7063)),VLOOKUP(A7063,Studies!A:BR,5,FALSE),"")</f>
        <v>Alfentanil</v>
      </c>
      <c r="F7063" s="251" t="str">
        <f>IF(AND(A7063&lt;&gt;"",ISNUMBER(A7063)),VLOOKUP(A7063,Studies!A:BR,6,FALSE),"")</f>
        <v>Plasma</v>
      </c>
      <c r="G7063" s="194">
        <v>0.75</v>
      </c>
      <c r="H7063" s="50" t="s">
        <v>60</v>
      </c>
      <c r="I7063" s="187">
        <v>40.914389999999997</v>
      </c>
      <c r="J7063" s="41" t="s">
        <v>941</v>
      </c>
      <c r="K7063" s="41" t="s">
        <v>116</v>
      </c>
      <c r="L7063" s="195">
        <v>30.106069999999999</v>
      </c>
      <c r="M7063" s="52" t="s">
        <v>941</v>
      </c>
      <c r="N7063" s="52" t="s">
        <v>117</v>
      </c>
    </row>
    <row r="7064" spans="1:14" x14ac:dyDescent="0.2">
      <c r="A7064" s="30">
        <v>769</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PO Grapefruit coadmin sequential</v>
      </c>
      <c r="E7064" s="250" t="str">
        <f>IF(AND(A7064&lt;&gt;"",ISNUMBER(A7064)),VLOOKUP(A7064,Studies!A:BR,5,FALSE),"")</f>
        <v>Alfentanil</v>
      </c>
      <c r="F7064" s="251" t="str">
        <f>IF(AND(A7064&lt;&gt;"",ISNUMBER(A7064)),VLOOKUP(A7064,Studies!A:BR,6,FALSE),"")</f>
        <v>Plasma</v>
      </c>
      <c r="G7064" s="194">
        <v>1</v>
      </c>
      <c r="H7064" s="50" t="s">
        <v>60</v>
      </c>
      <c r="I7064" s="187">
        <v>43.615360000000003</v>
      </c>
      <c r="J7064" s="41" t="s">
        <v>941</v>
      </c>
      <c r="K7064" s="41" t="s">
        <v>116</v>
      </c>
      <c r="L7064" s="195">
        <v>27.39958</v>
      </c>
      <c r="M7064" s="52" t="s">
        <v>941</v>
      </c>
      <c r="N7064" s="52" t="s">
        <v>117</v>
      </c>
    </row>
    <row r="7065" spans="1:14" x14ac:dyDescent="0.2">
      <c r="A7065" s="30">
        <v>769</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PO Grapefruit coadmin sequential</v>
      </c>
      <c r="E7065" s="250" t="str">
        <f>IF(AND(A7065&lt;&gt;"",ISNUMBER(A7065)),VLOOKUP(A7065,Studies!A:BR,5,FALSE),"")</f>
        <v>Alfentanil</v>
      </c>
      <c r="F7065" s="251" t="str">
        <f>IF(AND(A7065&lt;&gt;"",ISNUMBER(A7065)),VLOOKUP(A7065,Studies!A:BR,6,FALSE),"")</f>
        <v>Plasma</v>
      </c>
      <c r="G7065" s="194">
        <v>1.25</v>
      </c>
      <c r="H7065" s="50" t="s">
        <v>60</v>
      </c>
      <c r="I7065" s="187">
        <v>45.13129</v>
      </c>
      <c r="J7065" s="41" t="s">
        <v>941</v>
      </c>
      <c r="K7065" s="41" t="s">
        <v>116</v>
      </c>
      <c r="L7065" s="195">
        <v>27.060949999999998</v>
      </c>
      <c r="M7065" s="52" t="s">
        <v>941</v>
      </c>
      <c r="N7065" s="52" t="s">
        <v>117</v>
      </c>
    </row>
    <row r="7066" spans="1:14" x14ac:dyDescent="0.2">
      <c r="A7066" s="30">
        <v>769</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PO Grapefruit coadmin sequential</v>
      </c>
      <c r="E7066" s="250" t="str">
        <f>IF(AND(A7066&lt;&gt;"",ISNUMBER(A7066)),VLOOKUP(A7066,Studies!A:BR,5,FALSE),"")</f>
        <v>Alfentanil</v>
      </c>
      <c r="F7066" s="251" t="str">
        <f>IF(AND(A7066&lt;&gt;"",ISNUMBER(A7066)),VLOOKUP(A7066,Studies!A:BR,6,FALSE),"")</f>
        <v>Plasma</v>
      </c>
      <c r="G7066" s="194">
        <v>2</v>
      </c>
      <c r="H7066" s="50" t="s">
        <v>60</v>
      </c>
      <c r="I7066" s="187">
        <v>45.116549999999997</v>
      </c>
      <c r="J7066" s="41" t="s">
        <v>941</v>
      </c>
      <c r="K7066" s="41" t="s">
        <v>116</v>
      </c>
      <c r="L7066" s="195">
        <v>27.060949999999998</v>
      </c>
      <c r="M7066" s="52" t="s">
        <v>941</v>
      </c>
      <c r="N7066" s="52" t="s">
        <v>117</v>
      </c>
    </row>
    <row r="7067" spans="1:14" x14ac:dyDescent="0.2">
      <c r="A7067" s="30">
        <v>769</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PO Grapefruit coadmin sequential</v>
      </c>
      <c r="E7067" s="250" t="str">
        <f>IF(AND(A7067&lt;&gt;"",ISNUMBER(A7067)),VLOOKUP(A7067,Studies!A:BR,5,FALSE),"")</f>
        <v>Alfentanil</v>
      </c>
      <c r="F7067" s="251" t="str">
        <f>IF(AND(A7067&lt;&gt;"",ISNUMBER(A7067)),VLOOKUP(A7067,Studies!A:BR,6,FALSE),"")</f>
        <v>Plasma</v>
      </c>
      <c r="G7067" s="194">
        <v>3</v>
      </c>
      <c r="H7067" s="50" t="s">
        <v>60</v>
      </c>
      <c r="I7067" s="187">
        <v>31.395399999999999</v>
      </c>
      <c r="J7067" s="41" t="s">
        <v>941</v>
      </c>
      <c r="K7067" s="41" t="s">
        <v>116</v>
      </c>
      <c r="L7067" s="195">
        <v>18.435510000000001</v>
      </c>
      <c r="M7067" s="52" t="s">
        <v>941</v>
      </c>
      <c r="N7067" s="52" t="s">
        <v>117</v>
      </c>
    </row>
    <row r="7068" spans="1:14" x14ac:dyDescent="0.2">
      <c r="A7068" s="30">
        <v>769</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PO Grapefruit coadmin sequential</v>
      </c>
      <c r="E7068" s="250" t="str">
        <f>IF(AND(A7068&lt;&gt;"",ISNUMBER(A7068)),VLOOKUP(A7068,Studies!A:BR,5,FALSE),"")</f>
        <v>Alfentanil</v>
      </c>
      <c r="F7068" s="251" t="str">
        <f>IF(AND(A7068&lt;&gt;"",ISNUMBER(A7068)),VLOOKUP(A7068,Studies!A:BR,6,FALSE),"")</f>
        <v>Plasma</v>
      </c>
      <c r="G7068" s="194">
        <v>4</v>
      </c>
      <c r="H7068" s="50" t="s">
        <v>60</v>
      </c>
      <c r="I7068" s="187">
        <v>18.5199</v>
      </c>
      <c r="J7068" s="41" t="s">
        <v>941</v>
      </c>
      <c r="K7068" s="41" t="s">
        <v>116</v>
      </c>
      <c r="L7068" s="195">
        <v>11.67056</v>
      </c>
      <c r="M7068" s="52" t="s">
        <v>941</v>
      </c>
      <c r="N7068" s="52" t="s">
        <v>117</v>
      </c>
    </row>
    <row r="7069" spans="1:14" x14ac:dyDescent="0.2">
      <c r="A7069" s="30">
        <v>769</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PO Grapefruit coadmin sequential</v>
      </c>
      <c r="E7069" s="250" t="str">
        <f>IF(AND(A7069&lt;&gt;"",ISNUMBER(A7069)),VLOOKUP(A7069,Studies!A:BR,5,FALSE),"")</f>
        <v>Alfentanil</v>
      </c>
      <c r="F7069" s="251" t="str">
        <f>IF(AND(A7069&lt;&gt;"",ISNUMBER(A7069)),VLOOKUP(A7069,Studies!A:BR,6,FALSE),"")</f>
        <v>Plasma</v>
      </c>
      <c r="G7069" s="194">
        <v>5</v>
      </c>
      <c r="H7069" s="50" t="s">
        <v>60</v>
      </c>
      <c r="I7069" s="187">
        <v>11.73357</v>
      </c>
      <c r="J7069" s="41" t="s">
        <v>941</v>
      </c>
      <c r="K7069" s="41" t="s">
        <v>116</v>
      </c>
      <c r="L7069" s="195">
        <v>8.4566590000000001</v>
      </c>
      <c r="M7069" s="52" t="s">
        <v>941</v>
      </c>
      <c r="N7069" s="52" t="s">
        <v>117</v>
      </c>
    </row>
    <row r="7070" spans="1:14" x14ac:dyDescent="0.2">
      <c r="A7070" s="30">
        <v>769</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PO Grapefruit coadmin sequential</v>
      </c>
      <c r="E7070" s="250" t="str">
        <f>IF(AND(A7070&lt;&gt;"",ISNUMBER(A7070)),VLOOKUP(A7070,Studies!A:BR,5,FALSE),"")</f>
        <v>Alfentanil</v>
      </c>
      <c r="F7070" s="251" t="str">
        <f>IF(AND(A7070&lt;&gt;"",ISNUMBER(A7070)),VLOOKUP(A7070,Studies!A:BR,6,FALSE),"")</f>
        <v>Plasma</v>
      </c>
      <c r="G7070" s="194">
        <v>6</v>
      </c>
      <c r="H7070" s="50" t="s">
        <v>60</v>
      </c>
      <c r="I7070" s="187">
        <v>6.9768359999999996</v>
      </c>
      <c r="J7070" s="41" t="s">
        <v>941</v>
      </c>
      <c r="K7070" s="41" t="s">
        <v>116</v>
      </c>
      <c r="L7070" s="195">
        <v>5.7508970000000001</v>
      </c>
      <c r="M7070" s="52" t="s">
        <v>941</v>
      </c>
      <c r="N7070" s="52" t="s">
        <v>117</v>
      </c>
    </row>
    <row r="7071" spans="1:14" x14ac:dyDescent="0.2">
      <c r="A7071" s="30">
        <v>769</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PO Grapefruit coadmin sequential</v>
      </c>
      <c r="E7071" s="250" t="str">
        <f>IF(AND(A7071&lt;&gt;"",ISNUMBER(A7071)),VLOOKUP(A7071,Studies!A:BR,5,FALSE),"")</f>
        <v>Alfentanil</v>
      </c>
      <c r="F7071" s="251" t="str">
        <f>IF(AND(A7071&lt;&gt;"",ISNUMBER(A7071)),VLOOKUP(A7071,Studies!A:BR,6,FALSE),"")</f>
        <v>Plasma</v>
      </c>
      <c r="G7071" s="194">
        <v>7</v>
      </c>
      <c r="H7071" s="50" t="s">
        <v>60</v>
      </c>
      <c r="I7071" s="187">
        <v>4.25007</v>
      </c>
      <c r="J7071" s="41" t="s">
        <v>941</v>
      </c>
      <c r="K7071" s="41" t="s">
        <v>116</v>
      </c>
      <c r="L7071" s="195">
        <v>3.2131620000000001</v>
      </c>
      <c r="M7071" s="52" t="s">
        <v>941</v>
      </c>
      <c r="N7071" s="52" t="s">
        <v>117</v>
      </c>
    </row>
    <row r="7072" spans="1:14" x14ac:dyDescent="0.2">
      <c r="A7072" s="30">
        <v>769</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PO Grapefruit coadmin sequential</v>
      </c>
      <c r="E7072" s="250" t="str">
        <f>IF(AND(A7072&lt;&gt;"",ISNUMBER(A7072)),VLOOKUP(A7072,Studies!A:BR,5,FALSE),"")</f>
        <v>Alfentanil</v>
      </c>
      <c r="F7072" s="251" t="str">
        <f>IF(AND(A7072&lt;&gt;"",ISNUMBER(A7072)),VLOOKUP(A7072,Studies!A:BR,6,FALSE),"")</f>
        <v>Plasma</v>
      </c>
      <c r="G7072" s="194">
        <v>8</v>
      </c>
      <c r="H7072" s="50" t="s">
        <v>60</v>
      </c>
      <c r="I7072" s="187">
        <v>2.3678650000000001</v>
      </c>
      <c r="J7072" s="41" t="s">
        <v>941</v>
      </c>
      <c r="K7072" s="41" t="s">
        <v>116</v>
      </c>
      <c r="L7072" s="195">
        <v>2.537366</v>
      </c>
      <c r="M7072" s="52" t="s">
        <v>941</v>
      </c>
      <c r="N7072" s="52" t="s">
        <v>117</v>
      </c>
    </row>
    <row r="7073" spans="1:11" x14ac:dyDescent="0.2">
      <c r="A7073" s="30">
        <v>770</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PO Ketoconazole coadmin sequential</v>
      </c>
      <c r="E7073" s="250" t="str">
        <f>IF(AND(A7073&lt;&gt;"",ISNUMBER(A7073)),VLOOKUP(A7073,Studies!A:BR,5,FALSE),"")</f>
        <v>Alfentanil</v>
      </c>
      <c r="F7073" s="251" t="str">
        <f>IF(AND(A7073&lt;&gt;"",ISNUMBER(A7073)),VLOOKUP(A7073,Studies!A:BR,6,FALSE),"")</f>
        <v>Plasma</v>
      </c>
      <c r="G7073" s="194">
        <v>63.25</v>
      </c>
      <c r="H7073" s="50" t="s">
        <v>60</v>
      </c>
      <c r="I7073" s="187">
        <v>6.0832680000000003</v>
      </c>
      <c r="J7073" s="41" t="s">
        <v>941</v>
      </c>
      <c r="K7073" s="41" t="s">
        <v>116</v>
      </c>
    </row>
    <row r="7074" spans="1:11" x14ac:dyDescent="0.2">
      <c r="A7074" s="30">
        <v>770</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PO Ketoconazole coadmin sequential</v>
      </c>
      <c r="E7074" s="250" t="str">
        <f>IF(AND(A7074&lt;&gt;"",ISNUMBER(A7074)),VLOOKUP(A7074,Studies!A:BR,5,FALSE),"")</f>
        <v>Alfentanil</v>
      </c>
      <c r="F7074" s="251" t="str">
        <f>IF(AND(A7074&lt;&gt;"",ISNUMBER(A7074)),VLOOKUP(A7074,Studies!A:BR,6,FALSE),"")</f>
        <v>Plasma</v>
      </c>
      <c r="G7074" s="194">
        <v>63.5</v>
      </c>
      <c r="H7074" s="50" t="s">
        <v>60</v>
      </c>
      <c r="I7074" s="187">
        <v>24.344860000000001</v>
      </c>
      <c r="J7074" s="41" t="s">
        <v>941</v>
      </c>
      <c r="K7074" s="41" t="s">
        <v>116</v>
      </c>
    </row>
    <row r="7075" spans="1:11" x14ac:dyDescent="0.2">
      <c r="A7075" s="30">
        <v>770</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PO Ketoconazole coadmin sequential</v>
      </c>
      <c r="E7075" s="250" t="str">
        <f>IF(AND(A7075&lt;&gt;"",ISNUMBER(A7075)),VLOOKUP(A7075,Studies!A:BR,5,FALSE),"")</f>
        <v>Alfentanil</v>
      </c>
      <c r="F7075" s="251" t="str">
        <f>IF(AND(A7075&lt;&gt;"",ISNUMBER(A7075)),VLOOKUP(A7075,Studies!A:BR,6,FALSE),"")</f>
        <v>Plasma</v>
      </c>
      <c r="G7075" s="194">
        <v>63.75</v>
      </c>
      <c r="H7075" s="50" t="s">
        <v>60</v>
      </c>
      <c r="I7075" s="187">
        <v>29.582460000000001</v>
      </c>
      <c r="J7075" s="41" t="s">
        <v>941</v>
      </c>
      <c r="K7075" s="41" t="s">
        <v>116</v>
      </c>
    </row>
    <row r="7076" spans="1:11" x14ac:dyDescent="0.2">
      <c r="A7076" s="30">
        <v>770</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PO Ketoconazole coadmin sequential</v>
      </c>
      <c r="E7076" s="250" t="str">
        <f>IF(AND(A7076&lt;&gt;"",ISNUMBER(A7076)),VLOOKUP(A7076,Studies!A:BR,5,FALSE),"")</f>
        <v>Alfentanil</v>
      </c>
      <c r="F7076" s="251" t="str">
        <f>IF(AND(A7076&lt;&gt;"",ISNUMBER(A7076)),VLOOKUP(A7076,Studies!A:BR,6,FALSE),"")</f>
        <v>Plasma</v>
      </c>
      <c r="G7076" s="194">
        <v>64</v>
      </c>
      <c r="H7076" s="50" t="s">
        <v>60</v>
      </c>
      <c r="I7076" s="187">
        <v>26.871169999999999</v>
      </c>
      <c r="J7076" s="41" t="s">
        <v>941</v>
      </c>
      <c r="K7076" s="41" t="s">
        <v>116</v>
      </c>
    </row>
    <row r="7077" spans="1:11" x14ac:dyDescent="0.2">
      <c r="A7077" s="30">
        <v>770</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PO Ketoconazole coadmin sequential</v>
      </c>
      <c r="E7077" s="250" t="str">
        <f>IF(AND(A7077&lt;&gt;"",ISNUMBER(A7077)),VLOOKUP(A7077,Studies!A:BR,5,FALSE),"")</f>
        <v>Alfentanil</v>
      </c>
      <c r="F7077" s="251" t="str">
        <f>IF(AND(A7077&lt;&gt;"",ISNUMBER(A7077)),VLOOKUP(A7077,Studies!A:BR,6,FALSE),"")</f>
        <v>Plasma</v>
      </c>
      <c r="G7077" s="194">
        <v>64.5</v>
      </c>
      <c r="H7077" s="50" t="s">
        <v>60</v>
      </c>
      <c r="I7077" s="187">
        <v>27.033670000000001</v>
      </c>
      <c r="J7077" s="41" t="s">
        <v>941</v>
      </c>
      <c r="K7077" s="41" t="s">
        <v>116</v>
      </c>
    </row>
    <row r="7078" spans="1:11" x14ac:dyDescent="0.2">
      <c r="A7078" s="30">
        <v>770</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PO Ketoconazole coadmin sequential</v>
      </c>
      <c r="E7078" s="250" t="str">
        <f>IF(AND(A7078&lt;&gt;"",ISNUMBER(A7078)),VLOOKUP(A7078,Studies!A:BR,5,FALSE),"")</f>
        <v>Alfentanil</v>
      </c>
      <c r="F7078" s="251" t="str">
        <f>IF(AND(A7078&lt;&gt;"",ISNUMBER(A7078)),VLOOKUP(A7078,Studies!A:BR,6,FALSE),"")</f>
        <v>Plasma</v>
      </c>
      <c r="G7078" s="194">
        <v>65</v>
      </c>
      <c r="H7078" s="50" t="s">
        <v>60</v>
      </c>
      <c r="I7078" s="187">
        <v>26.00451</v>
      </c>
      <c r="J7078" s="41" t="s">
        <v>941</v>
      </c>
      <c r="K7078" s="41" t="s">
        <v>116</v>
      </c>
    </row>
    <row r="7079" spans="1:11" x14ac:dyDescent="0.2">
      <c r="A7079" s="30">
        <v>770</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PO Ketoconazole coadmin sequential</v>
      </c>
      <c r="E7079" s="250" t="str">
        <f>IF(AND(A7079&lt;&gt;"",ISNUMBER(A7079)),VLOOKUP(A7079,Studies!A:BR,5,FALSE),"")</f>
        <v>Alfentanil</v>
      </c>
      <c r="F7079" s="251" t="str">
        <f>IF(AND(A7079&lt;&gt;"",ISNUMBER(A7079)),VLOOKUP(A7079,Studies!A:BR,6,FALSE),"")</f>
        <v>Plasma</v>
      </c>
      <c r="G7079" s="194">
        <v>66</v>
      </c>
      <c r="H7079" s="50" t="s">
        <v>60</v>
      </c>
      <c r="I7079" s="187">
        <v>25.645240000000001</v>
      </c>
      <c r="J7079" s="41" t="s">
        <v>941</v>
      </c>
      <c r="K7079" s="41" t="s">
        <v>116</v>
      </c>
    </row>
    <row r="7080" spans="1:11" x14ac:dyDescent="0.2">
      <c r="A7080" s="30">
        <v>770</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PO Ketoconazole coadmin sequential</v>
      </c>
      <c r="E7080" s="250" t="str">
        <f>IF(AND(A7080&lt;&gt;"",ISNUMBER(A7080)),VLOOKUP(A7080,Studies!A:BR,5,FALSE),"")</f>
        <v>Alfentanil</v>
      </c>
      <c r="F7080" s="251" t="str">
        <f>IF(AND(A7080&lt;&gt;"",ISNUMBER(A7080)),VLOOKUP(A7080,Studies!A:BR,6,FALSE),"")</f>
        <v>Plasma</v>
      </c>
      <c r="G7080" s="194">
        <v>67</v>
      </c>
      <c r="H7080" s="50" t="s">
        <v>60</v>
      </c>
      <c r="I7080" s="187">
        <v>20.88777</v>
      </c>
      <c r="J7080" s="41" t="s">
        <v>941</v>
      </c>
      <c r="K7080" s="41" t="s">
        <v>116</v>
      </c>
    </row>
    <row r="7081" spans="1:11" x14ac:dyDescent="0.2">
      <c r="A7081" s="30">
        <v>770</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PO Ketoconazole coadmin sequential</v>
      </c>
      <c r="E7081" s="250" t="str">
        <f>IF(AND(A7081&lt;&gt;"",ISNUMBER(A7081)),VLOOKUP(A7081,Studies!A:BR,5,FALSE),"")</f>
        <v>Alfentanil</v>
      </c>
      <c r="F7081" s="251" t="str">
        <f>IF(AND(A7081&lt;&gt;"",ISNUMBER(A7081)),VLOOKUP(A7081,Studies!A:BR,6,FALSE),"")</f>
        <v>Plasma</v>
      </c>
      <c r="G7081" s="194">
        <v>68</v>
      </c>
      <c r="H7081" s="50" t="s">
        <v>60</v>
      </c>
      <c r="I7081" s="187">
        <v>18.161000000000001</v>
      </c>
      <c r="J7081" s="41" t="s">
        <v>941</v>
      </c>
      <c r="K7081" s="41" t="s">
        <v>116</v>
      </c>
    </row>
    <row r="7082" spans="1:11" x14ac:dyDescent="0.2">
      <c r="A7082" s="30">
        <v>770</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PO Ketoconazole coadmin sequential</v>
      </c>
      <c r="E7082" s="250" t="str">
        <f>IF(AND(A7082&lt;&gt;"",ISNUMBER(A7082)),VLOOKUP(A7082,Studies!A:BR,5,FALSE),"")</f>
        <v>Alfentanil</v>
      </c>
      <c r="F7082" s="251" t="str">
        <f>IF(AND(A7082&lt;&gt;"",ISNUMBER(A7082)),VLOOKUP(A7082,Studies!A:BR,6,FALSE),"")</f>
        <v>Plasma</v>
      </c>
      <c r="G7082" s="194">
        <v>69</v>
      </c>
      <c r="H7082" s="50" t="s">
        <v>60</v>
      </c>
      <c r="I7082" s="187">
        <v>16.279530000000001</v>
      </c>
      <c r="J7082" s="41" t="s">
        <v>941</v>
      </c>
      <c r="K7082" s="41" t="s">
        <v>116</v>
      </c>
    </row>
    <row r="7083" spans="1:11" x14ac:dyDescent="0.2">
      <c r="A7083" s="30">
        <v>770</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PO Ketoconazole coadmin sequential</v>
      </c>
      <c r="E7083" s="250" t="str">
        <f>IF(AND(A7083&lt;&gt;"",ISNUMBER(A7083)),VLOOKUP(A7083,Studies!A:BR,5,FALSE),"")</f>
        <v>Alfentanil</v>
      </c>
      <c r="F7083" s="251" t="str">
        <f>IF(AND(A7083&lt;&gt;"",ISNUMBER(A7083)),VLOOKUP(A7083,Studies!A:BR,6,FALSE),"")</f>
        <v>Plasma</v>
      </c>
      <c r="G7083" s="194">
        <v>70</v>
      </c>
      <c r="H7083" s="50" t="s">
        <v>60</v>
      </c>
      <c r="I7083" s="187">
        <v>13.04463</v>
      </c>
      <c r="J7083" s="41" t="s">
        <v>941</v>
      </c>
      <c r="K7083" s="41" t="s">
        <v>116</v>
      </c>
    </row>
    <row r="7084" spans="1:11" x14ac:dyDescent="0.2">
      <c r="A7084" s="30">
        <v>770</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PO Ketoconazole coadmin sequential</v>
      </c>
      <c r="E7084" s="250" t="str">
        <f>IF(AND(A7084&lt;&gt;"",ISNUMBER(A7084)),VLOOKUP(A7084,Studies!A:BR,5,FALSE),"")</f>
        <v>Alfentanil</v>
      </c>
      <c r="F7084" s="251" t="str">
        <f>IF(AND(A7084&lt;&gt;"",ISNUMBER(A7084)),VLOOKUP(A7084,Studies!A:BR,6,FALSE),"")</f>
        <v>Plasma</v>
      </c>
      <c r="G7084" s="194">
        <v>71</v>
      </c>
      <c r="H7084" s="50" t="s">
        <v>60</v>
      </c>
      <c r="I7084" s="187">
        <v>10.99366</v>
      </c>
      <c r="J7084" s="41" t="s">
        <v>941</v>
      </c>
      <c r="K7084" s="41" t="s">
        <v>116</v>
      </c>
    </row>
    <row r="7085" spans="1:11" x14ac:dyDescent="0.2">
      <c r="A7085" s="30">
        <v>771</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PO Rifampin coadmin sequential</v>
      </c>
      <c r="E7085" s="250" t="str">
        <f>IF(AND(A7085&lt;&gt;"",ISNUMBER(A7085)),VLOOKUP(A7085,Studies!A:BR,5,FALSE),"")</f>
        <v>Alfentanil</v>
      </c>
      <c r="F7085" s="251" t="str">
        <f>IF(AND(A7085&lt;&gt;"",ISNUMBER(A7085)),VLOOKUP(A7085,Studies!A:BR,6,FALSE),"")</f>
        <v>Plasma</v>
      </c>
      <c r="G7085" s="194">
        <v>111.25</v>
      </c>
      <c r="H7085" s="50" t="s">
        <v>60</v>
      </c>
      <c r="I7085" s="187">
        <v>6.0828990000000003</v>
      </c>
      <c r="J7085" s="41" t="s">
        <v>941</v>
      </c>
      <c r="K7085" s="41" t="s">
        <v>116</v>
      </c>
    </row>
    <row r="7086" spans="1:11" x14ac:dyDescent="0.2">
      <c r="A7086" s="30">
        <v>771</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PO Rifampin coadmin sequential</v>
      </c>
      <c r="E7086" s="250" t="str">
        <f>IF(AND(A7086&lt;&gt;"",ISNUMBER(A7086)),VLOOKUP(A7086,Studies!A:BR,5,FALSE),"")</f>
        <v>Alfentanil</v>
      </c>
      <c r="F7086" s="251" t="str">
        <f>IF(AND(A7086&lt;&gt;"",ISNUMBER(A7086)),VLOOKUP(A7086,Studies!A:BR,6,FALSE),"")</f>
        <v>Plasma</v>
      </c>
      <c r="G7086" s="194">
        <v>111.5</v>
      </c>
      <c r="H7086" s="50" t="s">
        <v>60</v>
      </c>
      <c r="I7086" s="187">
        <v>4.555542</v>
      </c>
      <c r="J7086" s="41" t="s">
        <v>941</v>
      </c>
      <c r="K7086" s="41" t="s">
        <v>116</v>
      </c>
    </row>
    <row r="7087" spans="1:11" x14ac:dyDescent="0.2">
      <c r="A7087" s="30">
        <v>771</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PO Rifampin coadmin sequential</v>
      </c>
      <c r="E7087" s="250" t="str">
        <f>IF(AND(A7087&lt;&gt;"",ISNUMBER(A7087)),VLOOKUP(A7087,Studies!A:BR,5,FALSE),"")</f>
        <v>Alfentanil</v>
      </c>
      <c r="F7087" s="251" t="str">
        <f>IF(AND(A7087&lt;&gt;"",ISNUMBER(A7087)),VLOOKUP(A7087,Studies!A:BR,6,FALSE),"")</f>
        <v>Plasma</v>
      </c>
      <c r="G7087" s="194">
        <v>111.75</v>
      </c>
      <c r="H7087" s="50" t="s">
        <v>60</v>
      </c>
      <c r="I7087" s="187">
        <v>3.5355840000000001</v>
      </c>
      <c r="J7087" s="41" t="s">
        <v>941</v>
      </c>
      <c r="K7087" s="41" t="s">
        <v>116</v>
      </c>
    </row>
    <row r="7088" spans="1:11" x14ac:dyDescent="0.2">
      <c r="A7088" s="30">
        <v>771</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PO Rifampin coadmin sequential</v>
      </c>
      <c r="E7088" s="250" t="str">
        <f>IF(AND(A7088&lt;&gt;"",ISNUMBER(A7088)),VLOOKUP(A7088,Studies!A:BR,5,FALSE),"")</f>
        <v>Alfentanil</v>
      </c>
      <c r="F7088" s="251" t="str">
        <f>IF(AND(A7088&lt;&gt;"",ISNUMBER(A7088)),VLOOKUP(A7088,Studies!A:BR,6,FALSE),"")</f>
        <v>Plasma</v>
      </c>
      <c r="G7088" s="194">
        <v>112</v>
      </c>
      <c r="H7088" s="50" t="s">
        <v>60</v>
      </c>
      <c r="I7088" s="187">
        <v>2.6847590000000001</v>
      </c>
      <c r="J7088" s="41" t="s">
        <v>941</v>
      </c>
      <c r="K7088" s="41" t="s">
        <v>116</v>
      </c>
    </row>
    <row r="7089" spans="1:11" x14ac:dyDescent="0.2">
      <c r="A7089" s="30">
        <v>771</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PO Rifampin coadmin sequential</v>
      </c>
      <c r="E7089" s="250" t="str">
        <f>IF(AND(A7089&lt;&gt;"",ISNUMBER(A7089)),VLOOKUP(A7089,Studies!A:BR,5,FALSE),"")</f>
        <v>Alfentanil</v>
      </c>
      <c r="F7089" s="251" t="str">
        <f>IF(AND(A7089&lt;&gt;"",ISNUMBER(A7089)),VLOOKUP(A7089,Studies!A:BR,6,FALSE),"")</f>
        <v>Plasma</v>
      </c>
      <c r="G7089" s="194">
        <v>112.5</v>
      </c>
      <c r="H7089" s="50" t="s">
        <v>60</v>
      </c>
      <c r="I7089" s="187">
        <v>1.8324609999999999</v>
      </c>
      <c r="J7089" s="41" t="s">
        <v>941</v>
      </c>
      <c r="K7089" s="41" t="s">
        <v>116</v>
      </c>
    </row>
    <row r="7090" spans="1:11" x14ac:dyDescent="0.2">
      <c r="A7090" s="30">
        <v>771</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PO Rifampin coadmin sequential</v>
      </c>
      <c r="E7090" s="250" t="str">
        <f>IF(AND(A7090&lt;&gt;"",ISNUMBER(A7090)),VLOOKUP(A7090,Studies!A:BR,5,FALSE),"")</f>
        <v>Alfentanil</v>
      </c>
      <c r="F7090" s="251" t="str">
        <f>IF(AND(A7090&lt;&gt;"",ISNUMBER(A7090)),VLOOKUP(A7090,Studies!A:BR,6,FALSE),"")</f>
        <v>Plasma</v>
      </c>
      <c r="G7090" s="194">
        <v>113</v>
      </c>
      <c r="H7090" s="50" t="s">
        <v>60</v>
      </c>
      <c r="I7090" s="187">
        <v>0.9724237</v>
      </c>
      <c r="J7090" s="41" t="s">
        <v>941</v>
      </c>
      <c r="K7090" s="41" t="s">
        <v>116</v>
      </c>
    </row>
    <row r="7091" spans="1:11" x14ac:dyDescent="0.2">
      <c r="A7091" s="30">
        <v>771</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PO Rifampin coadmin sequential</v>
      </c>
      <c r="E7091" s="250" t="str">
        <f>IF(AND(A7091&lt;&gt;"",ISNUMBER(A7091)),VLOOKUP(A7091,Studies!A:BR,5,FALSE),"")</f>
        <v>Alfentanil</v>
      </c>
      <c r="F7091" s="251" t="str">
        <f>IF(AND(A7091&lt;&gt;"",ISNUMBER(A7091)),VLOOKUP(A7091,Studies!A:BR,6,FALSE),"")</f>
        <v>Plasma</v>
      </c>
      <c r="G7091" s="194">
        <v>114</v>
      </c>
      <c r="H7091" s="50" t="s">
        <v>60</v>
      </c>
      <c r="I7091" s="187">
        <v>0.44402069999999999</v>
      </c>
      <c r="J7091" s="41" t="s">
        <v>941</v>
      </c>
      <c r="K7091" s="41" t="s">
        <v>116</v>
      </c>
    </row>
    <row r="7092" spans="1:11" x14ac:dyDescent="0.2">
      <c r="A7092" s="30">
        <v>771</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PO Rifampin coadmin sequential</v>
      </c>
      <c r="E7092" s="250" t="str">
        <f>IF(AND(A7092&lt;&gt;"",ISNUMBER(A7092)),VLOOKUP(A7092,Studies!A:BR,5,FALSE),"")</f>
        <v>Alfentanil</v>
      </c>
      <c r="F7092" s="251" t="str">
        <f>IF(AND(A7092&lt;&gt;"",ISNUMBER(A7092)),VLOOKUP(A7092,Studies!A:BR,6,FALSE),"")</f>
        <v>Plasma</v>
      </c>
      <c r="G7092" s="194">
        <v>115</v>
      </c>
      <c r="H7092" s="50" t="s">
        <v>60</v>
      </c>
      <c r="I7092" s="187">
        <v>8.4382360000000003E-2</v>
      </c>
      <c r="J7092" s="41" t="s">
        <v>941</v>
      </c>
      <c r="K7092" s="41" t="s">
        <v>116</v>
      </c>
    </row>
    <row r="7093" spans="1:11" x14ac:dyDescent="0.2">
      <c r="A7093" s="30">
        <v>772</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PO Control simultaneous</v>
      </c>
      <c r="E7093" s="250" t="str">
        <f>IF(AND(A7093&lt;&gt;"",ISNUMBER(A7093)),VLOOKUP(A7093,Studies!A:BR,5,FALSE),"")</f>
        <v>Alfentanil</v>
      </c>
      <c r="F7093" s="251" t="str">
        <f>IF(AND(A7093&lt;&gt;"",ISNUMBER(A7093)),VLOOKUP(A7093,Studies!A:BR,6,FALSE),"")</f>
        <v>Plasma</v>
      </c>
      <c r="G7093" s="194">
        <v>21.166</v>
      </c>
      <c r="H7093" s="50" t="s">
        <v>60</v>
      </c>
      <c r="I7093" s="187">
        <v>0.16877639999999999</v>
      </c>
      <c r="J7093" s="41" t="s">
        <v>941</v>
      </c>
      <c r="K7093" s="41" t="s">
        <v>116</v>
      </c>
    </row>
    <row r="7094" spans="1:11" x14ac:dyDescent="0.2">
      <c r="A7094" s="30">
        <v>772</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PO Control simultaneous</v>
      </c>
      <c r="E7094" s="250" t="str">
        <f>IF(AND(A7094&lt;&gt;"",ISNUMBER(A7094)),VLOOKUP(A7094,Studies!A:BR,5,FALSE),"")</f>
        <v>Alfentanil</v>
      </c>
      <c r="F7094" s="251" t="str">
        <f>IF(AND(A7094&lt;&gt;"",ISNUMBER(A7094)),VLOOKUP(A7094,Studies!A:BR,6,FALSE),"")</f>
        <v>Plasma</v>
      </c>
      <c r="G7094" s="194">
        <v>21.25</v>
      </c>
      <c r="H7094" s="50" t="s">
        <v>60</v>
      </c>
      <c r="I7094" s="187">
        <v>11.308020000000001</v>
      </c>
      <c r="J7094" s="41" t="s">
        <v>941</v>
      </c>
      <c r="K7094" s="41" t="s">
        <v>116</v>
      </c>
    </row>
    <row r="7095" spans="1:11" x14ac:dyDescent="0.2">
      <c r="A7095" s="30">
        <v>772</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PO Control simultaneous</v>
      </c>
      <c r="E7095" s="250" t="str">
        <f>IF(AND(A7095&lt;&gt;"",ISNUMBER(A7095)),VLOOKUP(A7095,Studies!A:BR,5,FALSE),"")</f>
        <v>Alfentanil</v>
      </c>
      <c r="F7095" s="251" t="str">
        <f>IF(AND(A7095&lt;&gt;"",ISNUMBER(A7095)),VLOOKUP(A7095,Studies!A:BR,6,FALSE),"")</f>
        <v>Plasma</v>
      </c>
      <c r="G7095" s="194">
        <v>21.5</v>
      </c>
      <c r="H7095" s="50" t="s">
        <v>60</v>
      </c>
      <c r="I7095" s="187">
        <v>16.371310000000001</v>
      </c>
      <c r="J7095" s="41" t="s">
        <v>941</v>
      </c>
      <c r="K7095" s="41" t="s">
        <v>116</v>
      </c>
    </row>
    <row r="7096" spans="1:11" x14ac:dyDescent="0.2">
      <c r="A7096" s="30">
        <v>772</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PO Control simultaneous</v>
      </c>
      <c r="E7096" s="250" t="str">
        <f>IF(AND(A7096&lt;&gt;"",ISNUMBER(A7096)),VLOOKUP(A7096,Studies!A:BR,5,FALSE),"")</f>
        <v>Alfentanil</v>
      </c>
      <c r="F7096" s="251" t="str">
        <f>IF(AND(A7096&lt;&gt;"",ISNUMBER(A7096)),VLOOKUP(A7096,Studies!A:BR,6,FALSE),"")</f>
        <v>Plasma</v>
      </c>
      <c r="G7096" s="194">
        <v>21.75</v>
      </c>
      <c r="H7096" s="50" t="s">
        <v>60</v>
      </c>
      <c r="I7096" s="187">
        <v>21.940930000000002</v>
      </c>
      <c r="J7096" s="41" t="s">
        <v>941</v>
      </c>
      <c r="K7096" s="41" t="s">
        <v>116</v>
      </c>
    </row>
    <row r="7097" spans="1:11" x14ac:dyDescent="0.2">
      <c r="A7097" s="30">
        <v>772</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PO Control simultaneous</v>
      </c>
      <c r="E7097" s="250" t="str">
        <f>IF(AND(A7097&lt;&gt;"",ISNUMBER(A7097)),VLOOKUP(A7097,Studies!A:BR,5,FALSE),"")</f>
        <v>Alfentanil</v>
      </c>
      <c r="F7097" s="251" t="str">
        <f>IF(AND(A7097&lt;&gt;"",ISNUMBER(A7097)),VLOOKUP(A7097,Studies!A:BR,6,FALSE),"")</f>
        <v>Plasma</v>
      </c>
      <c r="G7097" s="194">
        <v>22</v>
      </c>
      <c r="H7097" s="50" t="s">
        <v>60</v>
      </c>
      <c r="I7097" s="187">
        <v>23.797470000000001</v>
      </c>
      <c r="J7097" s="41" t="s">
        <v>941</v>
      </c>
      <c r="K7097" s="41" t="s">
        <v>116</v>
      </c>
    </row>
    <row r="7098" spans="1:11" x14ac:dyDescent="0.2">
      <c r="A7098" s="30">
        <v>772</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PO Control simultaneous</v>
      </c>
      <c r="E7098" s="250" t="str">
        <f>IF(AND(A7098&lt;&gt;"",ISNUMBER(A7098)),VLOOKUP(A7098,Studies!A:BR,5,FALSE),"")</f>
        <v>Alfentanil</v>
      </c>
      <c r="F7098" s="251" t="str">
        <f>IF(AND(A7098&lt;&gt;"",ISNUMBER(A7098)),VLOOKUP(A7098,Studies!A:BR,6,FALSE),"")</f>
        <v>Plasma</v>
      </c>
      <c r="G7098" s="194">
        <v>22.5</v>
      </c>
      <c r="H7098" s="50" t="s">
        <v>60</v>
      </c>
      <c r="I7098" s="187">
        <v>24.135020000000001</v>
      </c>
      <c r="J7098" s="41" t="s">
        <v>941</v>
      </c>
      <c r="K7098" s="41" t="s">
        <v>116</v>
      </c>
    </row>
    <row r="7099" spans="1:11" x14ac:dyDescent="0.2">
      <c r="A7099" s="30">
        <v>772</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PO Control simultaneous</v>
      </c>
      <c r="E7099" s="250" t="str">
        <f>IF(AND(A7099&lt;&gt;"",ISNUMBER(A7099)),VLOOKUP(A7099,Studies!A:BR,5,FALSE),"")</f>
        <v>Alfentanil</v>
      </c>
      <c r="F7099" s="251" t="str">
        <f>IF(AND(A7099&lt;&gt;"",ISNUMBER(A7099)),VLOOKUP(A7099,Studies!A:BR,6,FALSE),"")</f>
        <v>Plasma</v>
      </c>
      <c r="G7099" s="194">
        <v>23</v>
      </c>
      <c r="H7099" s="50" t="s">
        <v>60</v>
      </c>
      <c r="I7099" s="187">
        <v>22.616029999999999</v>
      </c>
      <c r="J7099" s="41" t="s">
        <v>941</v>
      </c>
      <c r="K7099" s="41" t="s">
        <v>116</v>
      </c>
    </row>
    <row r="7100" spans="1:11" x14ac:dyDescent="0.2">
      <c r="A7100" s="30">
        <v>772</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PO Control simultaneous</v>
      </c>
      <c r="E7100" s="250" t="str">
        <f>IF(AND(A7100&lt;&gt;"",ISNUMBER(A7100)),VLOOKUP(A7100,Studies!A:BR,5,FALSE),"")</f>
        <v>Alfentanil</v>
      </c>
      <c r="F7100" s="251" t="str">
        <f>IF(AND(A7100&lt;&gt;"",ISNUMBER(A7100)),VLOOKUP(A7100,Studies!A:BR,6,FALSE),"")</f>
        <v>Plasma</v>
      </c>
      <c r="G7100" s="194">
        <v>23.5</v>
      </c>
      <c r="H7100" s="50" t="s">
        <v>60</v>
      </c>
      <c r="I7100" s="187">
        <v>18.734179999999999</v>
      </c>
      <c r="J7100" s="41" t="s">
        <v>941</v>
      </c>
      <c r="K7100" s="41" t="s">
        <v>116</v>
      </c>
    </row>
    <row r="7101" spans="1:11" x14ac:dyDescent="0.2">
      <c r="A7101" s="30">
        <v>772</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PO Control simultaneous</v>
      </c>
      <c r="E7101" s="250" t="str">
        <f>IF(AND(A7101&lt;&gt;"",ISNUMBER(A7101)),VLOOKUP(A7101,Studies!A:BR,5,FALSE),"")</f>
        <v>Alfentanil</v>
      </c>
      <c r="F7101" s="251" t="str">
        <f>IF(AND(A7101&lt;&gt;"",ISNUMBER(A7101)),VLOOKUP(A7101,Studies!A:BR,6,FALSE),"")</f>
        <v>Plasma</v>
      </c>
      <c r="G7101" s="194">
        <v>24</v>
      </c>
      <c r="H7101" s="50" t="s">
        <v>60</v>
      </c>
      <c r="I7101" s="187">
        <v>15.189870000000001</v>
      </c>
      <c r="J7101" s="41" t="s">
        <v>941</v>
      </c>
      <c r="K7101" s="41" t="s">
        <v>116</v>
      </c>
    </row>
    <row r="7102" spans="1:11" x14ac:dyDescent="0.2">
      <c r="A7102" s="30">
        <v>772</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PO Control simultaneous</v>
      </c>
      <c r="E7102" s="250" t="str">
        <f>IF(AND(A7102&lt;&gt;"",ISNUMBER(A7102)),VLOOKUP(A7102,Studies!A:BR,5,FALSE),"")</f>
        <v>Alfentanil</v>
      </c>
      <c r="F7102" s="251" t="str">
        <f>IF(AND(A7102&lt;&gt;"",ISNUMBER(A7102)),VLOOKUP(A7102,Studies!A:BR,6,FALSE),"")</f>
        <v>Plasma</v>
      </c>
      <c r="G7102" s="194">
        <v>24.5</v>
      </c>
      <c r="H7102" s="50" t="s">
        <v>60</v>
      </c>
      <c r="I7102" s="187">
        <v>12.99578</v>
      </c>
      <c r="J7102" s="41" t="s">
        <v>941</v>
      </c>
      <c r="K7102" s="41" t="s">
        <v>116</v>
      </c>
    </row>
    <row r="7103" spans="1:11" x14ac:dyDescent="0.2">
      <c r="A7103" s="30">
        <v>772</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PO Control simultaneous</v>
      </c>
      <c r="E7103" s="250" t="str">
        <f>IF(AND(A7103&lt;&gt;"",ISNUMBER(A7103)),VLOOKUP(A7103,Studies!A:BR,5,FALSE),"")</f>
        <v>Alfentanil</v>
      </c>
      <c r="F7103" s="251" t="str">
        <f>IF(AND(A7103&lt;&gt;"",ISNUMBER(A7103)),VLOOKUP(A7103,Studies!A:BR,6,FALSE),"")</f>
        <v>Plasma</v>
      </c>
      <c r="G7103" s="194">
        <v>25</v>
      </c>
      <c r="H7103" s="50" t="s">
        <v>60</v>
      </c>
      <c r="I7103" s="187">
        <v>8.6075940000000006</v>
      </c>
      <c r="J7103" s="41" t="s">
        <v>941</v>
      </c>
      <c r="K7103" s="41" t="s">
        <v>116</v>
      </c>
    </row>
    <row r="7104" spans="1:11" x14ac:dyDescent="0.2">
      <c r="A7104" s="30">
        <v>772</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PO Control simultaneous</v>
      </c>
      <c r="E7104" s="250" t="str">
        <f>IF(AND(A7104&lt;&gt;"",ISNUMBER(A7104)),VLOOKUP(A7104,Studies!A:BR,5,FALSE),"")</f>
        <v>Alfentanil</v>
      </c>
      <c r="F7104" s="251" t="str">
        <f>IF(AND(A7104&lt;&gt;"",ISNUMBER(A7104)),VLOOKUP(A7104,Studies!A:BR,6,FALSE),"")</f>
        <v>Plasma</v>
      </c>
      <c r="G7104" s="194">
        <v>26</v>
      </c>
      <c r="H7104" s="50" t="s">
        <v>60</v>
      </c>
      <c r="I7104" s="187">
        <v>5.738397</v>
      </c>
      <c r="J7104" s="41" t="s">
        <v>941</v>
      </c>
      <c r="K7104" s="41" t="s">
        <v>116</v>
      </c>
    </row>
    <row r="7105" spans="1:14" x14ac:dyDescent="0.2">
      <c r="A7105" s="30">
        <v>772</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PO Control simultaneous</v>
      </c>
      <c r="E7105" s="250" t="str">
        <f>IF(AND(A7105&lt;&gt;"",ISNUMBER(A7105)),VLOOKUP(A7105,Studies!A:BR,5,FALSE),"")</f>
        <v>Alfentanil</v>
      </c>
      <c r="F7105" s="251" t="str">
        <f>IF(AND(A7105&lt;&gt;"",ISNUMBER(A7105)),VLOOKUP(A7105,Studies!A:BR,6,FALSE),"")</f>
        <v>Plasma</v>
      </c>
      <c r="G7105" s="194">
        <v>27</v>
      </c>
      <c r="H7105" s="50" t="s">
        <v>60</v>
      </c>
      <c r="I7105" s="187">
        <v>3.881856</v>
      </c>
      <c r="J7105" s="41" t="s">
        <v>941</v>
      </c>
      <c r="K7105" s="41" t="s">
        <v>116</v>
      </c>
    </row>
    <row r="7106" spans="1:14" x14ac:dyDescent="0.2">
      <c r="A7106" s="30">
        <v>772</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PO Control simultaneous</v>
      </c>
      <c r="E7106" s="250" t="str">
        <f>IF(AND(A7106&lt;&gt;"",ISNUMBER(A7106)),VLOOKUP(A7106,Studies!A:BR,5,FALSE),"")</f>
        <v>Alfentanil</v>
      </c>
      <c r="F7106" s="251" t="str">
        <f>IF(AND(A7106&lt;&gt;"",ISNUMBER(A7106)),VLOOKUP(A7106,Studies!A:BR,6,FALSE),"")</f>
        <v>Plasma</v>
      </c>
      <c r="G7106" s="194">
        <v>28</v>
      </c>
      <c r="H7106" s="50" t="s">
        <v>60</v>
      </c>
      <c r="I7106" s="187">
        <v>2.7004220000000001</v>
      </c>
      <c r="J7106" s="41" t="s">
        <v>941</v>
      </c>
      <c r="K7106" s="41" t="s">
        <v>116</v>
      </c>
    </row>
    <row r="7107" spans="1:14" x14ac:dyDescent="0.2">
      <c r="A7107" s="30">
        <v>772</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PO Control simultaneous</v>
      </c>
      <c r="E7107" s="250" t="str">
        <f>IF(AND(A7107&lt;&gt;"",ISNUMBER(A7107)),VLOOKUP(A7107,Studies!A:BR,5,FALSE),"")</f>
        <v>Alfentanil</v>
      </c>
      <c r="F7107" s="251" t="str">
        <f>IF(AND(A7107&lt;&gt;"",ISNUMBER(A7107)),VLOOKUP(A7107,Studies!A:BR,6,FALSE),"")</f>
        <v>Plasma</v>
      </c>
      <c r="G7107" s="194">
        <v>29</v>
      </c>
      <c r="H7107" s="50" t="s">
        <v>60</v>
      </c>
      <c r="I7107" s="187">
        <v>1.5189870000000001</v>
      </c>
      <c r="J7107" s="41" t="s">
        <v>941</v>
      </c>
      <c r="K7107" s="41" t="s">
        <v>116</v>
      </c>
    </row>
    <row r="7108" spans="1:14" x14ac:dyDescent="0.2">
      <c r="A7108" s="30">
        <v>773</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PO Grapefruit coadmin simultaneous</v>
      </c>
      <c r="E7108" s="250" t="str">
        <f>IF(AND(A7108&lt;&gt;"",ISNUMBER(A7108)),VLOOKUP(A7108,Studies!A:BR,5,FALSE),"")</f>
        <v>Alfentanil</v>
      </c>
      <c r="F7108" s="251" t="str">
        <f>IF(AND(A7108&lt;&gt;"",ISNUMBER(A7108)),VLOOKUP(A7108,Studies!A:BR,6,FALSE),"")</f>
        <v>Plasma</v>
      </c>
      <c r="G7108" s="194">
        <v>21.25</v>
      </c>
      <c r="H7108" s="50" t="s">
        <v>60</v>
      </c>
      <c r="I7108" s="187">
        <v>13.33333</v>
      </c>
      <c r="J7108" s="41" t="s">
        <v>941</v>
      </c>
      <c r="K7108" s="41" t="s">
        <v>116</v>
      </c>
      <c r="L7108" s="195">
        <v>14.34599</v>
      </c>
      <c r="M7108" s="52" t="s">
        <v>941</v>
      </c>
      <c r="N7108" s="52" t="s">
        <v>117</v>
      </c>
    </row>
    <row r="7109" spans="1:14" x14ac:dyDescent="0.2">
      <c r="A7109" s="30">
        <v>773</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PO Grapefruit coadmin simultaneous</v>
      </c>
      <c r="E7109" s="250" t="str">
        <f>IF(AND(A7109&lt;&gt;"",ISNUMBER(A7109)),VLOOKUP(A7109,Studies!A:BR,5,FALSE),"")</f>
        <v>Alfentanil</v>
      </c>
      <c r="F7109" s="251" t="str">
        <f>IF(AND(A7109&lt;&gt;"",ISNUMBER(A7109)),VLOOKUP(A7109,Studies!A:BR,6,FALSE),"")</f>
        <v>Plasma</v>
      </c>
      <c r="G7109" s="194">
        <v>21.5</v>
      </c>
      <c r="H7109" s="50" t="s">
        <v>60</v>
      </c>
      <c r="I7109" s="187">
        <v>29.873419999999999</v>
      </c>
      <c r="J7109" s="41" t="s">
        <v>941</v>
      </c>
      <c r="K7109" s="41" t="s">
        <v>116</v>
      </c>
      <c r="L7109" s="195">
        <v>23.291139999999999</v>
      </c>
      <c r="M7109" s="52" t="s">
        <v>941</v>
      </c>
      <c r="N7109" s="52" t="s">
        <v>117</v>
      </c>
    </row>
    <row r="7110" spans="1:14" x14ac:dyDescent="0.2">
      <c r="A7110" s="30">
        <v>773</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PO Grapefruit coadmin simultaneous</v>
      </c>
      <c r="E7110" s="250" t="str">
        <f>IF(AND(A7110&lt;&gt;"",ISNUMBER(A7110)),VLOOKUP(A7110,Studies!A:BR,5,FALSE),"")</f>
        <v>Alfentanil</v>
      </c>
      <c r="F7110" s="251" t="str">
        <f>IF(AND(A7110&lt;&gt;"",ISNUMBER(A7110)),VLOOKUP(A7110,Studies!A:BR,6,FALSE),"")</f>
        <v>Plasma</v>
      </c>
      <c r="G7110" s="194">
        <v>21.75</v>
      </c>
      <c r="H7110" s="50" t="s">
        <v>60</v>
      </c>
      <c r="I7110" s="187">
        <v>40.506329999999998</v>
      </c>
      <c r="J7110" s="41" t="s">
        <v>941</v>
      </c>
      <c r="K7110" s="41" t="s">
        <v>116</v>
      </c>
      <c r="L7110" s="195">
        <v>22.44726</v>
      </c>
      <c r="M7110" s="52" t="s">
        <v>941</v>
      </c>
      <c r="N7110" s="52" t="s">
        <v>117</v>
      </c>
    </row>
    <row r="7111" spans="1:14" x14ac:dyDescent="0.2">
      <c r="A7111" s="30">
        <v>773</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PO Grapefruit coadmin simultaneous</v>
      </c>
      <c r="E7111" s="250" t="str">
        <f>IF(AND(A7111&lt;&gt;"",ISNUMBER(A7111)),VLOOKUP(A7111,Studies!A:BR,5,FALSE),"")</f>
        <v>Alfentanil</v>
      </c>
      <c r="F7111" s="251" t="str">
        <f>IF(AND(A7111&lt;&gt;"",ISNUMBER(A7111)),VLOOKUP(A7111,Studies!A:BR,6,FALSE),"")</f>
        <v>Plasma</v>
      </c>
      <c r="G7111" s="194">
        <v>22</v>
      </c>
      <c r="H7111" s="50" t="s">
        <v>60</v>
      </c>
      <c r="I7111" s="187">
        <v>47.088610000000003</v>
      </c>
      <c r="J7111" s="41" t="s">
        <v>941</v>
      </c>
      <c r="K7111" s="41" t="s">
        <v>116</v>
      </c>
      <c r="L7111" s="195">
        <v>32.742609999999999</v>
      </c>
      <c r="M7111" s="52" t="s">
        <v>941</v>
      </c>
      <c r="N7111" s="52" t="s">
        <v>117</v>
      </c>
    </row>
    <row r="7112" spans="1:14" x14ac:dyDescent="0.2">
      <c r="A7112" s="30">
        <v>773</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PO Grapefruit coadmin simultaneous</v>
      </c>
      <c r="E7112" s="250" t="str">
        <f>IF(AND(A7112&lt;&gt;"",ISNUMBER(A7112)),VLOOKUP(A7112,Studies!A:BR,5,FALSE),"")</f>
        <v>Alfentanil</v>
      </c>
      <c r="F7112" s="251" t="str">
        <f>IF(AND(A7112&lt;&gt;"",ISNUMBER(A7112)),VLOOKUP(A7112,Studies!A:BR,6,FALSE),"")</f>
        <v>Plasma</v>
      </c>
      <c r="G7112" s="194">
        <v>22.5</v>
      </c>
      <c r="H7112" s="50" t="s">
        <v>60</v>
      </c>
      <c r="I7112" s="187">
        <v>39.324890000000003</v>
      </c>
      <c r="J7112" s="41" t="s">
        <v>941</v>
      </c>
      <c r="K7112" s="41" t="s">
        <v>116</v>
      </c>
      <c r="L7112" s="195">
        <v>24.810130000000001</v>
      </c>
      <c r="M7112" s="52" t="s">
        <v>941</v>
      </c>
      <c r="N7112" s="52" t="s">
        <v>117</v>
      </c>
    </row>
    <row r="7113" spans="1:14" x14ac:dyDescent="0.2">
      <c r="A7113" s="30">
        <v>773</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PO Grapefruit coadmin simultaneous</v>
      </c>
      <c r="E7113" s="250" t="str">
        <f>IF(AND(A7113&lt;&gt;"",ISNUMBER(A7113)),VLOOKUP(A7113,Studies!A:BR,5,FALSE),"")</f>
        <v>Alfentanil</v>
      </c>
      <c r="F7113" s="251" t="str">
        <f>IF(AND(A7113&lt;&gt;"",ISNUMBER(A7113)),VLOOKUP(A7113,Studies!A:BR,6,FALSE),"")</f>
        <v>Plasma</v>
      </c>
      <c r="G7113" s="194">
        <v>23</v>
      </c>
      <c r="H7113" s="50" t="s">
        <v>60</v>
      </c>
      <c r="I7113" s="187">
        <v>32.405059999999999</v>
      </c>
      <c r="J7113" s="41" t="s">
        <v>941</v>
      </c>
      <c r="K7113" s="41" t="s">
        <v>116</v>
      </c>
      <c r="L7113" s="195">
        <v>13.67089</v>
      </c>
      <c r="M7113" s="52" t="s">
        <v>941</v>
      </c>
      <c r="N7113" s="52" t="s">
        <v>117</v>
      </c>
    </row>
    <row r="7114" spans="1:14" x14ac:dyDescent="0.2">
      <c r="A7114" s="30">
        <v>773</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PO Grapefruit coadmin simultaneous</v>
      </c>
      <c r="E7114" s="250" t="str">
        <f>IF(AND(A7114&lt;&gt;"",ISNUMBER(A7114)),VLOOKUP(A7114,Studies!A:BR,5,FALSE),"")</f>
        <v>Alfentanil</v>
      </c>
      <c r="F7114" s="251" t="str">
        <f>IF(AND(A7114&lt;&gt;"",ISNUMBER(A7114)),VLOOKUP(A7114,Studies!A:BR,6,FALSE),"")</f>
        <v>Plasma</v>
      </c>
      <c r="G7114" s="194">
        <v>23.5</v>
      </c>
      <c r="H7114" s="50" t="s">
        <v>60</v>
      </c>
      <c r="I7114" s="187">
        <v>31.56118</v>
      </c>
      <c r="J7114" s="41" t="s">
        <v>941</v>
      </c>
      <c r="K7114" s="41" t="s">
        <v>116</v>
      </c>
      <c r="L7114" s="195">
        <v>11.308020000000001</v>
      </c>
      <c r="M7114" s="52" t="s">
        <v>941</v>
      </c>
      <c r="N7114" s="52" t="s">
        <v>117</v>
      </c>
    </row>
    <row r="7115" spans="1:14" x14ac:dyDescent="0.2">
      <c r="A7115" s="30">
        <v>773</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PO Grapefruit coadmin simultaneous</v>
      </c>
      <c r="E7115" s="250" t="str">
        <f>IF(AND(A7115&lt;&gt;"",ISNUMBER(A7115)),VLOOKUP(A7115,Studies!A:BR,5,FALSE),"")</f>
        <v>Alfentanil</v>
      </c>
      <c r="F7115" s="251" t="str">
        <f>IF(AND(A7115&lt;&gt;"",ISNUMBER(A7115)),VLOOKUP(A7115,Studies!A:BR,6,FALSE),"")</f>
        <v>Plasma</v>
      </c>
      <c r="G7115" s="194">
        <v>24</v>
      </c>
      <c r="H7115" s="50" t="s">
        <v>60</v>
      </c>
      <c r="I7115" s="187">
        <v>32.067509999999999</v>
      </c>
      <c r="J7115" s="41" t="s">
        <v>941</v>
      </c>
      <c r="K7115" s="41" t="s">
        <v>116</v>
      </c>
      <c r="L7115" s="195">
        <v>14.00844</v>
      </c>
      <c r="M7115" s="52" t="s">
        <v>941</v>
      </c>
      <c r="N7115" s="52" t="s">
        <v>117</v>
      </c>
    </row>
    <row r="7116" spans="1:14" x14ac:dyDescent="0.2">
      <c r="A7116" s="30">
        <v>773</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PO Grapefruit coadmin simultaneous</v>
      </c>
      <c r="E7116" s="250" t="str">
        <f>IF(AND(A7116&lt;&gt;"",ISNUMBER(A7116)),VLOOKUP(A7116,Studies!A:BR,5,FALSE),"")</f>
        <v>Alfentanil</v>
      </c>
      <c r="F7116" s="251" t="str">
        <f>IF(AND(A7116&lt;&gt;"",ISNUMBER(A7116)),VLOOKUP(A7116,Studies!A:BR,6,FALSE),"")</f>
        <v>Plasma</v>
      </c>
      <c r="G7116" s="194">
        <v>24.5</v>
      </c>
      <c r="H7116" s="50" t="s">
        <v>60</v>
      </c>
      <c r="I7116" s="187">
        <v>31.22363</v>
      </c>
      <c r="J7116" s="41" t="s">
        <v>941</v>
      </c>
      <c r="K7116" s="41" t="s">
        <v>116</v>
      </c>
      <c r="L7116" s="195">
        <v>14.177210000000001</v>
      </c>
      <c r="M7116" s="52" t="s">
        <v>941</v>
      </c>
      <c r="N7116" s="52" t="s">
        <v>117</v>
      </c>
    </row>
    <row r="7117" spans="1:14" x14ac:dyDescent="0.2">
      <c r="A7117" s="30">
        <v>773</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PO Grapefruit coadmin simultaneous</v>
      </c>
      <c r="E7117" s="250" t="str">
        <f>IF(AND(A7117&lt;&gt;"",ISNUMBER(A7117)),VLOOKUP(A7117,Studies!A:BR,5,FALSE),"")</f>
        <v>Alfentanil</v>
      </c>
      <c r="F7117" s="251" t="str">
        <f>IF(AND(A7117&lt;&gt;"",ISNUMBER(A7117)),VLOOKUP(A7117,Studies!A:BR,6,FALSE),"")</f>
        <v>Plasma</v>
      </c>
      <c r="G7117" s="194">
        <v>25</v>
      </c>
      <c r="H7117" s="50" t="s">
        <v>60</v>
      </c>
      <c r="I7117" s="187">
        <v>22.44726</v>
      </c>
      <c r="J7117" s="41" t="s">
        <v>941</v>
      </c>
      <c r="K7117" s="41" t="s">
        <v>116</v>
      </c>
      <c r="L7117" s="195">
        <v>9.6202489999999994</v>
      </c>
      <c r="M7117" s="52" t="s">
        <v>941</v>
      </c>
      <c r="N7117" s="52" t="s">
        <v>117</v>
      </c>
    </row>
    <row r="7118" spans="1:14" x14ac:dyDescent="0.2">
      <c r="A7118" s="30">
        <v>773</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PO Grapefruit coadmin simultaneous</v>
      </c>
      <c r="E7118" s="250" t="str">
        <f>IF(AND(A7118&lt;&gt;"",ISNUMBER(A7118)),VLOOKUP(A7118,Studies!A:BR,5,FALSE),"")</f>
        <v>Alfentanil</v>
      </c>
      <c r="F7118" s="251" t="str">
        <f>IF(AND(A7118&lt;&gt;"",ISNUMBER(A7118)),VLOOKUP(A7118,Studies!A:BR,6,FALSE),"")</f>
        <v>Plasma</v>
      </c>
      <c r="G7118" s="194">
        <v>26</v>
      </c>
      <c r="H7118" s="50" t="s">
        <v>60</v>
      </c>
      <c r="I7118" s="187">
        <v>15.021100000000001</v>
      </c>
      <c r="J7118" s="41" t="s">
        <v>941</v>
      </c>
      <c r="K7118" s="41" t="s">
        <v>116</v>
      </c>
      <c r="L7118" s="195">
        <v>6.0759460000000001</v>
      </c>
      <c r="M7118" s="52" t="s">
        <v>941</v>
      </c>
      <c r="N7118" s="52" t="s">
        <v>117</v>
      </c>
    </row>
    <row r="7119" spans="1:14" x14ac:dyDescent="0.2">
      <c r="A7119" s="30">
        <v>773</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Grapefruit coadmin simultaneous</v>
      </c>
      <c r="E7119" s="250" t="str">
        <f>IF(AND(A7119&lt;&gt;"",ISNUMBER(A7119)),VLOOKUP(A7119,Studies!A:BR,5,FALSE),"")</f>
        <v>Alfentanil</v>
      </c>
      <c r="F7119" s="251" t="str">
        <f>IF(AND(A7119&lt;&gt;"",ISNUMBER(A7119)),VLOOKUP(A7119,Studies!A:BR,6,FALSE),"")</f>
        <v>Plasma</v>
      </c>
      <c r="G7119" s="194">
        <v>27</v>
      </c>
      <c r="H7119" s="50" t="s">
        <v>60</v>
      </c>
      <c r="I7119" s="187">
        <v>9.9578059999999997</v>
      </c>
      <c r="J7119" s="41" t="s">
        <v>941</v>
      </c>
      <c r="K7119" s="41" t="s">
        <v>116</v>
      </c>
      <c r="L7119" s="195">
        <v>5.5696199999999996</v>
      </c>
      <c r="M7119" s="52" t="s">
        <v>941</v>
      </c>
      <c r="N7119" s="52" t="s">
        <v>117</v>
      </c>
    </row>
    <row r="7120" spans="1:14" x14ac:dyDescent="0.2">
      <c r="A7120" s="30">
        <v>773</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Grapefruit coadmin simultaneous</v>
      </c>
      <c r="E7120" s="250" t="str">
        <f>IF(AND(A7120&lt;&gt;"",ISNUMBER(A7120)),VLOOKUP(A7120,Studies!A:BR,5,FALSE),"")</f>
        <v>Alfentanil</v>
      </c>
      <c r="F7120" s="251" t="str">
        <f>IF(AND(A7120&lt;&gt;"",ISNUMBER(A7120)),VLOOKUP(A7120,Studies!A:BR,6,FALSE),"")</f>
        <v>Plasma</v>
      </c>
      <c r="G7120" s="194">
        <v>28</v>
      </c>
      <c r="H7120" s="50" t="s">
        <v>60</v>
      </c>
      <c r="I7120" s="187">
        <v>6.4135020000000003</v>
      </c>
      <c r="J7120" s="41" t="s">
        <v>941</v>
      </c>
      <c r="K7120" s="41" t="s">
        <v>116</v>
      </c>
      <c r="L7120" s="195">
        <v>4.7257379999999998</v>
      </c>
      <c r="M7120" s="52" t="s">
        <v>941</v>
      </c>
      <c r="N7120" s="52" t="s">
        <v>117</v>
      </c>
    </row>
    <row r="7121" spans="1:14" x14ac:dyDescent="0.2">
      <c r="A7121" s="30">
        <v>773</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Grapefruit coadmin simultaneous</v>
      </c>
      <c r="E7121" s="250" t="str">
        <f>IF(AND(A7121&lt;&gt;"",ISNUMBER(A7121)),VLOOKUP(A7121,Studies!A:BR,5,FALSE),"")</f>
        <v>Alfentanil</v>
      </c>
      <c r="F7121" s="251" t="str">
        <f>IF(AND(A7121&lt;&gt;"",ISNUMBER(A7121)),VLOOKUP(A7121,Studies!A:BR,6,FALSE),"")</f>
        <v>Plasma</v>
      </c>
      <c r="G7121" s="194">
        <v>29</v>
      </c>
      <c r="H7121" s="50" t="s">
        <v>60</v>
      </c>
      <c r="I7121" s="187">
        <v>4.5569620000000004</v>
      </c>
      <c r="J7121" s="41" t="s">
        <v>941</v>
      </c>
      <c r="K7121" s="41" t="s">
        <v>116</v>
      </c>
      <c r="L7121" s="195">
        <v>3.5443039999999999</v>
      </c>
      <c r="M7121" s="52" t="s">
        <v>941</v>
      </c>
      <c r="N7121" s="52" t="s">
        <v>117</v>
      </c>
    </row>
    <row r="7122" spans="1:14" x14ac:dyDescent="0.2">
      <c r="A7122" s="30">
        <v>774</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Ketoconazole coadmin simultaneous</v>
      </c>
      <c r="E7122" s="250" t="str">
        <f>IF(AND(A7122&lt;&gt;"",ISNUMBER(A7122)),VLOOKUP(A7122,Studies!A:BR,5,FALSE),"")</f>
        <v>Alfentanil</v>
      </c>
      <c r="F7122" s="251" t="str">
        <f>IF(AND(A7122&lt;&gt;"",ISNUMBER(A7122)),VLOOKUP(A7122,Studies!A:BR,6,FALSE),"")</f>
        <v>Plasma</v>
      </c>
      <c r="G7122" s="194">
        <v>84.165999999999997</v>
      </c>
      <c r="H7122" s="50" t="s">
        <v>60</v>
      </c>
      <c r="I7122" s="187">
        <v>7.2573840000000001</v>
      </c>
      <c r="J7122" s="41" t="s">
        <v>941</v>
      </c>
      <c r="K7122" s="41" t="s">
        <v>116</v>
      </c>
    </row>
    <row r="7123" spans="1:14" x14ac:dyDescent="0.2">
      <c r="A7123" s="30">
        <v>774</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Ketoconazole coadmin simultaneous</v>
      </c>
      <c r="E7123" s="250" t="str">
        <f>IF(AND(A7123&lt;&gt;"",ISNUMBER(A7123)),VLOOKUP(A7123,Studies!A:BR,5,FALSE),"")</f>
        <v>Alfentanil</v>
      </c>
      <c r="F7123" s="251" t="str">
        <f>IF(AND(A7123&lt;&gt;"",ISNUMBER(A7123)),VLOOKUP(A7123,Studies!A:BR,6,FALSE),"")</f>
        <v>Plasma</v>
      </c>
      <c r="G7123" s="194">
        <v>84.33</v>
      </c>
      <c r="H7123" s="50" t="s">
        <v>60</v>
      </c>
      <c r="I7123" s="187">
        <v>13.83966</v>
      </c>
      <c r="J7123" s="41" t="s">
        <v>941</v>
      </c>
      <c r="K7123" s="41" t="s">
        <v>116</v>
      </c>
    </row>
    <row r="7124" spans="1:14" x14ac:dyDescent="0.2">
      <c r="A7124" s="30">
        <v>774</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Ketoconazole coadmin simultaneous</v>
      </c>
      <c r="E7124" s="250" t="str">
        <f>IF(AND(A7124&lt;&gt;"",ISNUMBER(A7124)),VLOOKUP(A7124,Studies!A:BR,5,FALSE),"")</f>
        <v>Alfentanil</v>
      </c>
      <c r="F7124" s="251" t="str">
        <f>IF(AND(A7124&lt;&gt;"",ISNUMBER(A7124)),VLOOKUP(A7124,Studies!A:BR,6,FALSE),"")</f>
        <v>Plasma</v>
      </c>
      <c r="G7124" s="194">
        <v>84.5</v>
      </c>
      <c r="H7124" s="50" t="s">
        <v>60</v>
      </c>
      <c r="I7124" s="187">
        <v>21.603380000000001</v>
      </c>
      <c r="J7124" s="41" t="s">
        <v>941</v>
      </c>
      <c r="K7124" s="41" t="s">
        <v>116</v>
      </c>
    </row>
    <row r="7125" spans="1:14" x14ac:dyDescent="0.2">
      <c r="A7125" s="30">
        <v>774</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Ketoconazole coadmin simultaneous</v>
      </c>
      <c r="E7125" s="250" t="str">
        <f>IF(AND(A7125&lt;&gt;"",ISNUMBER(A7125)),VLOOKUP(A7125,Studies!A:BR,5,FALSE),"")</f>
        <v>Alfentanil</v>
      </c>
      <c r="F7125" s="251" t="str">
        <f>IF(AND(A7125&lt;&gt;"",ISNUMBER(A7125)),VLOOKUP(A7125,Studies!A:BR,6,FALSE),"")</f>
        <v>Plasma</v>
      </c>
      <c r="G7125" s="194">
        <v>84.75</v>
      </c>
      <c r="H7125" s="50" t="s">
        <v>60</v>
      </c>
      <c r="I7125" s="187">
        <v>26.66667</v>
      </c>
      <c r="J7125" s="41" t="s">
        <v>941</v>
      </c>
      <c r="K7125" s="41" t="s">
        <v>116</v>
      </c>
    </row>
    <row r="7126" spans="1:14" x14ac:dyDescent="0.2">
      <c r="A7126" s="30">
        <v>774</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Ketoconazole coadmin simultaneous</v>
      </c>
      <c r="E7126" s="250" t="str">
        <f>IF(AND(A7126&lt;&gt;"",ISNUMBER(A7126)),VLOOKUP(A7126,Studies!A:BR,5,FALSE),"")</f>
        <v>Alfentanil</v>
      </c>
      <c r="F7126" s="251" t="str">
        <f>IF(AND(A7126&lt;&gt;"",ISNUMBER(A7126)),VLOOKUP(A7126,Studies!A:BR,6,FALSE),"")</f>
        <v>Plasma</v>
      </c>
      <c r="G7126" s="194">
        <v>85</v>
      </c>
      <c r="H7126" s="50" t="s">
        <v>60</v>
      </c>
      <c r="I7126" s="187">
        <v>30.54852</v>
      </c>
      <c r="J7126" s="41" t="s">
        <v>941</v>
      </c>
      <c r="K7126" s="41" t="s">
        <v>116</v>
      </c>
    </row>
    <row r="7127" spans="1:14" x14ac:dyDescent="0.2">
      <c r="A7127" s="30">
        <v>774</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Ketoconazole coadmin simultaneous</v>
      </c>
      <c r="E7127" s="250" t="str">
        <f>IF(AND(A7127&lt;&gt;"",ISNUMBER(A7127)),VLOOKUP(A7127,Studies!A:BR,5,FALSE),"")</f>
        <v>Alfentanil</v>
      </c>
      <c r="F7127" s="251" t="str">
        <f>IF(AND(A7127&lt;&gt;"",ISNUMBER(A7127)),VLOOKUP(A7127,Studies!A:BR,6,FALSE),"")</f>
        <v>Plasma</v>
      </c>
      <c r="G7127" s="194">
        <v>85.5</v>
      </c>
      <c r="H7127" s="50" t="s">
        <v>60</v>
      </c>
      <c r="I7127" s="187">
        <v>26.32911</v>
      </c>
      <c r="J7127" s="41" t="s">
        <v>941</v>
      </c>
      <c r="K7127" s="41" t="s">
        <v>116</v>
      </c>
    </row>
    <row r="7128" spans="1:14" x14ac:dyDescent="0.2">
      <c r="A7128" s="30">
        <v>774</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Ketoconazole coadmin simultaneous</v>
      </c>
      <c r="E7128" s="250" t="str">
        <f>IF(AND(A7128&lt;&gt;"",ISNUMBER(A7128)),VLOOKUP(A7128,Studies!A:BR,5,FALSE),"")</f>
        <v>Alfentanil</v>
      </c>
      <c r="F7128" s="251" t="str">
        <f>IF(AND(A7128&lt;&gt;"",ISNUMBER(A7128)),VLOOKUP(A7128,Studies!A:BR,6,FALSE),"")</f>
        <v>Plasma</v>
      </c>
      <c r="G7128" s="194">
        <v>86</v>
      </c>
      <c r="H7128" s="50" t="s">
        <v>60</v>
      </c>
      <c r="I7128" s="187">
        <v>27.172999999999998</v>
      </c>
      <c r="J7128" s="41" t="s">
        <v>941</v>
      </c>
      <c r="K7128" s="41" t="s">
        <v>116</v>
      </c>
    </row>
    <row r="7129" spans="1:14" x14ac:dyDescent="0.2">
      <c r="A7129" s="30">
        <v>774</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Ketoconazole coadmin simultaneous</v>
      </c>
      <c r="E7129" s="250" t="str">
        <f>IF(AND(A7129&lt;&gt;"",ISNUMBER(A7129)),VLOOKUP(A7129,Studies!A:BR,5,FALSE),"")</f>
        <v>Alfentanil</v>
      </c>
      <c r="F7129" s="251" t="str">
        <f>IF(AND(A7129&lt;&gt;"",ISNUMBER(A7129)),VLOOKUP(A7129,Studies!A:BR,6,FALSE),"")</f>
        <v>Plasma</v>
      </c>
      <c r="G7129" s="194">
        <v>86.5</v>
      </c>
      <c r="H7129" s="50" t="s">
        <v>60</v>
      </c>
      <c r="I7129" s="187">
        <v>28.185649999999999</v>
      </c>
      <c r="J7129" s="41" t="s">
        <v>941</v>
      </c>
      <c r="K7129" s="41" t="s">
        <v>116</v>
      </c>
    </row>
    <row r="7130" spans="1:14" x14ac:dyDescent="0.2">
      <c r="A7130" s="30">
        <v>774</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Ketoconazole coadmin simultaneous</v>
      </c>
      <c r="E7130" s="250" t="str">
        <f>IF(AND(A7130&lt;&gt;"",ISNUMBER(A7130)),VLOOKUP(A7130,Studies!A:BR,5,FALSE),"")</f>
        <v>Alfentanil</v>
      </c>
      <c r="F7130" s="251" t="str">
        <f>IF(AND(A7130&lt;&gt;"",ISNUMBER(A7130)),VLOOKUP(A7130,Studies!A:BR,6,FALSE),"")</f>
        <v>Plasma</v>
      </c>
      <c r="G7130" s="194">
        <v>87</v>
      </c>
      <c r="H7130" s="50" t="s">
        <v>60</v>
      </c>
      <c r="I7130" s="187">
        <v>28.354430000000001</v>
      </c>
      <c r="J7130" s="41" t="s">
        <v>941</v>
      </c>
      <c r="K7130" s="41" t="s">
        <v>116</v>
      </c>
    </row>
    <row r="7131" spans="1:14" x14ac:dyDescent="0.2">
      <c r="A7131" s="30">
        <v>774</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Ketoconazole coadmin simultaneous</v>
      </c>
      <c r="E7131" s="250" t="str">
        <f>IF(AND(A7131&lt;&gt;"",ISNUMBER(A7131)),VLOOKUP(A7131,Studies!A:BR,5,FALSE),"")</f>
        <v>Alfentanil</v>
      </c>
      <c r="F7131" s="251" t="str">
        <f>IF(AND(A7131&lt;&gt;"",ISNUMBER(A7131)),VLOOKUP(A7131,Studies!A:BR,6,FALSE),"")</f>
        <v>Plasma</v>
      </c>
      <c r="G7131" s="194">
        <v>87.5</v>
      </c>
      <c r="H7131" s="50" t="s">
        <v>60</v>
      </c>
      <c r="I7131" s="187">
        <v>25.65401</v>
      </c>
      <c r="J7131" s="41" t="s">
        <v>941</v>
      </c>
      <c r="K7131" s="41" t="s">
        <v>116</v>
      </c>
    </row>
    <row r="7132" spans="1:14" x14ac:dyDescent="0.2">
      <c r="A7132" s="30">
        <v>774</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Ketoconazole coadmin simultaneous</v>
      </c>
      <c r="E7132" s="250" t="str">
        <f>IF(AND(A7132&lt;&gt;"",ISNUMBER(A7132)),VLOOKUP(A7132,Studies!A:BR,5,FALSE),"")</f>
        <v>Alfentanil</v>
      </c>
      <c r="F7132" s="251" t="str">
        <f>IF(AND(A7132&lt;&gt;"",ISNUMBER(A7132)),VLOOKUP(A7132,Studies!A:BR,6,FALSE),"")</f>
        <v>Plasma</v>
      </c>
      <c r="G7132" s="194">
        <v>88</v>
      </c>
      <c r="H7132" s="50" t="s">
        <v>60</v>
      </c>
      <c r="I7132" s="187">
        <v>23.797470000000001</v>
      </c>
      <c r="J7132" s="41" t="s">
        <v>941</v>
      </c>
      <c r="K7132" s="41" t="s">
        <v>116</v>
      </c>
    </row>
    <row r="7133" spans="1:14" x14ac:dyDescent="0.2">
      <c r="A7133" s="30">
        <v>774</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Ketoconazole coadmin simultaneous</v>
      </c>
      <c r="E7133" s="250" t="str">
        <f>IF(AND(A7133&lt;&gt;"",ISNUMBER(A7133)),VLOOKUP(A7133,Studies!A:BR,5,FALSE),"")</f>
        <v>Alfentanil</v>
      </c>
      <c r="F7133" s="251" t="str">
        <f>IF(AND(A7133&lt;&gt;"",ISNUMBER(A7133)),VLOOKUP(A7133,Studies!A:BR,6,FALSE),"")</f>
        <v>Plasma</v>
      </c>
      <c r="G7133" s="194">
        <v>89</v>
      </c>
      <c r="H7133" s="50" t="s">
        <v>60</v>
      </c>
      <c r="I7133" s="187">
        <v>20.75949</v>
      </c>
      <c r="J7133" s="41" t="s">
        <v>941</v>
      </c>
      <c r="K7133" s="41" t="s">
        <v>116</v>
      </c>
    </row>
    <row r="7134" spans="1:14" x14ac:dyDescent="0.2">
      <c r="A7134" s="30">
        <v>774</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Ketoconazole coadmin simultaneous</v>
      </c>
      <c r="E7134" s="250" t="str">
        <f>IF(AND(A7134&lt;&gt;"",ISNUMBER(A7134)),VLOOKUP(A7134,Studies!A:BR,5,FALSE),"")</f>
        <v>Alfentanil</v>
      </c>
      <c r="F7134" s="251" t="str">
        <f>IF(AND(A7134&lt;&gt;"",ISNUMBER(A7134)),VLOOKUP(A7134,Studies!A:BR,6,FALSE),"")</f>
        <v>Plasma</v>
      </c>
      <c r="G7134" s="194">
        <v>90</v>
      </c>
      <c r="H7134" s="50" t="s">
        <v>60</v>
      </c>
      <c r="I7134" s="187">
        <v>18.396619999999999</v>
      </c>
      <c r="J7134" s="41" t="s">
        <v>941</v>
      </c>
      <c r="K7134" s="41" t="s">
        <v>116</v>
      </c>
    </row>
    <row r="7135" spans="1:14" x14ac:dyDescent="0.2">
      <c r="A7135" s="30">
        <v>774</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Ketoconazole coadmin simultaneous</v>
      </c>
      <c r="E7135" s="250" t="str">
        <f>IF(AND(A7135&lt;&gt;"",ISNUMBER(A7135)),VLOOKUP(A7135,Studies!A:BR,5,FALSE),"")</f>
        <v>Alfentanil</v>
      </c>
      <c r="F7135" s="251" t="str">
        <f>IF(AND(A7135&lt;&gt;"",ISNUMBER(A7135)),VLOOKUP(A7135,Studies!A:BR,6,FALSE),"")</f>
        <v>Plasma</v>
      </c>
      <c r="G7135" s="194">
        <v>91</v>
      </c>
      <c r="H7135" s="50" t="s">
        <v>60</v>
      </c>
      <c r="I7135" s="187">
        <v>16.54008</v>
      </c>
      <c r="J7135" s="41" t="s">
        <v>941</v>
      </c>
      <c r="K7135" s="41" t="s">
        <v>116</v>
      </c>
    </row>
    <row r="7136" spans="1:14" x14ac:dyDescent="0.2">
      <c r="A7136" s="30">
        <v>774</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Ketoconazole coadmin simultaneous</v>
      </c>
      <c r="E7136" s="250" t="str">
        <f>IF(AND(A7136&lt;&gt;"",ISNUMBER(A7136)),VLOOKUP(A7136,Studies!A:BR,5,FALSE),"")</f>
        <v>Alfentanil</v>
      </c>
      <c r="F7136" s="251" t="str">
        <f>IF(AND(A7136&lt;&gt;"",ISNUMBER(A7136)),VLOOKUP(A7136,Studies!A:BR,6,FALSE),"")</f>
        <v>Plasma</v>
      </c>
      <c r="G7136" s="194">
        <v>92</v>
      </c>
      <c r="H7136" s="50" t="s">
        <v>60</v>
      </c>
      <c r="I7136" s="187">
        <v>14.17722</v>
      </c>
      <c r="J7136" s="41" t="s">
        <v>941</v>
      </c>
      <c r="K7136" s="41" t="s">
        <v>116</v>
      </c>
    </row>
    <row r="7137" spans="1:11" x14ac:dyDescent="0.2">
      <c r="A7137" s="30">
        <v>775</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Rifampin coadmin simultaneous</v>
      </c>
      <c r="E7137" s="250" t="str">
        <f>IF(AND(A7137&lt;&gt;"",ISNUMBER(A7137)),VLOOKUP(A7137,Studies!A:BR,5,FALSE),"")</f>
        <v>Alfentanil</v>
      </c>
      <c r="F7137" s="251" t="str">
        <f>IF(AND(A7137&lt;&gt;"",ISNUMBER(A7137)),VLOOKUP(A7137,Studies!A:BR,6,FALSE),"")</f>
        <v>Plasma</v>
      </c>
      <c r="G7137" s="194">
        <v>132.166</v>
      </c>
      <c r="H7137" s="50" t="s">
        <v>60</v>
      </c>
      <c r="I7137" s="187">
        <v>0.16877639999999999</v>
      </c>
      <c r="J7137" s="41" t="s">
        <v>941</v>
      </c>
      <c r="K7137" s="41" t="s">
        <v>116</v>
      </c>
    </row>
    <row r="7138" spans="1:11" x14ac:dyDescent="0.2">
      <c r="A7138" s="30">
        <v>775</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Rifampin coadmin simultaneous</v>
      </c>
      <c r="E7138" s="250" t="str">
        <f>IF(AND(A7138&lt;&gt;"",ISNUMBER(A7138)),VLOOKUP(A7138,Studies!A:BR,5,FALSE),"")</f>
        <v>Alfentanil</v>
      </c>
      <c r="F7138" s="251" t="str">
        <f>IF(AND(A7138&lt;&gt;"",ISNUMBER(A7138)),VLOOKUP(A7138,Studies!A:BR,6,FALSE),"")</f>
        <v>Plasma</v>
      </c>
      <c r="G7138" s="194">
        <v>132.333</v>
      </c>
      <c r="H7138" s="50" t="s">
        <v>60</v>
      </c>
      <c r="I7138" s="187">
        <v>2.1940930000000001</v>
      </c>
      <c r="J7138" s="41" t="s">
        <v>941</v>
      </c>
      <c r="K7138" s="41" t="s">
        <v>116</v>
      </c>
    </row>
    <row r="7139" spans="1:11" x14ac:dyDescent="0.2">
      <c r="A7139" s="30">
        <v>775</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Rifampin coadmin simultaneous</v>
      </c>
      <c r="E7139" s="250" t="str">
        <f>IF(AND(A7139&lt;&gt;"",ISNUMBER(A7139)),VLOOKUP(A7139,Studies!A:BR,5,FALSE),"")</f>
        <v>Alfentanil</v>
      </c>
      <c r="F7139" s="251" t="str">
        <f>IF(AND(A7139&lt;&gt;"",ISNUMBER(A7139)),VLOOKUP(A7139,Studies!A:BR,6,FALSE),"")</f>
        <v>Plasma</v>
      </c>
      <c r="G7139" s="194">
        <v>132.5</v>
      </c>
      <c r="H7139" s="50" t="s">
        <v>60</v>
      </c>
      <c r="I7139" s="187">
        <v>2.3628689999999999</v>
      </c>
      <c r="J7139" s="41" t="s">
        <v>941</v>
      </c>
      <c r="K7139" s="41" t="s">
        <v>116</v>
      </c>
    </row>
    <row r="7140" spans="1:11" x14ac:dyDescent="0.2">
      <c r="A7140" s="30">
        <v>775</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Rifampin coadmin simultaneous</v>
      </c>
      <c r="E7140" s="250" t="str">
        <f>IF(AND(A7140&lt;&gt;"",ISNUMBER(A7140)),VLOOKUP(A7140,Studies!A:BR,5,FALSE),"")</f>
        <v>Alfentanil</v>
      </c>
      <c r="F7140" s="251" t="str">
        <f>IF(AND(A7140&lt;&gt;"",ISNUMBER(A7140)),VLOOKUP(A7140,Studies!A:BR,6,FALSE),"")</f>
        <v>Plasma</v>
      </c>
      <c r="G7140" s="194">
        <v>132.75</v>
      </c>
      <c r="H7140" s="50" t="s">
        <v>60</v>
      </c>
      <c r="I7140" s="187">
        <v>3.2067510000000001</v>
      </c>
      <c r="J7140" s="41" t="s">
        <v>941</v>
      </c>
      <c r="K7140" s="41" t="s">
        <v>116</v>
      </c>
    </row>
    <row r="7141" spans="1:11" x14ac:dyDescent="0.2">
      <c r="A7141" s="30">
        <v>775</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Rifampin coadmin simultaneous</v>
      </c>
      <c r="E7141" s="250" t="str">
        <f>IF(AND(A7141&lt;&gt;"",ISNUMBER(A7141)),VLOOKUP(A7141,Studies!A:BR,5,FALSE),"")</f>
        <v>Alfentanil</v>
      </c>
      <c r="F7141" s="251" t="str">
        <f>IF(AND(A7141&lt;&gt;"",ISNUMBER(A7141)),VLOOKUP(A7141,Studies!A:BR,6,FALSE),"")</f>
        <v>Plasma</v>
      </c>
      <c r="G7141" s="194">
        <v>133</v>
      </c>
      <c r="H7141" s="50" t="s">
        <v>60</v>
      </c>
      <c r="I7141" s="187">
        <v>2.3628689999999999</v>
      </c>
      <c r="J7141" s="41" t="s">
        <v>941</v>
      </c>
      <c r="K7141" s="41" t="s">
        <v>116</v>
      </c>
    </row>
    <row r="7142" spans="1:11" x14ac:dyDescent="0.2">
      <c r="A7142" s="30">
        <v>775</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Rifampin coadmin simultaneous</v>
      </c>
      <c r="E7142" s="250" t="str">
        <f>IF(AND(A7142&lt;&gt;"",ISNUMBER(A7142)),VLOOKUP(A7142,Studies!A:BR,5,FALSE),"")</f>
        <v>Alfentanil</v>
      </c>
      <c r="F7142" s="251" t="str">
        <f>IF(AND(A7142&lt;&gt;"",ISNUMBER(A7142)),VLOOKUP(A7142,Studies!A:BR,6,FALSE),"")</f>
        <v>Plasma</v>
      </c>
      <c r="G7142" s="194">
        <v>133.5</v>
      </c>
      <c r="H7142" s="50" t="s">
        <v>60</v>
      </c>
      <c r="I7142" s="187">
        <v>1.3502110000000001</v>
      </c>
      <c r="J7142" s="41" t="s">
        <v>941</v>
      </c>
      <c r="K7142" s="41" t="s">
        <v>116</v>
      </c>
    </row>
    <row r="7143" spans="1:11" x14ac:dyDescent="0.2">
      <c r="A7143" s="30">
        <v>775</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Rifampin coadmin simultaneous</v>
      </c>
      <c r="E7143" s="250" t="str">
        <f>IF(AND(A7143&lt;&gt;"",ISNUMBER(A7143)),VLOOKUP(A7143,Studies!A:BR,5,FALSE),"")</f>
        <v>Alfentanil</v>
      </c>
      <c r="F7143" s="251" t="str">
        <f>IF(AND(A7143&lt;&gt;"",ISNUMBER(A7143)),VLOOKUP(A7143,Studies!A:BR,6,FALSE),"")</f>
        <v>Plasma</v>
      </c>
      <c r="G7143" s="194">
        <v>134</v>
      </c>
      <c r="H7143" s="50" t="s">
        <v>60</v>
      </c>
      <c r="I7143" s="187">
        <v>0.84388180000000002</v>
      </c>
      <c r="J7143" s="41" t="s">
        <v>941</v>
      </c>
      <c r="K7143" s="41" t="s">
        <v>116</v>
      </c>
    </row>
    <row r="7144" spans="1:11" x14ac:dyDescent="0.2">
      <c r="A7144" s="30">
        <v>775</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Rifampin coadmin simultaneous</v>
      </c>
      <c r="E7144" s="250" t="str">
        <f>IF(AND(A7144&lt;&gt;"",ISNUMBER(A7144)),VLOOKUP(A7144,Studies!A:BR,5,FALSE),"")</f>
        <v>Alfentanil</v>
      </c>
      <c r="F7144" s="251" t="str">
        <f>IF(AND(A7144&lt;&gt;"",ISNUMBER(A7144)),VLOOKUP(A7144,Studies!A:BR,6,FALSE),"")</f>
        <v>Plasma</v>
      </c>
      <c r="G7144" s="194">
        <v>134.5</v>
      </c>
      <c r="H7144" s="50" t="s">
        <v>60</v>
      </c>
      <c r="I7144" s="187">
        <v>0.84388180000000002</v>
      </c>
      <c r="J7144" s="41" t="s">
        <v>941</v>
      </c>
      <c r="K7144" s="41" t="s">
        <v>116</v>
      </c>
    </row>
    <row r="7145" spans="1:11" x14ac:dyDescent="0.2">
      <c r="A7145" s="30">
        <v>775</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Rifampin coadmin simultaneous</v>
      </c>
      <c r="E7145" s="250" t="str">
        <f>IF(AND(A7145&lt;&gt;"",ISNUMBER(A7145)),VLOOKUP(A7145,Studies!A:BR,5,FALSE),"")</f>
        <v>Alfentanil</v>
      </c>
      <c r="F7145" s="251" t="str">
        <f>IF(AND(A7145&lt;&gt;"",ISNUMBER(A7145)),VLOOKUP(A7145,Studies!A:BR,6,FALSE),"")</f>
        <v>Plasma</v>
      </c>
      <c r="G7145" s="194">
        <v>135</v>
      </c>
      <c r="H7145" s="50" t="s">
        <v>60</v>
      </c>
      <c r="I7145" s="187">
        <v>0.50632909999999998</v>
      </c>
      <c r="J7145" s="41" t="s">
        <v>941</v>
      </c>
      <c r="K7145" s="41" t="s">
        <v>116</v>
      </c>
    </row>
    <row r="7146" spans="1:11" x14ac:dyDescent="0.2">
      <c r="A7146" s="30">
        <v>775</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Rifampin coadmin simultaneous</v>
      </c>
      <c r="E7146" s="250" t="str">
        <f>IF(AND(A7146&lt;&gt;"",ISNUMBER(A7146)),VLOOKUP(A7146,Studies!A:BR,5,FALSE),"")</f>
        <v>Alfentanil</v>
      </c>
      <c r="F7146" s="251" t="str">
        <f>IF(AND(A7146&lt;&gt;"",ISNUMBER(A7146)),VLOOKUP(A7146,Studies!A:BR,6,FALSE),"")</f>
        <v>Plasma</v>
      </c>
      <c r="G7146" s="194">
        <v>135.5</v>
      </c>
      <c r="H7146" s="50" t="s">
        <v>60</v>
      </c>
      <c r="I7146" s="187">
        <v>0.16877639999999999</v>
      </c>
      <c r="J7146" s="41" t="s">
        <v>941</v>
      </c>
      <c r="K7146" s="41" t="s">
        <v>116</v>
      </c>
    </row>
    <row r="7147" spans="1:11" x14ac:dyDescent="0.2">
      <c r="A7147" s="30">
        <v>776</v>
      </c>
      <c r="B7147" s="249" t="str">
        <f>IF(AND(A7147&lt;&gt;"",ISNUMBER(A7147)),VLOOKUP(A7147,Studies!A:BR,2,FALSE),"")</f>
        <v>Yasui 1996</v>
      </c>
      <c r="C7147" s="250" t="str">
        <f>IF(AND(A7147&lt;&gt;"",ISNUMBER(A7147)),VLOOKUP(A7147,Studies!A:BR,3,FALSE),"")</f>
        <v>https://www.ncbi.nlm.nih.gov/pubmed/8646822</v>
      </c>
      <c r="D7147" s="250" t="str">
        <f>IF(AND(A7147&lt;&gt;"",ISNUMBER(A7147)),VLOOKUP(A7147,Studies!A:BR,4,FALSE),"")</f>
        <v>Treatment with placebo</v>
      </c>
      <c r="E7147" s="250" t="str">
        <f>IF(AND(A7147&lt;&gt;"",ISNUMBER(A7147)),VLOOKUP(A7147,Studies!A:BR,5,FALSE),"")</f>
        <v>Alprazolam</v>
      </c>
      <c r="F7147" s="251" t="str">
        <f>IF(AND(A7147&lt;&gt;"",ISNUMBER(A7147)),VLOOKUP(A7147,Studies!A:BR,6,FALSE),"")</f>
        <v>Plasma</v>
      </c>
      <c r="G7147" s="194">
        <v>170.5</v>
      </c>
      <c r="H7147" s="50" t="s">
        <v>60</v>
      </c>
      <c r="I7147" s="187">
        <v>6.2552938461303711</v>
      </c>
      <c r="J7147" s="41" t="s">
        <v>941</v>
      </c>
      <c r="K7147" s="41" t="s">
        <v>116</v>
      </c>
    </row>
    <row r="7148" spans="1:11" x14ac:dyDescent="0.2">
      <c r="A7148" s="30">
        <v>776</v>
      </c>
      <c r="B7148" s="249" t="str">
        <f>IF(AND(A7148&lt;&gt;"",ISNUMBER(A7148)),VLOOKUP(A7148,Studies!A:BR,2,FALSE),"")</f>
        <v>Yasui 1996</v>
      </c>
      <c r="C7148" s="250" t="str">
        <f>IF(AND(A7148&lt;&gt;"",ISNUMBER(A7148)),VLOOKUP(A7148,Studies!A:BR,3,FALSE),"")</f>
        <v>https://www.ncbi.nlm.nih.gov/pubmed/8646822</v>
      </c>
      <c r="D7148" s="250" t="str">
        <f>IF(AND(A7148&lt;&gt;"",ISNUMBER(A7148)),VLOOKUP(A7148,Studies!A:BR,4,FALSE),"")</f>
        <v>Treatment with placebo</v>
      </c>
      <c r="E7148" s="250" t="str">
        <f>IF(AND(A7148&lt;&gt;"",ISNUMBER(A7148)),VLOOKUP(A7148,Studies!A:BR,5,FALSE),"")</f>
        <v>Alprazolam</v>
      </c>
      <c r="F7148" s="251" t="str">
        <f>IF(AND(A7148&lt;&gt;"",ISNUMBER(A7148)),VLOOKUP(A7148,Studies!A:BR,6,FALSE),"")</f>
        <v>Plasma</v>
      </c>
      <c r="G7148" s="194">
        <v>171</v>
      </c>
      <c r="H7148" s="50" t="s">
        <v>60</v>
      </c>
      <c r="I7148" s="187">
        <v>9.6565685272216797</v>
      </c>
      <c r="J7148" s="41" t="s">
        <v>941</v>
      </c>
      <c r="K7148" s="41" t="s">
        <v>116</v>
      </c>
    </row>
    <row r="7149" spans="1:11" x14ac:dyDescent="0.2">
      <c r="A7149" s="30">
        <v>776</v>
      </c>
      <c r="B7149" s="249" t="str">
        <f>IF(AND(A7149&lt;&gt;"",ISNUMBER(A7149)),VLOOKUP(A7149,Studies!A:BR,2,FALSE),"")</f>
        <v>Yasui 1996</v>
      </c>
      <c r="C7149" s="250" t="str">
        <f>IF(AND(A7149&lt;&gt;"",ISNUMBER(A7149)),VLOOKUP(A7149,Studies!A:BR,3,FALSE),"")</f>
        <v>https://www.ncbi.nlm.nih.gov/pubmed/8646822</v>
      </c>
      <c r="D7149" s="250" t="str">
        <f>IF(AND(A7149&lt;&gt;"",ISNUMBER(A7149)),VLOOKUP(A7149,Studies!A:BR,4,FALSE),"")</f>
        <v>Treatment with placebo</v>
      </c>
      <c r="E7149" s="250" t="str">
        <f>IF(AND(A7149&lt;&gt;"",ISNUMBER(A7149)),VLOOKUP(A7149,Studies!A:BR,5,FALSE),"")</f>
        <v>Alprazolam</v>
      </c>
      <c r="F7149" s="251" t="str">
        <f>IF(AND(A7149&lt;&gt;"",ISNUMBER(A7149)),VLOOKUP(A7149,Studies!A:BR,6,FALSE),"")</f>
        <v>Plasma</v>
      </c>
      <c r="G7149" s="194">
        <v>172</v>
      </c>
      <c r="H7149" s="50" t="s">
        <v>60</v>
      </c>
      <c r="I7149" s="187">
        <v>9.6546907424926758</v>
      </c>
      <c r="J7149" s="41" t="s">
        <v>941</v>
      </c>
      <c r="K7149" s="41" t="s">
        <v>116</v>
      </c>
    </row>
    <row r="7150" spans="1:11" x14ac:dyDescent="0.2">
      <c r="A7150" s="30">
        <v>776</v>
      </c>
      <c r="B7150" s="249" t="str">
        <f>IF(AND(A7150&lt;&gt;"",ISNUMBER(A7150)),VLOOKUP(A7150,Studies!A:BR,2,FALSE),"")</f>
        <v>Yasui 1996</v>
      </c>
      <c r="C7150" s="250" t="str">
        <f>IF(AND(A7150&lt;&gt;"",ISNUMBER(A7150)),VLOOKUP(A7150,Studies!A:BR,3,FALSE),"")</f>
        <v>https://www.ncbi.nlm.nih.gov/pubmed/8646822</v>
      </c>
      <c r="D7150" s="250" t="str">
        <f>IF(AND(A7150&lt;&gt;"",ISNUMBER(A7150)),VLOOKUP(A7150,Studies!A:BR,4,FALSE),"")</f>
        <v>Treatment with placebo</v>
      </c>
      <c r="E7150" s="250" t="str">
        <f>IF(AND(A7150&lt;&gt;"",ISNUMBER(A7150)),VLOOKUP(A7150,Studies!A:BR,5,FALSE),"")</f>
        <v>Alprazolam</v>
      </c>
      <c r="F7150" s="251" t="str">
        <f>IF(AND(A7150&lt;&gt;"",ISNUMBER(A7150)),VLOOKUP(A7150,Studies!A:BR,6,FALSE),"")</f>
        <v>Plasma</v>
      </c>
      <c r="G7150" s="194">
        <v>173</v>
      </c>
      <c r="H7150" s="50" t="s">
        <v>60</v>
      </c>
      <c r="I7150" s="187">
        <v>9.4473047256469727</v>
      </c>
      <c r="J7150" s="41" t="s">
        <v>941</v>
      </c>
      <c r="K7150" s="41" t="s">
        <v>116</v>
      </c>
    </row>
    <row r="7151" spans="1:11" x14ac:dyDescent="0.2">
      <c r="A7151" s="30">
        <v>776</v>
      </c>
      <c r="B7151" s="249" t="str">
        <f>IF(AND(A7151&lt;&gt;"",ISNUMBER(A7151)),VLOOKUP(A7151,Studies!A:BR,2,FALSE),"")</f>
        <v>Yasui 1996</v>
      </c>
      <c r="C7151" s="250" t="str">
        <f>IF(AND(A7151&lt;&gt;"",ISNUMBER(A7151)),VLOOKUP(A7151,Studies!A:BR,3,FALSE),"")</f>
        <v>https://www.ncbi.nlm.nih.gov/pubmed/8646822</v>
      </c>
      <c r="D7151" s="250" t="str">
        <f>IF(AND(A7151&lt;&gt;"",ISNUMBER(A7151)),VLOOKUP(A7151,Studies!A:BR,4,FALSE),"")</f>
        <v>Treatment with placebo</v>
      </c>
      <c r="E7151" s="250" t="str">
        <f>IF(AND(A7151&lt;&gt;"",ISNUMBER(A7151)),VLOOKUP(A7151,Studies!A:BR,5,FALSE),"")</f>
        <v>Alprazolam</v>
      </c>
      <c r="F7151" s="251" t="str">
        <f>IF(AND(A7151&lt;&gt;"",ISNUMBER(A7151)),VLOOKUP(A7151,Studies!A:BR,6,FALSE),"")</f>
        <v>Plasma</v>
      </c>
      <c r="G7151" s="194">
        <v>174</v>
      </c>
      <c r="H7151" s="50" t="s">
        <v>60</v>
      </c>
      <c r="I7151" s="187">
        <v>9.0500259399414063</v>
      </c>
      <c r="J7151" s="41" t="s">
        <v>941</v>
      </c>
      <c r="K7151" s="41" t="s">
        <v>116</v>
      </c>
    </row>
    <row r="7152" spans="1:11" x14ac:dyDescent="0.2">
      <c r="A7152" s="30">
        <v>776</v>
      </c>
      <c r="B7152" s="249" t="str">
        <f>IF(AND(A7152&lt;&gt;"",ISNUMBER(A7152)),VLOOKUP(A7152,Studies!A:BR,2,FALSE),"")</f>
        <v>Yasui 1996</v>
      </c>
      <c r="C7152" s="250" t="str">
        <f>IF(AND(A7152&lt;&gt;"",ISNUMBER(A7152)),VLOOKUP(A7152,Studies!A:BR,3,FALSE),"")</f>
        <v>https://www.ncbi.nlm.nih.gov/pubmed/8646822</v>
      </c>
      <c r="D7152" s="250" t="str">
        <f>IF(AND(A7152&lt;&gt;"",ISNUMBER(A7152)),VLOOKUP(A7152,Studies!A:BR,4,FALSE),"")</f>
        <v>Treatment with placebo</v>
      </c>
      <c r="E7152" s="250" t="str">
        <f>IF(AND(A7152&lt;&gt;"",ISNUMBER(A7152)),VLOOKUP(A7152,Studies!A:BR,5,FALSE),"")</f>
        <v>Alprazolam</v>
      </c>
      <c r="F7152" s="251" t="str">
        <f>IF(AND(A7152&lt;&gt;"",ISNUMBER(A7152)),VLOOKUP(A7152,Studies!A:BR,6,FALSE),"")</f>
        <v>Plasma</v>
      </c>
      <c r="G7152" s="194">
        <v>176</v>
      </c>
      <c r="H7152" s="50" t="s">
        <v>60</v>
      </c>
      <c r="I7152" s="187">
        <v>7.4623274803161621</v>
      </c>
      <c r="J7152" s="41" t="s">
        <v>941</v>
      </c>
      <c r="K7152" s="41" t="s">
        <v>116</v>
      </c>
    </row>
    <row r="7153" spans="1:16" x14ac:dyDescent="0.2">
      <c r="A7153" s="30">
        <v>776</v>
      </c>
      <c r="B7153" s="249" t="str">
        <f>IF(AND(A7153&lt;&gt;"",ISNUMBER(A7153)),VLOOKUP(A7153,Studies!A:BR,2,FALSE),"")</f>
        <v>Yasui 1996</v>
      </c>
      <c r="C7153" s="250" t="str">
        <f>IF(AND(A7153&lt;&gt;"",ISNUMBER(A7153)),VLOOKUP(A7153,Studies!A:BR,3,FALSE),"")</f>
        <v>https://www.ncbi.nlm.nih.gov/pubmed/8646822</v>
      </c>
      <c r="D7153" s="250" t="str">
        <f>IF(AND(A7153&lt;&gt;"",ISNUMBER(A7153)),VLOOKUP(A7153,Studies!A:BR,4,FALSE),"")</f>
        <v>Treatment with placebo</v>
      </c>
      <c r="E7153" s="250" t="str">
        <f>IF(AND(A7153&lt;&gt;"",ISNUMBER(A7153)),VLOOKUP(A7153,Studies!A:BR,5,FALSE),"")</f>
        <v>Alprazolam</v>
      </c>
      <c r="F7153" s="251" t="str">
        <f>IF(AND(A7153&lt;&gt;"",ISNUMBER(A7153)),VLOOKUP(A7153,Studies!A:BR,6,FALSE),"")</f>
        <v>Plasma</v>
      </c>
      <c r="G7153" s="194">
        <v>178</v>
      </c>
      <c r="H7153" s="50" t="s">
        <v>60</v>
      </c>
      <c r="I7153" s="187">
        <v>6.9944248199462891</v>
      </c>
      <c r="J7153" s="41" t="s">
        <v>941</v>
      </c>
      <c r="K7153" s="41" t="s">
        <v>116</v>
      </c>
    </row>
    <row r="7154" spans="1:16" x14ac:dyDescent="0.2">
      <c r="A7154" s="30">
        <v>776</v>
      </c>
      <c r="B7154" s="249" t="str">
        <f>IF(AND(A7154&lt;&gt;"",ISNUMBER(A7154)),VLOOKUP(A7154,Studies!A:BR,2,FALSE),"")</f>
        <v>Yasui 1996</v>
      </c>
      <c r="C7154" s="250" t="str">
        <f>IF(AND(A7154&lt;&gt;"",ISNUMBER(A7154)),VLOOKUP(A7154,Studies!A:BR,3,FALSE),"")</f>
        <v>https://www.ncbi.nlm.nih.gov/pubmed/8646822</v>
      </c>
      <c r="D7154" s="250" t="str">
        <f>IF(AND(A7154&lt;&gt;"",ISNUMBER(A7154)),VLOOKUP(A7154,Studies!A:BR,4,FALSE),"")</f>
        <v>Treatment with placebo</v>
      </c>
      <c r="E7154" s="250" t="str">
        <f>IF(AND(A7154&lt;&gt;"",ISNUMBER(A7154)),VLOOKUP(A7154,Studies!A:BR,5,FALSE),"")</f>
        <v>Alprazolam</v>
      </c>
      <c r="F7154" s="251" t="str">
        <f>IF(AND(A7154&lt;&gt;"",ISNUMBER(A7154)),VLOOKUP(A7154,Studies!A:BR,6,FALSE),"")</f>
        <v>Plasma</v>
      </c>
      <c r="G7154" s="194">
        <v>180</v>
      </c>
      <c r="H7154" s="50" t="s">
        <v>60</v>
      </c>
      <c r="I7154" s="187">
        <v>6.2375502586364746</v>
      </c>
      <c r="J7154" s="41" t="s">
        <v>941</v>
      </c>
      <c r="K7154" s="41" t="s">
        <v>116</v>
      </c>
    </row>
    <row r="7155" spans="1:16" x14ac:dyDescent="0.2">
      <c r="A7155" s="30">
        <v>776</v>
      </c>
      <c r="B7155" s="249" t="str">
        <f>IF(AND(A7155&lt;&gt;"",ISNUMBER(A7155)),VLOOKUP(A7155,Studies!A:BR,2,FALSE),"")</f>
        <v>Yasui 1996</v>
      </c>
      <c r="C7155" s="250" t="str">
        <f>IF(AND(A7155&lt;&gt;"",ISNUMBER(A7155)),VLOOKUP(A7155,Studies!A:BR,3,FALSE),"")</f>
        <v>https://www.ncbi.nlm.nih.gov/pubmed/8646822</v>
      </c>
      <c r="D7155" s="250" t="str">
        <f>IF(AND(A7155&lt;&gt;"",ISNUMBER(A7155)),VLOOKUP(A7155,Studies!A:BR,4,FALSE),"")</f>
        <v>Treatment with placebo</v>
      </c>
      <c r="E7155" s="250" t="str">
        <f>IF(AND(A7155&lt;&gt;"",ISNUMBER(A7155)),VLOOKUP(A7155,Studies!A:BR,5,FALSE),"")</f>
        <v>Alprazolam</v>
      </c>
      <c r="F7155" s="251" t="str">
        <f>IF(AND(A7155&lt;&gt;"",ISNUMBER(A7155)),VLOOKUP(A7155,Studies!A:BR,6,FALSE),"")</f>
        <v>Plasma</v>
      </c>
      <c r="G7155" s="194">
        <v>182</v>
      </c>
      <c r="H7155" s="50" t="s">
        <v>60</v>
      </c>
      <c r="I7155" s="187">
        <v>5.4839119911193848</v>
      </c>
      <c r="J7155" s="41" t="s">
        <v>941</v>
      </c>
      <c r="K7155" s="41" t="s">
        <v>116</v>
      </c>
    </row>
    <row r="7156" spans="1:16" x14ac:dyDescent="0.2">
      <c r="A7156" s="30">
        <v>776</v>
      </c>
      <c r="B7156" s="249" t="str">
        <f>IF(AND(A7156&lt;&gt;"",ISNUMBER(A7156)),VLOOKUP(A7156,Studies!A:BR,2,FALSE),"")</f>
        <v>Yasui 1996</v>
      </c>
      <c r="C7156" s="250" t="str">
        <f>IF(AND(A7156&lt;&gt;"",ISNUMBER(A7156)),VLOOKUP(A7156,Studies!A:BR,3,FALSE),"")</f>
        <v>https://www.ncbi.nlm.nih.gov/pubmed/8646822</v>
      </c>
      <c r="D7156" s="250" t="str">
        <f>IF(AND(A7156&lt;&gt;"",ISNUMBER(A7156)),VLOOKUP(A7156,Studies!A:BR,4,FALSE),"")</f>
        <v>Treatment with placebo</v>
      </c>
      <c r="E7156" s="250" t="str">
        <f>IF(AND(A7156&lt;&gt;"",ISNUMBER(A7156)),VLOOKUP(A7156,Studies!A:BR,5,FALSE),"")</f>
        <v>Alprazolam</v>
      </c>
      <c r="F7156" s="251" t="str">
        <f>IF(AND(A7156&lt;&gt;"",ISNUMBER(A7156)),VLOOKUP(A7156,Studies!A:BR,6,FALSE),"")</f>
        <v>Plasma</v>
      </c>
      <c r="G7156" s="194">
        <v>194</v>
      </c>
      <c r="H7156" s="50" t="s">
        <v>60</v>
      </c>
      <c r="I7156" s="187">
        <v>3.5391011238098145</v>
      </c>
      <c r="J7156" s="41" t="s">
        <v>941</v>
      </c>
      <c r="K7156" s="41" t="s">
        <v>116</v>
      </c>
    </row>
    <row r="7157" spans="1:16" x14ac:dyDescent="0.2">
      <c r="A7157" s="30">
        <v>776</v>
      </c>
      <c r="B7157" s="249" t="str">
        <f>IF(AND(A7157&lt;&gt;"",ISNUMBER(A7157)),VLOOKUP(A7157,Studies!A:BR,2,FALSE),"")</f>
        <v>Yasui 1996</v>
      </c>
      <c r="C7157" s="250" t="str">
        <f>IF(AND(A7157&lt;&gt;"",ISNUMBER(A7157)),VLOOKUP(A7157,Studies!A:BR,3,FALSE),"")</f>
        <v>https://www.ncbi.nlm.nih.gov/pubmed/8646822</v>
      </c>
      <c r="D7157" s="250" t="str">
        <f>IF(AND(A7157&lt;&gt;"",ISNUMBER(A7157)),VLOOKUP(A7157,Studies!A:BR,4,FALSE),"")</f>
        <v>Treatment with placebo</v>
      </c>
      <c r="E7157" s="250" t="str">
        <f>IF(AND(A7157&lt;&gt;"",ISNUMBER(A7157)),VLOOKUP(A7157,Studies!A:BR,5,FALSE),"")</f>
        <v>Alprazolam</v>
      </c>
      <c r="F7157" s="251" t="str">
        <f>IF(AND(A7157&lt;&gt;"",ISNUMBER(A7157)),VLOOKUP(A7157,Studies!A:BR,6,FALSE),"")</f>
        <v>Plasma</v>
      </c>
      <c r="G7157" s="194">
        <v>206</v>
      </c>
      <c r="H7157" s="50" t="s">
        <v>60</v>
      </c>
      <c r="I7157" s="187">
        <v>2.0525169372558594</v>
      </c>
      <c r="J7157" s="41" t="s">
        <v>941</v>
      </c>
      <c r="K7157" s="41" t="s">
        <v>116</v>
      </c>
    </row>
    <row r="7158" spans="1:16" x14ac:dyDescent="0.2">
      <c r="A7158" s="30">
        <v>776</v>
      </c>
      <c r="B7158" s="249" t="str">
        <f>IF(AND(A7158&lt;&gt;"",ISNUMBER(A7158)),VLOOKUP(A7158,Studies!A:BR,2,FALSE),"")</f>
        <v>Yasui 1996</v>
      </c>
      <c r="C7158" s="250" t="str">
        <f>IF(AND(A7158&lt;&gt;"",ISNUMBER(A7158)),VLOOKUP(A7158,Studies!A:BR,3,FALSE),"")</f>
        <v>https://www.ncbi.nlm.nih.gov/pubmed/8646822</v>
      </c>
      <c r="D7158" s="250" t="str">
        <f>IF(AND(A7158&lt;&gt;"",ISNUMBER(A7158)),VLOOKUP(A7158,Studies!A:BR,4,FALSE),"")</f>
        <v>Treatment with placebo</v>
      </c>
      <c r="E7158" s="250" t="str">
        <f>IF(AND(A7158&lt;&gt;"",ISNUMBER(A7158)),VLOOKUP(A7158,Studies!A:BR,5,FALSE),"")</f>
        <v>Alprazolam</v>
      </c>
      <c r="F7158" s="251" t="str">
        <f>IF(AND(A7158&lt;&gt;"",ISNUMBER(A7158)),VLOOKUP(A7158,Studies!A:BR,6,FALSE),"")</f>
        <v>Plasma</v>
      </c>
      <c r="G7158" s="194">
        <v>218</v>
      </c>
      <c r="H7158" s="50" t="s">
        <v>60</v>
      </c>
      <c r="I7158" s="187">
        <v>1.0851119756698608</v>
      </c>
      <c r="J7158" s="41" t="s">
        <v>941</v>
      </c>
      <c r="K7158" s="41" t="s">
        <v>116</v>
      </c>
    </row>
    <row r="7159" spans="1:16" x14ac:dyDescent="0.2">
      <c r="A7159" s="30">
        <v>777</v>
      </c>
      <c r="B7159" s="249" t="str">
        <f>IF(AND(A7159&lt;&gt;"",ISNUMBER(A7159)),VLOOKUP(A7159,Studies!A:BR,2,FALSE),"")</f>
        <v>Yasui 1996</v>
      </c>
      <c r="C7159" s="250" t="str">
        <f>IF(AND(A7159&lt;&gt;"",ISNUMBER(A7159)),VLOOKUP(A7159,Studies!A:BR,3,FALSE),"")</f>
        <v>https://www.ncbi.nlm.nih.gov/pubmed/8646822</v>
      </c>
      <c r="D7159" s="250" t="str">
        <f>IF(AND(A7159&lt;&gt;"",ISNUMBER(A7159)),VLOOKUP(A7159,Studies!A:BR,4,FALSE),"")</f>
        <v>Treatment with erythromycin</v>
      </c>
      <c r="E7159" s="250" t="str">
        <f>IF(AND(A7159&lt;&gt;"",ISNUMBER(A7159)),VLOOKUP(A7159,Studies!A:BR,5,FALSE),"")</f>
        <v>Alprazolam</v>
      </c>
      <c r="F7159" s="251" t="str">
        <f>IF(AND(A7159&lt;&gt;"",ISNUMBER(A7159)),VLOOKUP(A7159,Studies!A:BR,6,FALSE),"")</f>
        <v>Plasma</v>
      </c>
      <c r="G7159" s="194">
        <v>170.5</v>
      </c>
      <c r="H7159" s="50" t="s">
        <v>60</v>
      </c>
      <c r="I7159" s="187">
        <v>7.6905121803283691</v>
      </c>
      <c r="J7159" s="41" t="s">
        <v>941</v>
      </c>
      <c r="K7159" s="41" t="s">
        <v>116</v>
      </c>
    </row>
    <row r="7160" spans="1:16" x14ac:dyDescent="0.2">
      <c r="A7160" s="30">
        <v>777</v>
      </c>
      <c r="B7160" s="249" t="str">
        <f>IF(AND(A7160&lt;&gt;"",ISNUMBER(A7160)),VLOOKUP(A7160,Studies!A:BR,2,FALSE),"")</f>
        <v>Yasui 1996</v>
      </c>
      <c r="C7160" s="250" t="str">
        <f>IF(AND(A7160&lt;&gt;"",ISNUMBER(A7160)),VLOOKUP(A7160,Studies!A:BR,3,FALSE),"")</f>
        <v>https://www.ncbi.nlm.nih.gov/pubmed/8646822</v>
      </c>
      <c r="D7160" s="250" t="str">
        <f>IF(AND(A7160&lt;&gt;"",ISNUMBER(A7160)),VLOOKUP(A7160,Studies!A:BR,4,FALSE),"")</f>
        <v>Treatment with erythromycin</v>
      </c>
      <c r="E7160" s="250" t="str">
        <f>IF(AND(A7160&lt;&gt;"",ISNUMBER(A7160)),VLOOKUP(A7160,Studies!A:BR,5,FALSE),"")</f>
        <v>Alprazolam</v>
      </c>
      <c r="F7160" s="251" t="str">
        <f>IF(AND(A7160&lt;&gt;"",ISNUMBER(A7160)),VLOOKUP(A7160,Studies!A:BR,6,FALSE),"")</f>
        <v>Plasma</v>
      </c>
      <c r="G7160" s="194">
        <v>171</v>
      </c>
      <c r="H7160" s="50" t="s">
        <v>60</v>
      </c>
      <c r="I7160" s="187">
        <v>11.294859886169434</v>
      </c>
      <c r="J7160" s="41" t="s">
        <v>941</v>
      </c>
      <c r="K7160" s="41" t="s">
        <v>116</v>
      </c>
    </row>
    <row r="7161" spans="1:16" x14ac:dyDescent="0.2">
      <c r="A7161" s="30">
        <v>777</v>
      </c>
      <c r="B7161" s="249" t="str">
        <f>IF(AND(A7161&lt;&gt;"",ISNUMBER(A7161)),VLOOKUP(A7161,Studies!A:BR,2,FALSE),"")</f>
        <v>Yasui 1996</v>
      </c>
      <c r="C7161" s="250" t="str">
        <f>IF(AND(A7161&lt;&gt;"",ISNUMBER(A7161)),VLOOKUP(A7161,Studies!A:BR,3,FALSE),"")</f>
        <v>https://www.ncbi.nlm.nih.gov/pubmed/8646822</v>
      </c>
      <c r="D7161" s="250" t="str">
        <f>IF(AND(A7161&lt;&gt;"",ISNUMBER(A7161)),VLOOKUP(A7161,Studies!A:BR,4,FALSE),"")</f>
        <v>Treatment with erythromycin</v>
      </c>
      <c r="E7161" s="250" t="str">
        <f>IF(AND(A7161&lt;&gt;"",ISNUMBER(A7161)),VLOOKUP(A7161,Studies!A:BR,5,FALSE),"")</f>
        <v>Alprazolam</v>
      </c>
      <c r="F7161" s="251" t="str">
        <f>IF(AND(A7161&lt;&gt;"",ISNUMBER(A7161)),VLOOKUP(A7161,Studies!A:BR,6,FALSE),"")</f>
        <v>Plasma</v>
      </c>
      <c r="G7161" s="194">
        <v>172</v>
      </c>
      <c r="H7161" s="50" t="s">
        <v>60</v>
      </c>
      <c r="I7161" s="187">
        <v>10.44180965423584</v>
      </c>
      <c r="J7161" s="41" t="s">
        <v>941</v>
      </c>
      <c r="K7161" s="41" t="s">
        <v>116</v>
      </c>
    </row>
    <row r="7162" spans="1:16" x14ac:dyDescent="0.2">
      <c r="A7162" s="30">
        <v>777</v>
      </c>
      <c r="B7162" s="249" t="str">
        <f>IF(AND(A7162&lt;&gt;"",ISNUMBER(A7162)),VLOOKUP(A7162,Studies!A:BR,2,FALSE),"")</f>
        <v>Yasui 1996</v>
      </c>
      <c r="C7162" s="250" t="str">
        <f>IF(AND(A7162&lt;&gt;"",ISNUMBER(A7162)),VLOOKUP(A7162,Studies!A:BR,3,FALSE),"")</f>
        <v>https://www.ncbi.nlm.nih.gov/pubmed/8646822</v>
      </c>
      <c r="D7162" s="250" t="str">
        <f>IF(AND(A7162&lt;&gt;"",ISNUMBER(A7162)),VLOOKUP(A7162,Studies!A:BR,4,FALSE),"")</f>
        <v>Treatment with erythromycin</v>
      </c>
      <c r="E7162" s="250" t="str">
        <f>IF(AND(A7162&lt;&gt;"",ISNUMBER(A7162)),VLOOKUP(A7162,Studies!A:BR,5,FALSE),"")</f>
        <v>Alprazolam</v>
      </c>
      <c r="F7162" s="251" t="str">
        <f>IF(AND(A7162&lt;&gt;"",ISNUMBER(A7162)),VLOOKUP(A7162,Studies!A:BR,6,FALSE),"")</f>
        <v>Plasma</v>
      </c>
      <c r="G7162" s="194">
        <v>173</v>
      </c>
      <c r="H7162" s="50" t="s">
        <v>60</v>
      </c>
      <c r="I7162" s="187">
        <v>10.971249580383301</v>
      </c>
      <c r="J7162" s="41" t="s">
        <v>941</v>
      </c>
      <c r="K7162" s="41" t="s">
        <v>116</v>
      </c>
      <c r="P7162" s="188"/>
    </row>
    <row r="7163" spans="1:16" x14ac:dyDescent="0.2">
      <c r="A7163" s="30">
        <v>777</v>
      </c>
      <c r="B7163" s="249" t="str">
        <f>IF(AND(A7163&lt;&gt;"",ISNUMBER(A7163)),VLOOKUP(A7163,Studies!A:BR,2,FALSE),"")</f>
        <v>Yasui 1996</v>
      </c>
      <c r="C7163" s="250" t="str">
        <f>IF(AND(A7163&lt;&gt;"",ISNUMBER(A7163)),VLOOKUP(A7163,Studies!A:BR,3,FALSE),"")</f>
        <v>https://www.ncbi.nlm.nih.gov/pubmed/8646822</v>
      </c>
      <c r="D7163" s="250" t="str">
        <f>IF(AND(A7163&lt;&gt;"",ISNUMBER(A7163)),VLOOKUP(A7163,Studies!A:BR,4,FALSE),"")</f>
        <v>Treatment with erythromycin</v>
      </c>
      <c r="E7163" s="250" t="str">
        <f>IF(AND(A7163&lt;&gt;"",ISNUMBER(A7163)),VLOOKUP(A7163,Studies!A:BR,5,FALSE),"")</f>
        <v>Alprazolam</v>
      </c>
      <c r="F7163" s="251" t="str">
        <f>IF(AND(A7163&lt;&gt;"",ISNUMBER(A7163)),VLOOKUP(A7163,Studies!A:BR,6,FALSE),"")</f>
        <v>Plasma</v>
      </c>
      <c r="G7163" s="194">
        <v>174</v>
      </c>
      <c r="H7163" s="50" t="s">
        <v>60</v>
      </c>
      <c r="I7163" s="187">
        <v>10.214730262756348</v>
      </c>
      <c r="J7163" s="41" t="s">
        <v>941</v>
      </c>
      <c r="K7163" s="41" t="s">
        <v>116</v>
      </c>
      <c r="P7163" s="188"/>
    </row>
    <row r="7164" spans="1:16" x14ac:dyDescent="0.2">
      <c r="A7164" s="30">
        <v>777</v>
      </c>
      <c r="B7164" s="249" t="str">
        <f>IF(AND(A7164&lt;&gt;"",ISNUMBER(A7164)),VLOOKUP(A7164,Studies!A:BR,2,FALSE),"")</f>
        <v>Yasui 1996</v>
      </c>
      <c r="C7164" s="250" t="str">
        <f>IF(AND(A7164&lt;&gt;"",ISNUMBER(A7164)),VLOOKUP(A7164,Studies!A:BR,3,FALSE),"")</f>
        <v>https://www.ncbi.nlm.nih.gov/pubmed/8646822</v>
      </c>
      <c r="D7164" s="250" t="str">
        <f>IF(AND(A7164&lt;&gt;"",ISNUMBER(A7164)),VLOOKUP(A7164,Studies!A:BR,4,FALSE),"")</f>
        <v>Treatment with erythromycin</v>
      </c>
      <c r="E7164" s="250" t="str">
        <f>IF(AND(A7164&lt;&gt;"",ISNUMBER(A7164)),VLOOKUP(A7164,Studies!A:BR,5,FALSE),"")</f>
        <v>Alprazolam</v>
      </c>
      <c r="F7164" s="251" t="str">
        <f>IF(AND(A7164&lt;&gt;"",ISNUMBER(A7164)),VLOOKUP(A7164,Studies!A:BR,6,FALSE),"")</f>
        <v>Plasma</v>
      </c>
      <c r="G7164" s="194">
        <v>176</v>
      </c>
      <c r="H7164" s="50" t="s">
        <v>60</v>
      </c>
      <c r="I7164" s="187">
        <v>10.064009666442871</v>
      </c>
      <c r="J7164" s="41" t="s">
        <v>941</v>
      </c>
      <c r="K7164" s="41" t="s">
        <v>116</v>
      </c>
      <c r="P7164" s="188"/>
    </row>
    <row r="7165" spans="1:16" x14ac:dyDescent="0.2">
      <c r="A7165" s="30">
        <v>777</v>
      </c>
      <c r="B7165" s="249" t="str">
        <f>IF(AND(A7165&lt;&gt;"",ISNUMBER(A7165)),VLOOKUP(A7165,Studies!A:BR,2,FALSE),"")</f>
        <v>Yasui 1996</v>
      </c>
      <c r="C7165" s="250" t="str">
        <f>IF(AND(A7165&lt;&gt;"",ISNUMBER(A7165)),VLOOKUP(A7165,Studies!A:BR,3,FALSE),"")</f>
        <v>https://www.ncbi.nlm.nih.gov/pubmed/8646822</v>
      </c>
      <c r="D7165" s="250" t="str">
        <f>IF(AND(A7165&lt;&gt;"",ISNUMBER(A7165)),VLOOKUP(A7165,Studies!A:BR,4,FALSE),"")</f>
        <v>Treatment with erythromycin</v>
      </c>
      <c r="E7165" s="250" t="str">
        <f>IF(AND(A7165&lt;&gt;"",ISNUMBER(A7165)),VLOOKUP(A7165,Studies!A:BR,5,FALSE),"")</f>
        <v>Alprazolam</v>
      </c>
      <c r="F7165" s="251" t="str">
        <f>IF(AND(A7165&lt;&gt;"",ISNUMBER(A7165)),VLOOKUP(A7165,Studies!A:BR,6,FALSE),"")</f>
        <v>Plasma</v>
      </c>
      <c r="G7165" s="194">
        <v>178</v>
      </c>
      <c r="H7165" s="50" t="s">
        <v>60</v>
      </c>
      <c r="I7165" s="187">
        <v>9.915125846862793</v>
      </c>
      <c r="J7165" s="41" t="s">
        <v>941</v>
      </c>
      <c r="K7165" s="41" t="s">
        <v>116</v>
      </c>
      <c r="P7165" s="188"/>
    </row>
    <row r="7166" spans="1:16" x14ac:dyDescent="0.2">
      <c r="A7166" s="30">
        <v>777</v>
      </c>
      <c r="B7166" s="249" t="str">
        <f>IF(AND(A7166&lt;&gt;"",ISNUMBER(A7166)),VLOOKUP(A7166,Studies!A:BR,2,FALSE),"")</f>
        <v>Yasui 1996</v>
      </c>
      <c r="C7166" s="250" t="str">
        <f>IF(AND(A7166&lt;&gt;"",ISNUMBER(A7166)),VLOOKUP(A7166,Studies!A:BR,3,FALSE),"")</f>
        <v>https://www.ncbi.nlm.nih.gov/pubmed/8646822</v>
      </c>
      <c r="D7166" s="250" t="str">
        <f>IF(AND(A7166&lt;&gt;"",ISNUMBER(A7166)),VLOOKUP(A7166,Studies!A:BR,4,FALSE),"")</f>
        <v>Treatment with erythromycin</v>
      </c>
      <c r="E7166" s="250" t="str">
        <f>IF(AND(A7166&lt;&gt;"",ISNUMBER(A7166)),VLOOKUP(A7166,Studies!A:BR,5,FALSE),"")</f>
        <v>Alprazolam</v>
      </c>
      <c r="F7166" s="251" t="str">
        <f>IF(AND(A7166&lt;&gt;"",ISNUMBER(A7166)),VLOOKUP(A7166,Studies!A:BR,6,FALSE),"")</f>
        <v>Plasma</v>
      </c>
      <c r="G7166" s="194">
        <v>180</v>
      </c>
      <c r="H7166" s="50" t="s">
        <v>60</v>
      </c>
      <c r="I7166" s="187">
        <v>8.9053916931152344</v>
      </c>
      <c r="J7166" s="41" t="s">
        <v>941</v>
      </c>
      <c r="K7166" s="41" t="s">
        <v>116</v>
      </c>
      <c r="P7166" s="188"/>
    </row>
    <row r="7167" spans="1:16" x14ac:dyDescent="0.2">
      <c r="A7167" s="30">
        <v>777</v>
      </c>
      <c r="B7167" s="249" t="str">
        <f>IF(AND(A7167&lt;&gt;"",ISNUMBER(A7167)),VLOOKUP(A7167,Studies!A:BR,2,FALSE),"")</f>
        <v>Yasui 1996</v>
      </c>
      <c r="C7167" s="250" t="str">
        <f>IF(AND(A7167&lt;&gt;"",ISNUMBER(A7167)),VLOOKUP(A7167,Studies!A:BR,3,FALSE),"")</f>
        <v>https://www.ncbi.nlm.nih.gov/pubmed/8646822</v>
      </c>
      <c r="D7167" s="250" t="str">
        <f>IF(AND(A7167&lt;&gt;"",ISNUMBER(A7167)),VLOOKUP(A7167,Studies!A:BR,4,FALSE),"")</f>
        <v>Treatment with erythromycin</v>
      </c>
      <c r="E7167" s="250" t="str">
        <f>IF(AND(A7167&lt;&gt;"",ISNUMBER(A7167)),VLOOKUP(A7167,Studies!A:BR,5,FALSE),"")</f>
        <v>Alprazolam</v>
      </c>
      <c r="F7167" s="251" t="str">
        <f>IF(AND(A7167&lt;&gt;"",ISNUMBER(A7167)),VLOOKUP(A7167,Studies!A:BR,6,FALSE),"")</f>
        <v>Plasma</v>
      </c>
      <c r="G7167" s="194">
        <v>182</v>
      </c>
      <c r="H7167" s="50" t="s">
        <v>60</v>
      </c>
      <c r="I7167" s="187">
        <v>7.5555410385131836</v>
      </c>
      <c r="J7167" s="41" t="s">
        <v>941</v>
      </c>
      <c r="K7167" s="41" t="s">
        <v>116</v>
      </c>
      <c r="P7167" s="188"/>
    </row>
    <row r="7168" spans="1:16" x14ac:dyDescent="0.2">
      <c r="A7168" s="30">
        <v>777</v>
      </c>
      <c r="B7168" s="249" t="str">
        <f>IF(AND(A7168&lt;&gt;"",ISNUMBER(A7168)),VLOOKUP(A7168,Studies!A:BR,2,FALSE),"")</f>
        <v>Yasui 1996</v>
      </c>
      <c r="C7168" s="250" t="str">
        <f>IF(AND(A7168&lt;&gt;"",ISNUMBER(A7168)),VLOOKUP(A7168,Studies!A:BR,3,FALSE),"")</f>
        <v>https://www.ncbi.nlm.nih.gov/pubmed/8646822</v>
      </c>
      <c r="D7168" s="250" t="str">
        <f>IF(AND(A7168&lt;&gt;"",ISNUMBER(A7168)),VLOOKUP(A7168,Studies!A:BR,4,FALSE),"")</f>
        <v>Treatment with erythromycin</v>
      </c>
      <c r="E7168" s="250" t="str">
        <f>IF(AND(A7168&lt;&gt;"",ISNUMBER(A7168)),VLOOKUP(A7168,Studies!A:BR,5,FALSE),"")</f>
        <v>Alprazolam</v>
      </c>
      <c r="F7168" s="251" t="str">
        <f>IF(AND(A7168&lt;&gt;"",ISNUMBER(A7168)),VLOOKUP(A7168,Studies!A:BR,6,FALSE),"")</f>
        <v>Plasma</v>
      </c>
      <c r="G7168" s="194">
        <v>194</v>
      </c>
      <c r="H7168" s="50" t="s">
        <v>60</v>
      </c>
      <c r="I7168" s="187">
        <v>6.0374207496643066</v>
      </c>
      <c r="J7168" s="41" t="s">
        <v>941</v>
      </c>
      <c r="K7168" s="41" t="s">
        <v>116</v>
      </c>
      <c r="P7168" s="188"/>
    </row>
    <row r="7169" spans="1:16" x14ac:dyDescent="0.2">
      <c r="A7169" s="30">
        <v>777</v>
      </c>
      <c r="B7169" s="249" t="str">
        <f>IF(AND(A7169&lt;&gt;"",ISNUMBER(A7169)),VLOOKUP(A7169,Studies!A:BR,2,FALSE),"")</f>
        <v>Yasui 1996</v>
      </c>
      <c r="C7169" s="250" t="str">
        <f>IF(AND(A7169&lt;&gt;"",ISNUMBER(A7169)),VLOOKUP(A7169,Studies!A:BR,3,FALSE),"")</f>
        <v>https://www.ncbi.nlm.nih.gov/pubmed/8646822</v>
      </c>
      <c r="D7169" s="250" t="str">
        <f>IF(AND(A7169&lt;&gt;"",ISNUMBER(A7169)),VLOOKUP(A7169,Studies!A:BR,4,FALSE),"")</f>
        <v>Treatment with erythromycin</v>
      </c>
      <c r="E7169" s="250" t="str">
        <f>IF(AND(A7169&lt;&gt;"",ISNUMBER(A7169)),VLOOKUP(A7169,Studies!A:BR,5,FALSE),"")</f>
        <v>Alprazolam</v>
      </c>
      <c r="F7169" s="251" t="str">
        <f>IF(AND(A7169&lt;&gt;"",ISNUMBER(A7169)),VLOOKUP(A7169,Studies!A:BR,6,FALSE),"")</f>
        <v>Plasma</v>
      </c>
      <c r="G7169" s="194">
        <v>206</v>
      </c>
      <c r="H7169" s="50" t="s">
        <v>60</v>
      </c>
      <c r="I7169" s="187">
        <v>4.8933472633361816</v>
      </c>
      <c r="J7169" s="41" t="s">
        <v>941</v>
      </c>
      <c r="K7169" s="41" t="s">
        <v>116</v>
      </c>
      <c r="P7169" s="188"/>
    </row>
    <row r="7170" spans="1:16" x14ac:dyDescent="0.2">
      <c r="A7170" s="30">
        <v>777</v>
      </c>
      <c r="B7170" s="249" t="str">
        <f>IF(AND(A7170&lt;&gt;"",ISNUMBER(A7170)),VLOOKUP(A7170,Studies!A:BR,2,FALSE),"")</f>
        <v>Yasui 1996</v>
      </c>
      <c r="C7170" s="250" t="str">
        <f>IF(AND(A7170&lt;&gt;"",ISNUMBER(A7170)),VLOOKUP(A7170,Studies!A:BR,3,FALSE),"")</f>
        <v>https://www.ncbi.nlm.nih.gov/pubmed/8646822</v>
      </c>
      <c r="D7170" s="250" t="str">
        <f>IF(AND(A7170&lt;&gt;"",ISNUMBER(A7170)),VLOOKUP(A7170,Studies!A:BR,4,FALSE),"")</f>
        <v>Treatment with erythromycin</v>
      </c>
      <c r="E7170" s="250" t="str">
        <f>IF(AND(A7170&lt;&gt;"",ISNUMBER(A7170)),VLOOKUP(A7170,Studies!A:BR,5,FALSE),"")</f>
        <v>Alprazolam</v>
      </c>
      <c r="F7170" s="251" t="str">
        <f>IF(AND(A7170&lt;&gt;"",ISNUMBER(A7170)),VLOOKUP(A7170,Studies!A:BR,6,FALSE),"")</f>
        <v>Plasma</v>
      </c>
      <c r="G7170" s="194">
        <v>218</v>
      </c>
      <c r="H7170" s="50" t="s">
        <v>60</v>
      </c>
      <c r="I7170" s="187">
        <v>3.9379281997680664</v>
      </c>
      <c r="J7170" s="41" t="s">
        <v>941</v>
      </c>
      <c r="K7170" s="41" t="s">
        <v>116</v>
      </c>
      <c r="P7170" s="188"/>
    </row>
    <row r="7171" spans="1:16" x14ac:dyDescent="0.2">
      <c r="A7171" s="30">
        <v>778</v>
      </c>
      <c r="B7171" s="249" t="str">
        <f>IF(AND(A7171&lt;&gt;"",ISNUMBER(A7171)),VLOOKUP(A7171,Studies!A:BR,2,FALSE),"")</f>
        <v>Bartkowski 1989</v>
      </c>
      <c r="C7171" s="250" t="str">
        <f>IF(AND(A7171&lt;&gt;"",ISNUMBER(A7171)),VLOOKUP(A7171,Studies!A:BR,3,FALSE),"")</f>
        <v>https://www.ncbi.nlm.nih.gov/pubmed/2501060</v>
      </c>
      <c r="D7171" s="250" t="str">
        <f>IF(AND(A7171&lt;&gt;"",ISNUMBER(A7171)),VLOOKUP(A7171,Studies!A:BR,4,FALSE),"")</f>
        <v>Control</v>
      </c>
      <c r="E7171" s="250" t="str">
        <f>IF(AND(A7171&lt;&gt;"",ISNUMBER(A7171)),VLOOKUP(A7171,Studies!A:BR,5,FALSE),"")</f>
        <v>Alfentanil</v>
      </c>
      <c r="F7171" s="251" t="str">
        <f>IF(AND(A7171&lt;&gt;"",ISNUMBER(A7171)),VLOOKUP(A7171,Studies!A:BR,6,FALSE),"")</f>
        <v>Serum</v>
      </c>
      <c r="G7171" s="194">
        <v>6</v>
      </c>
      <c r="H7171" s="50" t="s">
        <v>953</v>
      </c>
      <c r="I7171" s="187">
        <v>274.79629999999997</v>
      </c>
      <c r="J7171" s="41" t="s">
        <v>941</v>
      </c>
      <c r="K7171" s="41" t="s">
        <v>239</v>
      </c>
      <c r="P7171" s="188" t="s">
        <v>237</v>
      </c>
    </row>
    <row r="7172" spans="1:16" x14ac:dyDescent="0.2">
      <c r="A7172" s="30">
        <v>778</v>
      </c>
      <c r="B7172" s="249" t="str">
        <f>IF(AND(A7172&lt;&gt;"",ISNUMBER(A7172)),VLOOKUP(A7172,Studies!A:BR,2,FALSE),"")</f>
        <v>Bartkowski 1989</v>
      </c>
      <c r="C7172" s="250" t="str">
        <f>IF(AND(A7172&lt;&gt;"",ISNUMBER(A7172)),VLOOKUP(A7172,Studies!A:BR,3,FALSE),"")</f>
        <v>https://www.ncbi.nlm.nih.gov/pubmed/2501060</v>
      </c>
      <c r="D7172" s="250" t="str">
        <f>IF(AND(A7172&lt;&gt;"",ISNUMBER(A7172)),VLOOKUP(A7172,Studies!A:BR,4,FALSE),"")</f>
        <v>Control</v>
      </c>
      <c r="E7172" s="250" t="str">
        <f>IF(AND(A7172&lt;&gt;"",ISNUMBER(A7172)),VLOOKUP(A7172,Studies!A:BR,5,FALSE),"")</f>
        <v>Alfentanil</v>
      </c>
      <c r="F7172" s="251" t="str">
        <f>IF(AND(A7172&lt;&gt;"",ISNUMBER(A7172)),VLOOKUP(A7172,Studies!A:BR,6,FALSE),"")</f>
        <v>Serum</v>
      </c>
      <c r="G7172" s="194">
        <v>10</v>
      </c>
      <c r="H7172" s="50" t="s">
        <v>953</v>
      </c>
      <c r="I7172" s="187">
        <v>203.0085</v>
      </c>
      <c r="J7172" s="41" t="s">
        <v>941</v>
      </c>
      <c r="K7172" s="41" t="s">
        <v>239</v>
      </c>
      <c r="P7172" s="188" t="s">
        <v>237</v>
      </c>
    </row>
    <row r="7173" spans="1:16" x14ac:dyDescent="0.2">
      <c r="A7173" s="30">
        <v>778</v>
      </c>
      <c r="B7173" s="249" t="str">
        <f>IF(AND(A7173&lt;&gt;"",ISNUMBER(A7173)),VLOOKUP(A7173,Studies!A:BR,2,FALSE),"")</f>
        <v>Bartkowski 1989</v>
      </c>
      <c r="C7173" s="250" t="str">
        <f>IF(AND(A7173&lt;&gt;"",ISNUMBER(A7173)),VLOOKUP(A7173,Studies!A:BR,3,FALSE),"")</f>
        <v>https://www.ncbi.nlm.nih.gov/pubmed/2501060</v>
      </c>
      <c r="D7173" s="250" t="str">
        <f>IF(AND(A7173&lt;&gt;"",ISNUMBER(A7173)),VLOOKUP(A7173,Studies!A:BR,4,FALSE),"")</f>
        <v>Control</v>
      </c>
      <c r="E7173" s="250" t="str">
        <f>IF(AND(A7173&lt;&gt;"",ISNUMBER(A7173)),VLOOKUP(A7173,Studies!A:BR,5,FALSE),"")</f>
        <v>Alfentanil</v>
      </c>
      <c r="F7173" s="251" t="str">
        <f>IF(AND(A7173&lt;&gt;"",ISNUMBER(A7173)),VLOOKUP(A7173,Studies!A:BR,6,FALSE),"")</f>
        <v>Serum</v>
      </c>
      <c r="G7173" s="194">
        <v>15</v>
      </c>
      <c r="H7173" s="50" t="s">
        <v>953</v>
      </c>
      <c r="I7173" s="187">
        <v>145.2516</v>
      </c>
      <c r="J7173" s="41" t="s">
        <v>941</v>
      </c>
      <c r="K7173" s="41" t="s">
        <v>239</v>
      </c>
      <c r="P7173" s="188" t="s">
        <v>237</v>
      </c>
    </row>
    <row r="7174" spans="1:16" x14ac:dyDescent="0.2">
      <c r="A7174" s="30">
        <v>778</v>
      </c>
      <c r="B7174" s="249" t="str">
        <f>IF(AND(A7174&lt;&gt;"",ISNUMBER(A7174)),VLOOKUP(A7174,Studies!A:BR,2,FALSE),"")</f>
        <v>Bartkowski 1989</v>
      </c>
      <c r="C7174" s="250" t="str">
        <f>IF(AND(A7174&lt;&gt;"",ISNUMBER(A7174)),VLOOKUP(A7174,Studies!A:BR,3,FALSE),"")</f>
        <v>https://www.ncbi.nlm.nih.gov/pubmed/2501060</v>
      </c>
      <c r="D7174" s="250" t="str">
        <f>IF(AND(A7174&lt;&gt;"",ISNUMBER(A7174)),VLOOKUP(A7174,Studies!A:BR,4,FALSE),"")</f>
        <v>Control</v>
      </c>
      <c r="E7174" s="250" t="str">
        <f>IF(AND(A7174&lt;&gt;"",ISNUMBER(A7174)),VLOOKUP(A7174,Studies!A:BR,5,FALSE),"")</f>
        <v>Alfentanil</v>
      </c>
      <c r="F7174" s="251" t="str">
        <f>IF(AND(A7174&lt;&gt;"",ISNUMBER(A7174)),VLOOKUP(A7174,Studies!A:BR,6,FALSE),"")</f>
        <v>Serum</v>
      </c>
      <c r="G7174" s="194">
        <v>30</v>
      </c>
      <c r="H7174" s="50" t="s">
        <v>953</v>
      </c>
      <c r="I7174" s="187">
        <v>107.3704</v>
      </c>
      <c r="J7174" s="41" t="s">
        <v>941</v>
      </c>
      <c r="K7174" s="41" t="s">
        <v>239</v>
      </c>
      <c r="P7174" s="188" t="s">
        <v>237</v>
      </c>
    </row>
    <row r="7175" spans="1:16" x14ac:dyDescent="0.2">
      <c r="A7175" s="30">
        <v>778</v>
      </c>
      <c r="B7175" s="249" t="str">
        <f>IF(AND(A7175&lt;&gt;"",ISNUMBER(A7175)),VLOOKUP(A7175,Studies!A:BR,2,FALSE),"")</f>
        <v>Bartkowski 1989</v>
      </c>
      <c r="C7175" s="250" t="str">
        <f>IF(AND(A7175&lt;&gt;"",ISNUMBER(A7175)),VLOOKUP(A7175,Studies!A:BR,3,FALSE),"")</f>
        <v>https://www.ncbi.nlm.nih.gov/pubmed/2501060</v>
      </c>
      <c r="D7175" s="250" t="str">
        <f>IF(AND(A7175&lt;&gt;"",ISNUMBER(A7175)),VLOOKUP(A7175,Studies!A:BR,4,FALSE),"")</f>
        <v>Control</v>
      </c>
      <c r="E7175" s="250" t="str">
        <f>IF(AND(A7175&lt;&gt;"",ISNUMBER(A7175)),VLOOKUP(A7175,Studies!A:BR,5,FALSE),"")</f>
        <v>Alfentanil</v>
      </c>
      <c r="F7175" s="251" t="str">
        <f>IF(AND(A7175&lt;&gt;"",ISNUMBER(A7175)),VLOOKUP(A7175,Studies!A:BR,6,FALSE),"")</f>
        <v>Serum</v>
      </c>
      <c r="G7175" s="194">
        <v>60</v>
      </c>
      <c r="H7175" s="50" t="s">
        <v>953</v>
      </c>
      <c r="I7175" s="187">
        <v>65.604050000000001</v>
      </c>
      <c r="J7175" s="41" t="s">
        <v>941</v>
      </c>
      <c r="K7175" s="41" t="s">
        <v>239</v>
      </c>
      <c r="P7175" s="188" t="s">
        <v>237</v>
      </c>
    </row>
    <row r="7176" spans="1:16" x14ac:dyDescent="0.2">
      <c r="A7176" s="30">
        <v>778</v>
      </c>
      <c r="B7176" s="249" t="str">
        <f>IF(AND(A7176&lt;&gt;"",ISNUMBER(A7176)),VLOOKUP(A7176,Studies!A:BR,2,FALSE),"")</f>
        <v>Bartkowski 1989</v>
      </c>
      <c r="C7176" s="250" t="str">
        <f>IF(AND(A7176&lt;&gt;"",ISNUMBER(A7176)),VLOOKUP(A7176,Studies!A:BR,3,FALSE),"")</f>
        <v>https://www.ncbi.nlm.nih.gov/pubmed/2501060</v>
      </c>
      <c r="D7176" s="250" t="str">
        <f>IF(AND(A7176&lt;&gt;"",ISNUMBER(A7176)),VLOOKUP(A7176,Studies!A:BR,4,FALSE),"")</f>
        <v>Control</v>
      </c>
      <c r="E7176" s="250" t="str">
        <f>IF(AND(A7176&lt;&gt;"",ISNUMBER(A7176)),VLOOKUP(A7176,Studies!A:BR,5,FALSE),"")</f>
        <v>Alfentanil</v>
      </c>
      <c r="F7176" s="251" t="str">
        <f>IF(AND(A7176&lt;&gt;"",ISNUMBER(A7176)),VLOOKUP(A7176,Studies!A:BR,6,FALSE),"")</f>
        <v>Serum</v>
      </c>
      <c r="G7176" s="194">
        <v>90</v>
      </c>
      <c r="H7176" s="50" t="s">
        <v>953</v>
      </c>
      <c r="I7176" s="187">
        <v>47.021799999999999</v>
      </c>
      <c r="J7176" s="41" t="s">
        <v>941</v>
      </c>
      <c r="K7176" s="41" t="s">
        <v>239</v>
      </c>
      <c r="P7176" s="42" t="s">
        <v>237</v>
      </c>
    </row>
    <row r="7177" spans="1:16" x14ac:dyDescent="0.2">
      <c r="A7177" s="30">
        <v>778</v>
      </c>
      <c r="B7177" s="249" t="str">
        <f>IF(AND(A7177&lt;&gt;"",ISNUMBER(A7177)),VLOOKUP(A7177,Studies!A:BR,2,FALSE),"")</f>
        <v>Bartkowski 1989</v>
      </c>
      <c r="C7177" s="250" t="str">
        <f>IF(AND(A7177&lt;&gt;"",ISNUMBER(A7177)),VLOOKUP(A7177,Studies!A:BR,3,FALSE),"")</f>
        <v>https://www.ncbi.nlm.nih.gov/pubmed/2501060</v>
      </c>
      <c r="D7177" s="250" t="str">
        <f>IF(AND(A7177&lt;&gt;"",ISNUMBER(A7177)),VLOOKUP(A7177,Studies!A:BR,4,FALSE),"")</f>
        <v>Control</v>
      </c>
      <c r="E7177" s="250" t="str">
        <f>IF(AND(A7177&lt;&gt;"",ISNUMBER(A7177)),VLOOKUP(A7177,Studies!A:BR,5,FALSE),"")</f>
        <v>Alfentanil</v>
      </c>
      <c r="F7177" s="251" t="str">
        <f>IF(AND(A7177&lt;&gt;"",ISNUMBER(A7177)),VLOOKUP(A7177,Studies!A:BR,6,FALSE),"")</f>
        <v>Serum</v>
      </c>
      <c r="G7177" s="194">
        <v>120</v>
      </c>
      <c r="H7177" s="50" t="s">
        <v>953</v>
      </c>
      <c r="I7177" s="187">
        <v>38.902920000000002</v>
      </c>
      <c r="J7177" s="41" t="s">
        <v>941</v>
      </c>
      <c r="K7177" s="41" t="s">
        <v>239</v>
      </c>
      <c r="P7177" s="42" t="s">
        <v>237</v>
      </c>
    </row>
    <row r="7178" spans="1:16" x14ac:dyDescent="0.2">
      <c r="A7178" s="30">
        <v>778</v>
      </c>
      <c r="B7178" s="249" t="str">
        <f>IF(AND(A7178&lt;&gt;"",ISNUMBER(A7178)),VLOOKUP(A7178,Studies!A:BR,2,FALSE),"")</f>
        <v>Bartkowski 1989</v>
      </c>
      <c r="C7178" s="250" t="str">
        <f>IF(AND(A7178&lt;&gt;"",ISNUMBER(A7178)),VLOOKUP(A7178,Studies!A:BR,3,FALSE),"")</f>
        <v>https://www.ncbi.nlm.nih.gov/pubmed/2501060</v>
      </c>
      <c r="D7178" s="250" t="str">
        <f>IF(AND(A7178&lt;&gt;"",ISNUMBER(A7178)),VLOOKUP(A7178,Studies!A:BR,4,FALSE),"")</f>
        <v>Control</v>
      </c>
      <c r="E7178" s="250" t="str">
        <f>IF(AND(A7178&lt;&gt;"",ISNUMBER(A7178)),VLOOKUP(A7178,Studies!A:BR,5,FALSE),"")</f>
        <v>Alfentanil</v>
      </c>
      <c r="F7178" s="251" t="str">
        <f>IF(AND(A7178&lt;&gt;"",ISNUMBER(A7178)),VLOOKUP(A7178,Studies!A:BR,6,FALSE),"")</f>
        <v>Serum</v>
      </c>
      <c r="G7178" s="194">
        <v>180</v>
      </c>
      <c r="H7178" s="50" t="s">
        <v>953</v>
      </c>
      <c r="I7178" s="187">
        <v>17.870699999999999</v>
      </c>
      <c r="J7178" s="41" t="s">
        <v>941</v>
      </c>
      <c r="K7178" s="41" t="s">
        <v>239</v>
      </c>
      <c r="P7178" s="42" t="s">
        <v>237</v>
      </c>
    </row>
    <row r="7179" spans="1:16" x14ac:dyDescent="0.2">
      <c r="A7179" s="30">
        <v>778</v>
      </c>
      <c r="B7179" s="249" t="str">
        <f>IF(AND(A7179&lt;&gt;"",ISNUMBER(A7179)),VLOOKUP(A7179,Studies!A:BR,2,FALSE),"")</f>
        <v>Bartkowski 1989</v>
      </c>
      <c r="C7179" s="250" t="str">
        <f>IF(AND(A7179&lt;&gt;"",ISNUMBER(A7179)),VLOOKUP(A7179,Studies!A:BR,3,FALSE),"")</f>
        <v>https://www.ncbi.nlm.nih.gov/pubmed/2501060</v>
      </c>
      <c r="D7179" s="250" t="str">
        <f>IF(AND(A7179&lt;&gt;"",ISNUMBER(A7179)),VLOOKUP(A7179,Studies!A:BR,4,FALSE),"")</f>
        <v>Control</v>
      </c>
      <c r="E7179" s="250" t="str">
        <f>IF(AND(A7179&lt;&gt;"",ISNUMBER(A7179)),VLOOKUP(A7179,Studies!A:BR,5,FALSE),"")</f>
        <v>Alfentanil</v>
      </c>
      <c r="F7179" s="251" t="str">
        <f>IF(AND(A7179&lt;&gt;"",ISNUMBER(A7179)),VLOOKUP(A7179,Studies!A:BR,6,FALSE),"")</f>
        <v>Serum</v>
      </c>
      <c r="G7179" s="194">
        <v>240</v>
      </c>
      <c r="H7179" s="50" t="s">
        <v>953</v>
      </c>
      <c r="I7179" s="187">
        <v>12.831939999999999</v>
      </c>
      <c r="J7179" s="41" t="s">
        <v>941</v>
      </c>
      <c r="K7179" s="41" t="s">
        <v>239</v>
      </c>
      <c r="P7179" s="42" t="s">
        <v>237</v>
      </c>
    </row>
    <row r="7180" spans="1:16" x14ac:dyDescent="0.2">
      <c r="A7180" s="30">
        <v>778</v>
      </c>
      <c r="B7180" s="249" t="str">
        <f>IF(AND(A7180&lt;&gt;"",ISNUMBER(A7180)),VLOOKUP(A7180,Studies!A:BR,2,FALSE),"")</f>
        <v>Bartkowski 1989</v>
      </c>
      <c r="C7180" s="250" t="str">
        <f>IF(AND(A7180&lt;&gt;"",ISNUMBER(A7180)),VLOOKUP(A7180,Studies!A:BR,3,FALSE),"")</f>
        <v>https://www.ncbi.nlm.nih.gov/pubmed/2501060</v>
      </c>
      <c r="D7180" s="250" t="str">
        <f>IF(AND(A7180&lt;&gt;"",ISNUMBER(A7180)),VLOOKUP(A7180,Studies!A:BR,4,FALSE),"")</f>
        <v>Control</v>
      </c>
      <c r="E7180" s="250" t="str">
        <f>IF(AND(A7180&lt;&gt;"",ISNUMBER(A7180)),VLOOKUP(A7180,Studies!A:BR,5,FALSE),"")</f>
        <v>Alfentanil</v>
      </c>
      <c r="F7180" s="251" t="str">
        <f>IF(AND(A7180&lt;&gt;"",ISNUMBER(A7180)),VLOOKUP(A7180,Studies!A:BR,6,FALSE),"")</f>
        <v>Serum</v>
      </c>
      <c r="G7180" s="194">
        <v>300</v>
      </c>
      <c r="H7180" s="50" t="s">
        <v>953</v>
      </c>
      <c r="I7180" s="187">
        <v>8.6442999999999994</v>
      </c>
      <c r="J7180" s="41" t="s">
        <v>941</v>
      </c>
      <c r="K7180" s="41" t="s">
        <v>239</v>
      </c>
      <c r="P7180" s="42" t="s">
        <v>237</v>
      </c>
    </row>
    <row r="7181" spans="1:16" x14ac:dyDescent="0.2">
      <c r="A7181" s="30">
        <v>778</v>
      </c>
      <c r="B7181" s="249" t="str">
        <f>IF(AND(A7181&lt;&gt;"",ISNUMBER(A7181)),VLOOKUP(A7181,Studies!A:BR,2,FALSE),"")</f>
        <v>Bartkowski 1989</v>
      </c>
      <c r="C7181" s="250" t="str">
        <f>IF(AND(A7181&lt;&gt;"",ISNUMBER(A7181)),VLOOKUP(A7181,Studies!A:BR,3,FALSE),"")</f>
        <v>https://www.ncbi.nlm.nih.gov/pubmed/2501060</v>
      </c>
      <c r="D7181" s="250" t="str">
        <f>IF(AND(A7181&lt;&gt;"",ISNUMBER(A7181)),VLOOKUP(A7181,Studies!A:BR,4,FALSE),"")</f>
        <v>Control</v>
      </c>
      <c r="E7181" s="250" t="str">
        <f>IF(AND(A7181&lt;&gt;"",ISNUMBER(A7181)),VLOOKUP(A7181,Studies!A:BR,5,FALSE),"")</f>
        <v>Alfentanil</v>
      </c>
      <c r="F7181" s="251" t="str">
        <f>IF(AND(A7181&lt;&gt;"",ISNUMBER(A7181)),VLOOKUP(A7181,Studies!A:BR,6,FALSE),"")</f>
        <v>Serum</v>
      </c>
      <c r="G7181" s="194">
        <v>360</v>
      </c>
      <c r="H7181" s="50" t="s">
        <v>953</v>
      </c>
      <c r="I7181" s="187">
        <v>5.2079829999999996</v>
      </c>
      <c r="J7181" s="41" t="s">
        <v>941</v>
      </c>
      <c r="K7181" s="41" t="s">
        <v>239</v>
      </c>
      <c r="P7181" s="42" t="s">
        <v>237</v>
      </c>
    </row>
    <row r="7182" spans="1:16" x14ac:dyDescent="0.2">
      <c r="A7182" s="30">
        <v>778</v>
      </c>
      <c r="B7182" s="249" t="str">
        <f>IF(AND(A7182&lt;&gt;"",ISNUMBER(A7182)),VLOOKUP(A7182,Studies!A:BR,2,FALSE),"")</f>
        <v>Bartkowski 1989</v>
      </c>
      <c r="C7182" s="250" t="str">
        <f>IF(AND(A7182&lt;&gt;"",ISNUMBER(A7182)),VLOOKUP(A7182,Studies!A:BR,3,FALSE),"")</f>
        <v>https://www.ncbi.nlm.nih.gov/pubmed/2501060</v>
      </c>
      <c r="D7182" s="250" t="str">
        <f>IF(AND(A7182&lt;&gt;"",ISNUMBER(A7182)),VLOOKUP(A7182,Studies!A:BR,4,FALSE),"")</f>
        <v>Control</v>
      </c>
      <c r="E7182" s="250" t="str">
        <f>IF(AND(A7182&lt;&gt;"",ISNUMBER(A7182)),VLOOKUP(A7182,Studies!A:BR,5,FALSE),"")</f>
        <v>Alfentanil</v>
      </c>
      <c r="F7182" s="251" t="str">
        <f>IF(AND(A7182&lt;&gt;"",ISNUMBER(A7182)),VLOOKUP(A7182,Studies!A:BR,6,FALSE),"")</f>
        <v>Serum</v>
      </c>
      <c r="G7182" s="194">
        <v>420</v>
      </c>
      <c r="H7182" s="50" t="s">
        <v>953</v>
      </c>
      <c r="I7182" s="187">
        <v>3.3447420000000001</v>
      </c>
      <c r="J7182" s="41" t="s">
        <v>941</v>
      </c>
      <c r="K7182" s="41" t="s">
        <v>239</v>
      </c>
      <c r="P7182" s="42" t="s">
        <v>237</v>
      </c>
    </row>
    <row r="7183" spans="1:16" x14ac:dyDescent="0.2">
      <c r="A7183" s="30">
        <v>778</v>
      </c>
      <c r="B7183" s="249" t="str">
        <f>IF(AND(A7183&lt;&gt;"",ISNUMBER(A7183)),VLOOKUP(A7183,Studies!A:BR,2,FALSE),"")</f>
        <v>Bartkowski 1989</v>
      </c>
      <c r="C7183" s="250" t="str">
        <f>IF(AND(A7183&lt;&gt;"",ISNUMBER(A7183)),VLOOKUP(A7183,Studies!A:BR,3,FALSE),"")</f>
        <v>https://www.ncbi.nlm.nih.gov/pubmed/2501060</v>
      </c>
      <c r="D7183" s="250" t="str">
        <f>IF(AND(A7183&lt;&gt;"",ISNUMBER(A7183)),VLOOKUP(A7183,Studies!A:BR,4,FALSE),"")</f>
        <v>Control</v>
      </c>
      <c r="E7183" s="250" t="str">
        <f>IF(AND(A7183&lt;&gt;"",ISNUMBER(A7183)),VLOOKUP(A7183,Studies!A:BR,5,FALSE),"")</f>
        <v>Alfentanil</v>
      </c>
      <c r="F7183" s="251" t="str">
        <f>IF(AND(A7183&lt;&gt;"",ISNUMBER(A7183)),VLOOKUP(A7183,Studies!A:BR,6,FALSE),"")</f>
        <v>Serum</v>
      </c>
      <c r="G7183" s="194">
        <v>480</v>
      </c>
      <c r="H7183" s="50" t="s">
        <v>953</v>
      </c>
      <c r="I7183" s="187">
        <v>2.3263590000000001</v>
      </c>
      <c r="J7183" s="41" t="s">
        <v>941</v>
      </c>
      <c r="K7183" s="41" t="s">
        <v>239</v>
      </c>
      <c r="P7183" s="42" t="s">
        <v>237</v>
      </c>
    </row>
    <row r="7184" spans="1:16" x14ac:dyDescent="0.2">
      <c r="A7184" s="30">
        <v>779</v>
      </c>
      <c r="B7184" s="249" t="str">
        <f>IF(AND(A7184&lt;&gt;"",ISNUMBER(A7184)),VLOOKUP(A7184,Studies!A:BR,2,FALSE),"")</f>
        <v>Bartkowski 1989</v>
      </c>
      <c r="C7184" s="250" t="str">
        <f>IF(AND(A7184&lt;&gt;"",ISNUMBER(A7184)),VLOOKUP(A7184,Studies!A:BR,3,FALSE),"")</f>
        <v>https://www.ncbi.nlm.nih.gov/pubmed/2501060</v>
      </c>
      <c r="D7184" s="250" t="str">
        <f>IF(AND(A7184&lt;&gt;"",ISNUMBER(A7184)),VLOOKUP(A7184,Studies!A:BR,4,FALSE),"")</f>
        <v>Treatment Day 1</v>
      </c>
      <c r="E7184" s="250" t="str">
        <f>IF(AND(A7184&lt;&gt;"",ISNUMBER(A7184)),VLOOKUP(A7184,Studies!A:BR,5,FALSE),"")</f>
        <v>Alfentanil</v>
      </c>
      <c r="F7184" s="251" t="str">
        <f>IF(AND(A7184&lt;&gt;"",ISNUMBER(A7184)),VLOOKUP(A7184,Studies!A:BR,6,FALSE),"")</f>
        <v>Serum</v>
      </c>
      <c r="G7184" s="194">
        <v>96</v>
      </c>
      <c r="H7184" s="50" t="s">
        <v>953</v>
      </c>
      <c r="I7184" s="187">
        <v>339.05930000000001</v>
      </c>
      <c r="J7184" s="41" t="s">
        <v>941</v>
      </c>
      <c r="K7184" s="41" t="s">
        <v>239</v>
      </c>
      <c r="P7184" s="42" t="s">
        <v>237</v>
      </c>
    </row>
    <row r="7185" spans="1:16" x14ac:dyDescent="0.2">
      <c r="A7185" s="30">
        <v>779</v>
      </c>
      <c r="B7185" s="249" t="str">
        <f>IF(AND(A7185&lt;&gt;"",ISNUMBER(A7185)),VLOOKUP(A7185,Studies!A:BR,2,FALSE),"")</f>
        <v>Bartkowski 1989</v>
      </c>
      <c r="C7185" s="250" t="str">
        <f>IF(AND(A7185&lt;&gt;"",ISNUMBER(A7185)),VLOOKUP(A7185,Studies!A:BR,3,FALSE),"")</f>
        <v>https://www.ncbi.nlm.nih.gov/pubmed/2501060</v>
      </c>
      <c r="D7185" s="250" t="str">
        <f>IF(AND(A7185&lt;&gt;"",ISNUMBER(A7185)),VLOOKUP(A7185,Studies!A:BR,4,FALSE),"")</f>
        <v>Treatment Day 1</v>
      </c>
      <c r="E7185" s="250" t="str">
        <f>IF(AND(A7185&lt;&gt;"",ISNUMBER(A7185)),VLOOKUP(A7185,Studies!A:BR,5,FALSE),"")</f>
        <v>Alfentanil</v>
      </c>
      <c r="F7185" s="251" t="str">
        <f>IF(AND(A7185&lt;&gt;"",ISNUMBER(A7185)),VLOOKUP(A7185,Studies!A:BR,6,FALSE),"")</f>
        <v>Serum</v>
      </c>
      <c r="G7185" s="194">
        <v>100</v>
      </c>
      <c r="H7185" s="50" t="s">
        <v>953</v>
      </c>
      <c r="I7185" s="187">
        <v>179.44890000000001</v>
      </c>
      <c r="J7185" s="41" t="s">
        <v>941</v>
      </c>
      <c r="K7185" s="41" t="s">
        <v>239</v>
      </c>
      <c r="P7185" s="42" t="s">
        <v>237</v>
      </c>
    </row>
    <row r="7186" spans="1:16" x14ac:dyDescent="0.2">
      <c r="A7186" s="30">
        <v>779</v>
      </c>
      <c r="B7186" s="249" t="str">
        <f>IF(AND(A7186&lt;&gt;"",ISNUMBER(A7186)),VLOOKUP(A7186,Studies!A:BR,2,FALSE),"")</f>
        <v>Bartkowski 1989</v>
      </c>
      <c r="C7186" s="250" t="str">
        <f>IF(AND(A7186&lt;&gt;"",ISNUMBER(A7186)),VLOOKUP(A7186,Studies!A:BR,3,FALSE),"")</f>
        <v>https://www.ncbi.nlm.nih.gov/pubmed/2501060</v>
      </c>
      <c r="D7186" s="250" t="str">
        <f>IF(AND(A7186&lt;&gt;"",ISNUMBER(A7186)),VLOOKUP(A7186,Studies!A:BR,4,FALSE),"")</f>
        <v>Treatment Day 1</v>
      </c>
      <c r="E7186" s="250" t="str">
        <f>IF(AND(A7186&lt;&gt;"",ISNUMBER(A7186)),VLOOKUP(A7186,Studies!A:BR,5,FALSE),"")</f>
        <v>Alfentanil</v>
      </c>
      <c r="F7186" s="251" t="str">
        <f>IF(AND(A7186&lt;&gt;"",ISNUMBER(A7186)),VLOOKUP(A7186,Studies!A:BR,6,FALSE),"")</f>
        <v>Serum</v>
      </c>
      <c r="G7186" s="194">
        <v>105</v>
      </c>
      <c r="H7186" s="50" t="s">
        <v>953</v>
      </c>
      <c r="I7186" s="187">
        <v>160.58510000000001</v>
      </c>
      <c r="J7186" s="41" t="s">
        <v>941</v>
      </c>
      <c r="K7186" s="41" t="s">
        <v>239</v>
      </c>
      <c r="P7186" s="42" t="s">
        <v>237</v>
      </c>
    </row>
    <row r="7187" spans="1:16" x14ac:dyDescent="0.2">
      <c r="A7187" s="30">
        <v>779</v>
      </c>
      <c r="B7187" s="249" t="str">
        <f>IF(AND(A7187&lt;&gt;"",ISNUMBER(A7187)),VLOOKUP(A7187,Studies!A:BR,2,FALSE),"")</f>
        <v>Bartkowski 1989</v>
      </c>
      <c r="C7187" s="250" t="str">
        <f>IF(AND(A7187&lt;&gt;"",ISNUMBER(A7187)),VLOOKUP(A7187,Studies!A:BR,3,FALSE),"")</f>
        <v>https://www.ncbi.nlm.nih.gov/pubmed/2501060</v>
      </c>
      <c r="D7187" s="250" t="str">
        <f>IF(AND(A7187&lt;&gt;"",ISNUMBER(A7187)),VLOOKUP(A7187,Studies!A:BR,4,FALSE),"")</f>
        <v>Treatment Day 1</v>
      </c>
      <c r="E7187" s="250" t="str">
        <f>IF(AND(A7187&lt;&gt;"",ISNUMBER(A7187)),VLOOKUP(A7187,Studies!A:BR,5,FALSE),"")</f>
        <v>Alfentanil</v>
      </c>
      <c r="F7187" s="251" t="str">
        <f>IF(AND(A7187&lt;&gt;"",ISNUMBER(A7187)),VLOOKUP(A7187,Studies!A:BR,6,FALSE),"")</f>
        <v>Serum</v>
      </c>
      <c r="G7187" s="194">
        <v>120</v>
      </c>
      <c r="H7187" s="50" t="s">
        <v>953</v>
      </c>
      <c r="I7187" s="187">
        <v>126.6632</v>
      </c>
      <c r="J7187" s="41" t="s">
        <v>941</v>
      </c>
      <c r="K7187" s="41" t="s">
        <v>239</v>
      </c>
      <c r="P7187" s="42" t="s">
        <v>237</v>
      </c>
    </row>
    <row r="7188" spans="1:16" x14ac:dyDescent="0.2">
      <c r="A7188" s="30">
        <v>779</v>
      </c>
      <c r="B7188" s="249" t="str">
        <f>IF(AND(A7188&lt;&gt;"",ISNUMBER(A7188)),VLOOKUP(A7188,Studies!A:BR,2,FALSE),"")</f>
        <v>Bartkowski 1989</v>
      </c>
      <c r="C7188" s="250" t="str">
        <f>IF(AND(A7188&lt;&gt;"",ISNUMBER(A7188)),VLOOKUP(A7188,Studies!A:BR,3,FALSE),"")</f>
        <v>https://www.ncbi.nlm.nih.gov/pubmed/2501060</v>
      </c>
      <c r="D7188" s="250" t="str">
        <f>IF(AND(A7188&lt;&gt;"",ISNUMBER(A7188)),VLOOKUP(A7188,Studies!A:BR,4,FALSE),"")</f>
        <v>Treatment Day 1</v>
      </c>
      <c r="E7188" s="250" t="str">
        <f>IF(AND(A7188&lt;&gt;"",ISNUMBER(A7188)),VLOOKUP(A7188,Studies!A:BR,5,FALSE),"")</f>
        <v>Alfentanil</v>
      </c>
      <c r="F7188" s="251" t="str">
        <f>IF(AND(A7188&lt;&gt;"",ISNUMBER(A7188)),VLOOKUP(A7188,Studies!A:BR,6,FALSE),"")</f>
        <v>Serum</v>
      </c>
      <c r="G7188" s="194">
        <v>150</v>
      </c>
      <c r="H7188" s="50" t="s">
        <v>953</v>
      </c>
      <c r="I7188" s="187">
        <v>67.212410000000006</v>
      </c>
      <c r="J7188" s="41" t="s">
        <v>941</v>
      </c>
      <c r="K7188" s="41" t="s">
        <v>239</v>
      </c>
      <c r="P7188" s="42" t="s">
        <v>237</v>
      </c>
    </row>
    <row r="7189" spans="1:16" x14ac:dyDescent="0.2">
      <c r="A7189" s="30">
        <v>779</v>
      </c>
      <c r="B7189" s="249" t="str">
        <f>IF(AND(A7189&lt;&gt;"",ISNUMBER(A7189)),VLOOKUP(A7189,Studies!A:BR,2,FALSE),"")</f>
        <v>Bartkowski 1989</v>
      </c>
      <c r="C7189" s="250" t="str">
        <f>IF(AND(A7189&lt;&gt;"",ISNUMBER(A7189)),VLOOKUP(A7189,Studies!A:BR,3,FALSE),"")</f>
        <v>https://www.ncbi.nlm.nih.gov/pubmed/2501060</v>
      </c>
      <c r="D7189" s="250" t="str">
        <f>IF(AND(A7189&lt;&gt;"",ISNUMBER(A7189)),VLOOKUP(A7189,Studies!A:BR,4,FALSE),"")</f>
        <v>Treatment Day 1</v>
      </c>
      <c r="E7189" s="250" t="str">
        <f>IF(AND(A7189&lt;&gt;"",ISNUMBER(A7189)),VLOOKUP(A7189,Studies!A:BR,5,FALSE),"")</f>
        <v>Alfentanil</v>
      </c>
      <c r="F7189" s="251" t="str">
        <f>IF(AND(A7189&lt;&gt;"",ISNUMBER(A7189)),VLOOKUP(A7189,Studies!A:BR,6,FALSE),"")</f>
        <v>Serum</v>
      </c>
      <c r="G7189" s="194">
        <v>180</v>
      </c>
      <c r="H7189" s="50" t="s">
        <v>953</v>
      </c>
      <c r="I7189" s="187">
        <v>48.245750000000001</v>
      </c>
      <c r="J7189" s="41" t="s">
        <v>941</v>
      </c>
      <c r="K7189" s="41" t="s">
        <v>239</v>
      </c>
      <c r="P7189" s="42" t="s">
        <v>237</v>
      </c>
    </row>
    <row r="7190" spans="1:16" x14ac:dyDescent="0.2">
      <c r="A7190" s="30">
        <v>779</v>
      </c>
      <c r="B7190" s="249" t="str">
        <f>IF(AND(A7190&lt;&gt;"",ISNUMBER(A7190)),VLOOKUP(A7190,Studies!A:BR,2,FALSE),"")</f>
        <v>Bartkowski 1989</v>
      </c>
      <c r="C7190" s="250" t="str">
        <f>IF(AND(A7190&lt;&gt;"",ISNUMBER(A7190)),VLOOKUP(A7190,Studies!A:BR,3,FALSE),"")</f>
        <v>https://www.ncbi.nlm.nih.gov/pubmed/2501060</v>
      </c>
      <c r="D7190" s="250" t="str">
        <f>IF(AND(A7190&lt;&gt;"",ISNUMBER(A7190)),VLOOKUP(A7190,Studies!A:BR,4,FALSE),"")</f>
        <v>Treatment Day 1</v>
      </c>
      <c r="E7190" s="250" t="str">
        <f>IF(AND(A7190&lt;&gt;"",ISNUMBER(A7190)),VLOOKUP(A7190,Studies!A:BR,5,FALSE),"")</f>
        <v>Alfentanil</v>
      </c>
      <c r="F7190" s="251" t="str">
        <f>IF(AND(A7190&lt;&gt;"",ISNUMBER(A7190)),VLOOKUP(A7190,Studies!A:BR,6,FALSE),"")</f>
        <v>Serum</v>
      </c>
      <c r="G7190" s="194">
        <v>210</v>
      </c>
      <c r="H7190" s="50" t="s">
        <v>953</v>
      </c>
      <c r="I7190" s="187">
        <v>36.332419999999999</v>
      </c>
      <c r="J7190" s="41" t="s">
        <v>941</v>
      </c>
      <c r="K7190" s="41" t="s">
        <v>239</v>
      </c>
      <c r="P7190" s="42" t="s">
        <v>237</v>
      </c>
    </row>
    <row r="7191" spans="1:16" x14ac:dyDescent="0.2">
      <c r="A7191" s="30">
        <v>779</v>
      </c>
      <c r="B7191" s="249" t="str">
        <f>IF(AND(A7191&lt;&gt;"",ISNUMBER(A7191)),VLOOKUP(A7191,Studies!A:BR,2,FALSE),"")</f>
        <v>Bartkowski 1989</v>
      </c>
      <c r="C7191" s="250" t="str">
        <f>IF(AND(A7191&lt;&gt;"",ISNUMBER(A7191)),VLOOKUP(A7191,Studies!A:BR,3,FALSE),"")</f>
        <v>https://www.ncbi.nlm.nih.gov/pubmed/2501060</v>
      </c>
      <c r="D7191" s="250" t="str">
        <f>IF(AND(A7191&lt;&gt;"",ISNUMBER(A7191)),VLOOKUP(A7191,Studies!A:BR,4,FALSE),"")</f>
        <v>Treatment Day 1</v>
      </c>
      <c r="E7191" s="250" t="str">
        <f>IF(AND(A7191&lt;&gt;"",ISNUMBER(A7191)),VLOOKUP(A7191,Studies!A:BR,5,FALSE),"")</f>
        <v>Alfentanil</v>
      </c>
      <c r="F7191" s="251" t="str">
        <f>IF(AND(A7191&lt;&gt;"",ISNUMBER(A7191)),VLOOKUP(A7191,Studies!A:BR,6,FALSE),"")</f>
        <v>Serum</v>
      </c>
      <c r="G7191" s="194">
        <v>270</v>
      </c>
      <c r="H7191" s="50" t="s">
        <v>953</v>
      </c>
      <c r="I7191" s="187">
        <v>19.028500000000001</v>
      </c>
      <c r="J7191" s="41" t="s">
        <v>941</v>
      </c>
      <c r="K7191" s="41" t="s">
        <v>239</v>
      </c>
      <c r="P7191" s="42" t="s">
        <v>237</v>
      </c>
    </row>
    <row r="7192" spans="1:16" x14ac:dyDescent="0.2">
      <c r="A7192" s="30">
        <v>779</v>
      </c>
      <c r="B7192" s="249" t="str">
        <f>IF(AND(A7192&lt;&gt;"",ISNUMBER(A7192)),VLOOKUP(A7192,Studies!A:BR,2,FALSE),"")</f>
        <v>Bartkowski 1989</v>
      </c>
      <c r="C7192" s="250" t="str">
        <f>IF(AND(A7192&lt;&gt;"",ISNUMBER(A7192)),VLOOKUP(A7192,Studies!A:BR,3,FALSE),"")</f>
        <v>https://www.ncbi.nlm.nih.gov/pubmed/2501060</v>
      </c>
      <c r="D7192" s="250" t="str">
        <f>IF(AND(A7192&lt;&gt;"",ISNUMBER(A7192)),VLOOKUP(A7192,Studies!A:BR,4,FALSE),"")</f>
        <v>Treatment Day 1</v>
      </c>
      <c r="E7192" s="250" t="str">
        <f>IF(AND(A7192&lt;&gt;"",ISNUMBER(A7192)),VLOOKUP(A7192,Studies!A:BR,5,FALSE),"")</f>
        <v>Alfentanil</v>
      </c>
      <c r="F7192" s="251" t="str">
        <f>IF(AND(A7192&lt;&gt;"",ISNUMBER(A7192)),VLOOKUP(A7192,Studies!A:BR,6,FALSE),"")</f>
        <v>Serum</v>
      </c>
      <c r="G7192" s="194">
        <v>330</v>
      </c>
      <c r="H7192" s="50" t="s">
        <v>953</v>
      </c>
      <c r="I7192" s="187">
        <v>17.399139999999999</v>
      </c>
      <c r="J7192" s="41" t="s">
        <v>941</v>
      </c>
      <c r="K7192" s="41" t="s">
        <v>239</v>
      </c>
      <c r="P7192" s="42" t="s">
        <v>237</v>
      </c>
    </row>
    <row r="7193" spans="1:16" x14ac:dyDescent="0.2">
      <c r="A7193" s="30">
        <v>779</v>
      </c>
      <c r="B7193" s="249" t="str">
        <f>IF(AND(A7193&lt;&gt;"",ISNUMBER(A7193)),VLOOKUP(A7193,Studies!A:BR,2,FALSE),"")</f>
        <v>Bartkowski 1989</v>
      </c>
      <c r="C7193" s="250" t="str">
        <f>IF(AND(A7193&lt;&gt;"",ISNUMBER(A7193)),VLOOKUP(A7193,Studies!A:BR,3,FALSE),"")</f>
        <v>https://www.ncbi.nlm.nih.gov/pubmed/2501060</v>
      </c>
      <c r="D7193" s="250" t="str">
        <f>IF(AND(A7193&lt;&gt;"",ISNUMBER(A7193)),VLOOKUP(A7193,Studies!A:BR,4,FALSE),"")</f>
        <v>Treatment Day 1</v>
      </c>
      <c r="E7193" s="250" t="str">
        <f>IF(AND(A7193&lt;&gt;"",ISNUMBER(A7193)),VLOOKUP(A7193,Studies!A:BR,5,FALSE),"")</f>
        <v>Alfentanil</v>
      </c>
      <c r="F7193" s="251" t="str">
        <f>IF(AND(A7193&lt;&gt;"",ISNUMBER(A7193)),VLOOKUP(A7193,Studies!A:BR,6,FALSE),"")</f>
        <v>Serum</v>
      </c>
      <c r="G7193" s="194">
        <v>390</v>
      </c>
      <c r="H7193" s="50" t="s">
        <v>953</v>
      </c>
      <c r="I7193" s="187">
        <v>10.85528</v>
      </c>
      <c r="J7193" s="41" t="s">
        <v>941</v>
      </c>
      <c r="K7193" s="41" t="s">
        <v>239</v>
      </c>
      <c r="P7193" s="42" t="s">
        <v>237</v>
      </c>
    </row>
    <row r="7194" spans="1:16" x14ac:dyDescent="0.2">
      <c r="A7194" s="30">
        <v>779</v>
      </c>
      <c r="B7194" s="249" t="str">
        <f>IF(AND(A7194&lt;&gt;"",ISNUMBER(A7194)),VLOOKUP(A7194,Studies!A:BR,2,FALSE),"")</f>
        <v>Bartkowski 1989</v>
      </c>
      <c r="C7194" s="250" t="str">
        <f>IF(AND(A7194&lt;&gt;"",ISNUMBER(A7194)),VLOOKUP(A7194,Studies!A:BR,3,FALSE),"")</f>
        <v>https://www.ncbi.nlm.nih.gov/pubmed/2501060</v>
      </c>
      <c r="D7194" s="250" t="str">
        <f>IF(AND(A7194&lt;&gt;"",ISNUMBER(A7194)),VLOOKUP(A7194,Studies!A:BR,4,FALSE),"")</f>
        <v>Treatment Day 1</v>
      </c>
      <c r="E7194" s="250" t="str">
        <f>IF(AND(A7194&lt;&gt;"",ISNUMBER(A7194)),VLOOKUP(A7194,Studies!A:BR,5,FALSE),"")</f>
        <v>Alfentanil</v>
      </c>
      <c r="F7194" s="251" t="str">
        <f>IF(AND(A7194&lt;&gt;"",ISNUMBER(A7194)),VLOOKUP(A7194,Studies!A:BR,6,FALSE),"")</f>
        <v>Serum</v>
      </c>
      <c r="G7194" s="194">
        <v>450</v>
      </c>
      <c r="H7194" s="50" t="s">
        <v>953</v>
      </c>
      <c r="I7194" s="187">
        <v>8.7289169999999991</v>
      </c>
      <c r="J7194" s="41" t="s">
        <v>941</v>
      </c>
      <c r="K7194" s="41" t="s">
        <v>239</v>
      </c>
      <c r="P7194" s="42" t="s">
        <v>237</v>
      </c>
    </row>
    <row r="7195" spans="1:16" x14ac:dyDescent="0.2">
      <c r="A7195" s="30">
        <v>779</v>
      </c>
      <c r="B7195" s="249" t="str">
        <f>IF(AND(A7195&lt;&gt;"",ISNUMBER(A7195)),VLOOKUP(A7195,Studies!A:BR,2,FALSE),"")</f>
        <v>Bartkowski 1989</v>
      </c>
      <c r="C7195" s="250" t="str">
        <f>IF(AND(A7195&lt;&gt;"",ISNUMBER(A7195)),VLOOKUP(A7195,Studies!A:BR,3,FALSE),"")</f>
        <v>https://www.ncbi.nlm.nih.gov/pubmed/2501060</v>
      </c>
      <c r="D7195" s="250" t="str">
        <f>IF(AND(A7195&lt;&gt;"",ISNUMBER(A7195)),VLOOKUP(A7195,Studies!A:BR,4,FALSE),"")</f>
        <v>Treatment Day 1</v>
      </c>
      <c r="E7195" s="250" t="str">
        <f>IF(AND(A7195&lt;&gt;"",ISNUMBER(A7195)),VLOOKUP(A7195,Studies!A:BR,5,FALSE),"")</f>
        <v>Alfentanil</v>
      </c>
      <c r="F7195" s="251" t="str">
        <f>IF(AND(A7195&lt;&gt;"",ISNUMBER(A7195)),VLOOKUP(A7195,Studies!A:BR,6,FALSE),"")</f>
        <v>Serum</v>
      </c>
      <c r="G7195" s="194">
        <v>510</v>
      </c>
      <c r="H7195" s="50" t="s">
        <v>953</v>
      </c>
      <c r="I7195" s="187">
        <v>6.7014659999999999</v>
      </c>
      <c r="J7195" s="41" t="s">
        <v>941</v>
      </c>
      <c r="K7195" s="41" t="s">
        <v>239</v>
      </c>
      <c r="P7195" s="42" t="s">
        <v>237</v>
      </c>
    </row>
    <row r="7196" spans="1:16" x14ac:dyDescent="0.2">
      <c r="A7196" s="30">
        <v>779</v>
      </c>
      <c r="B7196" s="249" t="str">
        <f>IF(AND(A7196&lt;&gt;"",ISNUMBER(A7196)),VLOOKUP(A7196,Studies!A:BR,2,FALSE),"")</f>
        <v>Bartkowski 1989</v>
      </c>
      <c r="C7196" s="250" t="str">
        <f>IF(AND(A7196&lt;&gt;"",ISNUMBER(A7196)),VLOOKUP(A7196,Studies!A:BR,3,FALSE),"")</f>
        <v>https://www.ncbi.nlm.nih.gov/pubmed/2501060</v>
      </c>
      <c r="D7196" s="250" t="str">
        <f>IF(AND(A7196&lt;&gt;"",ISNUMBER(A7196)),VLOOKUP(A7196,Studies!A:BR,4,FALSE),"")</f>
        <v>Treatment Day 1</v>
      </c>
      <c r="E7196" s="250" t="str">
        <f>IF(AND(A7196&lt;&gt;"",ISNUMBER(A7196)),VLOOKUP(A7196,Studies!A:BR,5,FALSE),"")</f>
        <v>Alfentanil</v>
      </c>
      <c r="F7196" s="251" t="str">
        <f>IF(AND(A7196&lt;&gt;"",ISNUMBER(A7196)),VLOOKUP(A7196,Studies!A:BR,6,FALSE),"")</f>
        <v>Serum</v>
      </c>
      <c r="G7196" s="194">
        <v>570</v>
      </c>
      <c r="H7196" s="50" t="s">
        <v>953</v>
      </c>
      <c r="I7196" s="187">
        <v>6.1238489999999999</v>
      </c>
      <c r="J7196" s="41" t="s">
        <v>941</v>
      </c>
      <c r="K7196" s="41" t="s">
        <v>239</v>
      </c>
      <c r="P7196" s="42" t="s">
        <v>237</v>
      </c>
    </row>
    <row r="7197" spans="1:16" x14ac:dyDescent="0.2">
      <c r="A7197" s="30">
        <v>780</v>
      </c>
      <c r="B7197" s="249" t="str">
        <f>IF(AND(A7197&lt;&gt;"",ISNUMBER(A7197)),VLOOKUP(A7197,Studies!A:BR,2,FALSE),"")</f>
        <v>Bartkowski 1989</v>
      </c>
      <c r="C7197" s="250" t="str">
        <f>IF(AND(A7197&lt;&gt;"",ISNUMBER(A7197)),VLOOKUP(A7197,Studies!A:BR,3,FALSE),"")</f>
        <v>https://www.ncbi.nlm.nih.gov/pubmed/2501060</v>
      </c>
      <c r="D7197" s="250" t="str">
        <f>IF(AND(A7197&lt;&gt;"",ISNUMBER(A7197)),VLOOKUP(A7197,Studies!A:BR,4,FALSE),"")</f>
        <v>Treatment Day 7</v>
      </c>
      <c r="E7197" s="250" t="str">
        <f>IF(AND(A7197&lt;&gt;"",ISNUMBER(A7197)),VLOOKUP(A7197,Studies!A:BR,5,FALSE),"")</f>
        <v>Alfentanil</v>
      </c>
      <c r="F7197" s="251" t="str">
        <f>IF(AND(A7197&lt;&gt;"",ISNUMBER(A7197)),VLOOKUP(A7197,Studies!A:BR,6,FALSE),"")</f>
        <v>Serum</v>
      </c>
      <c r="G7197" s="194">
        <v>145.6</v>
      </c>
      <c r="H7197" s="50" t="s">
        <v>60</v>
      </c>
      <c r="I7197" s="187">
        <v>348.62189999999998</v>
      </c>
      <c r="J7197" s="41" t="s">
        <v>941</v>
      </c>
      <c r="K7197" s="41" t="s">
        <v>239</v>
      </c>
      <c r="P7197" s="42" t="s">
        <v>237</v>
      </c>
    </row>
    <row r="7198" spans="1:16" x14ac:dyDescent="0.2">
      <c r="A7198" s="30">
        <v>780</v>
      </c>
      <c r="B7198" s="249" t="str">
        <f>IF(AND(A7198&lt;&gt;"",ISNUMBER(A7198)),VLOOKUP(A7198,Studies!A:BR,2,FALSE),"")</f>
        <v>Bartkowski 1989</v>
      </c>
      <c r="C7198" s="250" t="str">
        <f>IF(AND(A7198&lt;&gt;"",ISNUMBER(A7198)),VLOOKUP(A7198,Studies!A:BR,3,FALSE),"")</f>
        <v>https://www.ncbi.nlm.nih.gov/pubmed/2501060</v>
      </c>
      <c r="D7198" s="250" t="str">
        <f>IF(AND(A7198&lt;&gt;"",ISNUMBER(A7198)),VLOOKUP(A7198,Studies!A:BR,4,FALSE),"")</f>
        <v>Treatment Day 7</v>
      </c>
      <c r="E7198" s="250" t="str">
        <f>IF(AND(A7198&lt;&gt;"",ISNUMBER(A7198)),VLOOKUP(A7198,Studies!A:BR,5,FALSE),"")</f>
        <v>Alfentanil</v>
      </c>
      <c r="F7198" s="251" t="str">
        <f>IF(AND(A7198&lt;&gt;"",ISNUMBER(A7198)),VLOOKUP(A7198,Studies!A:BR,6,FALSE),"")</f>
        <v>Serum</v>
      </c>
      <c r="G7198" s="194">
        <v>145.66666666666666</v>
      </c>
      <c r="H7198" s="50" t="s">
        <v>60</v>
      </c>
      <c r="I7198" s="187">
        <v>279.75909999999999</v>
      </c>
      <c r="J7198" s="41" t="s">
        <v>941</v>
      </c>
      <c r="K7198" s="41" t="s">
        <v>239</v>
      </c>
      <c r="P7198" s="42" t="s">
        <v>237</v>
      </c>
    </row>
    <row r="7199" spans="1:16" x14ac:dyDescent="0.2">
      <c r="A7199" s="30">
        <v>780</v>
      </c>
      <c r="B7199" s="249" t="str">
        <f>IF(AND(A7199&lt;&gt;"",ISNUMBER(A7199)),VLOOKUP(A7199,Studies!A:BR,2,FALSE),"")</f>
        <v>Bartkowski 1989</v>
      </c>
      <c r="C7199" s="250" t="str">
        <f>IF(AND(A7199&lt;&gt;"",ISNUMBER(A7199)),VLOOKUP(A7199,Studies!A:BR,3,FALSE),"")</f>
        <v>https://www.ncbi.nlm.nih.gov/pubmed/2501060</v>
      </c>
      <c r="D7199" s="250" t="str">
        <f>IF(AND(A7199&lt;&gt;"",ISNUMBER(A7199)),VLOOKUP(A7199,Studies!A:BR,4,FALSE),"")</f>
        <v>Treatment Day 7</v>
      </c>
      <c r="E7199" s="250" t="str">
        <f>IF(AND(A7199&lt;&gt;"",ISNUMBER(A7199)),VLOOKUP(A7199,Studies!A:BR,5,FALSE),"")</f>
        <v>Alfentanil</v>
      </c>
      <c r="F7199" s="251" t="str">
        <f>IF(AND(A7199&lt;&gt;"",ISNUMBER(A7199)),VLOOKUP(A7199,Studies!A:BR,6,FALSE),"")</f>
        <v>Serum</v>
      </c>
      <c r="G7199" s="194">
        <v>145.75</v>
      </c>
      <c r="H7199" s="50" t="s">
        <v>60</v>
      </c>
      <c r="I7199" s="187">
        <v>201.10310000000001</v>
      </c>
      <c r="J7199" s="41" t="s">
        <v>941</v>
      </c>
      <c r="K7199" s="41" t="s">
        <v>239</v>
      </c>
      <c r="P7199" s="42" t="s">
        <v>237</v>
      </c>
    </row>
    <row r="7200" spans="1:16" x14ac:dyDescent="0.2">
      <c r="A7200" s="30">
        <v>780</v>
      </c>
      <c r="B7200" s="249" t="str">
        <f>IF(AND(A7200&lt;&gt;"",ISNUMBER(A7200)),VLOOKUP(A7200,Studies!A:BR,2,FALSE),"")</f>
        <v>Bartkowski 1989</v>
      </c>
      <c r="C7200" s="250" t="str">
        <f>IF(AND(A7200&lt;&gt;"",ISNUMBER(A7200)),VLOOKUP(A7200,Studies!A:BR,3,FALSE),"")</f>
        <v>https://www.ncbi.nlm.nih.gov/pubmed/2501060</v>
      </c>
      <c r="D7200" s="250" t="str">
        <f>IF(AND(A7200&lt;&gt;"",ISNUMBER(A7200)),VLOOKUP(A7200,Studies!A:BR,4,FALSE),"")</f>
        <v>Treatment Day 7</v>
      </c>
      <c r="E7200" s="250" t="str">
        <f>IF(AND(A7200&lt;&gt;"",ISNUMBER(A7200)),VLOOKUP(A7200,Studies!A:BR,5,FALSE),"")</f>
        <v>Alfentanil</v>
      </c>
      <c r="F7200" s="251" t="str">
        <f>IF(AND(A7200&lt;&gt;"",ISNUMBER(A7200)),VLOOKUP(A7200,Studies!A:BR,6,FALSE),"")</f>
        <v>Serum</v>
      </c>
      <c r="G7200" s="194">
        <v>146</v>
      </c>
      <c r="H7200" s="50" t="s">
        <v>60</v>
      </c>
      <c r="I7200" s="187">
        <v>144.6463</v>
      </c>
      <c r="J7200" s="41" t="s">
        <v>941</v>
      </c>
      <c r="K7200" s="41" t="s">
        <v>239</v>
      </c>
      <c r="P7200" s="42" t="s">
        <v>237</v>
      </c>
    </row>
    <row r="7201" spans="1:16" x14ac:dyDescent="0.2">
      <c r="A7201" s="30">
        <v>780</v>
      </c>
      <c r="B7201" s="249" t="str">
        <f>IF(AND(A7201&lt;&gt;"",ISNUMBER(A7201)),VLOOKUP(A7201,Studies!A:BR,2,FALSE),"")</f>
        <v>Bartkowski 1989</v>
      </c>
      <c r="C7201" s="250" t="str">
        <f>IF(AND(A7201&lt;&gt;"",ISNUMBER(A7201)),VLOOKUP(A7201,Studies!A:BR,3,FALSE),"")</f>
        <v>https://www.ncbi.nlm.nih.gov/pubmed/2501060</v>
      </c>
      <c r="D7201" s="250" t="str">
        <f>IF(AND(A7201&lt;&gt;"",ISNUMBER(A7201)),VLOOKUP(A7201,Studies!A:BR,4,FALSE),"")</f>
        <v>Treatment Day 7</v>
      </c>
      <c r="E7201" s="250" t="str">
        <f>IF(AND(A7201&lt;&gt;"",ISNUMBER(A7201)),VLOOKUP(A7201,Studies!A:BR,5,FALSE),"")</f>
        <v>Alfentanil</v>
      </c>
      <c r="F7201" s="251" t="str">
        <f>IF(AND(A7201&lt;&gt;"",ISNUMBER(A7201)),VLOOKUP(A7201,Studies!A:BR,6,FALSE),"")</f>
        <v>Serum</v>
      </c>
      <c r="G7201" s="194">
        <v>146.5</v>
      </c>
      <c r="H7201" s="50" t="s">
        <v>60</v>
      </c>
      <c r="I7201" s="187">
        <v>114.4426</v>
      </c>
      <c r="J7201" s="41" t="s">
        <v>941</v>
      </c>
      <c r="K7201" s="41" t="s">
        <v>239</v>
      </c>
      <c r="P7201" s="42" t="s">
        <v>237</v>
      </c>
    </row>
    <row r="7202" spans="1:16" x14ac:dyDescent="0.2">
      <c r="A7202" s="30">
        <v>780</v>
      </c>
      <c r="B7202" s="249" t="str">
        <f>IF(AND(A7202&lt;&gt;"",ISNUMBER(A7202)),VLOOKUP(A7202,Studies!A:BR,2,FALSE),"")</f>
        <v>Bartkowski 1989</v>
      </c>
      <c r="C7202" s="250" t="str">
        <f>IF(AND(A7202&lt;&gt;"",ISNUMBER(A7202)),VLOOKUP(A7202,Studies!A:BR,3,FALSE),"")</f>
        <v>https://www.ncbi.nlm.nih.gov/pubmed/2501060</v>
      </c>
      <c r="D7202" s="250" t="str">
        <f>IF(AND(A7202&lt;&gt;"",ISNUMBER(A7202)),VLOOKUP(A7202,Studies!A:BR,4,FALSE),"")</f>
        <v>Treatment Day 7</v>
      </c>
      <c r="E7202" s="250" t="str">
        <f>IF(AND(A7202&lt;&gt;"",ISNUMBER(A7202)),VLOOKUP(A7202,Studies!A:BR,5,FALSE),"")</f>
        <v>Alfentanil</v>
      </c>
      <c r="F7202" s="251" t="str">
        <f>IF(AND(A7202&lt;&gt;"",ISNUMBER(A7202)),VLOOKUP(A7202,Studies!A:BR,6,FALSE),"")</f>
        <v>Serum</v>
      </c>
      <c r="G7202" s="194">
        <v>147</v>
      </c>
      <c r="H7202" s="50" t="s">
        <v>60</v>
      </c>
      <c r="I7202" s="187">
        <v>94.930899999999994</v>
      </c>
      <c r="J7202" s="41" t="s">
        <v>941</v>
      </c>
      <c r="K7202" s="41" t="s">
        <v>239</v>
      </c>
      <c r="P7202" s="42" t="s">
        <v>237</v>
      </c>
    </row>
    <row r="7203" spans="1:16" x14ac:dyDescent="0.2">
      <c r="A7203" s="30">
        <v>780</v>
      </c>
      <c r="B7203" s="249" t="str">
        <f>IF(AND(A7203&lt;&gt;"",ISNUMBER(A7203)),VLOOKUP(A7203,Studies!A:BR,2,FALSE),"")</f>
        <v>Bartkowski 1989</v>
      </c>
      <c r="C7203" s="250" t="str">
        <f>IF(AND(A7203&lt;&gt;"",ISNUMBER(A7203)),VLOOKUP(A7203,Studies!A:BR,3,FALSE),"")</f>
        <v>https://www.ncbi.nlm.nih.gov/pubmed/2501060</v>
      </c>
      <c r="D7203" s="250" t="str">
        <f>IF(AND(A7203&lt;&gt;"",ISNUMBER(A7203)),VLOOKUP(A7203,Studies!A:BR,4,FALSE),"")</f>
        <v>Treatment Day 7</v>
      </c>
      <c r="E7203" s="250" t="str">
        <f>IF(AND(A7203&lt;&gt;"",ISNUMBER(A7203)),VLOOKUP(A7203,Studies!A:BR,5,FALSE),"")</f>
        <v>Alfentanil</v>
      </c>
      <c r="F7203" s="251" t="str">
        <f>IF(AND(A7203&lt;&gt;"",ISNUMBER(A7203)),VLOOKUP(A7203,Studies!A:BR,6,FALSE),"")</f>
        <v>Serum</v>
      </c>
      <c r="G7203" s="194">
        <v>147.5</v>
      </c>
      <c r="H7203" s="50" t="s">
        <v>60</v>
      </c>
      <c r="I7203" s="187">
        <v>60.261409999999998</v>
      </c>
      <c r="J7203" s="41" t="s">
        <v>941</v>
      </c>
      <c r="K7203" s="41" t="s">
        <v>239</v>
      </c>
      <c r="P7203" s="42" t="s">
        <v>237</v>
      </c>
    </row>
    <row r="7204" spans="1:16" x14ac:dyDescent="0.2">
      <c r="A7204" s="30">
        <v>780</v>
      </c>
      <c r="B7204" s="249" t="str">
        <f>IF(AND(A7204&lt;&gt;"",ISNUMBER(A7204)),VLOOKUP(A7204,Studies!A:BR,2,FALSE),"")</f>
        <v>Bartkowski 1989</v>
      </c>
      <c r="C7204" s="250" t="str">
        <f>IF(AND(A7204&lt;&gt;"",ISNUMBER(A7204)),VLOOKUP(A7204,Studies!A:BR,3,FALSE),"")</f>
        <v>https://www.ncbi.nlm.nih.gov/pubmed/2501060</v>
      </c>
      <c r="D7204" s="250" t="str">
        <f>IF(AND(A7204&lt;&gt;"",ISNUMBER(A7204)),VLOOKUP(A7204,Studies!A:BR,4,FALSE),"")</f>
        <v>Treatment Day 7</v>
      </c>
      <c r="E7204" s="250" t="str">
        <f>IF(AND(A7204&lt;&gt;"",ISNUMBER(A7204)),VLOOKUP(A7204,Studies!A:BR,5,FALSE),"")</f>
        <v>Alfentanil</v>
      </c>
      <c r="F7204" s="251" t="str">
        <f>IF(AND(A7204&lt;&gt;"",ISNUMBER(A7204)),VLOOKUP(A7204,Studies!A:BR,6,FALSE),"")</f>
        <v>Serum</v>
      </c>
      <c r="G7204" s="194">
        <v>148.5</v>
      </c>
      <c r="H7204" s="50" t="s">
        <v>60</v>
      </c>
      <c r="I7204" s="187">
        <v>47.024799999999999</v>
      </c>
      <c r="J7204" s="41" t="s">
        <v>941</v>
      </c>
      <c r="K7204" s="41" t="s">
        <v>239</v>
      </c>
      <c r="P7204" s="42" t="s">
        <v>237</v>
      </c>
    </row>
    <row r="7205" spans="1:16" x14ac:dyDescent="0.2">
      <c r="A7205" s="30">
        <v>780</v>
      </c>
      <c r="B7205" s="249" t="str">
        <f>IF(AND(A7205&lt;&gt;"",ISNUMBER(A7205)),VLOOKUP(A7205,Studies!A:BR,2,FALSE),"")</f>
        <v>Bartkowski 1989</v>
      </c>
      <c r="C7205" s="250" t="str">
        <f>IF(AND(A7205&lt;&gt;"",ISNUMBER(A7205)),VLOOKUP(A7205,Studies!A:BR,3,FALSE),"")</f>
        <v>https://www.ncbi.nlm.nih.gov/pubmed/2501060</v>
      </c>
      <c r="D7205" s="250" t="str">
        <f>IF(AND(A7205&lt;&gt;"",ISNUMBER(A7205)),VLOOKUP(A7205,Studies!A:BR,4,FALSE),"")</f>
        <v>Treatment Day 7</v>
      </c>
      <c r="E7205" s="250" t="str">
        <f>IF(AND(A7205&lt;&gt;"",ISNUMBER(A7205)),VLOOKUP(A7205,Studies!A:BR,5,FALSE),"")</f>
        <v>Alfentanil</v>
      </c>
      <c r="F7205" s="251" t="str">
        <f>IF(AND(A7205&lt;&gt;"",ISNUMBER(A7205)),VLOOKUP(A7205,Studies!A:BR,6,FALSE),"")</f>
        <v>Serum</v>
      </c>
      <c r="G7205" s="194">
        <v>149.5</v>
      </c>
      <c r="H7205" s="50" t="s">
        <v>60</v>
      </c>
      <c r="I7205" s="187">
        <v>41.618099999999998</v>
      </c>
      <c r="J7205" s="41" t="s">
        <v>941</v>
      </c>
      <c r="K7205" s="41" t="s">
        <v>239</v>
      </c>
      <c r="P7205" s="42" t="s">
        <v>237</v>
      </c>
    </row>
    <row r="7206" spans="1:16" x14ac:dyDescent="0.2">
      <c r="A7206" s="30">
        <v>780</v>
      </c>
      <c r="B7206" s="249" t="str">
        <f>IF(AND(A7206&lt;&gt;"",ISNUMBER(A7206)),VLOOKUP(A7206,Studies!A:BR,2,FALSE),"")</f>
        <v>Bartkowski 1989</v>
      </c>
      <c r="C7206" s="250" t="str">
        <f>IF(AND(A7206&lt;&gt;"",ISNUMBER(A7206)),VLOOKUP(A7206,Studies!A:BR,3,FALSE),"")</f>
        <v>https://www.ncbi.nlm.nih.gov/pubmed/2501060</v>
      </c>
      <c r="D7206" s="250" t="str">
        <f>IF(AND(A7206&lt;&gt;"",ISNUMBER(A7206)),VLOOKUP(A7206,Studies!A:BR,4,FALSE),"")</f>
        <v>Treatment Day 7</v>
      </c>
      <c r="E7206" s="250" t="str">
        <f>IF(AND(A7206&lt;&gt;"",ISNUMBER(A7206)),VLOOKUP(A7206,Studies!A:BR,5,FALSE),"")</f>
        <v>Alfentanil</v>
      </c>
      <c r="F7206" s="251" t="str">
        <f>IF(AND(A7206&lt;&gt;"",ISNUMBER(A7206)),VLOOKUP(A7206,Studies!A:BR,6,FALSE),"")</f>
        <v>Serum</v>
      </c>
      <c r="G7206" s="194">
        <v>150.5</v>
      </c>
      <c r="H7206" s="50" t="s">
        <v>60</v>
      </c>
      <c r="I7206" s="187">
        <v>42.449770000000001</v>
      </c>
      <c r="J7206" s="41" t="s">
        <v>941</v>
      </c>
      <c r="K7206" s="41" t="s">
        <v>239</v>
      </c>
      <c r="P7206" s="42" t="s">
        <v>237</v>
      </c>
    </row>
    <row r="7207" spans="1:16" x14ac:dyDescent="0.2">
      <c r="A7207" s="30">
        <v>780</v>
      </c>
      <c r="B7207" s="249" t="str">
        <f>IF(AND(A7207&lt;&gt;"",ISNUMBER(A7207)),VLOOKUP(A7207,Studies!A:BR,2,FALSE),"")</f>
        <v>Bartkowski 1989</v>
      </c>
      <c r="C7207" s="250" t="str">
        <f>IF(AND(A7207&lt;&gt;"",ISNUMBER(A7207)),VLOOKUP(A7207,Studies!A:BR,3,FALSE),"")</f>
        <v>https://www.ncbi.nlm.nih.gov/pubmed/2501060</v>
      </c>
      <c r="D7207" s="250" t="str">
        <f>IF(AND(A7207&lt;&gt;"",ISNUMBER(A7207)),VLOOKUP(A7207,Studies!A:BR,4,FALSE),"")</f>
        <v>Treatment Day 7</v>
      </c>
      <c r="E7207" s="250" t="str">
        <f>IF(AND(A7207&lt;&gt;"",ISNUMBER(A7207)),VLOOKUP(A7207,Studies!A:BR,5,FALSE),"")</f>
        <v>Alfentanil</v>
      </c>
      <c r="F7207" s="251" t="str">
        <f>IF(AND(A7207&lt;&gt;"",ISNUMBER(A7207)),VLOOKUP(A7207,Studies!A:BR,6,FALSE),"")</f>
        <v>Serum</v>
      </c>
      <c r="G7207" s="194">
        <v>151.5</v>
      </c>
      <c r="H7207" s="50" t="s">
        <v>60</v>
      </c>
      <c r="I7207" s="187">
        <v>27.855879999999999</v>
      </c>
      <c r="J7207" s="41" t="s">
        <v>941</v>
      </c>
      <c r="K7207" s="41" t="s">
        <v>239</v>
      </c>
      <c r="P7207" s="42" t="s">
        <v>237</v>
      </c>
    </row>
    <row r="7208" spans="1:16" x14ac:dyDescent="0.2">
      <c r="A7208" s="30">
        <v>780</v>
      </c>
      <c r="B7208" s="249" t="str">
        <f>IF(AND(A7208&lt;&gt;"",ISNUMBER(A7208)),VLOOKUP(A7208,Studies!A:BR,2,FALSE),"")</f>
        <v>Bartkowski 1989</v>
      </c>
      <c r="C7208" s="250" t="str">
        <f>IF(AND(A7208&lt;&gt;"",ISNUMBER(A7208)),VLOOKUP(A7208,Studies!A:BR,3,FALSE),"")</f>
        <v>https://www.ncbi.nlm.nih.gov/pubmed/2501060</v>
      </c>
      <c r="D7208" s="250" t="str">
        <f>IF(AND(A7208&lt;&gt;"",ISNUMBER(A7208)),VLOOKUP(A7208,Studies!A:BR,4,FALSE),"")</f>
        <v>Treatment Day 7</v>
      </c>
      <c r="E7208" s="250" t="str">
        <f>IF(AND(A7208&lt;&gt;"",ISNUMBER(A7208)),VLOOKUP(A7208,Studies!A:BR,5,FALSE),"")</f>
        <v>Alfentanil</v>
      </c>
      <c r="F7208" s="251" t="str">
        <f>IF(AND(A7208&lt;&gt;"",ISNUMBER(A7208)),VLOOKUP(A7208,Studies!A:BR,6,FALSE),"")</f>
        <v>Serum</v>
      </c>
      <c r="G7208" s="194">
        <v>152.5</v>
      </c>
      <c r="H7208" s="50" t="s">
        <v>60</v>
      </c>
      <c r="I7208" s="187">
        <v>26.679410000000001</v>
      </c>
      <c r="J7208" s="41" t="s">
        <v>941</v>
      </c>
      <c r="K7208" s="41" t="s">
        <v>239</v>
      </c>
      <c r="P7208" s="42" t="s">
        <v>237</v>
      </c>
    </row>
    <row r="7209" spans="1:16" x14ac:dyDescent="0.2">
      <c r="A7209" s="30">
        <v>780</v>
      </c>
      <c r="B7209" s="249" t="str">
        <f>IF(AND(A7209&lt;&gt;"",ISNUMBER(A7209)),VLOOKUP(A7209,Studies!A:BR,2,FALSE),"")</f>
        <v>Bartkowski 1989</v>
      </c>
      <c r="C7209" s="250" t="str">
        <f>IF(AND(A7209&lt;&gt;"",ISNUMBER(A7209)),VLOOKUP(A7209,Studies!A:BR,3,FALSE),"")</f>
        <v>https://www.ncbi.nlm.nih.gov/pubmed/2501060</v>
      </c>
      <c r="D7209" s="250" t="str">
        <f>IF(AND(A7209&lt;&gt;"",ISNUMBER(A7209)),VLOOKUP(A7209,Studies!A:BR,4,FALSE),"")</f>
        <v>Treatment Day 7</v>
      </c>
      <c r="E7209" s="250" t="str">
        <f>IF(AND(A7209&lt;&gt;"",ISNUMBER(A7209)),VLOOKUP(A7209,Studies!A:BR,5,FALSE),"")</f>
        <v>Alfentanil</v>
      </c>
      <c r="F7209" s="251" t="str">
        <f>IF(AND(A7209&lt;&gt;"",ISNUMBER(A7209)),VLOOKUP(A7209,Studies!A:BR,6,FALSE),"")</f>
        <v>Serum</v>
      </c>
      <c r="G7209" s="194">
        <v>153.5</v>
      </c>
      <c r="H7209" s="50" t="s">
        <v>60</v>
      </c>
      <c r="I7209" s="187">
        <v>18.642859999999999</v>
      </c>
      <c r="J7209" s="41" t="s">
        <v>941</v>
      </c>
      <c r="K7209" s="41" t="s">
        <v>239</v>
      </c>
      <c r="P7209" s="42" t="s">
        <v>237</v>
      </c>
    </row>
    <row r="7210" spans="1:16" x14ac:dyDescent="0.2">
      <c r="A7210" s="30">
        <v>781</v>
      </c>
      <c r="B7210" s="249" t="str">
        <f>IF(AND(A7210&lt;&gt;"",ISNUMBER(A7210)),VLOOKUP(A7210,Studies!A:BR,2,FALSE),"")</f>
        <v>Greenblatt 1998a</v>
      </c>
      <c r="C7210" s="250" t="str">
        <f>IF(AND(A7210&lt;&gt;"",ISNUMBER(A7210)),VLOOKUP(A7210,Studies!A:BR,3,FALSE),"")</f>
        <v>https://www.ncbi.nlm.nih.gov/pubmed/9757151</v>
      </c>
      <c r="D7210" s="250" t="str">
        <f>IF(AND(A7210&lt;&gt;"",ISNUMBER(A7210)),VLOOKUP(A7210,Studies!A:BR,4,FALSE),"")</f>
        <v>Triazolam + Erythromycin (Trial D)</v>
      </c>
      <c r="E7210" s="250" t="str">
        <f>IF(AND(A7210&lt;&gt;"",ISNUMBER(A7210)),VLOOKUP(A7210,Studies!A:BR,5,FALSE),"")</f>
        <v>Triazolam</v>
      </c>
      <c r="F7210" s="251" t="str">
        <f>IF(AND(A7210&lt;&gt;"",ISNUMBER(A7210)),VLOOKUP(A7210,Studies!A:BR,6,FALSE),"")</f>
        <v>Plasma</v>
      </c>
      <c r="G7210" s="194">
        <v>25.5</v>
      </c>
      <c r="H7210" s="50" t="s">
        <v>60</v>
      </c>
      <c r="I7210" s="187">
        <v>1.153033971786499</v>
      </c>
      <c r="J7210" s="41" t="s">
        <v>941</v>
      </c>
      <c r="K7210" s="41" t="s">
        <v>116</v>
      </c>
      <c r="P7210" s="42" t="s">
        <v>2631</v>
      </c>
    </row>
    <row r="7211" spans="1:16" x14ac:dyDescent="0.2">
      <c r="A7211" s="30">
        <v>781</v>
      </c>
      <c r="B7211" s="249" t="str">
        <f>IF(AND(A7211&lt;&gt;"",ISNUMBER(A7211)),VLOOKUP(A7211,Studies!A:BR,2,FALSE),"")</f>
        <v>Greenblatt 1998a</v>
      </c>
      <c r="C7211" s="250" t="str">
        <f>IF(AND(A7211&lt;&gt;"",ISNUMBER(A7211)),VLOOKUP(A7211,Studies!A:BR,3,FALSE),"")</f>
        <v>https://www.ncbi.nlm.nih.gov/pubmed/9757151</v>
      </c>
      <c r="D7211" s="250" t="str">
        <f>IF(AND(A7211&lt;&gt;"",ISNUMBER(A7211)),VLOOKUP(A7211,Studies!A:BR,4,FALSE),"")</f>
        <v>Triazolam + Erythromycin (Trial D)</v>
      </c>
      <c r="E7211" s="250" t="str">
        <f>IF(AND(A7211&lt;&gt;"",ISNUMBER(A7211)),VLOOKUP(A7211,Studies!A:BR,5,FALSE),"")</f>
        <v>Triazolam</v>
      </c>
      <c r="F7211" s="251" t="str">
        <f>IF(AND(A7211&lt;&gt;"",ISNUMBER(A7211)),VLOOKUP(A7211,Studies!A:BR,6,FALSE),"")</f>
        <v>Plasma</v>
      </c>
      <c r="G7211" s="194">
        <v>26</v>
      </c>
      <c r="H7211" s="50" t="s">
        <v>60</v>
      </c>
      <c r="I7211" s="187">
        <v>1.9722961187362671</v>
      </c>
      <c r="J7211" s="41" t="s">
        <v>941</v>
      </c>
      <c r="K7211" s="187" t="s">
        <v>116</v>
      </c>
      <c r="P7211" s="42" t="s">
        <v>2631</v>
      </c>
    </row>
    <row r="7212" spans="1:16" x14ac:dyDescent="0.2">
      <c r="A7212" s="30">
        <v>781</v>
      </c>
      <c r="B7212" s="249" t="str">
        <f>IF(AND(A7212&lt;&gt;"",ISNUMBER(A7212)),VLOOKUP(A7212,Studies!A:BR,2,FALSE),"")</f>
        <v>Greenblatt 1998a</v>
      </c>
      <c r="C7212" s="250" t="str">
        <f>IF(AND(A7212&lt;&gt;"",ISNUMBER(A7212)),VLOOKUP(A7212,Studies!A:BR,3,FALSE),"")</f>
        <v>https://www.ncbi.nlm.nih.gov/pubmed/9757151</v>
      </c>
      <c r="D7212" s="250" t="str">
        <f>IF(AND(A7212&lt;&gt;"",ISNUMBER(A7212)),VLOOKUP(A7212,Studies!A:BR,4,FALSE),"")</f>
        <v>Triazolam + Erythromycin (Trial D)</v>
      </c>
      <c r="E7212" s="250" t="str">
        <f>IF(AND(A7212&lt;&gt;"",ISNUMBER(A7212)),VLOOKUP(A7212,Studies!A:BR,5,FALSE),"")</f>
        <v>Triazolam</v>
      </c>
      <c r="F7212" s="251" t="str">
        <f>IF(AND(A7212&lt;&gt;"",ISNUMBER(A7212)),VLOOKUP(A7212,Studies!A:BR,6,FALSE),"")</f>
        <v>Plasma</v>
      </c>
      <c r="G7212" s="194">
        <v>26.5</v>
      </c>
      <c r="H7212" s="50" t="s">
        <v>60</v>
      </c>
      <c r="I7212" s="187">
        <v>2</v>
      </c>
      <c r="J7212" s="41" t="s">
        <v>941</v>
      </c>
      <c r="K7212" s="187" t="s">
        <v>116</v>
      </c>
      <c r="P7212" s="42" t="s">
        <v>2631</v>
      </c>
    </row>
    <row r="7213" spans="1:16" x14ac:dyDescent="0.2">
      <c r="A7213" s="30">
        <v>781</v>
      </c>
      <c r="B7213" s="249" t="str">
        <f>IF(AND(A7213&lt;&gt;"",ISNUMBER(A7213)),VLOOKUP(A7213,Studies!A:BR,2,FALSE),"")</f>
        <v>Greenblatt 1998a</v>
      </c>
      <c r="C7213" s="250" t="str">
        <f>IF(AND(A7213&lt;&gt;"",ISNUMBER(A7213)),VLOOKUP(A7213,Studies!A:BR,3,FALSE),"")</f>
        <v>https://www.ncbi.nlm.nih.gov/pubmed/9757151</v>
      </c>
      <c r="D7213" s="250" t="str">
        <f>IF(AND(A7213&lt;&gt;"",ISNUMBER(A7213)),VLOOKUP(A7213,Studies!A:BR,4,FALSE),"")</f>
        <v>Triazolam + Erythromycin (Trial D)</v>
      </c>
      <c r="E7213" s="250" t="str">
        <f>IF(AND(A7213&lt;&gt;"",ISNUMBER(A7213)),VLOOKUP(A7213,Studies!A:BR,5,FALSE),"")</f>
        <v>Triazolam</v>
      </c>
      <c r="F7213" s="251" t="str">
        <f>IF(AND(A7213&lt;&gt;"",ISNUMBER(A7213)),VLOOKUP(A7213,Studies!A:BR,6,FALSE),"")</f>
        <v>Plasma</v>
      </c>
      <c r="G7213" s="194">
        <v>27</v>
      </c>
      <c r="H7213" s="50" t="s">
        <v>60</v>
      </c>
      <c r="I7213" s="187">
        <v>1.8852239847183228</v>
      </c>
      <c r="J7213" s="41" t="s">
        <v>941</v>
      </c>
      <c r="K7213" s="187" t="s">
        <v>116</v>
      </c>
      <c r="P7213" s="42" t="s">
        <v>2631</v>
      </c>
    </row>
    <row r="7214" spans="1:16" x14ac:dyDescent="0.2">
      <c r="A7214" s="30">
        <v>781</v>
      </c>
      <c r="B7214" s="249" t="str">
        <f>IF(AND(A7214&lt;&gt;"",ISNUMBER(A7214)),VLOOKUP(A7214,Studies!A:BR,2,FALSE),"")</f>
        <v>Greenblatt 1998a</v>
      </c>
      <c r="C7214" s="250" t="str">
        <f>IF(AND(A7214&lt;&gt;"",ISNUMBER(A7214)),VLOOKUP(A7214,Studies!A:BR,3,FALSE),"")</f>
        <v>https://www.ncbi.nlm.nih.gov/pubmed/9757151</v>
      </c>
      <c r="D7214" s="250" t="str">
        <f>IF(AND(A7214&lt;&gt;"",ISNUMBER(A7214)),VLOOKUP(A7214,Studies!A:BR,4,FALSE),"")</f>
        <v>Triazolam + Erythromycin (Trial D)</v>
      </c>
      <c r="E7214" s="250" t="str">
        <f>IF(AND(A7214&lt;&gt;"",ISNUMBER(A7214)),VLOOKUP(A7214,Studies!A:BR,5,FALSE),"")</f>
        <v>Triazolam</v>
      </c>
      <c r="F7214" s="251" t="str">
        <f>IF(AND(A7214&lt;&gt;"",ISNUMBER(A7214)),VLOOKUP(A7214,Studies!A:BR,6,FALSE),"")</f>
        <v>Plasma</v>
      </c>
      <c r="G7214" s="194">
        <v>27.5</v>
      </c>
      <c r="H7214" s="50" t="s">
        <v>60</v>
      </c>
      <c r="I7214" s="187">
        <v>1.7704490423202515</v>
      </c>
      <c r="J7214" s="41" t="s">
        <v>941</v>
      </c>
      <c r="K7214" s="187" t="s">
        <v>116</v>
      </c>
      <c r="P7214" s="42" t="s">
        <v>2631</v>
      </c>
    </row>
    <row r="7215" spans="1:16" x14ac:dyDescent="0.2">
      <c r="A7215" s="30">
        <v>781</v>
      </c>
      <c r="B7215" s="249" t="str">
        <f>IF(AND(A7215&lt;&gt;"",ISNUMBER(A7215)),VLOOKUP(A7215,Studies!A:BR,2,FALSE),"")</f>
        <v>Greenblatt 1998a</v>
      </c>
      <c r="C7215" s="250" t="str">
        <f>IF(AND(A7215&lt;&gt;"",ISNUMBER(A7215)),VLOOKUP(A7215,Studies!A:BR,3,FALSE),"")</f>
        <v>https://www.ncbi.nlm.nih.gov/pubmed/9757151</v>
      </c>
      <c r="D7215" s="250" t="str">
        <f>IF(AND(A7215&lt;&gt;"",ISNUMBER(A7215)),VLOOKUP(A7215,Studies!A:BR,4,FALSE),"")</f>
        <v>Triazolam + Erythromycin (Trial D)</v>
      </c>
      <c r="E7215" s="250" t="str">
        <f>IF(AND(A7215&lt;&gt;"",ISNUMBER(A7215)),VLOOKUP(A7215,Studies!A:BR,5,FALSE),"")</f>
        <v>Triazolam</v>
      </c>
      <c r="F7215" s="251" t="str">
        <f>IF(AND(A7215&lt;&gt;"",ISNUMBER(A7215)),VLOOKUP(A7215,Studies!A:BR,6,FALSE),"")</f>
        <v>Plasma</v>
      </c>
      <c r="G7215" s="194">
        <v>28</v>
      </c>
      <c r="H7215" s="50" t="s">
        <v>60</v>
      </c>
      <c r="I7215" s="187">
        <v>1.6675460338592529</v>
      </c>
      <c r="J7215" s="41" t="s">
        <v>941</v>
      </c>
      <c r="K7215" s="187" t="s">
        <v>116</v>
      </c>
      <c r="P7215" s="42" t="s">
        <v>2631</v>
      </c>
    </row>
    <row r="7216" spans="1:16" x14ac:dyDescent="0.2">
      <c r="A7216" s="30">
        <v>781</v>
      </c>
      <c r="B7216" s="249" t="str">
        <f>IF(AND(A7216&lt;&gt;"",ISNUMBER(A7216)),VLOOKUP(A7216,Studies!A:BR,2,FALSE),"")</f>
        <v>Greenblatt 1998a</v>
      </c>
      <c r="C7216" s="250" t="str">
        <f>IF(AND(A7216&lt;&gt;"",ISNUMBER(A7216)),VLOOKUP(A7216,Studies!A:BR,3,FALSE),"")</f>
        <v>https://www.ncbi.nlm.nih.gov/pubmed/9757151</v>
      </c>
      <c r="D7216" s="250" t="str">
        <f>IF(AND(A7216&lt;&gt;"",ISNUMBER(A7216)),VLOOKUP(A7216,Studies!A:BR,4,FALSE),"")</f>
        <v>Triazolam + Erythromycin (Trial D)</v>
      </c>
      <c r="E7216" s="250" t="str">
        <f>IF(AND(A7216&lt;&gt;"",ISNUMBER(A7216)),VLOOKUP(A7216,Studies!A:BR,5,FALSE),"")</f>
        <v>Triazolam</v>
      </c>
      <c r="F7216" s="251" t="str">
        <f>IF(AND(A7216&lt;&gt;"",ISNUMBER(A7216)),VLOOKUP(A7216,Studies!A:BR,6,FALSE),"")</f>
        <v>Plasma</v>
      </c>
      <c r="G7216" s="194">
        <v>29</v>
      </c>
      <c r="H7216" s="50" t="s">
        <v>60</v>
      </c>
      <c r="I7216" s="187">
        <v>1.3944590091705322</v>
      </c>
      <c r="J7216" s="41" t="s">
        <v>941</v>
      </c>
      <c r="K7216" s="187" t="s">
        <v>116</v>
      </c>
      <c r="P7216" s="42" t="s">
        <v>2631</v>
      </c>
    </row>
    <row r="7217" spans="1:16" x14ac:dyDescent="0.2">
      <c r="A7217" s="30">
        <v>781</v>
      </c>
      <c r="B7217" s="249" t="str">
        <f>IF(AND(A7217&lt;&gt;"",ISNUMBER(A7217)),VLOOKUP(A7217,Studies!A:BR,2,FALSE),"")</f>
        <v>Greenblatt 1998a</v>
      </c>
      <c r="C7217" s="250" t="str">
        <f>IF(AND(A7217&lt;&gt;"",ISNUMBER(A7217)),VLOOKUP(A7217,Studies!A:BR,3,FALSE),"")</f>
        <v>https://www.ncbi.nlm.nih.gov/pubmed/9757151</v>
      </c>
      <c r="D7217" s="250" t="str">
        <f>IF(AND(A7217&lt;&gt;"",ISNUMBER(A7217)),VLOOKUP(A7217,Studies!A:BR,4,FALSE),"")</f>
        <v>Triazolam + Erythromycin (Trial D)</v>
      </c>
      <c r="E7217" s="250" t="str">
        <f>IF(AND(A7217&lt;&gt;"",ISNUMBER(A7217)),VLOOKUP(A7217,Studies!A:BR,5,FALSE),"")</f>
        <v>Triazolam</v>
      </c>
      <c r="F7217" s="251" t="str">
        <f>IF(AND(A7217&lt;&gt;"",ISNUMBER(A7217)),VLOOKUP(A7217,Studies!A:BR,6,FALSE),"")</f>
        <v>Plasma</v>
      </c>
      <c r="G7217" s="194">
        <v>30</v>
      </c>
      <c r="H7217" s="50" t="s">
        <v>60</v>
      </c>
      <c r="I7217" s="187">
        <v>1.2519789934158325</v>
      </c>
      <c r="J7217" s="41" t="s">
        <v>941</v>
      </c>
      <c r="K7217" s="187" t="s">
        <v>116</v>
      </c>
      <c r="P7217" s="42" t="s">
        <v>2631</v>
      </c>
    </row>
    <row r="7218" spans="1:16" x14ac:dyDescent="0.2">
      <c r="A7218" s="30">
        <v>781</v>
      </c>
      <c r="B7218" s="249" t="str">
        <f>IF(AND(A7218&lt;&gt;"",ISNUMBER(A7218)),VLOOKUP(A7218,Studies!A:BR,2,FALSE),"")</f>
        <v>Greenblatt 1998a</v>
      </c>
      <c r="C7218" s="250" t="str">
        <f>IF(AND(A7218&lt;&gt;"",ISNUMBER(A7218)),VLOOKUP(A7218,Studies!A:BR,3,FALSE),"")</f>
        <v>https://www.ncbi.nlm.nih.gov/pubmed/9757151</v>
      </c>
      <c r="D7218" s="250" t="str">
        <f>IF(AND(A7218&lt;&gt;"",ISNUMBER(A7218)),VLOOKUP(A7218,Studies!A:BR,4,FALSE),"")</f>
        <v>Triazolam + Erythromycin (Trial D)</v>
      </c>
      <c r="E7218" s="250" t="str">
        <f>IF(AND(A7218&lt;&gt;"",ISNUMBER(A7218)),VLOOKUP(A7218,Studies!A:BR,5,FALSE),"")</f>
        <v>Triazolam</v>
      </c>
      <c r="F7218" s="251" t="str">
        <f>IF(AND(A7218&lt;&gt;"",ISNUMBER(A7218)),VLOOKUP(A7218,Studies!A:BR,6,FALSE),"")</f>
        <v>Plasma</v>
      </c>
      <c r="G7218" s="194">
        <v>31</v>
      </c>
      <c r="H7218" s="50" t="s">
        <v>60</v>
      </c>
      <c r="I7218" s="187">
        <v>1.1253300905227661</v>
      </c>
      <c r="J7218" s="41" t="s">
        <v>941</v>
      </c>
      <c r="K7218" s="187" t="s">
        <v>116</v>
      </c>
      <c r="P7218" s="42" t="s">
        <v>2631</v>
      </c>
    </row>
    <row r="7219" spans="1:16" x14ac:dyDescent="0.2">
      <c r="A7219" s="30">
        <v>781</v>
      </c>
      <c r="B7219" s="249" t="str">
        <f>IF(AND(A7219&lt;&gt;"",ISNUMBER(A7219)),VLOOKUP(A7219,Studies!A:BR,2,FALSE),"")</f>
        <v>Greenblatt 1998a</v>
      </c>
      <c r="C7219" s="250" t="str">
        <f>IF(AND(A7219&lt;&gt;"",ISNUMBER(A7219)),VLOOKUP(A7219,Studies!A:BR,3,FALSE),"")</f>
        <v>https://www.ncbi.nlm.nih.gov/pubmed/9757151</v>
      </c>
      <c r="D7219" s="250" t="str">
        <f>IF(AND(A7219&lt;&gt;"",ISNUMBER(A7219)),VLOOKUP(A7219,Studies!A:BR,4,FALSE),"")</f>
        <v>Triazolam + Erythromycin (Trial D)</v>
      </c>
      <c r="E7219" s="250" t="str">
        <f>IF(AND(A7219&lt;&gt;"",ISNUMBER(A7219)),VLOOKUP(A7219,Studies!A:BR,5,FALSE),"")</f>
        <v>Triazolam</v>
      </c>
      <c r="F7219" s="251" t="str">
        <f>IF(AND(A7219&lt;&gt;"",ISNUMBER(A7219)),VLOOKUP(A7219,Studies!A:BR,6,FALSE),"")</f>
        <v>Plasma</v>
      </c>
      <c r="G7219" s="194">
        <v>33</v>
      </c>
      <c r="H7219" s="50" t="s">
        <v>60</v>
      </c>
      <c r="I7219" s="187">
        <v>0.91556727886199951</v>
      </c>
      <c r="J7219" s="41" t="s">
        <v>941</v>
      </c>
      <c r="K7219" s="187" t="s">
        <v>116</v>
      </c>
      <c r="P7219" s="42" t="s">
        <v>2631</v>
      </c>
    </row>
    <row r="7220" spans="1:16" x14ac:dyDescent="0.2">
      <c r="A7220" s="30">
        <v>781</v>
      </c>
      <c r="B7220" s="249" t="str">
        <f>IF(AND(A7220&lt;&gt;"",ISNUMBER(A7220)),VLOOKUP(A7220,Studies!A:BR,2,FALSE),"")</f>
        <v>Greenblatt 1998a</v>
      </c>
      <c r="C7220" s="250" t="str">
        <f>IF(AND(A7220&lt;&gt;"",ISNUMBER(A7220)),VLOOKUP(A7220,Studies!A:BR,3,FALSE),"")</f>
        <v>https://www.ncbi.nlm.nih.gov/pubmed/9757151</v>
      </c>
      <c r="D7220" s="250" t="str">
        <f>IF(AND(A7220&lt;&gt;"",ISNUMBER(A7220)),VLOOKUP(A7220,Studies!A:BR,4,FALSE),"")</f>
        <v>Triazolam + Erythromycin (Trial D)</v>
      </c>
      <c r="E7220" s="250" t="str">
        <f>IF(AND(A7220&lt;&gt;"",ISNUMBER(A7220)),VLOOKUP(A7220,Studies!A:BR,5,FALSE),"")</f>
        <v>Triazolam</v>
      </c>
      <c r="F7220" s="251" t="str">
        <f>IF(AND(A7220&lt;&gt;"",ISNUMBER(A7220)),VLOOKUP(A7220,Studies!A:BR,6,FALSE),"")</f>
        <v>Plasma</v>
      </c>
      <c r="G7220" s="194">
        <v>49</v>
      </c>
      <c r="H7220" s="50" t="s">
        <v>60</v>
      </c>
      <c r="I7220" s="187">
        <v>0.1240105926990509</v>
      </c>
      <c r="J7220" s="41" t="s">
        <v>941</v>
      </c>
      <c r="K7220" s="187" t="s">
        <v>116</v>
      </c>
      <c r="P7220" s="42" t="s">
        <v>2631</v>
      </c>
    </row>
    <row r="7221" spans="1:16" x14ac:dyDescent="0.2">
      <c r="A7221" s="30">
        <v>782</v>
      </c>
      <c r="B7221" s="249" t="str">
        <f>IF(AND(A7221&lt;&gt;"",ISNUMBER(A7221)),VLOOKUP(A7221,Studies!A:BR,2,FALSE),"")</f>
        <v>Dooley 2012</v>
      </c>
      <c r="C7221" s="250" t="str">
        <f>IF(AND(A7221&lt;&gt;"",ISNUMBER(A7221)),VLOOKUP(A7221,Studies!A:BR,3,FALSE),"")</f>
        <v>https://www.ncbi.nlm.nih.gov/pubmed/22126739</v>
      </c>
      <c r="D7221" s="250" t="str">
        <f>IF(AND(A7221&lt;&gt;"",ISNUMBER(A7221)),VLOOKUP(A7221,Studies!A:BR,4,FALSE),"")</f>
        <v>Extensive metabolizer</v>
      </c>
      <c r="E7221" s="250" t="str">
        <f>IF(AND(A7221&lt;&gt;"",ISNUMBER(A7221)),VLOOKUP(A7221,Studies!A:BR,5,FALSE),"")</f>
        <v>Efavirenz</v>
      </c>
      <c r="F7221" s="251" t="str">
        <f>IF(AND(A7221&lt;&gt;"",ISNUMBER(A7221)),VLOOKUP(A7221,Studies!A:BR,6,FALSE),"")</f>
        <v>Plasma</v>
      </c>
      <c r="G7221" s="194">
        <v>312</v>
      </c>
      <c r="H7221" s="50" t="s">
        <v>60</v>
      </c>
      <c r="I7221" s="187">
        <v>1.451623046875</v>
      </c>
      <c r="J7221" s="41" t="s">
        <v>959</v>
      </c>
      <c r="K7221" s="41" t="s">
        <v>116</v>
      </c>
      <c r="L7221" s="195">
        <v>0.15998609364032745</v>
      </c>
      <c r="M7221" s="52" t="s">
        <v>959</v>
      </c>
      <c r="N7221" s="52" t="s">
        <v>949</v>
      </c>
    </row>
    <row r="7222" spans="1:16" x14ac:dyDescent="0.2">
      <c r="A7222" s="30">
        <v>782</v>
      </c>
      <c r="B7222" s="249" t="str">
        <f>IF(AND(A7222&lt;&gt;"",ISNUMBER(A7222)),VLOOKUP(A7222,Studies!A:BR,2,FALSE),"")</f>
        <v>Dooley 2012</v>
      </c>
      <c r="C7222" s="250" t="str">
        <f>IF(AND(A7222&lt;&gt;"",ISNUMBER(A7222)),VLOOKUP(A7222,Studies!A:BR,3,FALSE),"")</f>
        <v>https://www.ncbi.nlm.nih.gov/pubmed/22126739</v>
      </c>
      <c r="D7222" s="250" t="str">
        <f>IF(AND(A7222&lt;&gt;"",ISNUMBER(A7222)),VLOOKUP(A7222,Studies!A:BR,4,FALSE),"")</f>
        <v>Extensive metabolizer</v>
      </c>
      <c r="E7222" s="250" t="str">
        <f>IF(AND(A7222&lt;&gt;"",ISNUMBER(A7222)),VLOOKUP(A7222,Studies!A:BR,5,FALSE),"")</f>
        <v>Efavirenz</v>
      </c>
      <c r="F7222" s="251" t="str">
        <f>IF(AND(A7222&lt;&gt;"",ISNUMBER(A7222)),VLOOKUP(A7222,Studies!A:BR,6,FALSE),"")</f>
        <v>Plasma</v>
      </c>
      <c r="G7222" s="194">
        <v>313</v>
      </c>
      <c r="H7222" s="50" t="s">
        <v>60</v>
      </c>
      <c r="I7222" s="187">
        <v>1.8520839843750001</v>
      </c>
      <c r="J7222" s="41" t="s">
        <v>959</v>
      </c>
      <c r="K7222" s="41" t="s">
        <v>116</v>
      </c>
      <c r="L7222" s="195">
        <v>0.19428619742393494</v>
      </c>
      <c r="M7222" s="52" t="s">
        <v>959</v>
      </c>
      <c r="N7222" s="52" t="s">
        <v>949</v>
      </c>
    </row>
    <row r="7223" spans="1:16" x14ac:dyDescent="0.2">
      <c r="A7223" s="30">
        <v>782</v>
      </c>
      <c r="B7223" s="249" t="str">
        <f>IF(AND(A7223&lt;&gt;"",ISNUMBER(A7223)),VLOOKUP(A7223,Studies!A:BR,2,FALSE),"")</f>
        <v>Dooley 2012</v>
      </c>
      <c r="C7223" s="250" t="str">
        <f>IF(AND(A7223&lt;&gt;"",ISNUMBER(A7223)),VLOOKUP(A7223,Studies!A:BR,3,FALSE),"")</f>
        <v>https://www.ncbi.nlm.nih.gov/pubmed/22126739</v>
      </c>
      <c r="D7223" s="250" t="str">
        <f>IF(AND(A7223&lt;&gt;"",ISNUMBER(A7223)),VLOOKUP(A7223,Studies!A:BR,4,FALSE),"")</f>
        <v>Extensive metabolizer</v>
      </c>
      <c r="E7223" s="250" t="str">
        <f>IF(AND(A7223&lt;&gt;"",ISNUMBER(A7223)),VLOOKUP(A7223,Studies!A:BR,5,FALSE),"")</f>
        <v>Efavirenz</v>
      </c>
      <c r="F7223" s="251" t="str">
        <f>IF(AND(A7223&lt;&gt;"",ISNUMBER(A7223)),VLOOKUP(A7223,Studies!A:BR,6,FALSE),"")</f>
        <v>Plasma</v>
      </c>
      <c r="G7223" s="194">
        <v>314</v>
      </c>
      <c r="H7223" s="50" t="s">
        <v>60</v>
      </c>
      <c r="I7223" s="187">
        <v>2.7782751464843751</v>
      </c>
      <c r="J7223" s="41" t="s">
        <v>959</v>
      </c>
      <c r="K7223" s="41" t="s">
        <v>116</v>
      </c>
      <c r="L7223" s="195">
        <v>0.32000058889389038</v>
      </c>
      <c r="M7223" s="52" t="s">
        <v>959</v>
      </c>
      <c r="N7223" s="52" t="s">
        <v>949</v>
      </c>
    </row>
    <row r="7224" spans="1:16" x14ac:dyDescent="0.2">
      <c r="A7224" s="30">
        <v>782</v>
      </c>
      <c r="B7224" s="249" t="str">
        <f>IF(AND(A7224&lt;&gt;"",ISNUMBER(A7224)),VLOOKUP(A7224,Studies!A:BR,2,FALSE),"")</f>
        <v>Dooley 2012</v>
      </c>
      <c r="C7224" s="250" t="str">
        <f>IF(AND(A7224&lt;&gt;"",ISNUMBER(A7224)),VLOOKUP(A7224,Studies!A:BR,3,FALSE),"")</f>
        <v>https://www.ncbi.nlm.nih.gov/pubmed/22126739</v>
      </c>
      <c r="D7224" s="250" t="str">
        <f>IF(AND(A7224&lt;&gt;"",ISNUMBER(A7224)),VLOOKUP(A7224,Studies!A:BR,4,FALSE),"")</f>
        <v>Extensive metabolizer</v>
      </c>
      <c r="E7224" s="250" t="str">
        <f>IF(AND(A7224&lt;&gt;"",ISNUMBER(A7224)),VLOOKUP(A7224,Studies!A:BR,5,FALSE),"")</f>
        <v>Efavirenz</v>
      </c>
      <c r="F7224" s="251" t="str">
        <f>IF(AND(A7224&lt;&gt;"",ISNUMBER(A7224)),VLOOKUP(A7224,Studies!A:BR,6,FALSE),"")</f>
        <v>Plasma</v>
      </c>
      <c r="G7224" s="194">
        <v>315</v>
      </c>
      <c r="H7224" s="50" t="s">
        <v>60</v>
      </c>
      <c r="I7224" s="187">
        <v>3.1101789550781249</v>
      </c>
      <c r="J7224" s="41" t="s">
        <v>959</v>
      </c>
      <c r="K7224" s="41" t="s">
        <v>116</v>
      </c>
      <c r="L7224" s="195">
        <v>0.35430032014846802</v>
      </c>
      <c r="M7224" s="52" t="s">
        <v>959</v>
      </c>
      <c r="N7224" s="52" t="s">
        <v>949</v>
      </c>
    </row>
    <row r="7225" spans="1:16" x14ac:dyDescent="0.2">
      <c r="A7225" s="30">
        <v>782</v>
      </c>
      <c r="B7225" s="249" t="str">
        <f>IF(AND(A7225&lt;&gt;"",ISNUMBER(A7225)),VLOOKUP(A7225,Studies!A:BR,2,FALSE),"")</f>
        <v>Dooley 2012</v>
      </c>
      <c r="C7225" s="250" t="str">
        <f>IF(AND(A7225&lt;&gt;"",ISNUMBER(A7225)),VLOOKUP(A7225,Studies!A:BR,3,FALSE),"")</f>
        <v>https://www.ncbi.nlm.nih.gov/pubmed/22126739</v>
      </c>
      <c r="D7225" s="250" t="str">
        <f>IF(AND(A7225&lt;&gt;"",ISNUMBER(A7225)),VLOOKUP(A7225,Studies!A:BR,4,FALSE),"")</f>
        <v>Extensive metabolizer</v>
      </c>
      <c r="E7225" s="250" t="str">
        <f>IF(AND(A7225&lt;&gt;"",ISNUMBER(A7225)),VLOOKUP(A7225,Studies!A:BR,5,FALSE),"")</f>
        <v>Efavirenz</v>
      </c>
      <c r="F7225" s="251" t="str">
        <f>IF(AND(A7225&lt;&gt;"",ISNUMBER(A7225)),VLOOKUP(A7225,Studies!A:BR,6,FALSE),"")</f>
        <v>Plasma</v>
      </c>
      <c r="G7225" s="194">
        <v>316</v>
      </c>
      <c r="H7225" s="50" t="s">
        <v>60</v>
      </c>
      <c r="I7225" s="187">
        <v>2.8477949218749998</v>
      </c>
      <c r="J7225" s="41" t="s">
        <v>959</v>
      </c>
      <c r="K7225" s="41" t="s">
        <v>116</v>
      </c>
      <c r="L7225" s="195">
        <v>0.26285821199417114</v>
      </c>
      <c r="M7225" s="52" t="s">
        <v>959</v>
      </c>
      <c r="N7225" s="52" t="s">
        <v>949</v>
      </c>
    </row>
    <row r="7226" spans="1:16" x14ac:dyDescent="0.2">
      <c r="A7226" s="30">
        <v>782</v>
      </c>
      <c r="B7226" s="249" t="str">
        <f>IF(AND(A7226&lt;&gt;"",ISNUMBER(A7226)),VLOOKUP(A7226,Studies!A:BR,2,FALSE),"")</f>
        <v>Dooley 2012</v>
      </c>
      <c r="C7226" s="250" t="str">
        <f>IF(AND(A7226&lt;&gt;"",ISNUMBER(A7226)),VLOOKUP(A7226,Studies!A:BR,3,FALSE),"")</f>
        <v>https://www.ncbi.nlm.nih.gov/pubmed/22126739</v>
      </c>
      <c r="D7226" s="250" t="str">
        <f>IF(AND(A7226&lt;&gt;"",ISNUMBER(A7226)),VLOOKUP(A7226,Studies!A:BR,4,FALSE),"")</f>
        <v>Extensive metabolizer</v>
      </c>
      <c r="E7226" s="250" t="str">
        <f>IF(AND(A7226&lt;&gt;"",ISNUMBER(A7226)),VLOOKUP(A7226,Studies!A:BR,5,FALSE),"")</f>
        <v>Efavirenz</v>
      </c>
      <c r="F7226" s="251" t="str">
        <f>IF(AND(A7226&lt;&gt;"",ISNUMBER(A7226)),VLOOKUP(A7226,Studies!A:BR,6,FALSE),"")</f>
        <v>Plasma</v>
      </c>
      <c r="G7226" s="194">
        <v>320</v>
      </c>
      <c r="H7226" s="50" t="s">
        <v>60</v>
      </c>
      <c r="I7226" s="187">
        <v>2.2097060546875</v>
      </c>
      <c r="J7226" s="41" t="s">
        <v>959</v>
      </c>
      <c r="K7226" s="41" t="s">
        <v>116</v>
      </c>
      <c r="L7226" s="195">
        <v>0.19428589940071106</v>
      </c>
      <c r="M7226" s="52" t="s">
        <v>959</v>
      </c>
      <c r="N7226" s="52" t="s">
        <v>949</v>
      </c>
    </row>
    <row r="7227" spans="1:16" x14ac:dyDescent="0.2">
      <c r="A7227" s="30">
        <v>782</v>
      </c>
      <c r="B7227" s="249" t="str">
        <f>IF(AND(A7227&lt;&gt;"",ISNUMBER(A7227)),VLOOKUP(A7227,Studies!A:BR,2,FALSE),"")</f>
        <v>Dooley 2012</v>
      </c>
      <c r="C7227" s="250" t="str">
        <f>IF(AND(A7227&lt;&gt;"",ISNUMBER(A7227)),VLOOKUP(A7227,Studies!A:BR,3,FALSE),"")</f>
        <v>https://www.ncbi.nlm.nih.gov/pubmed/22126739</v>
      </c>
      <c r="D7227" s="250" t="str">
        <f>IF(AND(A7227&lt;&gt;"",ISNUMBER(A7227)),VLOOKUP(A7227,Studies!A:BR,4,FALSE),"")</f>
        <v>Extensive metabolizer</v>
      </c>
      <c r="E7227" s="250" t="str">
        <f>IF(AND(A7227&lt;&gt;"",ISNUMBER(A7227)),VLOOKUP(A7227,Studies!A:BR,5,FALSE),"")</f>
        <v>Efavirenz</v>
      </c>
      <c r="F7227" s="251" t="str">
        <f>IF(AND(A7227&lt;&gt;"",ISNUMBER(A7227)),VLOOKUP(A7227,Studies!A:BR,6,FALSE),"")</f>
        <v>Plasma</v>
      </c>
      <c r="G7227" s="194">
        <v>324</v>
      </c>
      <c r="H7227" s="50" t="s">
        <v>60</v>
      </c>
      <c r="I7227" s="187">
        <v>1.8458880615234374</v>
      </c>
      <c r="J7227" s="41" t="s">
        <v>959</v>
      </c>
      <c r="K7227" s="41" t="s">
        <v>116</v>
      </c>
      <c r="L7227" s="195">
        <v>0.18287190794944763</v>
      </c>
      <c r="M7227" s="52" t="s">
        <v>959</v>
      </c>
      <c r="N7227" s="52" t="s">
        <v>949</v>
      </c>
    </row>
    <row r="7228" spans="1:16" x14ac:dyDescent="0.2">
      <c r="A7228" s="30">
        <v>782</v>
      </c>
      <c r="B7228" s="249" t="str">
        <f>IF(AND(A7228&lt;&gt;"",ISNUMBER(A7228)),VLOOKUP(A7228,Studies!A:BR,2,FALSE),"")</f>
        <v>Dooley 2012</v>
      </c>
      <c r="C7228" s="250" t="str">
        <f>IF(AND(A7228&lt;&gt;"",ISNUMBER(A7228)),VLOOKUP(A7228,Studies!A:BR,3,FALSE),"")</f>
        <v>https://www.ncbi.nlm.nih.gov/pubmed/22126739</v>
      </c>
      <c r="D7228" s="250" t="str">
        <f>IF(AND(A7228&lt;&gt;"",ISNUMBER(A7228)),VLOOKUP(A7228,Studies!A:BR,4,FALSE),"")</f>
        <v>Extensive metabolizer</v>
      </c>
      <c r="E7228" s="250" t="str">
        <f>IF(AND(A7228&lt;&gt;"",ISNUMBER(A7228)),VLOOKUP(A7228,Studies!A:BR,5,FALSE),"")</f>
        <v>Efavirenz</v>
      </c>
      <c r="F7228" s="251" t="str">
        <f>IF(AND(A7228&lt;&gt;"",ISNUMBER(A7228)),VLOOKUP(A7228,Studies!A:BR,6,FALSE),"")</f>
        <v>Plasma</v>
      </c>
      <c r="G7228" s="194">
        <v>336</v>
      </c>
      <c r="H7228" s="50" t="s">
        <v>60</v>
      </c>
      <c r="I7228" s="187">
        <v>1.440166015625</v>
      </c>
      <c r="J7228" s="41" t="s">
        <v>959</v>
      </c>
      <c r="K7228" s="41" t="s">
        <v>116</v>
      </c>
      <c r="L7228" s="195">
        <v>0.18288560211658478</v>
      </c>
      <c r="M7228" s="52" t="s">
        <v>959</v>
      </c>
      <c r="N7228" s="52" t="s">
        <v>949</v>
      </c>
    </row>
    <row r="7229" spans="1:16" x14ac:dyDescent="0.2">
      <c r="A7229" s="30">
        <v>783</v>
      </c>
      <c r="B7229" s="249" t="str">
        <f>IF(AND(A7229&lt;&gt;"",ISNUMBER(A7229)),VLOOKUP(A7229,Studies!A:BR,2,FALSE),"")</f>
        <v>Dooley 2012</v>
      </c>
      <c r="C7229" s="250" t="str">
        <f>IF(AND(A7229&lt;&gt;"",ISNUMBER(A7229)),VLOOKUP(A7229,Studies!A:BR,3,FALSE),"")</f>
        <v>https://www.ncbi.nlm.nih.gov/pubmed/22126739</v>
      </c>
      <c r="D7229" s="250" t="str">
        <f>IF(AND(A7229&lt;&gt;"",ISNUMBER(A7229)),VLOOKUP(A7229,Studies!A:BR,4,FALSE),"")</f>
        <v>Intermediate metabolizer</v>
      </c>
      <c r="E7229" s="250" t="str">
        <f>IF(AND(A7229&lt;&gt;"",ISNUMBER(A7229)),VLOOKUP(A7229,Studies!A:BR,5,FALSE),"")</f>
        <v>Efavirenz</v>
      </c>
      <c r="F7229" s="251" t="str">
        <f>IF(AND(A7229&lt;&gt;"",ISNUMBER(A7229)),VLOOKUP(A7229,Studies!A:BR,6,FALSE),"")</f>
        <v>Plasma</v>
      </c>
      <c r="G7229" s="194">
        <v>312</v>
      </c>
      <c r="H7229" s="50" t="s">
        <v>60</v>
      </c>
      <c r="I7229" s="187">
        <v>2.2859660644531248</v>
      </c>
      <c r="J7229" s="41" t="s">
        <v>959</v>
      </c>
      <c r="K7229" s="41" t="s">
        <v>116</v>
      </c>
      <c r="L7229" s="195">
        <v>0.22857210040092468</v>
      </c>
      <c r="M7229" s="52" t="s">
        <v>959</v>
      </c>
      <c r="N7229" s="52" t="s">
        <v>949</v>
      </c>
    </row>
    <row r="7230" spans="1:16" x14ac:dyDescent="0.2">
      <c r="A7230" s="30">
        <v>783</v>
      </c>
      <c r="B7230" s="249" t="str">
        <f>IF(AND(A7230&lt;&gt;"",ISNUMBER(A7230)),VLOOKUP(A7230,Studies!A:BR,2,FALSE),"")</f>
        <v>Dooley 2012</v>
      </c>
      <c r="C7230" s="250" t="str">
        <f>IF(AND(A7230&lt;&gt;"",ISNUMBER(A7230)),VLOOKUP(A7230,Studies!A:BR,3,FALSE),"")</f>
        <v>https://www.ncbi.nlm.nih.gov/pubmed/22126739</v>
      </c>
      <c r="D7230" s="250" t="str">
        <f>IF(AND(A7230&lt;&gt;"",ISNUMBER(A7230)),VLOOKUP(A7230,Studies!A:BR,4,FALSE),"")</f>
        <v>Intermediate metabolizer</v>
      </c>
      <c r="E7230" s="250" t="str">
        <f>IF(AND(A7230&lt;&gt;"",ISNUMBER(A7230)),VLOOKUP(A7230,Studies!A:BR,5,FALSE),"")</f>
        <v>Efavirenz</v>
      </c>
      <c r="F7230" s="251" t="str">
        <f>IF(AND(A7230&lt;&gt;"",ISNUMBER(A7230)),VLOOKUP(A7230,Studies!A:BR,6,FALSE),"")</f>
        <v>Plasma</v>
      </c>
      <c r="G7230" s="194">
        <v>313</v>
      </c>
      <c r="H7230" s="50" t="s">
        <v>60</v>
      </c>
      <c r="I7230" s="187">
        <v>3.0064421386718752</v>
      </c>
      <c r="J7230" s="41" t="s">
        <v>959</v>
      </c>
      <c r="K7230" s="41" t="s">
        <v>116</v>
      </c>
      <c r="L7230" s="195">
        <v>0.34285810589790344</v>
      </c>
      <c r="M7230" s="52" t="s">
        <v>959</v>
      </c>
      <c r="N7230" s="52" t="s">
        <v>949</v>
      </c>
    </row>
    <row r="7231" spans="1:16" x14ac:dyDescent="0.2">
      <c r="A7231" s="30">
        <v>783</v>
      </c>
      <c r="B7231" s="249" t="str">
        <f>IF(AND(A7231&lt;&gt;"",ISNUMBER(A7231)),VLOOKUP(A7231,Studies!A:BR,2,FALSE),"")</f>
        <v>Dooley 2012</v>
      </c>
      <c r="C7231" s="250" t="str">
        <f>IF(AND(A7231&lt;&gt;"",ISNUMBER(A7231)),VLOOKUP(A7231,Studies!A:BR,3,FALSE),"")</f>
        <v>https://www.ncbi.nlm.nih.gov/pubmed/22126739</v>
      </c>
      <c r="D7231" s="250" t="str">
        <f>IF(AND(A7231&lt;&gt;"",ISNUMBER(A7231)),VLOOKUP(A7231,Studies!A:BR,4,FALSE),"")</f>
        <v>Intermediate metabolizer</v>
      </c>
      <c r="E7231" s="250" t="str">
        <f>IF(AND(A7231&lt;&gt;"",ISNUMBER(A7231)),VLOOKUP(A7231,Studies!A:BR,5,FALSE),"")</f>
        <v>Efavirenz</v>
      </c>
      <c r="F7231" s="251" t="str">
        <f>IF(AND(A7231&lt;&gt;"",ISNUMBER(A7231)),VLOOKUP(A7231,Studies!A:BR,6,FALSE),"")</f>
        <v>Plasma</v>
      </c>
      <c r="G7231" s="194">
        <v>314</v>
      </c>
      <c r="H7231" s="50" t="s">
        <v>60</v>
      </c>
      <c r="I7231" s="187">
        <v>3.7154899902343752</v>
      </c>
      <c r="J7231" s="41" t="s">
        <v>959</v>
      </c>
      <c r="K7231" s="41" t="s">
        <v>116</v>
      </c>
      <c r="L7231" s="195">
        <v>0.54858613014221191</v>
      </c>
      <c r="M7231" s="52" t="s">
        <v>959</v>
      </c>
      <c r="N7231" s="52" t="s">
        <v>949</v>
      </c>
    </row>
    <row r="7232" spans="1:16" x14ac:dyDescent="0.2">
      <c r="A7232" s="30">
        <v>783</v>
      </c>
      <c r="B7232" s="249" t="str">
        <f>IF(AND(A7232&lt;&gt;"",ISNUMBER(A7232)),VLOOKUP(A7232,Studies!A:BR,2,FALSE),"")</f>
        <v>Dooley 2012</v>
      </c>
      <c r="C7232" s="250" t="str">
        <f>IF(AND(A7232&lt;&gt;"",ISNUMBER(A7232)),VLOOKUP(A7232,Studies!A:BR,3,FALSE),"")</f>
        <v>https://www.ncbi.nlm.nih.gov/pubmed/22126739</v>
      </c>
      <c r="D7232" s="250" t="str">
        <f>IF(AND(A7232&lt;&gt;"",ISNUMBER(A7232)),VLOOKUP(A7232,Studies!A:BR,4,FALSE),"")</f>
        <v>Intermediate metabolizer</v>
      </c>
      <c r="E7232" s="250" t="str">
        <f>IF(AND(A7232&lt;&gt;"",ISNUMBER(A7232)),VLOOKUP(A7232,Studies!A:BR,5,FALSE),"")</f>
        <v>Efavirenz</v>
      </c>
      <c r="F7232" s="251" t="str">
        <f>IF(AND(A7232&lt;&gt;"",ISNUMBER(A7232)),VLOOKUP(A7232,Studies!A:BR,6,FALSE),"")</f>
        <v>Plasma</v>
      </c>
      <c r="G7232" s="194">
        <v>315</v>
      </c>
      <c r="H7232" s="50" t="s">
        <v>60</v>
      </c>
      <c r="I7232" s="187">
        <v>3.9559790039062501</v>
      </c>
      <c r="J7232" s="41" t="s">
        <v>959</v>
      </c>
      <c r="K7232" s="41" t="s">
        <v>116</v>
      </c>
      <c r="L7232" s="195">
        <v>0.46855810284614563</v>
      </c>
      <c r="M7232" s="52" t="s">
        <v>959</v>
      </c>
      <c r="N7232" s="52" t="s">
        <v>949</v>
      </c>
    </row>
    <row r="7233" spans="1:14" x14ac:dyDescent="0.2">
      <c r="A7233" s="30">
        <v>783</v>
      </c>
      <c r="B7233" s="249" t="str">
        <f>IF(AND(A7233&lt;&gt;"",ISNUMBER(A7233)),VLOOKUP(A7233,Studies!A:BR,2,FALSE),"")</f>
        <v>Dooley 2012</v>
      </c>
      <c r="C7233" s="250" t="str">
        <f>IF(AND(A7233&lt;&gt;"",ISNUMBER(A7233)),VLOOKUP(A7233,Studies!A:BR,3,FALSE),"")</f>
        <v>https://www.ncbi.nlm.nih.gov/pubmed/22126739</v>
      </c>
      <c r="D7233" s="250" t="str">
        <f>IF(AND(A7233&lt;&gt;"",ISNUMBER(A7233)),VLOOKUP(A7233,Studies!A:BR,4,FALSE),"")</f>
        <v>Intermediate metabolizer</v>
      </c>
      <c r="E7233" s="250" t="str">
        <f>IF(AND(A7233&lt;&gt;"",ISNUMBER(A7233)),VLOOKUP(A7233,Studies!A:BR,5,FALSE),"")</f>
        <v>Efavirenz</v>
      </c>
      <c r="F7233" s="251" t="str">
        <f>IF(AND(A7233&lt;&gt;"",ISNUMBER(A7233)),VLOOKUP(A7233,Studies!A:BR,6,FALSE),"")</f>
        <v>Plasma</v>
      </c>
      <c r="G7233" s="194">
        <v>316</v>
      </c>
      <c r="H7233" s="50" t="s">
        <v>60</v>
      </c>
      <c r="I7233" s="187">
        <v>4.0135959472656246</v>
      </c>
      <c r="J7233" s="41" t="s">
        <v>959</v>
      </c>
      <c r="K7233" s="41" t="s">
        <v>116</v>
      </c>
      <c r="L7233" s="195">
        <v>0.30855849385261536</v>
      </c>
      <c r="M7233" s="52" t="s">
        <v>959</v>
      </c>
      <c r="N7233" s="52" t="s">
        <v>949</v>
      </c>
    </row>
    <row r="7234" spans="1:14" x14ac:dyDescent="0.2">
      <c r="A7234" s="30">
        <v>783</v>
      </c>
      <c r="B7234" s="249" t="str">
        <f>IF(AND(A7234&lt;&gt;"",ISNUMBER(A7234)),VLOOKUP(A7234,Studies!A:BR,2,FALSE),"")</f>
        <v>Dooley 2012</v>
      </c>
      <c r="C7234" s="250" t="str">
        <f>IF(AND(A7234&lt;&gt;"",ISNUMBER(A7234)),VLOOKUP(A7234,Studies!A:BR,3,FALSE),"")</f>
        <v>https://www.ncbi.nlm.nih.gov/pubmed/22126739</v>
      </c>
      <c r="D7234" s="250" t="str">
        <f>IF(AND(A7234&lt;&gt;"",ISNUMBER(A7234)),VLOOKUP(A7234,Studies!A:BR,4,FALSE),"")</f>
        <v>Intermediate metabolizer</v>
      </c>
      <c r="E7234" s="250" t="str">
        <f>IF(AND(A7234&lt;&gt;"",ISNUMBER(A7234)),VLOOKUP(A7234,Studies!A:BR,5,FALSE),"")</f>
        <v>Efavirenz</v>
      </c>
      <c r="F7234" s="251" t="str">
        <f>IF(AND(A7234&lt;&gt;"",ISNUMBER(A7234)),VLOOKUP(A7234,Studies!A:BR,6,FALSE),"")</f>
        <v>Plasma</v>
      </c>
      <c r="G7234" s="194">
        <v>320</v>
      </c>
      <c r="H7234" s="50" t="s">
        <v>60</v>
      </c>
      <c r="I7234" s="187">
        <v>3.0211918945312499</v>
      </c>
      <c r="J7234" s="41" t="s">
        <v>959</v>
      </c>
      <c r="K7234" s="41" t="s">
        <v>116</v>
      </c>
      <c r="L7234" s="195">
        <v>0.29717138409614563</v>
      </c>
      <c r="M7234" s="52" t="s">
        <v>959</v>
      </c>
      <c r="N7234" s="52" t="s">
        <v>949</v>
      </c>
    </row>
    <row r="7235" spans="1:14" x14ac:dyDescent="0.2">
      <c r="A7235" s="30">
        <v>783</v>
      </c>
      <c r="B7235" s="249" t="str">
        <f>IF(AND(A7235&lt;&gt;"",ISNUMBER(A7235)),VLOOKUP(A7235,Studies!A:BR,2,FALSE),"")</f>
        <v>Dooley 2012</v>
      </c>
      <c r="C7235" s="250" t="str">
        <f>IF(AND(A7235&lt;&gt;"",ISNUMBER(A7235)),VLOOKUP(A7235,Studies!A:BR,3,FALSE),"")</f>
        <v>https://www.ncbi.nlm.nih.gov/pubmed/22126739</v>
      </c>
      <c r="D7235" s="250" t="str">
        <f>IF(AND(A7235&lt;&gt;"",ISNUMBER(A7235)),VLOOKUP(A7235,Studies!A:BR,4,FALSE),"")</f>
        <v>Intermediate metabolizer</v>
      </c>
      <c r="E7235" s="250" t="str">
        <f>IF(AND(A7235&lt;&gt;"",ISNUMBER(A7235)),VLOOKUP(A7235,Studies!A:BR,5,FALSE),"")</f>
        <v>Efavirenz</v>
      </c>
      <c r="F7235" s="251" t="str">
        <f>IF(AND(A7235&lt;&gt;"",ISNUMBER(A7235)),VLOOKUP(A7235,Studies!A:BR,6,FALSE),"")</f>
        <v>Plasma</v>
      </c>
      <c r="G7235" s="194">
        <v>324</v>
      </c>
      <c r="H7235" s="50" t="s">
        <v>60</v>
      </c>
      <c r="I7235" s="187">
        <v>2.7602458496093751</v>
      </c>
      <c r="J7235" s="41" t="s">
        <v>959</v>
      </c>
      <c r="K7235" s="41" t="s">
        <v>116</v>
      </c>
      <c r="L7235" s="195">
        <v>0.33142918348312378</v>
      </c>
      <c r="M7235" s="52" t="s">
        <v>959</v>
      </c>
      <c r="N7235" s="52" t="s">
        <v>949</v>
      </c>
    </row>
    <row r="7236" spans="1:14" x14ac:dyDescent="0.2">
      <c r="A7236" s="30">
        <v>783</v>
      </c>
      <c r="B7236" s="249" t="str">
        <f>IF(AND(A7236&lt;&gt;"",ISNUMBER(A7236)),VLOOKUP(A7236,Studies!A:BR,2,FALSE),"")</f>
        <v>Dooley 2012</v>
      </c>
      <c r="C7236" s="250" t="str">
        <f>IF(AND(A7236&lt;&gt;"",ISNUMBER(A7236)),VLOOKUP(A7236,Studies!A:BR,3,FALSE),"")</f>
        <v>https://www.ncbi.nlm.nih.gov/pubmed/22126739</v>
      </c>
      <c r="D7236" s="250" t="str">
        <f>IF(AND(A7236&lt;&gt;"",ISNUMBER(A7236)),VLOOKUP(A7236,Studies!A:BR,4,FALSE),"")</f>
        <v>Intermediate metabolizer</v>
      </c>
      <c r="E7236" s="250" t="str">
        <f>IF(AND(A7236&lt;&gt;"",ISNUMBER(A7236)),VLOOKUP(A7236,Studies!A:BR,5,FALSE),"")</f>
        <v>Efavirenz</v>
      </c>
      <c r="F7236" s="251" t="str">
        <f>IF(AND(A7236&lt;&gt;"",ISNUMBER(A7236)),VLOOKUP(A7236,Studies!A:BR,6,FALSE),"")</f>
        <v>Plasma</v>
      </c>
      <c r="G7236" s="194">
        <v>336</v>
      </c>
      <c r="H7236" s="50" t="s">
        <v>60</v>
      </c>
      <c r="I7236" s="187">
        <v>2.0231080322265624</v>
      </c>
      <c r="J7236" s="41" t="s">
        <v>959</v>
      </c>
      <c r="K7236" s="41" t="s">
        <v>116</v>
      </c>
      <c r="L7236" s="195">
        <v>0.26287198066711426</v>
      </c>
      <c r="M7236" s="52" t="s">
        <v>959</v>
      </c>
      <c r="N7236" s="52" t="s">
        <v>949</v>
      </c>
    </row>
    <row r="7237" spans="1:14" x14ac:dyDescent="0.2">
      <c r="A7237" s="30">
        <v>784</v>
      </c>
      <c r="B7237" s="249" t="str">
        <f>IF(AND(A7237&lt;&gt;"",ISNUMBER(A7237)),VLOOKUP(A7237,Studies!A:BR,2,FALSE),"")</f>
        <v>Dooley 2012</v>
      </c>
      <c r="C7237" s="250" t="str">
        <f>IF(AND(A7237&lt;&gt;"",ISNUMBER(A7237)),VLOOKUP(A7237,Studies!A:BR,3,FALSE),"")</f>
        <v>https://www.ncbi.nlm.nih.gov/pubmed/22126739</v>
      </c>
      <c r="D7237" s="250" t="str">
        <f>IF(AND(A7237&lt;&gt;"",ISNUMBER(A7237)),VLOOKUP(A7237,Studies!A:BR,4,FALSE),"")</f>
        <v>Slow metabolizer</v>
      </c>
      <c r="E7237" s="250" t="str">
        <f>IF(AND(A7237&lt;&gt;"",ISNUMBER(A7237)),VLOOKUP(A7237,Studies!A:BR,5,FALSE),"")</f>
        <v>Efavirenz</v>
      </c>
      <c r="F7237" s="251" t="str">
        <f>IF(AND(A7237&lt;&gt;"",ISNUMBER(A7237)),VLOOKUP(A7237,Studies!A:BR,6,FALSE),"")</f>
        <v>Plasma</v>
      </c>
      <c r="G7237" s="194">
        <v>312</v>
      </c>
      <c r="H7237" s="50" t="s">
        <v>60</v>
      </c>
      <c r="I7237" s="187">
        <v>2.8688940429687499</v>
      </c>
      <c r="J7237" s="41" t="s">
        <v>959</v>
      </c>
      <c r="K7237" s="41" t="s">
        <v>116</v>
      </c>
      <c r="L7237" s="195">
        <v>0.83430188894271851</v>
      </c>
      <c r="M7237" s="52" t="s">
        <v>959</v>
      </c>
      <c r="N7237" s="52" t="s">
        <v>949</v>
      </c>
    </row>
    <row r="7238" spans="1:14" x14ac:dyDescent="0.2">
      <c r="A7238" s="30">
        <v>784</v>
      </c>
      <c r="B7238" s="249" t="str">
        <f>IF(AND(A7238&lt;&gt;"",ISNUMBER(A7238)),VLOOKUP(A7238,Studies!A:BR,2,FALSE),"")</f>
        <v>Dooley 2012</v>
      </c>
      <c r="C7238" s="250" t="str">
        <f>IF(AND(A7238&lt;&gt;"",ISNUMBER(A7238)),VLOOKUP(A7238,Studies!A:BR,3,FALSE),"")</f>
        <v>https://www.ncbi.nlm.nih.gov/pubmed/22126739</v>
      </c>
      <c r="D7238" s="250" t="str">
        <f>IF(AND(A7238&lt;&gt;"",ISNUMBER(A7238)),VLOOKUP(A7238,Studies!A:BR,4,FALSE),"")</f>
        <v>Slow metabolizer</v>
      </c>
      <c r="E7238" s="250" t="str">
        <f>IF(AND(A7238&lt;&gt;"",ISNUMBER(A7238)),VLOOKUP(A7238,Studies!A:BR,5,FALSE),"")</f>
        <v>Efavirenz</v>
      </c>
      <c r="F7238" s="251" t="str">
        <f>IF(AND(A7238&lt;&gt;"",ISNUMBER(A7238)),VLOOKUP(A7238,Studies!A:BR,6,FALSE),"")</f>
        <v>Plasma</v>
      </c>
      <c r="G7238" s="194">
        <v>313</v>
      </c>
      <c r="H7238" s="50" t="s">
        <v>60</v>
      </c>
      <c r="I7238" s="187">
        <v>5.6922460937499997</v>
      </c>
      <c r="J7238" s="41" t="s">
        <v>959</v>
      </c>
      <c r="K7238" s="41" t="s">
        <v>116</v>
      </c>
      <c r="L7238" s="195">
        <v>2.1257059574127197</v>
      </c>
      <c r="M7238" s="52" t="s">
        <v>959</v>
      </c>
      <c r="N7238" s="52" t="s">
        <v>949</v>
      </c>
    </row>
    <row r="7239" spans="1:14" x14ac:dyDescent="0.2">
      <c r="A7239" s="30">
        <v>784</v>
      </c>
      <c r="B7239" s="249" t="str">
        <f>IF(AND(A7239&lt;&gt;"",ISNUMBER(A7239)),VLOOKUP(A7239,Studies!A:BR,2,FALSE),"")</f>
        <v>Dooley 2012</v>
      </c>
      <c r="C7239" s="250" t="str">
        <f>IF(AND(A7239&lt;&gt;"",ISNUMBER(A7239)),VLOOKUP(A7239,Studies!A:BR,3,FALSE),"")</f>
        <v>https://www.ncbi.nlm.nih.gov/pubmed/22126739</v>
      </c>
      <c r="D7239" s="250" t="str">
        <f>IF(AND(A7239&lt;&gt;"",ISNUMBER(A7239)),VLOOKUP(A7239,Studies!A:BR,4,FALSE),"")</f>
        <v>Slow metabolizer</v>
      </c>
      <c r="E7239" s="250" t="str">
        <f>IF(AND(A7239&lt;&gt;"",ISNUMBER(A7239)),VLOOKUP(A7239,Studies!A:BR,5,FALSE),"")</f>
        <v>Efavirenz</v>
      </c>
      <c r="F7239" s="251" t="str">
        <f>IF(AND(A7239&lt;&gt;"",ISNUMBER(A7239)),VLOOKUP(A7239,Studies!A:BR,6,FALSE),"")</f>
        <v>Plasma</v>
      </c>
      <c r="G7239" s="194">
        <v>314</v>
      </c>
      <c r="H7239" s="50" t="s">
        <v>60</v>
      </c>
      <c r="I7239" s="187">
        <v>6.1155649414062498</v>
      </c>
      <c r="J7239" s="41" t="s">
        <v>959</v>
      </c>
      <c r="K7239" s="41" t="s">
        <v>116</v>
      </c>
      <c r="L7239" s="195">
        <v>1.3600029945373535</v>
      </c>
      <c r="M7239" s="52" t="s">
        <v>959</v>
      </c>
      <c r="N7239" s="52" t="s">
        <v>949</v>
      </c>
    </row>
    <row r="7240" spans="1:14" x14ac:dyDescent="0.2">
      <c r="A7240" s="30">
        <v>784</v>
      </c>
      <c r="B7240" s="249" t="str">
        <f>IF(AND(A7240&lt;&gt;"",ISNUMBER(A7240)),VLOOKUP(A7240,Studies!A:BR,2,FALSE),"")</f>
        <v>Dooley 2012</v>
      </c>
      <c r="C7240" s="250" t="str">
        <f>IF(AND(A7240&lt;&gt;"",ISNUMBER(A7240)),VLOOKUP(A7240,Studies!A:BR,3,FALSE),"")</f>
        <v>https://www.ncbi.nlm.nih.gov/pubmed/22126739</v>
      </c>
      <c r="D7240" s="250" t="str">
        <f>IF(AND(A7240&lt;&gt;"",ISNUMBER(A7240)),VLOOKUP(A7240,Studies!A:BR,4,FALSE),"")</f>
        <v>Slow metabolizer</v>
      </c>
      <c r="E7240" s="250" t="str">
        <f>IF(AND(A7240&lt;&gt;"",ISNUMBER(A7240)),VLOOKUP(A7240,Studies!A:BR,5,FALSE),"")</f>
        <v>Efavirenz</v>
      </c>
      <c r="F7240" s="251" t="str">
        <f>IF(AND(A7240&lt;&gt;"",ISNUMBER(A7240)),VLOOKUP(A7240,Studies!A:BR,6,FALSE),"")</f>
        <v>Plasma</v>
      </c>
      <c r="G7240" s="194">
        <v>315</v>
      </c>
      <c r="H7240" s="50" t="s">
        <v>60</v>
      </c>
      <c r="I7240" s="187">
        <v>6.2874550781250003</v>
      </c>
      <c r="J7240" s="41" t="s">
        <v>959</v>
      </c>
      <c r="K7240" s="41" t="s">
        <v>116</v>
      </c>
      <c r="L7240" s="195">
        <v>0.98288685083389282</v>
      </c>
      <c r="M7240" s="52" t="s">
        <v>959</v>
      </c>
      <c r="N7240" s="52" t="s">
        <v>949</v>
      </c>
    </row>
    <row r="7241" spans="1:14" x14ac:dyDescent="0.2">
      <c r="A7241" s="30">
        <v>784</v>
      </c>
      <c r="B7241" s="249" t="str">
        <f>IF(AND(A7241&lt;&gt;"",ISNUMBER(A7241)),VLOOKUP(A7241,Studies!A:BR,2,FALSE),"")</f>
        <v>Dooley 2012</v>
      </c>
      <c r="C7241" s="250" t="str">
        <f>IF(AND(A7241&lt;&gt;"",ISNUMBER(A7241)),VLOOKUP(A7241,Studies!A:BR,3,FALSE),"")</f>
        <v>https://www.ncbi.nlm.nih.gov/pubmed/22126739</v>
      </c>
      <c r="D7241" s="250" t="str">
        <f>IF(AND(A7241&lt;&gt;"",ISNUMBER(A7241)),VLOOKUP(A7241,Studies!A:BR,4,FALSE),"")</f>
        <v>Slow metabolizer</v>
      </c>
      <c r="E7241" s="250" t="str">
        <f>IF(AND(A7241&lt;&gt;"",ISNUMBER(A7241)),VLOOKUP(A7241,Studies!A:BR,5,FALSE),"")</f>
        <v>Efavirenz</v>
      </c>
      <c r="F7241" s="251" t="str">
        <f>IF(AND(A7241&lt;&gt;"",ISNUMBER(A7241)),VLOOKUP(A7241,Studies!A:BR,6,FALSE),"")</f>
        <v>Plasma</v>
      </c>
      <c r="G7241" s="194">
        <v>316</v>
      </c>
      <c r="H7241" s="50" t="s">
        <v>60</v>
      </c>
      <c r="I7241" s="187">
        <v>5.305083984375</v>
      </c>
      <c r="J7241" s="41" t="s">
        <v>959</v>
      </c>
      <c r="K7241" s="41" t="s">
        <v>116</v>
      </c>
      <c r="L7241" s="195">
        <v>0.720001220703125</v>
      </c>
      <c r="M7241" s="52" t="s">
        <v>959</v>
      </c>
      <c r="N7241" s="52" t="s">
        <v>949</v>
      </c>
    </row>
    <row r="7242" spans="1:14" x14ac:dyDescent="0.2">
      <c r="A7242" s="30">
        <v>784</v>
      </c>
      <c r="B7242" s="249" t="str">
        <f>IF(AND(A7242&lt;&gt;"",ISNUMBER(A7242)),VLOOKUP(A7242,Studies!A:BR,2,FALSE),"")</f>
        <v>Dooley 2012</v>
      </c>
      <c r="C7242" s="250" t="str">
        <f>IF(AND(A7242&lt;&gt;"",ISNUMBER(A7242)),VLOOKUP(A7242,Studies!A:BR,3,FALSE),"")</f>
        <v>https://www.ncbi.nlm.nih.gov/pubmed/22126739</v>
      </c>
      <c r="D7242" s="250" t="str">
        <f>IF(AND(A7242&lt;&gt;"",ISNUMBER(A7242)),VLOOKUP(A7242,Studies!A:BR,4,FALSE),"")</f>
        <v>Slow metabolizer</v>
      </c>
      <c r="E7242" s="250" t="str">
        <f>IF(AND(A7242&lt;&gt;"",ISNUMBER(A7242)),VLOOKUP(A7242,Studies!A:BR,5,FALSE),"")</f>
        <v>Efavirenz</v>
      </c>
      <c r="F7242" s="251" t="str">
        <f>IF(AND(A7242&lt;&gt;"",ISNUMBER(A7242)),VLOOKUP(A7242,Studies!A:BR,6,FALSE),"")</f>
        <v>Plasma</v>
      </c>
      <c r="G7242" s="194">
        <v>320</v>
      </c>
      <c r="H7242" s="50" t="s">
        <v>60</v>
      </c>
      <c r="I7242" s="187">
        <v>4.3812788085937502</v>
      </c>
      <c r="J7242" s="41" t="s">
        <v>959</v>
      </c>
      <c r="K7242" s="41" t="s">
        <v>116</v>
      </c>
      <c r="L7242" s="195">
        <v>0.77715826034545898</v>
      </c>
      <c r="M7242" s="52" t="s">
        <v>959</v>
      </c>
      <c r="N7242" s="52" t="s">
        <v>949</v>
      </c>
    </row>
    <row r="7243" spans="1:14" x14ac:dyDescent="0.2">
      <c r="A7243" s="30">
        <v>784</v>
      </c>
      <c r="B7243" s="249" t="str">
        <f>IF(AND(A7243&lt;&gt;"",ISNUMBER(A7243)),VLOOKUP(A7243,Studies!A:BR,2,FALSE),"")</f>
        <v>Dooley 2012</v>
      </c>
      <c r="C7243" s="250" t="str">
        <f>IF(AND(A7243&lt;&gt;"",ISNUMBER(A7243)),VLOOKUP(A7243,Studies!A:BR,3,FALSE),"")</f>
        <v>https://www.ncbi.nlm.nih.gov/pubmed/22126739</v>
      </c>
      <c r="D7243" s="250" t="str">
        <f>IF(AND(A7243&lt;&gt;"",ISNUMBER(A7243)),VLOOKUP(A7243,Studies!A:BR,4,FALSE),"")</f>
        <v>Slow metabolizer</v>
      </c>
      <c r="E7243" s="250" t="str">
        <f>IF(AND(A7243&lt;&gt;"",ISNUMBER(A7243)),VLOOKUP(A7243,Studies!A:BR,5,FALSE),"")</f>
        <v>Efavirenz</v>
      </c>
      <c r="F7243" s="251" t="str">
        <f>IF(AND(A7243&lt;&gt;"",ISNUMBER(A7243)),VLOOKUP(A7243,Studies!A:BR,6,FALSE),"")</f>
        <v>Plasma</v>
      </c>
      <c r="G7243" s="194">
        <v>324</v>
      </c>
      <c r="H7243" s="50" t="s">
        <v>60</v>
      </c>
      <c r="I7243" s="187">
        <v>4.1660468750000001</v>
      </c>
      <c r="J7243" s="41" t="s">
        <v>959</v>
      </c>
      <c r="K7243" s="41" t="s">
        <v>116</v>
      </c>
      <c r="L7243" s="195">
        <v>0.79997396469116211</v>
      </c>
      <c r="M7243" s="52" t="s">
        <v>959</v>
      </c>
      <c r="N7243" s="52" t="s">
        <v>949</v>
      </c>
    </row>
    <row r="7244" spans="1:14" x14ac:dyDescent="0.2">
      <c r="A7244" s="30">
        <v>784</v>
      </c>
      <c r="B7244" s="249" t="str">
        <f>IF(AND(A7244&lt;&gt;"",ISNUMBER(A7244)),VLOOKUP(A7244,Studies!A:BR,2,FALSE),"")</f>
        <v>Dooley 2012</v>
      </c>
      <c r="C7244" s="250" t="str">
        <f>IF(AND(A7244&lt;&gt;"",ISNUMBER(A7244)),VLOOKUP(A7244,Studies!A:BR,3,FALSE),"")</f>
        <v>https://www.ncbi.nlm.nih.gov/pubmed/22126739</v>
      </c>
      <c r="D7244" s="250" t="str">
        <f>IF(AND(A7244&lt;&gt;"",ISNUMBER(A7244)),VLOOKUP(A7244,Studies!A:BR,4,FALSE),"")</f>
        <v>Slow metabolizer</v>
      </c>
      <c r="E7244" s="250" t="str">
        <f>IF(AND(A7244&lt;&gt;"",ISNUMBER(A7244)),VLOOKUP(A7244,Studies!A:BR,5,FALSE),"")</f>
        <v>Efavirenz</v>
      </c>
      <c r="F7244" s="251" t="str">
        <f>IF(AND(A7244&lt;&gt;"",ISNUMBER(A7244)),VLOOKUP(A7244,Studies!A:BR,6,FALSE),"")</f>
        <v>Plasma</v>
      </c>
      <c r="G7244" s="194">
        <v>336</v>
      </c>
      <c r="H7244" s="50" t="s">
        <v>60</v>
      </c>
      <c r="I7244" s="187">
        <v>3.7717399902343751</v>
      </c>
      <c r="J7244" s="41" t="s">
        <v>959</v>
      </c>
      <c r="K7244" s="41" t="s">
        <v>116</v>
      </c>
      <c r="L7244" s="195">
        <v>0.662872314453125</v>
      </c>
      <c r="M7244" s="52" t="s">
        <v>959</v>
      </c>
      <c r="N7244" s="52" t="s">
        <v>949</v>
      </c>
    </row>
    <row r="7245" spans="1:14" x14ac:dyDescent="0.2">
      <c r="A7245" s="30">
        <v>785</v>
      </c>
      <c r="B7245" s="249" t="str">
        <f>IF(AND(A7245&lt;&gt;"",ISNUMBER(A7245)),VLOOKUP(A7245,Studies!A:BR,2,FALSE),"")</f>
        <v>Garg 2013</v>
      </c>
      <c r="C7245" s="250" t="str">
        <f>IF(AND(A7245&lt;&gt;"",ISNUMBER(A7245)),VLOOKUP(A7245,Studies!A:BR,3,FALSE),"")</f>
        <v>https://www.ncbi.nlm.nih.gov/pubmed/22642697</v>
      </c>
      <c r="D7245" s="250" t="str">
        <f>IF(AND(A7245&lt;&gt;"",ISNUMBER(A7245)),VLOOKUP(A7245,Studies!A:BR,4,FALSE),"")</f>
        <v>Efavirenz without telaprevir</v>
      </c>
      <c r="E7245" s="250" t="str">
        <f>IF(AND(A7245&lt;&gt;"",ISNUMBER(A7245)),VLOOKUP(A7245,Studies!A:BR,5,FALSE),"")</f>
        <v>Efavirenz</v>
      </c>
      <c r="F7245" s="251" t="str">
        <f>IF(AND(A7245&lt;&gt;"",ISNUMBER(A7245)),VLOOKUP(A7245,Studies!A:BR,6,FALSE),"")</f>
        <v>Plasma</v>
      </c>
      <c r="G7245" s="194">
        <v>216</v>
      </c>
      <c r="H7245" s="50" t="s">
        <v>60</v>
      </c>
      <c r="I7245" s="187">
        <v>1670.720947265625</v>
      </c>
      <c r="J7245" s="41" t="s">
        <v>941</v>
      </c>
      <c r="K7245" s="41" t="s">
        <v>116</v>
      </c>
      <c r="L7245" s="195">
        <v>674.28076267242432</v>
      </c>
      <c r="M7245" s="52" t="s">
        <v>941</v>
      </c>
      <c r="N7245" s="52" t="s">
        <v>117</v>
      </c>
    </row>
    <row r="7246" spans="1:14" x14ac:dyDescent="0.2">
      <c r="A7246" s="30">
        <v>785</v>
      </c>
      <c r="B7246" s="249" t="str">
        <f>IF(AND(A7246&lt;&gt;"",ISNUMBER(A7246)),VLOOKUP(A7246,Studies!A:BR,2,FALSE),"")</f>
        <v>Garg 2013</v>
      </c>
      <c r="C7246" s="250" t="str">
        <f>IF(AND(A7246&lt;&gt;"",ISNUMBER(A7246)),VLOOKUP(A7246,Studies!A:BR,3,FALSE),"")</f>
        <v>https://www.ncbi.nlm.nih.gov/pubmed/22642697</v>
      </c>
      <c r="D7246" s="250" t="str">
        <f>IF(AND(A7246&lt;&gt;"",ISNUMBER(A7246)),VLOOKUP(A7246,Studies!A:BR,4,FALSE),"")</f>
        <v>Efavirenz without telaprevir</v>
      </c>
      <c r="E7246" s="250" t="str">
        <f>IF(AND(A7246&lt;&gt;"",ISNUMBER(A7246)),VLOOKUP(A7246,Studies!A:BR,5,FALSE),"")</f>
        <v>Efavirenz</v>
      </c>
      <c r="F7246" s="251" t="str">
        <f>IF(AND(A7246&lt;&gt;"",ISNUMBER(A7246)),VLOOKUP(A7246,Studies!A:BR,6,FALSE),"")</f>
        <v>Plasma</v>
      </c>
      <c r="G7246" s="194">
        <v>217</v>
      </c>
      <c r="H7246" s="50" t="s">
        <v>60</v>
      </c>
      <c r="I7246" s="187">
        <v>2600.955810546875</v>
      </c>
      <c r="J7246" s="41" t="s">
        <v>941</v>
      </c>
      <c r="K7246" s="41" t="s">
        <v>116</v>
      </c>
      <c r="L7246" s="195">
        <v>914.74759578704834</v>
      </c>
      <c r="M7246" s="52" t="s">
        <v>941</v>
      </c>
      <c r="N7246" s="52" t="s">
        <v>117</v>
      </c>
    </row>
    <row r="7247" spans="1:14" x14ac:dyDescent="0.2">
      <c r="A7247" s="30">
        <v>785</v>
      </c>
      <c r="B7247" s="249" t="str">
        <f>IF(AND(A7247&lt;&gt;"",ISNUMBER(A7247)),VLOOKUP(A7247,Studies!A:BR,2,FALSE),"")</f>
        <v>Garg 2013</v>
      </c>
      <c r="C7247" s="250" t="str">
        <f>IF(AND(A7247&lt;&gt;"",ISNUMBER(A7247)),VLOOKUP(A7247,Studies!A:BR,3,FALSE),"")</f>
        <v>https://www.ncbi.nlm.nih.gov/pubmed/22642697</v>
      </c>
      <c r="D7247" s="250" t="str">
        <f>IF(AND(A7247&lt;&gt;"",ISNUMBER(A7247)),VLOOKUP(A7247,Studies!A:BR,4,FALSE),"")</f>
        <v>Efavirenz without telaprevir</v>
      </c>
      <c r="E7247" s="250" t="str">
        <f>IF(AND(A7247&lt;&gt;"",ISNUMBER(A7247)),VLOOKUP(A7247,Studies!A:BR,5,FALSE),"")</f>
        <v>Efavirenz</v>
      </c>
      <c r="F7247" s="251" t="str">
        <f>IF(AND(A7247&lt;&gt;"",ISNUMBER(A7247)),VLOOKUP(A7247,Studies!A:BR,6,FALSE),"")</f>
        <v>Plasma</v>
      </c>
      <c r="G7247" s="194">
        <v>218</v>
      </c>
      <c r="H7247" s="50" t="s">
        <v>60</v>
      </c>
      <c r="I7247" s="187">
        <v>3482.75</v>
      </c>
      <c r="J7247" s="41" t="s">
        <v>941</v>
      </c>
      <c r="K7247" s="41" t="s">
        <v>116</v>
      </c>
      <c r="L7247" s="195">
        <v>1137.0340585708618</v>
      </c>
      <c r="M7247" s="52" t="s">
        <v>941</v>
      </c>
      <c r="N7247" s="52" t="s">
        <v>117</v>
      </c>
    </row>
    <row r="7248" spans="1:14" x14ac:dyDescent="0.2">
      <c r="A7248" s="30">
        <v>785</v>
      </c>
      <c r="B7248" s="249" t="str">
        <f>IF(AND(A7248&lt;&gt;"",ISNUMBER(A7248)),VLOOKUP(A7248,Studies!A:BR,2,FALSE),"")</f>
        <v>Garg 2013</v>
      </c>
      <c r="C7248" s="250" t="str">
        <f>IF(AND(A7248&lt;&gt;"",ISNUMBER(A7248)),VLOOKUP(A7248,Studies!A:BR,3,FALSE),"")</f>
        <v>https://www.ncbi.nlm.nih.gov/pubmed/22642697</v>
      </c>
      <c r="D7248" s="250" t="str">
        <f>IF(AND(A7248&lt;&gt;"",ISNUMBER(A7248)),VLOOKUP(A7248,Studies!A:BR,4,FALSE),"")</f>
        <v>Efavirenz without telaprevir</v>
      </c>
      <c r="E7248" s="250" t="str">
        <f>IF(AND(A7248&lt;&gt;"",ISNUMBER(A7248)),VLOOKUP(A7248,Studies!A:BR,5,FALSE),"")</f>
        <v>Efavirenz</v>
      </c>
      <c r="F7248" s="251" t="str">
        <f>IF(AND(A7248&lt;&gt;"",ISNUMBER(A7248)),VLOOKUP(A7248,Studies!A:BR,6,FALSE),"")</f>
        <v>Plasma</v>
      </c>
      <c r="G7248" s="194">
        <v>219</v>
      </c>
      <c r="H7248" s="50" t="s">
        <v>60</v>
      </c>
      <c r="I7248" s="187">
        <v>3650.6669921875</v>
      </c>
      <c r="J7248" s="41" t="s">
        <v>941</v>
      </c>
      <c r="K7248" s="41" t="s">
        <v>116</v>
      </c>
      <c r="L7248" s="195">
        <v>1056.9559335708618</v>
      </c>
      <c r="M7248" s="52" t="s">
        <v>941</v>
      </c>
      <c r="N7248" s="52" t="s">
        <v>117</v>
      </c>
    </row>
    <row r="7249" spans="1:16" x14ac:dyDescent="0.2">
      <c r="A7249" s="30">
        <v>785</v>
      </c>
      <c r="B7249" s="249" t="str">
        <f>IF(AND(A7249&lt;&gt;"",ISNUMBER(A7249)),VLOOKUP(A7249,Studies!A:BR,2,FALSE),"")</f>
        <v>Garg 2013</v>
      </c>
      <c r="C7249" s="250" t="str">
        <f>IF(AND(A7249&lt;&gt;"",ISNUMBER(A7249)),VLOOKUP(A7249,Studies!A:BR,3,FALSE),"")</f>
        <v>https://www.ncbi.nlm.nih.gov/pubmed/22642697</v>
      </c>
      <c r="D7249" s="250" t="str">
        <f>IF(AND(A7249&lt;&gt;"",ISNUMBER(A7249)),VLOOKUP(A7249,Studies!A:BR,4,FALSE),"")</f>
        <v>Efavirenz without telaprevir</v>
      </c>
      <c r="E7249" s="250" t="str">
        <f>IF(AND(A7249&lt;&gt;"",ISNUMBER(A7249)),VLOOKUP(A7249,Studies!A:BR,5,FALSE),"")</f>
        <v>Efavirenz</v>
      </c>
      <c r="F7249" s="251" t="str">
        <f>IF(AND(A7249&lt;&gt;"",ISNUMBER(A7249)),VLOOKUP(A7249,Studies!A:BR,6,FALSE),"")</f>
        <v>Plasma</v>
      </c>
      <c r="G7249" s="194">
        <v>220</v>
      </c>
      <c r="H7249" s="50" t="s">
        <v>60</v>
      </c>
      <c r="I7249" s="187">
        <v>3230</v>
      </c>
      <c r="J7249" s="41" t="s">
        <v>941</v>
      </c>
      <c r="K7249" s="41" t="s">
        <v>116</v>
      </c>
      <c r="L7249" s="195">
        <v>1054.5170307159424</v>
      </c>
      <c r="M7249" s="52" t="s">
        <v>941</v>
      </c>
      <c r="N7249" s="52" t="s">
        <v>117</v>
      </c>
    </row>
    <row r="7250" spans="1:16" x14ac:dyDescent="0.2">
      <c r="A7250" s="30">
        <v>785</v>
      </c>
      <c r="B7250" s="249" t="str">
        <f>IF(AND(A7250&lt;&gt;"",ISNUMBER(A7250)),VLOOKUP(A7250,Studies!A:BR,2,FALSE),"")</f>
        <v>Garg 2013</v>
      </c>
      <c r="C7250" s="250" t="str">
        <f>IF(AND(A7250&lt;&gt;"",ISNUMBER(A7250)),VLOOKUP(A7250,Studies!A:BR,3,FALSE),"")</f>
        <v>https://www.ncbi.nlm.nih.gov/pubmed/22642697</v>
      </c>
      <c r="D7250" s="250" t="str">
        <f>IF(AND(A7250&lt;&gt;"",ISNUMBER(A7250)),VLOOKUP(A7250,Studies!A:BR,4,FALSE),"")</f>
        <v>Efavirenz without telaprevir</v>
      </c>
      <c r="E7250" s="250" t="str">
        <f>IF(AND(A7250&lt;&gt;"",ISNUMBER(A7250)),VLOOKUP(A7250,Studies!A:BR,5,FALSE),"")</f>
        <v>Efavirenz</v>
      </c>
      <c r="F7250" s="251" t="str">
        <f>IF(AND(A7250&lt;&gt;"",ISNUMBER(A7250)),VLOOKUP(A7250,Studies!A:BR,6,FALSE),"")</f>
        <v>Plasma</v>
      </c>
      <c r="G7250" s="194">
        <v>221</v>
      </c>
      <c r="H7250" s="50" t="s">
        <v>60</v>
      </c>
      <c r="I7250" s="187">
        <v>2967.512939453125</v>
      </c>
      <c r="J7250" s="41" t="s">
        <v>941</v>
      </c>
      <c r="K7250" s="41" t="s">
        <v>116</v>
      </c>
      <c r="L7250" s="195">
        <v>1006.0670375823975</v>
      </c>
      <c r="M7250" s="52" t="s">
        <v>941</v>
      </c>
      <c r="N7250" s="52" t="s">
        <v>117</v>
      </c>
    </row>
    <row r="7251" spans="1:16" x14ac:dyDescent="0.2">
      <c r="A7251" s="30">
        <v>785</v>
      </c>
      <c r="B7251" s="249" t="str">
        <f>IF(AND(A7251&lt;&gt;"",ISNUMBER(A7251)),VLOOKUP(A7251,Studies!A:BR,2,FALSE),"")</f>
        <v>Garg 2013</v>
      </c>
      <c r="C7251" s="250" t="str">
        <f>IF(AND(A7251&lt;&gt;"",ISNUMBER(A7251)),VLOOKUP(A7251,Studies!A:BR,3,FALSE),"")</f>
        <v>https://www.ncbi.nlm.nih.gov/pubmed/22642697</v>
      </c>
      <c r="D7251" s="250" t="str">
        <f>IF(AND(A7251&lt;&gt;"",ISNUMBER(A7251)),VLOOKUP(A7251,Studies!A:BR,4,FALSE),"")</f>
        <v>Efavirenz without telaprevir</v>
      </c>
      <c r="E7251" s="250" t="str">
        <f>IF(AND(A7251&lt;&gt;"",ISNUMBER(A7251)),VLOOKUP(A7251,Studies!A:BR,5,FALSE),"")</f>
        <v>Efavirenz</v>
      </c>
      <c r="F7251" s="251" t="str">
        <f>IF(AND(A7251&lt;&gt;"",ISNUMBER(A7251)),VLOOKUP(A7251,Studies!A:BR,6,FALSE),"")</f>
        <v>Plasma</v>
      </c>
      <c r="G7251" s="194">
        <v>222</v>
      </c>
      <c r="H7251" s="50" t="s">
        <v>60</v>
      </c>
      <c r="I7251" s="187">
        <v>2912.142822265625</v>
      </c>
      <c r="J7251" s="41" t="s">
        <v>941</v>
      </c>
      <c r="K7251" s="41" t="s">
        <v>116</v>
      </c>
      <c r="L7251" s="195">
        <v>1024.1919755935669</v>
      </c>
      <c r="M7251" s="52" t="s">
        <v>941</v>
      </c>
      <c r="N7251" s="52" t="s">
        <v>117</v>
      </c>
    </row>
    <row r="7252" spans="1:16" x14ac:dyDescent="0.2">
      <c r="A7252" s="30">
        <v>785</v>
      </c>
      <c r="B7252" s="249" t="str">
        <f>IF(AND(A7252&lt;&gt;"",ISNUMBER(A7252)),VLOOKUP(A7252,Studies!A:BR,2,FALSE),"")</f>
        <v>Garg 2013</v>
      </c>
      <c r="C7252" s="250" t="str">
        <f>IF(AND(A7252&lt;&gt;"",ISNUMBER(A7252)),VLOOKUP(A7252,Studies!A:BR,3,FALSE),"")</f>
        <v>https://www.ncbi.nlm.nih.gov/pubmed/22642697</v>
      </c>
      <c r="D7252" s="250" t="str">
        <f>IF(AND(A7252&lt;&gt;"",ISNUMBER(A7252)),VLOOKUP(A7252,Studies!A:BR,4,FALSE),"")</f>
        <v>Efavirenz without telaprevir</v>
      </c>
      <c r="E7252" s="250" t="str">
        <f>IF(AND(A7252&lt;&gt;"",ISNUMBER(A7252)),VLOOKUP(A7252,Studies!A:BR,5,FALSE),"")</f>
        <v>Efavirenz</v>
      </c>
      <c r="F7252" s="251" t="str">
        <f>IF(AND(A7252&lt;&gt;"",ISNUMBER(A7252)),VLOOKUP(A7252,Studies!A:BR,6,FALSE),"")</f>
        <v>Plasma</v>
      </c>
      <c r="G7252" s="194">
        <v>224</v>
      </c>
      <c r="H7252" s="50" t="s">
        <v>60</v>
      </c>
      <c r="I7252" s="187">
        <v>2552.425048828125</v>
      </c>
      <c r="J7252" s="41" t="s">
        <v>941</v>
      </c>
      <c r="K7252" s="41" t="s">
        <v>116</v>
      </c>
      <c r="L7252" s="195">
        <v>833.30518007278442</v>
      </c>
      <c r="M7252" s="52" t="s">
        <v>941</v>
      </c>
      <c r="N7252" s="52" t="s">
        <v>117</v>
      </c>
    </row>
    <row r="7253" spans="1:16" x14ac:dyDescent="0.2">
      <c r="A7253" s="30">
        <v>785</v>
      </c>
      <c r="B7253" s="249" t="str">
        <f>IF(AND(A7253&lt;&gt;"",ISNUMBER(A7253)),VLOOKUP(A7253,Studies!A:BR,2,FALSE),"")</f>
        <v>Garg 2013</v>
      </c>
      <c r="C7253" s="250" t="str">
        <f>IF(AND(A7253&lt;&gt;"",ISNUMBER(A7253)),VLOOKUP(A7253,Studies!A:BR,3,FALSE),"")</f>
        <v>https://www.ncbi.nlm.nih.gov/pubmed/22642697</v>
      </c>
      <c r="D7253" s="250" t="str">
        <f>IF(AND(A7253&lt;&gt;"",ISNUMBER(A7253)),VLOOKUP(A7253,Studies!A:BR,4,FALSE),"")</f>
        <v>Efavirenz without telaprevir</v>
      </c>
      <c r="E7253" s="250" t="str">
        <f>IF(AND(A7253&lt;&gt;"",ISNUMBER(A7253)),VLOOKUP(A7253,Studies!A:BR,5,FALSE),"")</f>
        <v>Efavirenz</v>
      </c>
      <c r="F7253" s="251" t="str">
        <f>IF(AND(A7253&lt;&gt;"",ISNUMBER(A7253)),VLOOKUP(A7253,Studies!A:BR,6,FALSE),"")</f>
        <v>Plasma</v>
      </c>
      <c r="G7253" s="194">
        <v>226</v>
      </c>
      <c r="H7253" s="50" t="s">
        <v>60</v>
      </c>
      <c r="I7253" s="187">
        <v>2323.02099609375</v>
      </c>
      <c r="J7253" s="41" t="s">
        <v>941</v>
      </c>
      <c r="K7253" s="41" t="s">
        <v>116</v>
      </c>
      <c r="L7253" s="195">
        <v>846.7106819152832</v>
      </c>
      <c r="M7253" s="52" t="s">
        <v>941</v>
      </c>
      <c r="N7253" s="52" t="s">
        <v>117</v>
      </c>
    </row>
    <row r="7254" spans="1:16" x14ac:dyDescent="0.2">
      <c r="A7254" s="30">
        <v>785</v>
      </c>
      <c r="B7254" s="249" t="str">
        <f>IF(AND(A7254&lt;&gt;"",ISNUMBER(A7254)),VLOOKUP(A7254,Studies!A:BR,2,FALSE),"")</f>
        <v>Garg 2013</v>
      </c>
      <c r="C7254" s="250" t="str">
        <f>IF(AND(A7254&lt;&gt;"",ISNUMBER(A7254)),VLOOKUP(A7254,Studies!A:BR,3,FALSE),"")</f>
        <v>https://www.ncbi.nlm.nih.gov/pubmed/22642697</v>
      </c>
      <c r="D7254" s="250" t="str">
        <f>IF(AND(A7254&lt;&gt;"",ISNUMBER(A7254)),VLOOKUP(A7254,Studies!A:BR,4,FALSE),"")</f>
        <v>Efavirenz without telaprevir</v>
      </c>
      <c r="E7254" s="250" t="str">
        <f>IF(AND(A7254&lt;&gt;"",ISNUMBER(A7254)),VLOOKUP(A7254,Studies!A:BR,5,FALSE),"")</f>
        <v>Efavirenz</v>
      </c>
      <c r="F7254" s="251" t="str">
        <f>IF(AND(A7254&lt;&gt;"",ISNUMBER(A7254)),VLOOKUP(A7254,Studies!A:BR,6,FALSE),"")</f>
        <v>Plasma</v>
      </c>
      <c r="G7254" s="194">
        <v>228</v>
      </c>
      <c r="H7254" s="50" t="s">
        <v>60</v>
      </c>
      <c r="I7254" s="187">
        <v>2237.14013671875</v>
      </c>
      <c r="J7254" s="41" t="s">
        <v>941</v>
      </c>
      <c r="K7254" s="41" t="s">
        <v>116</v>
      </c>
      <c r="L7254" s="195">
        <v>902.88090705871582</v>
      </c>
      <c r="M7254" s="52" t="s">
        <v>941</v>
      </c>
      <c r="N7254" s="52" t="s">
        <v>117</v>
      </c>
    </row>
    <row r="7255" spans="1:16" x14ac:dyDescent="0.2">
      <c r="A7255" s="30">
        <v>785</v>
      </c>
      <c r="B7255" s="249" t="str">
        <f>IF(AND(A7255&lt;&gt;"",ISNUMBER(A7255)),VLOOKUP(A7255,Studies!A:BR,2,FALSE),"")</f>
        <v>Garg 2013</v>
      </c>
      <c r="C7255" s="250" t="str">
        <f>IF(AND(A7255&lt;&gt;"",ISNUMBER(A7255)),VLOOKUP(A7255,Studies!A:BR,3,FALSE),"")</f>
        <v>https://www.ncbi.nlm.nih.gov/pubmed/22642697</v>
      </c>
      <c r="D7255" s="250" t="str">
        <f>IF(AND(A7255&lt;&gt;"",ISNUMBER(A7255)),VLOOKUP(A7255,Studies!A:BR,4,FALSE),"")</f>
        <v>Efavirenz without telaprevir</v>
      </c>
      <c r="E7255" s="250" t="str">
        <f>IF(AND(A7255&lt;&gt;"",ISNUMBER(A7255)),VLOOKUP(A7255,Studies!A:BR,5,FALSE),"")</f>
        <v>Efavirenz</v>
      </c>
      <c r="F7255" s="251" t="str">
        <f>IF(AND(A7255&lt;&gt;"",ISNUMBER(A7255)),VLOOKUP(A7255,Studies!A:BR,6,FALSE),"")</f>
        <v>Plasma</v>
      </c>
      <c r="G7255" s="194">
        <v>240</v>
      </c>
      <c r="H7255" s="50" t="s">
        <v>60</v>
      </c>
      <c r="I7255" s="187">
        <v>1734.85791015625</v>
      </c>
      <c r="J7255" s="41" t="s">
        <v>941</v>
      </c>
      <c r="K7255" s="41" t="s">
        <v>116</v>
      </c>
      <c r="L7255" s="195">
        <v>746.46353721618652</v>
      </c>
      <c r="M7255" s="52" t="s">
        <v>941</v>
      </c>
      <c r="N7255" s="52" t="s">
        <v>117</v>
      </c>
    </row>
    <row r="7256" spans="1:16" x14ac:dyDescent="0.2">
      <c r="A7256" s="30">
        <v>786</v>
      </c>
      <c r="B7256" s="249" t="str">
        <f>IF(AND(A7256&lt;&gt;"",ISNUMBER(A7256)),VLOOKUP(A7256,Studies!A:BR,2,FALSE),"")</f>
        <v>Huang 2013</v>
      </c>
      <c r="C7256" s="250" t="str">
        <f>IF(AND(A7256&lt;&gt;"",ISNUMBER(A7256)),VLOOKUP(A7256,Studies!A:BR,3,FALSE),"")</f>
        <v>https://www.ncbi.nlm.nih.gov/pubmed/22918158</v>
      </c>
      <c r="D7256" s="250" t="str">
        <f>IF(AND(A7256&lt;&gt;"",ISNUMBER(A7256)),VLOOKUP(A7256,Studies!A:BR,4,FALSE),"")</f>
        <v>EFV administration alone</v>
      </c>
      <c r="E7256" s="250" t="str">
        <f>IF(AND(A7256&lt;&gt;"",ISNUMBER(A7256)),VLOOKUP(A7256,Studies!A:BR,5,FALSE),"")</f>
        <v>Efavirenz</v>
      </c>
      <c r="F7256" s="251" t="str">
        <f>IF(AND(A7256&lt;&gt;"",ISNUMBER(A7256)),VLOOKUP(A7256,Studies!A:BR,6,FALSE),"")</f>
        <v>Plasma</v>
      </c>
      <c r="G7256" s="194">
        <v>240</v>
      </c>
      <c r="H7256" s="50" t="s">
        <v>60</v>
      </c>
      <c r="I7256" s="187">
        <v>2489.510009765625</v>
      </c>
      <c r="J7256" s="41" t="s">
        <v>941</v>
      </c>
      <c r="K7256" s="41" t="s">
        <v>116</v>
      </c>
      <c r="L7256" s="195">
        <v>1762.2379064559937</v>
      </c>
      <c r="M7256" s="52" t="s">
        <v>941</v>
      </c>
      <c r="N7256" s="52" t="s">
        <v>117</v>
      </c>
    </row>
    <row r="7257" spans="1:16" x14ac:dyDescent="0.2">
      <c r="A7257" s="30">
        <v>786</v>
      </c>
      <c r="B7257" s="249" t="str">
        <f>IF(AND(A7257&lt;&gt;"",ISNUMBER(A7257)),VLOOKUP(A7257,Studies!A:BR,2,FALSE),"")</f>
        <v>Huang 2013</v>
      </c>
      <c r="C7257" s="250" t="str">
        <f>IF(AND(A7257&lt;&gt;"",ISNUMBER(A7257)),VLOOKUP(A7257,Studies!A:BR,3,FALSE),"")</f>
        <v>https://www.ncbi.nlm.nih.gov/pubmed/22918158</v>
      </c>
      <c r="D7257" s="250" t="str">
        <f>IF(AND(A7257&lt;&gt;"",ISNUMBER(A7257)),VLOOKUP(A7257,Studies!A:BR,4,FALSE),"")</f>
        <v>EFV administration alone</v>
      </c>
      <c r="E7257" s="250" t="str">
        <f>IF(AND(A7257&lt;&gt;"",ISNUMBER(A7257)),VLOOKUP(A7257,Studies!A:BR,5,FALSE),"")</f>
        <v>Efavirenz</v>
      </c>
      <c r="F7257" s="251" t="str">
        <f>IF(AND(A7257&lt;&gt;"",ISNUMBER(A7257)),VLOOKUP(A7257,Studies!A:BR,6,FALSE),"")</f>
        <v>Plasma</v>
      </c>
      <c r="G7257" s="194">
        <v>241</v>
      </c>
      <c r="H7257" s="50" t="s">
        <v>60</v>
      </c>
      <c r="I7257" s="187">
        <v>3034.96484375</v>
      </c>
      <c r="J7257" s="41" t="s">
        <v>941</v>
      </c>
      <c r="K7257" s="41" t="s">
        <v>116</v>
      </c>
      <c r="L7257" s="195">
        <v>2041.9578552246094</v>
      </c>
      <c r="M7257" s="52" t="s">
        <v>941</v>
      </c>
      <c r="N7257" s="52" t="s">
        <v>117</v>
      </c>
    </row>
    <row r="7258" spans="1:16" x14ac:dyDescent="0.2">
      <c r="A7258" s="30">
        <v>786</v>
      </c>
      <c r="B7258" s="249" t="str">
        <f>IF(AND(A7258&lt;&gt;"",ISNUMBER(A7258)),VLOOKUP(A7258,Studies!A:BR,2,FALSE),"")</f>
        <v>Huang 2013</v>
      </c>
      <c r="C7258" s="250" t="str">
        <f>IF(AND(A7258&lt;&gt;"",ISNUMBER(A7258)),VLOOKUP(A7258,Studies!A:BR,3,FALSE),"")</f>
        <v>https://www.ncbi.nlm.nih.gov/pubmed/22918158</v>
      </c>
      <c r="D7258" s="250" t="str">
        <f>IF(AND(A7258&lt;&gt;"",ISNUMBER(A7258)),VLOOKUP(A7258,Studies!A:BR,4,FALSE),"")</f>
        <v>EFV administration alone</v>
      </c>
      <c r="E7258" s="250" t="str">
        <f>IF(AND(A7258&lt;&gt;"",ISNUMBER(A7258)),VLOOKUP(A7258,Studies!A:BR,5,FALSE),"")</f>
        <v>Efavirenz</v>
      </c>
      <c r="F7258" s="251" t="str">
        <f>IF(AND(A7258&lt;&gt;"",ISNUMBER(A7258)),VLOOKUP(A7258,Studies!A:BR,6,FALSE),"")</f>
        <v>Plasma</v>
      </c>
      <c r="G7258" s="194">
        <v>242</v>
      </c>
      <c r="H7258" s="50" t="s">
        <v>60</v>
      </c>
      <c r="I7258" s="187">
        <v>3720.27978515625</v>
      </c>
      <c r="J7258" s="41" t="s">
        <v>941</v>
      </c>
      <c r="K7258" s="41" t="s">
        <v>116</v>
      </c>
      <c r="L7258" s="195">
        <v>1944.0549612045288</v>
      </c>
      <c r="M7258" s="52" t="s">
        <v>941</v>
      </c>
      <c r="N7258" s="52" t="s">
        <v>117</v>
      </c>
    </row>
    <row r="7259" spans="1:16" x14ac:dyDescent="0.2">
      <c r="A7259" s="30">
        <v>786</v>
      </c>
      <c r="B7259" s="249" t="str">
        <f>IF(AND(A7259&lt;&gt;"",ISNUMBER(A7259)),VLOOKUP(A7259,Studies!A:BR,2,FALSE),"")</f>
        <v>Huang 2013</v>
      </c>
      <c r="C7259" s="250" t="str">
        <f>IF(AND(A7259&lt;&gt;"",ISNUMBER(A7259)),VLOOKUP(A7259,Studies!A:BR,3,FALSE),"")</f>
        <v>https://www.ncbi.nlm.nih.gov/pubmed/22918158</v>
      </c>
      <c r="D7259" s="250" t="str">
        <f>IF(AND(A7259&lt;&gt;"",ISNUMBER(A7259)),VLOOKUP(A7259,Studies!A:BR,4,FALSE),"")</f>
        <v>EFV administration alone</v>
      </c>
      <c r="E7259" s="250" t="str">
        <f>IF(AND(A7259&lt;&gt;"",ISNUMBER(A7259)),VLOOKUP(A7259,Studies!A:BR,5,FALSE),"")</f>
        <v>Efavirenz</v>
      </c>
      <c r="F7259" s="251" t="str">
        <f>IF(AND(A7259&lt;&gt;"",ISNUMBER(A7259)),VLOOKUP(A7259,Studies!A:BR,6,FALSE),"")</f>
        <v>Plasma</v>
      </c>
      <c r="G7259" s="194">
        <v>244</v>
      </c>
      <c r="H7259" s="50" t="s">
        <v>60</v>
      </c>
      <c r="I7259" s="187">
        <v>3790.2099609375</v>
      </c>
      <c r="J7259" s="41" t="s">
        <v>941</v>
      </c>
      <c r="K7259" s="41" t="s">
        <v>116</v>
      </c>
      <c r="L7259" s="195">
        <v>1636.3630294799805</v>
      </c>
      <c r="M7259" s="52" t="s">
        <v>941</v>
      </c>
      <c r="N7259" s="52" t="s">
        <v>117</v>
      </c>
    </row>
    <row r="7260" spans="1:16" x14ac:dyDescent="0.2">
      <c r="A7260" s="30">
        <v>786</v>
      </c>
      <c r="B7260" s="249" t="str">
        <f>IF(AND(A7260&lt;&gt;"",ISNUMBER(A7260)),VLOOKUP(A7260,Studies!A:BR,2,FALSE),"")</f>
        <v>Huang 2013</v>
      </c>
      <c r="C7260" s="250" t="str">
        <f>IF(AND(A7260&lt;&gt;"",ISNUMBER(A7260)),VLOOKUP(A7260,Studies!A:BR,3,FALSE),"")</f>
        <v>https://www.ncbi.nlm.nih.gov/pubmed/22918158</v>
      </c>
      <c r="D7260" s="250" t="str">
        <f>IF(AND(A7260&lt;&gt;"",ISNUMBER(A7260)),VLOOKUP(A7260,Studies!A:BR,4,FALSE),"")</f>
        <v>EFV administration alone</v>
      </c>
      <c r="E7260" s="250" t="str">
        <f>IF(AND(A7260&lt;&gt;"",ISNUMBER(A7260)),VLOOKUP(A7260,Studies!A:BR,5,FALSE),"")</f>
        <v>Efavirenz</v>
      </c>
      <c r="F7260" s="251" t="str">
        <f>IF(AND(A7260&lt;&gt;"",ISNUMBER(A7260)),VLOOKUP(A7260,Studies!A:BR,6,FALSE),"")</f>
        <v>Plasma</v>
      </c>
      <c r="G7260" s="194">
        <v>246</v>
      </c>
      <c r="H7260" s="50" t="s">
        <v>60</v>
      </c>
      <c r="I7260" s="187">
        <v>3594.406005859375</v>
      </c>
      <c r="J7260" s="41" t="s">
        <v>941</v>
      </c>
      <c r="K7260" s="41" t="s">
        <v>116</v>
      </c>
      <c r="L7260" s="195">
        <v>1622.3770380020142</v>
      </c>
      <c r="M7260" s="52" t="s">
        <v>941</v>
      </c>
      <c r="N7260" s="52" t="s">
        <v>117</v>
      </c>
    </row>
    <row r="7261" spans="1:16" x14ac:dyDescent="0.2">
      <c r="A7261" s="30">
        <v>786</v>
      </c>
      <c r="B7261" s="249" t="str">
        <f>IF(AND(A7261&lt;&gt;"",ISNUMBER(A7261)),VLOOKUP(A7261,Studies!A:BR,2,FALSE),"")</f>
        <v>Huang 2013</v>
      </c>
      <c r="C7261" s="250" t="str">
        <f>IF(AND(A7261&lt;&gt;"",ISNUMBER(A7261)),VLOOKUP(A7261,Studies!A:BR,3,FALSE),"")</f>
        <v>https://www.ncbi.nlm.nih.gov/pubmed/22918158</v>
      </c>
      <c r="D7261" s="250" t="str">
        <f>IF(AND(A7261&lt;&gt;"",ISNUMBER(A7261)),VLOOKUP(A7261,Studies!A:BR,4,FALSE),"")</f>
        <v>EFV administration alone</v>
      </c>
      <c r="E7261" s="250" t="str">
        <f>IF(AND(A7261&lt;&gt;"",ISNUMBER(A7261)),VLOOKUP(A7261,Studies!A:BR,5,FALSE),"")</f>
        <v>Efavirenz</v>
      </c>
      <c r="F7261" s="251" t="str">
        <f>IF(AND(A7261&lt;&gt;"",ISNUMBER(A7261)),VLOOKUP(A7261,Studies!A:BR,6,FALSE),"")</f>
        <v>Plasma</v>
      </c>
      <c r="G7261" s="194">
        <v>248</v>
      </c>
      <c r="H7261" s="50" t="s">
        <v>60</v>
      </c>
      <c r="I7261" s="187">
        <v>3426.572998046875</v>
      </c>
      <c r="J7261" s="41" t="s">
        <v>941</v>
      </c>
      <c r="K7261" s="41" t="s">
        <v>116</v>
      </c>
      <c r="L7261" s="195">
        <v>1986.0140085220337</v>
      </c>
      <c r="M7261" s="52" t="s">
        <v>941</v>
      </c>
      <c r="N7261" s="52" t="s">
        <v>117</v>
      </c>
    </row>
    <row r="7262" spans="1:16" x14ac:dyDescent="0.2">
      <c r="A7262" s="30">
        <v>786</v>
      </c>
      <c r="B7262" s="249" t="str">
        <f>IF(AND(A7262&lt;&gt;"",ISNUMBER(A7262)),VLOOKUP(A7262,Studies!A:BR,2,FALSE),"")</f>
        <v>Huang 2013</v>
      </c>
      <c r="C7262" s="250" t="str">
        <f>IF(AND(A7262&lt;&gt;"",ISNUMBER(A7262)),VLOOKUP(A7262,Studies!A:BR,3,FALSE),"")</f>
        <v>https://www.ncbi.nlm.nih.gov/pubmed/22918158</v>
      </c>
      <c r="D7262" s="250" t="str">
        <f>IF(AND(A7262&lt;&gt;"",ISNUMBER(A7262)),VLOOKUP(A7262,Studies!A:BR,4,FALSE),"")</f>
        <v>EFV administration alone</v>
      </c>
      <c r="E7262" s="250" t="str">
        <f>IF(AND(A7262&lt;&gt;"",ISNUMBER(A7262)),VLOOKUP(A7262,Studies!A:BR,5,FALSE),"")</f>
        <v>Efavirenz</v>
      </c>
      <c r="F7262" s="251" t="str">
        <f>IF(AND(A7262&lt;&gt;"",ISNUMBER(A7262)),VLOOKUP(A7262,Studies!A:BR,6,FALSE),"")</f>
        <v>Plasma</v>
      </c>
      <c r="G7262" s="194">
        <v>252</v>
      </c>
      <c r="H7262" s="50" t="s">
        <v>60</v>
      </c>
      <c r="I7262" s="187">
        <v>2965.03515625</v>
      </c>
      <c r="J7262" s="41" t="s">
        <v>941</v>
      </c>
      <c r="K7262" s="41" t="s">
        <v>116</v>
      </c>
      <c r="L7262" s="195">
        <v>1874.1260766983032</v>
      </c>
      <c r="M7262" s="52" t="s">
        <v>941</v>
      </c>
      <c r="N7262" s="52" t="s">
        <v>117</v>
      </c>
    </row>
    <row r="7263" spans="1:16" x14ac:dyDescent="0.2">
      <c r="A7263" s="30">
        <v>786</v>
      </c>
      <c r="B7263" s="249" t="str">
        <f>IF(AND(A7263&lt;&gt;"",ISNUMBER(A7263)),VLOOKUP(A7263,Studies!A:BR,2,FALSE),"")</f>
        <v>Huang 2013</v>
      </c>
      <c r="C7263" s="250" t="str">
        <f>IF(AND(A7263&lt;&gt;"",ISNUMBER(A7263)),VLOOKUP(A7263,Studies!A:BR,3,FALSE),"")</f>
        <v>https://www.ncbi.nlm.nih.gov/pubmed/22918158</v>
      </c>
      <c r="D7263" s="250" t="str">
        <f>IF(AND(A7263&lt;&gt;"",ISNUMBER(A7263)),VLOOKUP(A7263,Studies!A:BR,4,FALSE),"")</f>
        <v>EFV administration alone</v>
      </c>
      <c r="E7263" s="250" t="str">
        <f>IF(AND(A7263&lt;&gt;"",ISNUMBER(A7263)),VLOOKUP(A7263,Studies!A:BR,5,FALSE),"")</f>
        <v>Efavirenz</v>
      </c>
      <c r="F7263" s="251" t="str">
        <f>IF(AND(A7263&lt;&gt;"",ISNUMBER(A7263)),VLOOKUP(A7263,Studies!A:BR,6,FALSE),"")</f>
        <v>Plasma</v>
      </c>
      <c r="G7263" s="194">
        <v>264</v>
      </c>
      <c r="H7263" s="50" t="s">
        <v>60</v>
      </c>
      <c r="I7263" s="187">
        <v>2293.7060546875</v>
      </c>
      <c r="J7263" s="41" t="s">
        <v>941</v>
      </c>
      <c r="K7263" s="41" t="s">
        <v>116</v>
      </c>
      <c r="L7263" s="195">
        <v>1804.1960000991821</v>
      </c>
      <c r="M7263" s="52" t="s">
        <v>941</v>
      </c>
      <c r="N7263" s="52" t="s">
        <v>117</v>
      </c>
    </row>
    <row r="7264" spans="1:16" x14ac:dyDescent="0.2">
      <c r="A7264" s="30">
        <v>787</v>
      </c>
      <c r="B7264" s="249" t="str">
        <f>IF(AND(A7264&lt;&gt;"",ISNUMBER(A7264)),VLOOKUP(A7264,Studies!A:BR,2,FALSE),"")</f>
        <v>Mouly 2002</v>
      </c>
      <c r="C7264" s="250" t="str">
        <f>IF(AND(A7264&lt;&gt;"",ISNUMBER(A7264)),VLOOKUP(A7264,Studies!A:BR,3,FALSE),"")</f>
        <v>https://www.ncbi.nlm.nih.gov/pubmed/12151999</v>
      </c>
      <c r="D7264" s="250" t="str">
        <f>IF(AND(A7264&lt;&gt;"",ISNUMBER(A7264)),VLOOKUP(A7264,Studies!A:BR,4,FALSE),"")</f>
        <v>200 mg, Day 1</v>
      </c>
      <c r="E7264" s="250" t="str">
        <f>IF(AND(A7264&lt;&gt;"",ISNUMBER(A7264)),VLOOKUP(A7264,Studies!A:BR,5,FALSE),"")</f>
        <v>Efavirenz</v>
      </c>
      <c r="F7264" s="251" t="str">
        <f>IF(AND(A7264&lt;&gt;"",ISNUMBER(A7264)),VLOOKUP(A7264,Studies!A:BR,6,FALSE),"")</f>
        <v>Plasma</v>
      </c>
      <c r="G7264" s="194">
        <v>2</v>
      </c>
      <c r="H7264" s="50" t="s">
        <v>60</v>
      </c>
      <c r="I7264" s="187">
        <v>2.0525479999999998</v>
      </c>
      <c r="J7264" s="41" t="s">
        <v>1220</v>
      </c>
      <c r="K7264" s="41" t="s">
        <v>116</v>
      </c>
      <c r="L7264" s="195">
        <v>0.77654230000000002</v>
      </c>
      <c r="M7264" s="52" t="s">
        <v>1220</v>
      </c>
      <c r="N7264" s="52" t="s">
        <v>117</v>
      </c>
      <c r="P7264" s="42" t="s">
        <v>2218</v>
      </c>
    </row>
    <row r="7265" spans="1:16" x14ac:dyDescent="0.2">
      <c r="A7265" s="30">
        <v>787</v>
      </c>
      <c r="B7265" s="249" t="str">
        <f>IF(AND(A7265&lt;&gt;"",ISNUMBER(A7265)),VLOOKUP(A7265,Studies!A:BR,2,FALSE),"")</f>
        <v>Mouly 2002</v>
      </c>
      <c r="C7265" s="250" t="str">
        <f>IF(AND(A7265&lt;&gt;"",ISNUMBER(A7265)),VLOOKUP(A7265,Studies!A:BR,3,FALSE),"")</f>
        <v>https://www.ncbi.nlm.nih.gov/pubmed/12151999</v>
      </c>
      <c r="D7265" s="250" t="str">
        <f>IF(AND(A7265&lt;&gt;"",ISNUMBER(A7265)),VLOOKUP(A7265,Studies!A:BR,4,FALSE),"")</f>
        <v>200 mg, Day 1</v>
      </c>
      <c r="E7265" s="250" t="str">
        <f>IF(AND(A7265&lt;&gt;"",ISNUMBER(A7265)),VLOOKUP(A7265,Studies!A:BR,5,FALSE),"")</f>
        <v>Efavirenz</v>
      </c>
      <c r="F7265" s="251" t="str">
        <f>IF(AND(A7265&lt;&gt;"",ISNUMBER(A7265)),VLOOKUP(A7265,Studies!A:BR,6,FALSE),"")</f>
        <v>Plasma</v>
      </c>
      <c r="G7265" s="194">
        <v>3</v>
      </c>
      <c r="H7265" s="50" t="s">
        <v>60</v>
      </c>
      <c r="I7265" s="187">
        <v>2.0135990000000001</v>
      </c>
      <c r="J7265" s="41" t="s">
        <v>1220</v>
      </c>
      <c r="K7265" s="41" t="s">
        <v>116</v>
      </c>
      <c r="L7265" s="195">
        <v>0.97565650000000004</v>
      </c>
      <c r="M7265" s="52" t="s">
        <v>1220</v>
      </c>
      <c r="N7265" s="52" t="s">
        <v>117</v>
      </c>
      <c r="P7265" s="42" t="s">
        <v>2218</v>
      </c>
    </row>
    <row r="7266" spans="1:16" x14ac:dyDescent="0.2">
      <c r="A7266" s="30">
        <v>787</v>
      </c>
      <c r="B7266" s="249" t="str">
        <f>IF(AND(A7266&lt;&gt;"",ISNUMBER(A7266)),VLOOKUP(A7266,Studies!A:BR,2,FALSE),"")</f>
        <v>Mouly 2002</v>
      </c>
      <c r="C7266" s="250" t="str">
        <f>IF(AND(A7266&lt;&gt;"",ISNUMBER(A7266)),VLOOKUP(A7266,Studies!A:BR,3,FALSE),"")</f>
        <v>https://www.ncbi.nlm.nih.gov/pubmed/12151999</v>
      </c>
      <c r="D7266" s="250" t="str">
        <f>IF(AND(A7266&lt;&gt;"",ISNUMBER(A7266)),VLOOKUP(A7266,Studies!A:BR,4,FALSE),"")</f>
        <v>200 mg, Day 1</v>
      </c>
      <c r="E7266" s="250" t="str">
        <f>IF(AND(A7266&lt;&gt;"",ISNUMBER(A7266)),VLOOKUP(A7266,Studies!A:BR,5,FALSE),"")</f>
        <v>Efavirenz</v>
      </c>
      <c r="F7266" s="251" t="str">
        <f>IF(AND(A7266&lt;&gt;"",ISNUMBER(A7266)),VLOOKUP(A7266,Studies!A:BR,6,FALSE),"")</f>
        <v>Plasma</v>
      </c>
      <c r="G7266" s="194">
        <v>4</v>
      </c>
      <c r="H7266" s="50" t="s">
        <v>60</v>
      </c>
      <c r="I7266" s="187">
        <v>2.1140289999999999</v>
      </c>
      <c r="J7266" s="41" t="s">
        <v>1220</v>
      </c>
      <c r="K7266" s="41" t="s">
        <v>116</v>
      </c>
      <c r="L7266" s="195">
        <v>0.75666549999999999</v>
      </c>
      <c r="M7266" s="52" t="s">
        <v>1220</v>
      </c>
      <c r="N7266" s="52" t="s">
        <v>117</v>
      </c>
      <c r="P7266" s="42" t="s">
        <v>2218</v>
      </c>
    </row>
    <row r="7267" spans="1:16" x14ac:dyDescent="0.2">
      <c r="A7267" s="30">
        <v>787</v>
      </c>
      <c r="B7267" s="249" t="str">
        <f>IF(AND(A7267&lt;&gt;"",ISNUMBER(A7267)),VLOOKUP(A7267,Studies!A:BR,2,FALSE),"")</f>
        <v>Mouly 2002</v>
      </c>
      <c r="C7267" s="250" t="str">
        <f>IF(AND(A7267&lt;&gt;"",ISNUMBER(A7267)),VLOOKUP(A7267,Studies!A:BR,3,FALSE),"")</f>
        <v>https://www.ncbi.nlm.nih.gov/pubmed/12151999</v>
      </c>
      <c r="D7267" s="250" t="str">
        <f>IF(AND(A7267&lt;&gt;"",ISNUMBER(A7267)),VLOOKUP(A7267,Studies!A:BR,4,FALSE),"")</f>
        <v>200 mg, Day 1</v>
      </c>
      <c r="E7267" s="250" t="str">
        <f>IF(AND(A7267&lt;&gt;"",ISNUMBER(A7267)),VLOOKUP(A7267,Studies!A:BR,5,FALSE),"")</f>
        <v>Efavirenz</v>
      </c>
      <c r="F7267" s="251" t="str">
        <f>IF(AND(A7267&lt;&gt;"",ISNUMBER(A7267)),VLOOKUP(A7267,Studies!A:BR,6,FALSE),"")</f>
        <v>Plasma</v>
      </c>
      <c r="G7267" s="194">
        <v>5</v>
      </c>
      <c r="H7267" s="50" t="s">
        <v>60</v>
      </c>
      <c r="I7267" s="187">
        <v>2.1745350000000001</v>
      </c>
      <c r="J7267" s="41" t="s">
        <v>1220</v>
      </c>
      <c r="K7267" s="41" t="s">
        <v>116</v>
      </c>
      <c r="L7267" s="195">
        <v>0.87609970000000004</v>
      </c>
      <c r="M7267" s="52" t="s">
        <v>1220</v>
      </c>
      <c r="N7267" s="52" t="s">
        <v>117</v>
      </c>
      <c r="P7267" s="42" t="s">
        <v>2218</v>
      </c>
    </row>
    <row r="7268" spans="1:16" x14ac:dyDescent="0.2">
      <c r="A7268" s="30">
        <v>787</v>
      </c>
      <c r="B7268" s="249" t="str">
        <f>IF(AND(A7268&lt;&gt;"",ISNUMBER(A7268)),VLOOKUP(A7268,Studies!A:BR,2,FALSE),"")</f>
        <v>Mouly 2002</v>
      </c>
      <c r="C7268" s="250" t="str">
        <f>IF(AND(A7268&lt;&gt;"",ISNUMBER(A7268)),VLOOKUP(A7268,Studies!A:BR,3,FALSE),"")</f>
        <v>https://www.ncbi.nlm.nih.gov/pubmed/12151999</v>
      </c>
      <c r="D7268" s="250" t="str">
        <f>IF(AND(A7268&lt;&gt;"",ISNUMBER(A7268)),VLOOKUP(A7268,Studies!A:BR,4,FALSE),"")</f>
        <v>200 mg, Day 1</v>
      </c>
      <c r="E7268" s="250" t="str">
        <f>IF(AND(A7268&lt;&gt;"",ISNUMBER(A7268)),VLOOKUP(A7268,Studies!A:BR,5,FALSE),"")</f>
        <v>Efavirenz</v>
      </c>
      <c r="F7268" s="251" t="str">
        <f>IF(AND(A7268&lt;&gt;"",ISNUMBER(A7268)),VLOOKUP(A7268,Studies!A:BR,6,FALSE),"")</f>
        <v>Plasma</v>
      </c>
      <c r="G7268" s="194">
        <v>8</v>
      </c>
      <c r="H7268" s="50" t="s">
        <v>60</v>
      </c>
      <c r="I7268" s="187">
        <v>1.3606199999999999</v>
      </c>
      <c r="J7268" s="41" t="s">
        <v>1220</v>
      </c>
      <c r="K7268" s="41" t="s">
        <v>116</v>
      </c>
      <c r="L7268" s="195">
        <v>0.63709570000000004</v>
      </c>
      <c r="M7268" s="52" t="s">
        <v>1220</v>
      </c>
      <c r="N7268" s="52" t="s">
        <v>117</v>
      </c>
      <c r="P7268" s="42" t="s">
        <v>2218</v>
      </c>
    </row>
    <row r="7269" spans="1:16" x14ac:dyDescent="0.2">
      <c r="A7269" s="30">
        <v>787</v>
      </c>
      <c r="B7269" s="249" t="str">
        <f>IF(AND(A7269&lt;&gt;"",ISNUMBER(A7269)),VLOOKUP(A7269,Studies!A:BR,2,FALSE),"")</f>
        <v>Mouly 2002</v>
      </c>
      <c r="C7269" s="250" t="str">
        <f>IF(AND(A7269&lt;&gt;"",ISNUMBER(A7269)),VLOOKUP(A7269,Studies!A:BR,3,FALSE),"")</f>
        <v>https://www.ncbi.nlm.nih.gov/pubmed/12151999</v>
      </c>
      <c r="D7269" s="250" t="str">
        <f>IF(AND(A7269&lt;&gt;"",ISNUMBER(A7269)),VLOOKUP(A7269,Studies!A:BR,4,FALSE),"")</f>
        <v>200 mg, Day 1</v>
      </c>
      <c r="E7269" s="250" t="str">
        <f>IF(AND(A7269&lt;&gt;"",ISNUMBER(A7269)),VLOOKUP(A7269,Studies!A:BR,5,FALSE),"")</f>
        <v>Efavirenz</v>
      </c>
      <c r="F7269" s="251" t="str">
        <f>IF(AND(A7269&lt;&gt;"",ISNUMBER(A7269)),VLOOKUP(A7269,Studies!A:BR,6,FALSE),"")</f>
        <v>Plasma</v>
      </c>
      <c r="G7269" s="194">
        <v>12</v>
      </c>
      <c r="H7269" s="50" t="s">
        <v>60</v>
      </c>
      <c r="I7269" s="187">
        <v>1.0453969999999999</v>
      </c>
      <c r="J7269" s="41" t="s">
        <v>1220</v>
      </c>
      <c r="K7269" s="41" t="s">
        <v>116</v>
      </c>
      <c r="L7269" s="195">
        <v>0.27872590000000003</v>
      </c>
      <c r="M7269" s="52" t="s">
        <v>1220</v>
      </c>
      <c r="N7269" s="52" t="s">
        <v>117</v>
      </c>
      <c r="P7269" s="42" t="s">
        <v>2218</v>
      </c>
    </row>
    <row r="7270" spans="1:16" x14ac:dyDescent="0.2">
      <c r="A7270" s="30">
        <v>787</v>
      </c>
      <c r="B7270" s="249" t="str">
        <f>IF(AND(A7270&lt;&gt;"",ISNUMBER(A7270)),VLOOKUP(A7270,Studies!A:BR,2,FALSE),"")</f>
        <v>Mouly 2002</v>
      </c>
      <c r="C7270" s="250" t="str">
        <f>IF(AND(A7270&lt;&gt;"",ISNUMBER(A7270)),VLOOKUP(A7270,Studies!A:BR,3,FALSE),"")</f>
        <v>https://www.ncbi.nlm.nih.gov/pubmed/12151999</v>
      </c>
      <c r="D7270" s="250" t="str">
        <f>IF(AND(A7270&lt;&gt;"",ISNUMBER(A7270)),VLOOKUP(A7270,Studies!A:BR,4,FALSE),"")</f>
        <v>200 mg, Day 1</v>
      </c>
      <c r="E7270" s="250" t="str">
        <f>IF(AND(A7270&lt;&gt;"",ISNUMBER(A7270)),VLOOKUP(A7270,Studies!A:BR,5,FALSE),"")</f>
        <v>Efavirenz</v>
      </c>
      <c r="F7270" s="251" t="str">
        <f>IF(AND(A7270&lt;&gt;"",ISNUMBER(A7270)),VLOOKUP(A7270,Studies!A:BR,6,FALSE),"")</f>
        <v>Plasma</v>
      </c>
      <c r="G7270" s="194">
        <v>24</v>
      </c>
      <c r="H7270" s="50" t="s">
        <v>60</v>
      </c>
      <c r="I7270" s="187">
        <v>0.7765765</v>
      </c>
      <c r="J7270" s="41" t="s">
        <v>1220</v>
      </c>
      <c r="K7270" s="41" t="s">
        <v>116</v>
      </c>
      <c r="L7270" s="195">
        <v>0.1991136</v>
      </c>
      <c r="M7270" s="52" t="s">
        <v>1220</v>
      </c>
      <c r="N7270" s="52" t="s">
        <v>117</v>
      </c>
      <c r="P7270" s="42" t="s">
        <v>2218</v>
      </c>
    </row>
    <row r="7271" spans="1:16" x14ac:dyDescent="0.2">
      <c r="A7271" s="30">
        <v>788</v>
      </c>
      <c r="B7271" s="249" t="str">
        <f>IF(AND(A7271&lt;&gt;"",ISNUMBER(A7271)),VLOOKUP(A7271,Studies!A:BR,2,FALSE),"")</f>
        <v>Mouly 2002</v>
      </c>
      <c r="C7271" s="250" t="str">
        <f>IF(AND(A7271&lt;&gt;"",ISNUMBER(A7271)),VLOOKUP(A7271,Studies!A:BR,3,FALSE),"")</f>
        <v>https://www.ncbi.nlm.nih.gov/pubmed/12151999</v>
      </c>
      <c r="D7271" s="250" t="str">
        <f>IF(AND(A7271&lt;&gt;"",ISNUMBER(A7271)),VLOOKUP(A7271,Studies!A:BR,4,FALSE),"")</f>
        <v>400 mg, Day 1</v>
      </c>
      <c r="E7271" s="250" t="str">
        <f>IF(AND(A7271&lt;&gt;"",ISNUMBER(A7271)),VLOOKUP(A7271,Studies!A:BR,5,FALSE),"")</f>
        <v>Efavirenz</v>
      </c>
      <c r="F7271" s="251" t="str">
        <f>IF(AND(A7271&lt;&gt;"",ISNUMBER(A7271)),VLOOKUP(A7271,Studies!A:BR,6,FALSE),"")</f>
        <v>Plasma</v>
      </c>
      <c r="G7271" s="194">
        <v>2</v>
      </c>
      <c r="H7271" s="50" t="s">
        <v>60</v>
      </c>
      <c r="I7271" s="187">
        <v>3.9043049999999999</v>
      </c>
      <c r="J7271" s="41" t="s">
        <v>1220</v>
      </c>
      <c r="K7271" s="41" t="s">
        <v>116</v>
      </c>
      <c r="L7271" s="195">
        <v>1.533207</v>
      </c>
      <c r="M7271" s="52" t="s">
        <v>1220</v>
      </c>
      <c r="N7271" s="52" t="s">
        <v>117</v>
      </c>
      <c r="P7271" s="42" t="s">
        <v>2218</v>
      </c>
    </row>
    <row r="7272" spans="1:16" x14ac:dyDescent="0.2">
      <c r="A7272" s="30">
        <v>788</v>
      </c>
      <c r="B7272" s="249" t="str">
        <f>IF(AND(A7272&lt;&gt;"",ISNUMBER(A7272)),VLOOKUP(A7272,Studies!A:BR,2,FALSE),"")</f>
        <v>Mouly 2002</v>
      </c>
      <c r="C7272" s="250" t="str">
        <f>IF(AND(A7272&lt;&gt;"",ISNUMBER(A7272)),VLOOKUP(A7272,Studies!A:BR,3,FALSE),"")</f>
        <v>https://www.ncbi.nlm.nih.gov/pubmed/12151999</v>
      </c>
      <c r="D7272" s="250" t="str">
        <f>IF(AND(A7272&lt;&gt;"",ISNUMBER(A7272)),VLOOKUP(A7272,Studies!A:BR,4,FALSE),"")</f>
        <v>400 mg, Day 1</v>
      </c>
      <c r="E7272" s="250" t="str">
        <f>IF(AND(A7272&lt;&gt;"",ISNUMBER(A7272)),VLOOKUP(A7272,Studies!A:BR,5,FALSE),"")</f>
        <v>Efavirenz</v>
      </c>
      <c r="F7272" s="251" t="str">
        <f>IF(AND(A7272&lt;&gt;"",ISNUMBER(A7272)),VLOOKUP(A7272,Studies!A:BR,6,FALSE),"")</f>
        <v>Plasma</v>
      </c>
      <c r="G7272" s="194">
        <v>3</v>
      </c>
      <c r="H7272" s="50" t="s">
        <v>60</v>
      </c>
      <c r="I7272" s="187">
        <v>3.5865960000000001</v>
      </c>
      <c r="J7272" s="41" t="s">
        <v>1220</v>
      </c>
      <c r="K7272" s="41" t="s">
        <v>116</v>
      </c>
      <c r="L7272" s="195">
        <v>1.055302</v>
      </c>
      <c r="M7272" s="52" t="s">
        <v>1220</v>
      </c>
      <c r="N7272" s="52" t="s">
        <v>117</v>
      </c>
      <c r="P7272" s="42" t="s">
        <v>2218</v>
      </c>
    </row>
    <row r="7273" spans="1:16" x14ac:dyDescent="0.2">
      <c r="A7273" s="30">
        <v>788</v>
      </c>
      <c r="B7273" s="249" t="str">
        <f>IF(AND(A7273&lt;&gt;"",ISNUMBER(A7273)),VLOOKUP(A7273,Studies!A:BR,2,FALSE),"")</f>
        <v>Mouly 2002</v>
      </c>
      <c r="C7273" s="250" t="str">
        <f>IF(AND(A7273&lt;&gt;"",ISNUMBER(A7273)),VLOOKUP(A7273,Studies!A:BR,3,FALSE),"")</f>
        <v>https://www.ncbi.nlm.nih.gov/pubmed/12151999</v>
      </c>
      <c r="D7273" s="250" t="str">
        <f>IF(AND(A7273&lt;&gt;"",ISNUMBER(A7273)),VLOOKUP(A7273,Studies!A:BR,4,FALSE),"")</f>
        <v>400 mg, Day 1</v>
      </c>
      <c r="E7273" s="250" t="str">
        <f>IF(AND(A7273&lt;&gt;"",ISNUMBER(A7273)),VLOOKUP(A7273,Studies!A:BR,5,FALSE),"")</f>
        <v>Efavirenz</v>
      </c>
      <c r="F7273" s="251" t="str">
        <f>IF(AND(A7273&lt;&gt;"",ISNUMBER(A7273)),VLOOKUP(A7273,Studies!A:BR,6,FALSE),"")</f>
        <v>Plasma</v>
      </c>
      <c r="G7273" s="194">
        <v>4</v>
      </c>
      <c r="H7273" s="50" t="s">
        <v>60</v>
      </c>
      <c r="I7273" s="187">
        <v>3.7467600000000001</v>
      </c>
      <c r="J7273" s="41" t="s">
        <v>1220</v>
      </c>
      <c r="K7273" s="41" t="s">
        <v>116</v>
      </c>
      <c r="L7273" s="195">
        <v>0.93580010000000002</v>
      </c>
      <c r="M7273" s="52" t="s">
        <v>1220</v>
      </c>
      <c r="N7273" s="52" t="s">
        <v>117</v>
      </c>
      <c r="P7273" s="42" t="s">
        <v>2218</v>
      </c>
    </row>
    <row r="7274" spans="1:16" x14ac:dyDescent="0.2">
      <c r="A7274" s="30">
        <v>788</v>
      </c>
      <c r="B7274" s="249" t="str">
        <f>IF(AND(A7274&lt;&gt;"",ISNUMBER(A7274)),VLOOKUP(A7274,Studies!A:BR,2,FALSE),"")</f>
        <v>Mouly 2002</v>
      </c>
      <c r="C7274" s="250" t="str">
        <f>IF(AND(A7274&lt;&gt;"",ISNUMBER(A7274)),VLOOKUP(A7274,Studies!A:BR,3,FALSE),"")</f>
        <v>https://www.ncbi.nlm.nih.gov/pubmed/12151999</v>
      </c>
      <c r="D7274" s="250" t="str">
        <f>IF(AND(A7274&lt;&gt;"",ISNUMBER(A7274)),VLOOKUP(A7274,Studies!A:BR,4,FALSE),"")</f>
        <v>400 mg, Day 1</v>
      </c>
      <c r="E7274" s="250" t="str">
        <f>IF(AND(A7274&lt;&gt;"",ISNUMBER(A7274)),VLOOKUP(A7274,Studies!A:BR,5,FALSE),"")</f>
        <v>Efavirenz</v>
      </c>
      <c r="F7274" s="251" t="str">
        <f>IF(AND(A7274&lt;&gt;"",ISNUMBER(A7274)),VLOOKUP(A7274,Studies!A:BR,6,FALSE),"")</f>
        <v>Plasma</v>
      </c>
      <c r="G7274" s="194">
        <v>5</v>
      </c>
      <c r="H7274" s="50" t="s">
        <v>60</v>
      </c>
      <c r="I7274" s="187">
        <v>3.3293599999999999</v>
      </c>
      <c r="J7274" s="41" t="s">
        <v>1220</v>
      </c>
      <c r="K7274" s="41" t="s">
        <v>116</v>
      </c>
      <c r="L7274" s="195">
        <v>0.83631040000000001</v>
      </c>
      <c r="M7274" s="52" t="s">
        <v>1220</v>
      </c>
      <c r="N7274" s="52" t="s">
        <v>117</v>
      </c>
      <c r="P7274" s="42" t="s">
        <v>2218</v>
      </c>
    </row>
    <row r="7275" spans="1:16" x14ac:dyDescent="0.2">
      <c r="A7275" s="30">
        <v>788</v>
      </c>
      <c r="B7275" s="249" t="str">
        <f>IF(AND(A7275&lt;&gt;"",ISNUMBER(A7275)),VLOOKUP(A7275,Studies!A:BR,2,FALSE),"")</f>
        <v>Mouly 2002</v>
      </c>
      <c r="C7275" s="250" t="str">
        <f>IF(AND(A7275&lt;&gt;"",ISNUMBER(A7275)),VLOOKUP(A7275,Studies!A:BR,3,FALSE),"")</f>
        <v>https://www.ncbi.nlm.nih.gov/pubmed/12151999</v>
      </c>
      <c r="D7275" s="250" t="str">
        <f>IF(AND(A7275&lt;&gt;"",ISNUMBER(A7275)),VLOOKUP(A7275,Studies!A:BR,4,FALSE),"")</f>
        <v>400 mg, Day 1</v>
      </c>
      <c r="E7275" s="250" t="str">
        <f>IF(AND(A7275&lt;&gt;"",ISNUMBER(A7275)),VLOOKUP(A7275,Studies!A:BR,5,FALSE),"")</f>
        <v>Efavirenz</v>
      </c>
      <c r="F7275" s="251" t="str">
        <f>IF(AND(A7275&lt;&gt;"",ISNUMBER(A7275)),VLOOKUP(A7275,Studies!A:BR,6,FALSE),"")</f>
        <v>Plasma</v>
      </c>
      <c r="G7275" s="194">
        <v>8</v>
      </c>
      <c r="H7275" s="50" t="s">
        <v>60</v>
      </c>
      <c r="I7275" s="187">
        <v>2.0774970000000001</v>
      </c>
      <c r="J7275" s="41" t="s">
        <v>1220</v>
      </c>
      <c r="K7275" s="41" t="s">
        <v>116</v>
      </c>
      <c r="L7275" s="195">
        <v>0.63716289999999998</v>
      </c>
      <c r="M7275" s="52" t="s">
        <v>1220</v>
      </c>
      <c r="N7275" s="52" t="s">
        <v>117</v>
      </c>
      <c r="P7275" s="42" t="s">
        <v>2218</v>
      </c>
    </row>
    <row r="7276" spans="1:16" x14ac:dyDescent="0.2">
      <c r="A7276" s="30">
        <v>788</v>
      </c>
      <c r="B7276" s="249" t="str">
        <f>IF(AND(A7276&lt;&gt;"",ISNUMBER(A7276)),VLOOKUP(A7276,Studies!A:BR,2,FALSE),"")</f>
        <v>Mouly 2002</v>
      </c>
      <c r="C7276" s="250" t="str">
        <f>IF(AND(A7276&lt;&gt;"",ISNUMBER(A7276)),VLOOKUP(A7276,Studies!A:BR,3,FALSE),"")</f>
        <v>https://www.ncbi.nlm.nih.gov/pubmed/12151999</v>
      </c>
      <c r="D7276" s="250" t="str">
        <f>IF(AND(A7276&lt;&gt;"",ISNUMBER(A7276)),VLOOKUP(A7276,Studies!A:BR,4,FALSE),"")</f>
        <v>400 mg, Day 1</v>
      </c>
      <c r="E7276" s="250" t="str">
        <f>IF(AND(A7276&lt;&gt;"",ISNUMBER(A7276)),VLOOKUP(A7276,Studies!A:BR,5,FALSE),"")</f>
        <v>Efavirenz</v>
      </c>
      <c r="F7276" s="251" t="str">
        <f>IF(AND(A7276&lt;&gt;"",ISNUMBER(A7276)),VLOOKUP(A7276,Studies!A:BR,6,FALSE),"")</f>
        <v>Plasma</v>
      </c>
      <c r="G7276" s="194">
        <v>12</v>
      </c>
      <c r="H7276" s="50" t="s">
        <v>60</v>
      </c>
      <c r="I7276" s="187">
        <v>1.8020620000000001</v>
      </c>
      <c r="J7276" s="41" t="s">
        <v>1220</v>
      </c>
      <c r="K7276" s="41" t="s">
        <v>116</v>
      </c>
      <c r="L7276" s="195">
        <v>0.43801590000000001</v>
      </c>
      <c r="M7276" s="52" t="s">
        <v>1220</v>
      </c>
      <c r="N7276" s="52" t="s">
        <v>117</v>
      </c>
      <c r="P7276" s="42" t="s">
        <v>2218</v>
      </c>
    </row>
    <row r="7277" spans="1:16" x14ac:dyDescent="0.2">
      <c r="A7277" s="30">
        <v>788</v>
      </c>
      <c r="B7277" s="249" t="str">
        <f>IF(AND(A7277&lt;&gt;"",ISNUMBER(A7277)),VLOOKUP(A7277,Studies!A:BR,2,FALSE),"")</f>
        <v>Mouly 2002</v>
      </c>
      <c r="C7277" s="250" t="str">
        <f>IF(AND(A7277&lt;&gt;"",ISNUMBER(A7277)),VLOOKUP(A7277,Studies!A:BR,3,FALSE),"")</f>
        <v>https://www.ncbi.nlm.nih.gov/pubmed/12151999</v>
      </c>
      <c r="D7277" s="250" t="str">
        <f>IF(AND(A7277&lt;&gt;"",ISNUMBER(A7277)),VLOOKUP(A7277,Studies!A:BR,4,FALSE),"")</f>
        <v>400 mg, Day 1</v>
      </c>
      <c r="E7277" s="250" t="str">
        <f>IF(AND(A7277&lt;&gt;"",ISNUMBER(A7277)),VLOOKUP(A7277,Studies!A:BR,5,FALSE),"")</f>
        <v>Efavirenz</v>
      </c>
      <c r="F7277" s="251" t="str">
        <f>IF(AND(A7277&lt;&gt;"",ISNUMBER(A7277)),VLOOKUP(A7277,Studies!A:BR,6,FALSE),"")</f>
        <v>Plasma</v>
      </c>
      <c r="G7277" s="194">
        <v>24</v>
      </c>
      <c r="H7277" s="50" t="s">
        <v>60</v>
      </c>
      <c r="I7277" s="187">
        <v>1.194715</v>
      </c>
      <c r="J7277" s="41" t="s">
        <v>1220</v>
      </c>
      <c r="K7277" s="41" t="s">
        <v>116</v>
      </c>
      <c r="L7277" s="195">
        <v>0.2787925</v>
      </c>
      <c r="M7277" s="52" t="s">
        <v>1220</v>
      </c>
      <c r="N7277" s="52" t="s">
        <v>117</v>
      </c>
      <c r="P7277" s="42" t="s">
        <v>2218</v>
      </c>
    </row>
    <row r="7278" spans="1:16" x14ac:dyDescent="0.2">
      <c r="A7278" s="30">
        <v>789</v>
      </c>
      <c r="B7278" s="249" t="str">
        <f>IF(AND(A7278&lt;&gt;"",ISNUMBER(A7278)),VLOOKUP(A7278,Studies!A:BR,2,FALSE),"")</f>
        <v>Mouly 2002</v>
      </c>
      <c r="C7278" s="250" t="str">
        <f>IF(AND(A7278&lt;&gt;"",ISNUMBER(A7278)),VLOOKUP(A7278,Studies!A:BR,3,FALSE),"")</f>
        <v>https://www.ncbi.nlm.nih.gov/pubmed/12151999</v>
      </c>
      <c r="D7278" s="250" t="str">
        <f>IF(AND(A7278&lt;&gt;"",ISNUMBER(A7278)),VLOOKUP(A7278,Studies!A:BR,4,FALSE),"")</f>
        <v>200 mg, Day 10</v>
      </c>
      <c r="E7278" s="250" t="str">
        <f>IF(AND(A7278&lt;&gt;"",ISNUMBER(A7278)),VLOOKUP(A7278,Studies!A:BR,5,FALSE),"")</f>
        <v>Efavirenz</v>
      </c>
      <c r="F7278" s="251" t="str">
        <f>IF(AND(A7278&lt;&gt;"",ISNUMBER(A7278)),VLOOKUP(A7278,Studies!A:BR,6,FALSE),"")</f>
        <v>Plasma</v>
      </c>
      <c r="G7278" s="194">
        <v>216</v>
      </c>
      <c r="H7278" s="50" t="s">
        <v>60</v>
      </c>
      <c r="I7278" s="187">
        <v>1.995644</v>
      </c>
      <c r="J7278" s="41" t="s">
        <v>1220</v>
      </c>
      <c r="K7278" s="41" t="s">
        <v>116</v>
      </c>
      <c r="L7278" s="195">
        <v>0.4588739</v>
      </c>
      <c r="M7278" s="52" t="s">
        <v>1220</v>
      </c>
      <c r="N7278" s="52" t="s">
        <v>117</v>
      </c>
      <c r="P7278" s="42" t="s">
        <v>2218</v>
      </c>
    </row>
    <row r="7279" spans="1:16" x14ac:dyDescent="0.2">
      <c r="A7279" s="30">
        <v>789</v>
      </c>
      <c r="B7279" s="249" t="str">
        <f>IF(AND(A7279&lt;&gt;"",ISNUMBER(A7279)),VLOOKUP(A7279,Studies!A:BR,2,FALSE),"")</f>
        <v>Mouly 2002</v>
      </c>
      <c r="C7279" s="250" t="str">
        <f>IF(AND(A7279&lt;&gt;"",ISNUMBER(A7279)),VLOOKUP(A7279,Studies!A:BR,3,FALSE),"")</f>
        <v>https://www.ncbi.nlm.nih.gov/pubmed/12151999</v>
      </c>
      <c r="D7279" s="250" t="str">
        <f>IF(AND(A7279&lt;&gt;"",ISNUMBER(A7279)),VLOOKUP(A7279,Studies!A:BR,4,FALSE),"")</f>
        <v>200 mg, Day 10</v>
      </c>
      <c r="E7279" s="250" t="str">
        <f>IF(AND(A7279&lt;&gt;"",ISNUMBER(A7279)),VLOOKUP(A7279,Studies!A:BR,5,FALSE),"")</f>
        <v>Efavirenz</v>
      </c>
      <c r="F7279" s="251" t="str">
        <f>IF(AND(A7279&lt;&gt;"",ISNUMBER(A7279)),VLOOKUP(A7279,Studies!A:BR,6,FALSE),"")</f>
        <v>Plasma</v>
      </c>
      <c r="G7279" s="194">
        <v>218</v>
      </c>
      <c r="H7279" s="50" t="s">
        <v>60</v>
      </c>
      <c r="I7279" s="187">
        <v>3.57707</v>
      </c>
      <c r="J7279" s="41" t="s">
        <v>1220</v>
      </c>
      <c r="K7279" s="41" t="s">
        <v>116</v>
      </c>
      <c r="L7279" s="195">
        <v>0.61861849999999996</v>
      </c>
      <c r="M7279" s="52" t="s">
        <v>1220</v>
      </c>
      <c r="N7279" s="52" t="s">
        <v>117</v>
      </c>
      <c r="P7279" s="42" t="s">
        <v>2218</v>
      </c>
    </row>
    <row r="7280" spans="1:16" x14ac:dyDescent="0.2">
      <c r="A7280" s="30">
        <v>789</v>
      </c>
      <c r="B7280" s="249" t="str">
        <f>IF(AND(A7280&lt;&gt;"",ISNUMBER(A7280)),VLOOKUP(A7280,Studies!A:BR,2,FALSE),"")</f>
        <v>Mouly 2002</v>
      </c>
      <c r="C7280" s="250" t="str">
        <f>IF(AND(A7280&lt;&gt;"",ISNUMBER(A7280)),VLOOKUP(A7280,Studies!A:BR,3,FALSE),"")</f>
        <v>https://www.ncbi.nlm.nih.gov/pubmed/12151999</v>
      </c>
      <c r="D7280" s="250" t="str">
        <f>IF(AND(A7280&lt;&gt;"",ISNUMBER(A7280)),VLOOKUP(A7280,Studies!A:BR,4,FALSE),"")</f>
        <v>200 mg, Day 10</v>
      </c>
      <c r="E7280" s="250" t="str">
        <f>IF(AND(A7280&lt;&gt;"",ISNUMBER(A7280)),VLOOKUP(A7280,Studies!A:BR,5,FALSE),"")</f>
        <v>Efavirenz</v>
      </c>
      <c r="F7280" s="251" t="str">
        <f>IF(AND(A7280&lt;&gt;"",ISNUMBER(A7280)),VLOOKUP(A7280,Studies!A:BR,6,FALSE),"")</f>
        <v>Plasma</v>
      </c>
      <c r="G7280" s="194">
        <v>219</v>
      </c>
      <c r="H7280" s="50" t="s">
        <v>60</v>
      </c>
      <c r="I7280" s="187">
        <v>3.559739</v>
      </c>
      <c r="J7280" s="41" t="s">
        <v>1220</v>
      </c>
      <c r="K7280" s="41" t="s">
        <v>116</v>
      </c>
      <c r="L7280" s="195">
        <v>0.75840739999999995</v>
      </c>
      <c r="M7280" s="52" t="s">
        <v>1220</v>
      </c>
      <c r="N7280" s="52" t="s">
        <v>117</v>
      </c>
      <c r="P7280" s="42" t="s">
        <v>2218</v>
      </c>
    </row>
    <row r="7281" spans="1:16" x14ac:dyDescent="0.2">
      <c r="A7281" s="30">
        <v>789</v>
      </c>
      <c r="B7281" s="249" t="str">
        <f>IF(AND(A7281&lt;&gt;"",ISNUMBER(A7281)),VLOOKUP(A7281,Studies!A:BR,2,FALSE),"")</f>
        <v>Mouly 2002</v>
      </c>
      <c r="C7281" s="250" t="str">
        <f>IF(AND(A7281&lt;&gt;"",ISNUMBER(A7281)),VLOOKUP(A7281,Studies!A:BR,3,FALSE),"")</f>
        <v>https://www.ncbi.nlm.nih.gov/pubmed/12151999</v>
      </c>
      <c r="D7281" s="250" t="str">
        <f>IF(AND(A7281&lt;&gt;"",ISNUMBER(A7281)),VLOOKUP(A7281,Studies!A:BR,4,FALSE),"")</f>
        <v>200 mg, Day 10</v>
      </c>
      <c r="E7281" s="250" t="str">
        <f>IF(AND(A7281&lt;&gt;"",ISNUMBER(A7281)),VLOOKUP(A7281,Studies!A:BR,5,FALSE),"")</f>
        <v>Efavirenz</v>
      </c>
      <c r="F7281" s="251" t="str">
        <f>IF(AND(A7281&lt;&gt;"",ISNUMBER(A7281)),VLOOKUP(A7281,Studies!A:BR,6,FALSE),"")</f>
        <v>Plasma</v>
      </c>
      <c r="G7281" s="194">
        <v>220</v>
      </c>
      <c r="H7281" s="50" t="s">
        <v>60</v>
      </c>
      <c r="I7281" s="187">
        <v>3.6021740000000002</v>
      </c>
      <c r="J7281" s="41" t="s">
        <v>1220</v>
      </c>
      <c r="K7281" s="41" t="s">
        <v>116</v>
      </c>
      <c r="L7281" s="195">
        <v>0.93810729999999998</v>
      </c>
      <c r="M7281" s="52" t="s">
        <v>1220</v>
      </c>
      <c r="N7281" s="52" t="s">
        <v>117</v>
      </c>
      <c r="P7281" s="42" t="s">
        <v>2218</v>
      </c>
    </row>
    <row r="7282" spans="1:16" x14ac:dyDescent="0.2">
      <c r="A7282" s="30">
        <v>789</v>
      </c>
      <c r="B7282" s="249" t="str">
        <f>IF(AND(A7282&lt;&gt;"",ISNUMBER(A7282)),VLOOKUP(A7282,Studies!A:BR,2,FALSE),"")</f>
        <v>Mouly 2002</v>
      </c>
      <c r="C7282" s="250" t="str">
        <f>IF(AND(A7282&lt;&gt;"",ISNUMBER(A7282)),VLOOKUP(A7282,Studies!A:BR,3,FALSE),"")</f>
        <v>https://www.ncbi.nlm.nih.gov/pubmed/12151999</v>
      </c>
      <c r="D7282" s="250" t="str">
        <f>IF(AND(A7282&lt;&gt;"",ISNUMBER(A7282)),VLOOKUP(A7282,Studies!A:BR,4,FALSE),"")</f>
        <v>200 mg, Day 10</v>
      </c>
      <c r="E7282" s="250" t="str">
        <f>IF(AND(A7282&lt;&gt;"",ISNUMBER(A7282)),VLOOKUP(A7282,Studies!A:BR,5,FALSE),"")</f>
        <v>Efavirenz</v>
      </c>
      <c r="F7282" s="251" t="str">
        <f>IF(AND(A7282&lt;&gt;"",ISNUMBER(A7282)),VLOOKUP(A7282,Studies!A:BR,6,FALSE),"")</f>
        <v>Plasma</v>
      </c>
      <c r="G7282" s="194">
        <v>221</v>
      </c>
      <c r="H7282" s="50" t="s">
        <v>60</v>
      </c>
      <c r="I7282" s="187">
        <v>3.50482</v>
      </c>
      <c r="J7282" s="41" t="s">
        <v>1220</v>
      </c>
      <c r="K7282" s="41" t="s">
        <v>116</v>
      </c>
      <c r="L7282" s="195">
        <v>0.83822940000000001</v>
      </c>
      <c r="M7282" s="52" t="s">
        <v>1220</v>
      </c>
      <c r="N7282" s="52" t="s">
        <v>117</v>
      </c>
      <c r="P7282" s="42" t="s">
        <v>2218</v>
      </c>
    </row>
    <row r="7283" spans="1:16" x14ac:dyDescent="0.2">
      <c r="A7283" s="30">
        <v>789</v>
      </c>
      <c r="B7283" s="249" t="str">
        <f>IF(AND(A7283&lt;&gt;"",ISNUMBER(A7283)),VLOOKUP(A7283,Studies!A:BR,2,FALSE),"")</f>
        <v>Mouly 2002</v>
      </c>
      <c r="C7283" s="250" t="str">
        <f>IF(AND(A7283&lt;&gt;"",ISNUMBER(A7283)),VLOOKUP(A7283,Studies!A:BR,3,FALSE),"")</f>
        <v>https://www.ncbi.nlm.nih.gov/pubmed/12151999</v>
      </c>
      <c r="D7283" s="250" t="str">
        <f>IF(AND(A7283&lt;&gt;"",ISNUMBER(A7283)),VLOOKUP(A7283,Studies!A:BR,4,FALSE),"")</f>
        <v>200 mg, Day 10</v>
      </c>
      <c r="E7283" s="250" t="str">
        <f>IF(AND(A7283&lt;&gt;"",ISNUMBER(A7283)),VLOOKUP(A7283,Studies!A:BR,5,FALSE),"")</f>
        <v>Efavirenz</v>
      </c>
      <c r="F7283" s="251" t="str">
        <f>IF(AND(A7283&lt;&gt;"",ISNUMBER(A7283)),VLOOKUP(A7283,Studies!A:BR,6,FALSE),"")</f>
        <v>Plasma</v>
      </c>
      <c r="G7283" s="194">
        <v>224</v>
      </c>
      <c r="H7283" s="50" t="s">
        <v>60</v>
      </c>
      <c r="I7283" s="187">
        <v>2.81385</v>
      </c>
      <c r="J7283" s="41" t="s">
        <v>1220</v>
      </c>
      <c r="K7283" s="41" t="s">
        <v>116</v>
      </c>
      <c r="L7283" s="195">
        <v>0.69854070000000001</v>
      </c>
      <c r="M7283" s="52" t="s">
        <v>1220</v>
      </c>
      <c r="N7283" s="52" t="s">
        <v>117</v>
      </c>
      <c r="P7283" s="42" t="s">
        <v>2218</v>
      </c>
    </row>
    <row r="7284" spans="1:16" x14ac:dyDescent="0.2">
      <c r="A7284" s="30">
        <v>789</v>
      </c>
      <c r="B7284" s="249" t="str">
        <f>IF(AND(A7284&lt;&gt;"",ISNUMBER(A7284)),VLOOKUP(A7284,Studies!A:BR,2,FALSE),"")</f>
        <v>Mouly 2002</v>
      </c>
      <c r="C7284" s="250" t="str">
        <f>IF(AND(A7284&lt;&gt;"",ISNUMBER(A7284)),VLOOKUP(A7284,Studies!A:BR,3,FALSE),"")</f>
        <v>https://www.ncbi.nlm.nih.gov/pubmed/12151999</v>
      </c>
      <c r="D7284" s="250" t="str">
        <f>IF(AND(A7284&lt;&gt;"",ISNUMBER(A7284)),VLOOKUP(A7284,Studies!A:BR,4,FALSE),"")</f>
        <v>200 mg, Day 10</v>
      </c>
      <c r="E7284" s="250" t="str">
        <f>IF(AND(A7284&lt;&gt;"",ISNUMBER(A7284)),VLOOKUP(A7284,Studies!A:BR,5,FALSE),"")</f>
        <v>Efavirenz</v>
      </c>
      <c r="F7284" s="251" t="str">
        <f>IF(AND(A7284&lt;&gt;"",ISNUMBER(A7284)),VLOOKUP(A7284,Studies!A:BR,6,FALSE),"")</f>
        <v>Plasma</v>
      </c>
      <c r="G7284" s="194">
        <v>228</v>
      </c>
      <c r="H7284" s="50" t="s">
        <v>60</v>
      </c>
      <c r="I7284" s="187">
        <v>2.6442459999999999</v>
      </c>
      <c r="J7284" s="41" t="s">
        <v>1220</v>
      </c>
      <c r="K7284" s="41" t="s">
        <v>116</v>
      </c>
      <c r="L7284" s="195">
        <v>0.53879670000000002</v>
      </c>
      <c r="M7284" s="52" t="s">
        <v>1220</v>
      </c>
      <c r="N7284" s="52" t="s">
        <v>117</v>
      </c>
      <c r="P7284" s="42" t="s">
        <v>2218</v>
      </c>
    </row>
    <row r="7285" spans="1:16" x14ac:dyDescent="0.2">
      <c r="A7285" s="30">
        <v>789</v>
      </c>
      <c r="B7285" s="249" t="str">
        <f>IF(AND(A7285&lt;&gt;"",ISNUMBER(A7285)),VLOOKUP(A7285,Studies!A:BR,2,FALSE),"")</f>
        <v>Mouly 2002</v>
      </c>
      <c r="C7285" s="250" t="str">
        <f>IF(AND(A7285&lt;&gt;"",ISNUMBER(A7285)),VLOOKUP(A7285,Studies!A:BR,3,FALSE),"")</f>
        <v>https://www.ncbi.nlm.nih.gov/pubmed/12151999</v>
      </c>
      <c r="D7285" s="250" t="str">
        <f>IF(AND(A7285&lt;&gt;"",ISNUMBER(A7285)),VLOOKUP(A7285,Studies!A:BR,4,FALSE),"")</f>
        <v>200 mg, Day 10</v>
      </c>
      <c r="E7285" s="250" t="str">
        <f>IF(AND(A7285&lt;&gt;"",ISNUMBER(A7285)),VLOOKUP(A7285,Studies!A:BR,5,FALSE),"")</f>
        <v>Efavirenz</v>
      </c>
      <c r="F7285" s="251" t="str">
        <f>IF(AND(A7285&lt;&gt;"",ISNUMBER(A7285)),VLOOKUP(A7285,Studies!A:BR,6,FALSE),"")</f>
        <v>Plasma</v>
      </c>
      <c r="G7285" s="194">
        <v>240</v>
      </c>
      <c r="H7285" s="50" t="s">
        <v>60</v>
      </c>
      <c r="I7285" s="187">
        <v>2.095421</v>
      </c>
      <c r="J7285" s="41" t="s">
        <v>1220</v>
      </c>
      <c r="K7285" s="41" t="s">
        <v>116</v>
      </c>
      <c r="L7285" s="195">
        <v>0.39920949999999999</v>
      </c>
      <c r="M7285" s="52" t="s">
        <v>1220</v>
      </c>
      <c r="N7285" s="52" t="s">
        <v>117</v>
      </c>
      <c r="P7285" s="42" t="s">
        <v>2218</v>
      </c>
    </row>
    <row r="7286" spans="1:16" x14ac:dyDescent="0.2">
      <c r="A7286" s="30">
        <v>790</v>
      </c>
      <c r="B7286" s="249" t="str">
        <f>IF(AND(A7286&lt;&gt;"",ISNUMBER(A7286)),VLOOKUP(A7286,Studies!A:BR,2,FALSE),"")</f>
        <v>Mouly 2002</v>
      </c>
      <c r="C7286" s="250" t="str">
        <f>IF(AND(A7286&lt;&gt;"",ISNUMBER(A7286)),VLOOKUP(A7286,Studies!A:BR,3,FALSE),"")</f>
        <v>https://www.ncbi.nlm.nih.gov/pubmed/12151999</v>
      </c>
      <c r="D7286" s="250" t="str">
        <f>IF(AND(A7286&lt;&gt;"",ISNUMBER(A7286)),VLOOKUP(A7286,Studies!A:BR,4,FALSE),"")</f>
        <v>400 mg, Day 10</v>
      </c>
      <c r="E7286" s="250" t="str">
        <f>IF(AND(A7286&lt;&gt;"",ISNUMBER(A7286)),VLOOKUP(A7286,Studies!A:BR,5,FALSE),"")</f>
        <v>Efavirenz</v>
      </c>
      <c r="F7286" s="251" t="str">
        <f>IF(AND(A7286&lt;&gt;"",ISNUMBER(A7286)),VLOOKUP(A7286,Studies!A:BR,6,FALSE),"")</f>
        <v>Plasma</v>
      </c>
      <c r="G7286" s="194">
        <v>216</v>
      </c>
      <c r="H7286" s="50" t="s">
        <v>60</v>
      </c>
      <c r="I7286" s="187">
        <v>2.7539500000000001</v>
      </c>
      <c r="J7286" s="41" t="s">
        <v>1220</v>
      </c>
      <c r="K7286" s="41" t="s">
        <v>116</v>
      </c>
      <c r="L7286" s="195">
        <v>0.67838379999999998</v>
      </c>
      <c r="M7286" s="52" t="s">
        <v>1220</v>
      </c>
      <c r="N7286" s="52" t="s">
        <v>117</v>
      </c>
      <c r="P7286" s="42" t="s">
        <v>2218</v>
      </c>
    </row>
    <row r="7287" spans="1:16" x14ac:dyDescent="0.2">
      <c r="A7287" s="30">
        <v>790</v>
      </c>
      <c r="B7287" s="249" t="str">
        <f>IF(AND(A7287&lt;&gt;"",ISNUMBER(A7287)),VLOOKUP(A7287,Studies!A:BR,2,FALSE),"")</f>
        <v>Mouly 2002</v>
      </c>
      <c r="C7287" s="250" t="str">
        <f>IF(AND(A7287&lt;&gt;"",ISNUMBER(A7287)),VLOOKUP(A7287,Studies!A:BR,3,FALSE),"")</f>
        <v>https://www.ncbi.nlm.nih.gov/pubmed/12151999</v>
      </c>
      <c r="D7287" s="250" t="str">
        <f>IF(AND(A7287&lt;&gt;"",ISNUMBER(A7287)),VLOOKUP(A7287,Studies!A:BR,4,FALSE),"")</f>
        <v>400 mg, Day 10</v>
      </c>
      <c r="E7287" s="250" t="str">
        <f>IF(AND(A7287&lt;&gt;"",ISNUMBER(A7287)),VLOOKUP(A7287,Studies!A:BR,5,FALSE),"")</f>
        <v>Efavirenz</v>
      </c>
      <c r="F7287" s="251" t="str">
        <f>IF(AND(A7287&lt;&gt;"",ISNUMBER(A7287)),VLOOKUP(A7287,Studies!A:BR,6,FALSE),"")</f>
        <v>Plasma</v>
      </c>
      <c r="G7287" s="194">
        <v>218</v>
      </c>
      <c r="H7287" s="50" t="s">
        <v>60</v>
      </c>
      <c r="I7287" s="187">
        <v>6.2111859999999997</v>
      </c>
      <c r="J7287" s="41" t="s">
        <v>1220</v>
      </c>
      <c r="K7287" s="41" t="s">
        <v>116</v>
      </c>
      <c r="L7287" s="195">
        <v>2.1352310000000001</v>
      </c>
      <c r="M7287" s="52" t="s">
        <v>1220</v>
      </c>
      <c r="N7287" s="52" t="s">
        <v>117</v>
      </c>
      <c r="P7287" s="42" t="s">
        <v>2218</v>
      </c>
    </row>
    <row r="7288" spans="1:16" x14ac:dyDescent="0.2">
      <c r="A7288" s="30">
        <v>790</v>
      </c>
      <c r="B7288" s="249" t="str">
        <f>IF(AND(A7288&lt;&gt;"",ISNUMBER(A7288)),VLOOKUP(A7288,Studies!A:BR,2,FALSE),"")</f>
        <v>Mouly 2002</v>
      </c>
      <c r="C7288" s="250" t="str">
        <f>IF(AND(A7288&lt;&gt;"",ISNUMBER(A7288)),VLOOKUP(A7288,Studies!A:BR,3,FALSE),"")</f>
        <v>https://www.ncbi.nlm.nih.gov/pubmed/12151999</v>
      </c>
      <c r="D7288" s="250" t="str">
        <f>IF(AND(A7288&lt;&gt;"",ISNUMBER(A7288)),VLOOKUP(A7288,Studies!A:BR,4,FALSE),"")</f>
        <v>400 mg, Day 10</v>
      </c>
      <c r="E7288" s="250" t="str">
        <f>IF(AND(A7288&lt;&gt;"",ISNUMBER(A7288)),VLOOKUP(A7288,Studies!A:BR,5,FALSE),"")</f>
        <v>Efavirenz</v>
      </c>
      <c r="F7288" s="251" t="str">
        <f>IF(AND(A7288&lt;&gt;"",ISNUMBER(A7288)),VLOOKUP(A7288,Studies!A:BR,6,FALSE),"")</f>
        <v>Plasma</v>
      </c>
      <c r="G7288" s="194">
        <v>219</v>
      </c>
      <c r="H7288" s="50" t="s">
        <v>60</v>
      </c>
      <c r="I7288" s="187">
        <v>5.7947470000000001</v>
      </c>
      <c r="J7288" s="41" t="s">
        <v>1220</v>
      </c>
      <c r="K7288" s="41" t="s">
        <v>116</v>
      </c>
      <c r="L7288" s="195">
        <v>0.71839620000000004</v>
      </c>
      <c r="M7288" s="52" t="s">
        <v>1220</v>
      </c>
      <c r="N7288" s="52" t="s">
        <v>117</v>
      </c>
      <c r="P7288" s="42" t="s">
        <v>2218</v>
      </c>
    </row>
    <row r="7289" spans="1:16" x14ac:dyDescent="0.2">
      <c r="A7289" s="30">
        <v>790</v>
      </c>
      <c r="B7289" s="249" t="str">
        <f>IF(AND(A7289&lt;&gt;"",ISNUMBER(A7289)),VLOOKUP(A7289,Studies!A:BR,2,FALSE),"")</f>
        <v>Mouly 2002</v>
      </c>
      <c r="C7289" s="250" t="str">
        <f>IF(AND(A7289&lt;&gt;"",ISNUMBER(A7289)),VLOOKUP(A7289,Studies!A:BR,3,FALSE),"")</f>
        <v>https://www.ncbi.nlm.nih.gov/pubmed/12151999</v>
      </c>
      <c r="D7289" s="250" t="str">
        <f>IF(AND(A7289&lt;&gt;"",ISNUMBER(A7289)),VLOOKUP(A7289,Studies!A:BR,4,FALSE),"")</f>
        <v>400 mg, Day 10</v>
      </c>
      <c r="E7289" s="250" t="str">
        <f>IF(AND(A7289&lt;&gt;"",ISNUMBER(A7289)),VLOOKUP(A7289,Studies!A:BR,5,FALSE),"")</f>
        <v>Efavirenz</v>
      </c>
      <c r="F7289" s="251" t="str">
        <f>IF(AND(A7289&lt;&gt;"",ISNUMBER(A7289)),VLOOKUP(A7289,Studies!A:BR,6,FALSE),"")</f>
        <v>Plasma</v>
      </c>
      <c r="G7289" s="194">
        <v>220</v>
      </c>
      <c r="H7289" s="50" t="s">
        <v>60</v>
      </c>
      <c r="I7289" s="187">
        <v>5.5977170000000003</v>
      </c>
      <c r="J7289" s="41" t="s">
        <v>1220</v>
      </c>
      <c r="K7289" s="41" t="s">
        <v>116</v>
      </c>
      <c r="L7289" s="195">
        <v>0.57870770000000005</v>
      </c>
      <c r="M7289" s="52" t="s">
        <v>1220</v>
      </c>
      <c r="N7289" s="52" t="s">
        <v>117</v>
      </c>
      <c r="P7289" s="42" t="s">
        <v>2218</v>
      </c>
    </row>
    <row r="7290" spans="1:16" x14ac:dyDescent="0.2">
      <c r="A7290" s="30">
        <v>790</v>
      </c>
      <c r="B7290" s="249" t="str">
        <f>IF(AND(A7290&lt;&gt;"",ISNUMBER(A7290)),VLOOKUP(A7290,Studies!A:BR,2,FALSE),"")</f>
        <v>Mouly 2002</v>
      </c>
      <c r="C7290" s="250" t="str">
        <f>IF(AND(A7290&lt;&gt;"",ISNUMBER(A7290)),VLOOKUP(A7290,Studies!A:BR,3,FALSE),"")</f>
        <v>https://www.ncbi.nlm.nih.gov/pubmed/12151999</v>
      </c>
      <c r="D7290" s="250" t="str">
        <f>IF(AND(A7290&lt;&gt;"",ISNUMBER(A7290)),VLOOKUP(A7290,Studies!A:BR,4,FALSE),"")</f>
        <v>400 mg, Day 10</v>
      </c>
      <c r="E7290" s="250" t="str">
        <f>IF(AND(A7290&lt;&gt;"",ISNUMBER(A7290)),VLOOKUP(A7290,Studies!A:BR,5,FALSE),"")</f>
        <v>Efavirenz</v>
      </c>
      <c r="F7290" s="251" t="str">
        <f>IF(AND(A7290&lt;&gt;"",ISNUMBER(A7290)),VLOOKUP(A7290,Studies!A:BR,6,FALSE),"")</f>
        <v>Plasma</v>
      </c>
      <c r="G7290" s="194">
        <v>221</v>
      </c>
      <c r="H7290" s="50" t="s">
        <v>60</v>
      </c>
      <c r="I7290" s="187">
        <v>5.1809750000000001</v>
      </c>
      <c r="J7290" s="41" t="s">
        <v>1220</v>
      </c>
      <c r="K7290" s="41" t="s">
        <v>116</v>
      </c>
      <c r="L7290" s="195">
        <v>1.0776939999999999</v>
      </c>
      <c r="M7290" s="52" t="s">
        <v>1220</v>
      </c>
      <c r="N7290" s="52" t="s">
        <v>117</v>
      </c>
      <c r="P7290" s="42" t="s">
        <v>2218</v>
      </c>
    </row>
    <row r="7291" spans="1:16" x14ac:dyDescent="0.2">
      <c r="A7291" s="30">
        <v>790</v>
      </c>
      <c r="B7291" s="249" t="str">
        <f>IF(AND(A7291&lt;&gt;"",ISNUMBER(A7291)),VLOOKUP(A7291,Studies!A:BR,2,FALSE),"")</f>
        <v>Mouly 2002</v>
      </c>
      <c r="C7291" s="250" t="str">
        <f>IF(AND(A7291&lt;&gt;"",ISNUMBER(A7291)),VLOOKUP(A7291,Studies!A:BR,3,FALSE),"")</f>
        <v>https://www.ncbi.nlm.nih.gov/pubmed/12151999</v>
      </c>
      <c r="D7291" s="250" t="str">
        <f>IF(AND(A7291&lt;&gt;"",ISNUMBER(A7291)),VLOOKUP(A7291,Studies!A:BR,4,FALSE),"")</f>
        <v>400 mg, Day 10</v>
      </c>
      <c r="E7291" s="250" t="str">
        <f>IF(AND(A7291&lt;&gt;"",ISNUMBER(A7291)),VLOOKUP(A7291,Studies!A:BR,5,FALSE),"")</f>
        <v>Efavirenz</v>
      </c>
      <c r="F7291" s="251" t="str">
        <f>IF(AND(A7291&lt;&gt;"",ISNUMBER(A7291)),VLOOKUP(A7291,Studies!A:BR,6,FALSE),"")</f>
        <v>Plasma</v>
      </c>
      <c r="G7291" s="194">
        <v>224</v>
      </c>
      <c r="H7291" s="50" t="s">
        <v>60</v>
      </c>
      <c r="I7291" s="187">
        <v>4.0709410000000004</v>
      </c>
      <c r="J7291" s="41" t="s">
        <v>1220</v>
      </c>
      <c r="K7291" s="41" t="s">
        <v>116</v>
      </c>
      <c r="L7291" s="195">
        <v>0.65863039999999995</v>
      </c>
      <c r="M7291" s="52" t="s">
        <v>1220</v>
      </c>
      <c r="N7291" s="52" t="s">
        <v>117</v>
      </c>
      <c r="P7291" s="42" t="s">
        <v>2218</v>
      </c>
    </row>
    <row r="7292" spans="1:16" x14ac:dyDescent="0.2">
      <c r="A7292" s="30">
        <v>790</v>
      </c>
      <c r="B7292" s="249" t="str">
        <f>IF(AND(A7292&lt;&gt;"",ISNUMBER(A7292)),VLOOKUP(A7292,Studies!A:BR,2,FALSE),"")</f>
        <v>Mouly 2002</v>
      </c>
      <c r="C7292" s="250" t="str">
        <f>IF(AND(A7292&lt;&gt;"",ISNUMBER(A7292)),VLOOKUP(A7292,Studies!A:BR,3,FALSE),"")</f>
        <v>https://www.ncbi.nlm.nih.gov/pubmed/12151999</v>
      </c>
      <c r="D7292" s="250" t="str">
        <f>IF(AND(A7292&lt;&gt;"",ISNUMBER(A7292)),VLOOKUP(A7292,Studies!A:BR,4,FALSE),"")</f>
        <v>400 mg, Day 10</v>
      </c>
      <c r="E7292" s="250" t="str">
        <f>IF(AND(A7292&lt;&gt;"",ISNUMBER(A7292)),VLOOKUP(A7292,Studies!A:BR,5,FALSE),"")</f>
        <v>Efavirenz</v>
      </c>
      <c r="F7292" s="251" t="str">
        <f>IF(AND(A7292&lt;&gt;"",ISNUMBER(A7292)),VLOOKUP(A7292,Studies!A:BR,6,FALSE),"")</f>
        <v>Plasma</v>
      </c>
      <c r="G7292" s="194">
        <v>228</v>
      </c>
      <c r="H7292" s="50" t="s">
        <v>60</v>
      </c>
      <c r="I7292" s="187">
        <v>3.6021070000000002</v>
      </c>
      <c r="J7292" s="41" t="s">
        <v>1220</v>
      </c>
      <c r="K7292" s="41" t="s">
        <v>116</v>
      </c>
      <c r="L7292" s="195">
        <v>0.71839520000000001</v>
      </c>
      <c r="M7292" s="52" t="s">
        <v>1220</v>
      </c>
      <c r="N7292" s="52" t="s">
        <v>117</v>
      </c>
      <c r="P7292" s="42" t="s">
        <v>2218</v>
      </c>
    </row>
    <row r="7293" spans="1:16" x14ac:dyDescent="0.2">
      <c r="A7293" s="30">
        <v>790</v>
      </c>
      <c r="B7293" s="249" t="str">
        <f>IF(AND(A7293&lt;&gt;"",ISNUMBER(A7293)),VLOOKUP(A7293,Studies!A:BR,2,FALSE),"")</f>
        <v>Mouly 2002</v>
      </c>
      <c r="C7293" s="250" t="str">
        <f>IF(AND(A7293&lt;&gt;"",ISNUMBER(A7293)),VLOOKUP(A7293,Studies!A:BR,3,FALSE),"")</f>
        <v>https://www.ncbi.nlm.nih.gov/pubmed/12151999</v>
      </c>
      <c r="D7293" s="250" t="str">
        <f>IF(AND(A7293&lt;&gt;"",ISNUMBER(A7293)),VLOOKUP(A7293,Studies!A:BR,4,FALSE),"")</f>
        <v>400 mg, Day 10</v>
      </c>
      <c r="E7293" s="250" t="str">
        <f>IF(AND(A7293&lt;&gt;"",ISNUMBER(A7293)),VLOOKUP(A7293,Studies!A:BR,5,FALSE),"")</f>
        <v>Efavirenz</v>
      </c>
      <c r="F7293" s="251" t="str">
        <f>IF(AND(A7293&lt;&gt;"",ISNUMBER(A7293)),VLOOKUP(A7293,Studies!A:BR,6,FALSE),"")</f>
        <v>Plasma</v>
      </c>
      <c r="G7293" s="194">
        <v>240</v>
      </c>
      <c r="H7293" s="50" t="s">
        <v>60</v>
      </c>
      <c r="I7293" s="187">
        <v>2.7338939999999998</v>
      </c>
      <c r="J7293" s="41" t="s">
        <v>1220</v>
      </c>
      <c r="K7293" s="41" t="s">
        <v>116</v>
      </c>
      <c r="L7293" s="195">
        <v>0.73835090000000003</v>
      </c>
      <c r="M7293" s="52" t="s">
        <v>1220</v>
      </c>
      <c r="N7293" s="52" t="s">
        <v>117</v>
      </c>
      <c r="P7293" s="42" t="s">
        <v>2218</v>
      </c>
    </row>
    <row r="7294" spans="1:16" x14ac:dyDescent="0.2">
      <c r="A7294" s="30">
        <v>791</v>
      </c>
      <c r="B7294" s="249" t="str">
        <f>IF(AND(A7294&lt;&gt;"",ISNUMBER(A7294)),VLOOKUP(A7294,Studies!A:BR,2,FALSE),"")</f>
        <v>Xu 2013</v>
      </c>
      <c r="C7294" s="250" t="str">
        <f>IF(AND(A7294&lt;&gt;"",ISNUMBER(A7294)),VLOOKUP(A7294,Studies!A:BR,3,FALSE),"")</f>
        <v>https://www.ncbi.nlm.nih.gov/pubmed/23846872</v>
      </c>
      <c r="D7294" s="250" t="str">
        <f>IF(AND(A7294&lt;&gt;"",ISNUMBER(A7294)),VLOOKUP(A7294,Studies!A:BR,4,FALSE),"")</f>
        <v>CYP2B6*1/*1 genotype</v>
      </c>
      <c r="E7294" s="250" t="str">
        <f>IF(AND(A7294&lt;&gt;"",ISNUMBER(A7294)),VLOOKUP(A7294,Studies!A:BR,5,FALSE),"")</f>
        <v>Efavirenz</v>
      </c>
      <c r="F7294" s="251" t="str">
        <f>IF(AND(A7294&lt;&gt;"",ISNUMBER(A7294)),VLOOKUP(A7294,Studies!A:BR,6,FALSE),"")</f>
        <v>Plasma</v>
      </c>
      <c r="G7294" s="267">
        <v>0.4990638526715338</v>
      </c>
      <c r="H7294" s="50" t="s">
        <v>60</v>
      </c>
      <c r="I7294" s="253">
        <v>124.9277245</v>
      </c>
      <c r="J7294" s="41" t="s">
        <v>941</v>
      </c>
      <c r="K7294" s="41" t="s">
        <v>239</v>
      </c>
      <c r="P7294" s="42" t="s">
        <v>2228</v>
      </c>
    </row>
    <row r="7295" spans="1:16" x14ac:dyDescent="0.2">
      <c r="A7295" s="30">
        <v>791</v>
      </c>
      <c r="B7295" s="249" t="str">
        <f>IF(AND(A7295&lt;&gt;"",ISNUMBER(A7295)),VLOOKUP(A7295,Studies!A:BR,2,FALSE),"")</f>
        <v>Xu 2013</v>
      </c>
      <c r="C7295" s="250" t="str">
        <f>IF(AND(A7295&lt;&gt;"",ISNUMBER(A7295)),VLOOKUP(A7295,Studies!A:BR,3,FALSE),"")</f>
        <v>https://www.ncbi.nlm.nih.gov/pubmed/23846872</v>
      </c>
      <c r="D7295" s="250" t="str">
        <f>IF(AND(A7295&lt;&gt;"",ISNUMBER(A7295)),VLOOKUP(A7295,Studies!A:BR,4,FALSE),"")</f>
        <v>CYP2B6*1/*1 genotype</v>
      </c>
      <c r="E7295" s="250" t="str">
        <f>IF(AND(A7295&lt;&gt;"",ISNUMBER(A7295)),VLOOKUP(A7295,Studies!A:BR,5,FALSE),"")</f>
        <v>Efavirenz</v>
      </c>
      <c r="F7295" s="251" t="str">
        <f>IF(AND(A7295&lt;&gt;"",ISNUMBER(A7295)),VLOOKUP(A7295,Studies!A:BR,6,FALSE),"")</f>
        <v>Plasma</v>
      </c>
      <c r="G7295" s="267">
        <v>0.49927470767870546</v>
      </c>
      <c r="H7295" s="50" t="s">
        <v>60</v>
      </c>
      <c r="I7295" s="253">
        <v>744.66389400000003</v>
      </c>
      <c r="J7295" s="41" t="s">
        <v>941</v>
      </c>
      <c r="K7295" s="41" t="s">
        <v>239</v>
      </c>
      <c r="P7295" s="42" t="s">
        <v>2228</v>
      </c>
    </row>
    <row r="7296" spans="1:16" x14ac:dyDescent="0.2">
      <c r="A7296" s="30">
        <v>791</v>
      </c>
      <c r="B7296" s="249" t="str">
        <f>IF(AND(A7296&lt;&gt;"",ISNUMBER(A7296)),VLOOKUP(A7296,Studies!A:BR,2,FALSE),"")</f>
        <v>Xu 2013</v>
      </c>
      <c r="C7296" s="250" t="str">
        <f>IF(AND(A7296&lt;&gt;"",ISNUMBER(A7296)),VLOOKUP(A7296,Studies!A:BR,3,FALSE),"")</f>
        <v>https://www.ncbi.nlm.nih.gov/pubmed/23846872</v>
      </c>
      <c r="D7296" s="250" t="str">
        <f>IF(AND(A7296&lt;&gt;"",ISNUMBER(A7296)),VLOOKUP(A7296,Studies!A:BR,4,FALSE),"")</f>
        <v>CYP2B6*1/*1 genotype</v>
      </c>
      <c r="E7296" s="250" t="str">
        <f>IF(AND(A7296&lt;&gt;"",ISNUMBER(A7296)),VLOOKUP(A7296,Studies!A:BR,5,FALSE),"")</f>
        <v>Efavirenz</v>
      </c>
      <c r="F7296" s="251" t="str">
        <f>IF(AND(A7296&lt;&gt;"",ISNUMBER(A7296)),VLOOKUP(A7296,Studies!A:BR,6,FALSE),"")</f>
        <v>Plasma</v>
      </c>
      <c r="G7296" s="267">
        <v>0.50006422575004394</v>
      </c>
      <c r="H7296" s="50" t="s">
        <v>60</v>
      </c>
      <c r="I7296" s="253">
        <v>37.290791830000003</v>
      </c>
      <c r="J7296" s="41" t="s">
        <v>941</v>
      </c>
      <c r="K7296" s="41" t="s">
        <v>239</v>
      </c>
      <c r="P7296" s="42" t="s">
        <v>2228</v>
      </c>
    </row>
    <row r="7297" spans="1:16" x14ac:dyDescent="0.2">
      <c r="A7297" s="30">
        <v>791</v>
      </c>
      <c r="B7297" s="249" t="str">
        <f>IF(AND(A7297&lt;&gt;"",ISNUMBER(A7297)),VLOOKUP(A7297,Studies!A:BR,2,FALSE),"")</f>
        <v>Xu 2013</v>
      </c>
      <c r="C7297" s="250" t="str">
        <f>IF(AND(A7297&lt;&gt;"",ISNUMBER(A7297)),VLOOKUP(A7297,Studies!A:BR,3,FALSE),"")</f>
        <v>https://www.ncbi.nlm.nih.gov/pubmed/23846872</v>
      </c>
      <c r="D7297" s="250" t="str">
        <f>IF(AND(A7297&lt;&gt;"",ISNUMBER(A7297)),VLOOKUP(A7297,Studies!A:BR,4,FALSE),"")</f>
        <v>CYP2B6*1/*1 genotype</v>
      </c>
      <c r="E7297" s="250" t="str">
        <f>IF(AND(A7297&lt;&gt;"",ISNUMBER(A7297)),VLOOKUP(A7297,Studies!A:BR,5,FALSE),"")</f>
        <v>Efavirenz</v>
      </c>
      <c r="F7297" s="251" t="str">
        <f>IF(AND(A7297&lt;&gt;"",ISNUMBER(A7297)),VLOOKUP(A7297,Studies!A:BR,6,FALSE),"")</f>
        <v>Plasma</v>
      </c>
      <c r="G7297" s="267">
        <v>0.50085980194946755</v>
      </c>
      <c r="H7297" s="50" t="s">
        <v>60</v>
      </c>
      <c r="I7297" s="253">
        <v>49.810353640000002</v>
      </c>
      <c r="J7297" s="41" t="s">
        <v>941</v>
      </c>
      <c r="K7297" s="41" t="s">
        <v>239</v>
      </c>
      <c r="P7297" s="42" t="s">
        <v>2228</v>
      </c>
    </row>
    <row r="7298" spans="1:16" x14ac:dyDescent="0.2">
      <c r="A7298" s="30">
        <v>791</v>
      </c>
      <c r="B7298" s="249" t="str">
        <f>IF(AND(A7298&lt;&gt;"",ISNUMBER(A7298)),VLOOKUP(A7298,Studies!A:BR,2,FALSE),"")</f>
        <v>Xu 2013</v>
      </c>
      <c r="C7298" s="250" t="str">
        <f>IF(AND(A7298&lt;&gt;"",ISNUMBER(A7298)),VLOOKUP(A7298,Studies!A:BR,3,FALSE),"")</f>
        <v>https://www.ncbi.nlm.nih.gov/pubmed/23846872</v>
      </c>
      <c r="D7298" s="250" t="str">
        <f>IF(AND(A7298&lt;&gt;"",ISNUMBER(A7298)),VLOOKUP(A7298,Studies!A:BR,4,FALSE),"")</f>
        <v>CYP2B6*1/*1 genotype</v>
      </c>
      <c r="E7298" s="250" t="str">
        <f>IF(AND(A7298&lt;&gt;"",ISNUMBER(A7298)),VLOOKUP(A7298,Studies!A:BR,5,FALSE),"")</f>
        <v>Efavirenz</v>
      </c>
      <c r="F7298" s="251" t="str">
        <f>IF(AND(A7298&lt;&gt;"",ISNUMBER(A7298)),VLOOKUP(A7298,Studies!A:BR,6,FALSE),"")</f>
        <v>Plasma</v>
      </c>
      <c r="G7298" s="267">
        <v>0.50087646381650119</v>
      </c>
      <c r="H7298" s="50" t="s">
        <v>60</v>
      </c>
      <c r="I7298" s="253">
        <v>175.0059718</v>
      </c>
      <c r="J7298" s="41" t="s">
        <v>941</v>
      </c>
      <c r="K7298" s="41" t="s">
        <v>239</v>
      </c>
      <c r="P7298" s="42" t="s">
        <v>2228</v>
      </c>
    </row>
    <row r="7299" spans="1:16" x14ac:dyDescent="0.2">
      <c r="A7299" s="30">
        <v>791</v>
      </c>
      <c r="B7299" s="249" t="str">
        <f>IF(AND(A7299&lt;&gt;"",ISNUMBER(A7299)),VLOOKUP(A7299,Studies!A:BR,2,FALSE),"")</f>
        <v>Xu 2013</v>
      </c>
      <c r="C7299" s="250" t="str">
        <f>IF(AND(A7299&lt;&gt;"",ISNUMBER(A7299)),VLOOKUP(A7299,Studies!A:BR,3,FALSE),"")</f>
        <v>https://www.ncbi.nlm.nih.gov/pubmed/23846872</v>
      </c>
      <c r="D7299" s="250" t="str">
        <f>IF(AND(A7299&lt;&gt;"",ISNUMBER(A7299)),VLOOKUP(A7299,Studies!A:BR,4,FALSE),"")</f>
        <v>CYP2B6*1/*1 genotype</v>
      </c>
      <c r="E7299" s="250" t="str">
        <f>IF(AND(A7299&lt;&gt;"",ISNUMBER(A7299)),VLOOKUP(A7299,Studies!A:BR,5,FALSE),"")</f>
        <v>Efavirenz</v>
      </c>
      <c r="F7299" s="251" t="str">
        <f>IF(AND(A7299&lt;&gt;"",ISNUMBER(A7299)),VLOOKUP(A7299,Studies!A:BR,6,FALSE),"")</f>
        <v>Plasma</v>
      </c>
      <c r="G7299" s="267">
        <v>0.99934410085855052</v>
      </c>
      <c r="H7299" s="50" t="s">
        <v>60</v>
      </c>
      <c r="I7299" s="253">
        <v>3630.3514540000001</v>
      </c>
      <c r="J7299" s="41" t="s">
        <v>941</v>
      </c>
      <c r="K7299" s="41" t="s">
        <v>239</v>
      </c>
      <c r="P7299" s="42" t="s">
        <v>2228</v>
      </c>
    </row>
    <row r="7300" spans="1:16" x14ac:dyDescent="0.2">
      <c r="A7300" s="30">
        <v>791</v>
      </c>
      <c r="B7300" s="249" t="str">
        <f>IF(AND(A7300&lt;&gt;"",ISNUMBER(A7300)),VLOOKUP(A7300,Studies!A:BR,2,FALSE),"")</f>
        <v>Xu 2013</v>
      </c>
      <c r="C7300" s="250" t="str">
        <f>IF(AND(A7300&lt;&gt;"",ISNUMBER(A7300)),VLOOKUP(A7300,Studies!A:BR,3,FALSE),"")</f>
        <v>https://www.ncbi.nlm.nih.gov/pubmed/23846872</v>
      </c>
      <c r="D7300" s="250" t="str">
        <f>IF(AND(A7300&lt;&gt;"",ISNUMBER(A7300)),VLOOKUP(A7300,Studies!A:BR,4,FALSE),"")</f>
        <v>CYP2B6*1/*1 genotype</v>
      </c>
      <c r="E7300" s="250" t="str">
        <f>IF(AND(A7300&lt;&gt;"",ISNUMBER(A7300)),VLOOKUP(A7300,Studies!A:BR,5,FALSE),"")</f>
        <v>Efavirenz</v>
      </c>
      <c r="F7300" s="251" t="str">
        <f>IF(AND(A7300&lt;&gt;"",ISNUMBER(A7300)),VLOOKUP(A7300,Studies!A:BR,6,FALSE),"")</f>
        <v>Plasma</v>
      </c>
      <c r="G7300" s="267">
        <v>0.99970459551783275</v>
      </c>
      <c r="H7300" s="50" t="s">
        <v>60</v>
      </c>
      <c r="I7300" s="253">
        <v>1577.1433159999999</v>
      </c>
      <c r="J7300" s="41" t="s">
        <v>941</v>
      </c>
      <c r="K7300" s="41" t="s">
        <v>239</v>
      </c>
      <c r="P7300" s="42" t="s">
        <v>2228</v>
      </c>
    </row>
    <row r="7301" spans="1:16" x14ac:dyDescent="0.2">
      <c r="A7301" s="30">
        <v>791</v>
      </c>
      <c r="B7301" s="249" t="str">
        <f>IF(AND(A7301&lt;&gt;"",ISNUMBER(A7301)),VLOOKUP(A7301,Studies!A:BR,2,FALSE),"")</f>
        <v>Xu 2013</v>
      </c>
      <c r="C7301" s="250" t="str">
        <f>IF(AND(A7301&lt;&gt;"",ISNUMBER(A7301)),VLOOKUP(A7301,Studies!A:BR,3,FALSE),"")</f>
        <v>https://www.ncbi.nlm.nih.gov/pubmed/23846872</v>
      </c>
      <c r="D7301" s="250" t="str">
        <f>IF(AND(A7301&lt;&gt;"",ISNUMBER(A7301)),VLOOKUP(A7301,Studies!A:BR,4,FALSE),"")</f>
        <v>CYP2B6*1/*1 genotype</v>
      </c>
      <c r="E7301" s="250" t="str">
        <f>IF(AND(A7301&lt;&gt;"",ISNUMBER(A7301)),VLOOKUP(A7301,Studies!A:BR,5,FALSE),"")</f>
        <v>Efavirenz</v>
      </c>
      <c r="F7301" s="251" t="str">
        <f>IF(AND(A7301&lt;&gt;"",ISNUMBER(A7301)),VLOOKUP(A7301,Studies!A:BR,6,FALSE),"")</f>
        <v>Plasma</v>
      </c>
      <c r="G7301" s="267">
        <v>0.99979169003432622</v>
      </c>
      <c r="H7301" s="50" t="s">
        <v>60</v>
      </c>
      <c r="I7301" s="253">
        <v>1376.8303269999999</v>
      </c>
      <c r="J7301" s="41" t="s">
        <v>941</v>
      </c>
      <c r="K7301" s="41" t="s">
        <v>239</v>
      </c>
      <c r="P7301" s="42" t="s">
        <v>2228</v>
      </c>
    </row>
    <row r="7302" spans="1:16" x14ac:dyDescent="0.2">
      <c r="A7302" s="30">
        <v>791</v>
      </c>
      <c r="B7302" s="249" t="str">
        <f>IF(AND(A7302&lt;&gt;"",ISNUMBER(A7302)),VLOOKUP(A7302,Studies!A:BR,2,FALSE),"")</f>
        <v>Xu 2013</v>
      </c>
      <c r="C7302" s="250" t="str">
        <f>IF(AND(A7302&lt;&gt;"",ISNUMBER(A7302)),VLOOKUP(A7302,Studies!A:BR,3,FALSE),"")</f>
        <v>https://www.ncbi.nlm.nih.gov/pubmed/23846872</v>
      </c>
      <c r="D7302" s="250" t="str">
        <f>IF(AND(A7302&lt;&gt;"",ISNUMBER(A7302)),VLOOKUP(A7302,Studies!A:BR,4,FALSE),"")</f>
        <v>CYP2B6*1/*1 genotype</v>
      </c>
      <c r="E7302" s="250" t="str">
        <f>IF(AND(A7302&lt;&gt;"",ISNUMBER(A7302)),VLOOKUP(A7302,Studies!A:BR,5,FALSE),"")</f>
        <v>Efavirenz</v>
      </c>
      <c r="F7302" s="251" t="str">
        <f>IF(AND(A7302&lt;&gt;"",ISNUMBER(A7302)),VLOOKUP(A7302,Studies!A:BR,6,FALSE),"")</f>
        <v>Plasma</v>
      </c>
      <c r="G7302" s="267">
        <v>0.99982207461679351</v>
      </c>
      <c r="H7302" s="50" t="s">
        <v>60</v>
      </c>
      <c r="I7302" s="253">
        <v>149.91326939999999</v>
      </c>
      <c r="J7302" s="41" t="s">
        <v>941</v>
      </c>
      <c r="K7302" s="41" t="s">
        <v>239</v>
      </c>
      <c r="P7302" s="42" t="s">
        <v>2228</v>
      </c>
    </row>
    <row r="7303" spans="1:16" x14ac:dyDescent="0.2">
      <c r="A7303" s="30">
        <v>791</v>
      </c>
      <c r="B7303" s="249" t="str">
        <f>IF(AND(A7303&lt;&gt;"",ISNUMBER(A7303)),VLOOKUP(A7303,Studies!A:BR,2,FALSE),"")</f>
        <v>Xu 2013</v>
      </c>
      <c r="C7303" s="250" t="str">
        <f>IF(AND(A7303&lt;&gt;"",ISNUMBER(A7303)),VLOOKUP(A7303,Studies!A:BR,3,FALSE),"")</f>
        <v>https://www.ncbi.nlm.nih.gov/pubmed/23846872</v>
      </c>
      <c r="D7303" s="250" t="str">
        <f>IF(AND(A7303&lt;&gt;"",ISNUMBER(A7303)),VLOOKUP(A7303,Studies!A:BR,4,FALSE),"")</f>
        <v>CYP2B6*1/*1 genotype</v>
      </c>
      <c r="E7303" s="250" t="str">
        <f>IF(AND(A7303&lt;&gt;"",ISNUMBER(A7303)),VLOOKUP(A7303,Studies!A:BR,5,FALSE),"")</f>
        <v>Efavirenz</v>
      </c>
      <c r="F7303" s="251" t="str">
        <f>IF(AND(A7303&lt;&gt;"",ISNUMBER(A7303)),VLOOKUP(A7303,Studies!A:BR,6,FALSE),"")</f>
        <v>Plasma</v>
      </c>
      <c r="G7303" s="267">
        <v>1.0004369694730266</v>
      </c>
      <c r="H7303" s="50" t="s">
        <v>60</v>
      </c>
      <c r="I7303" s="253">
        <v>500.46100030000002</v>
      </c>
      <c r="J7303" s="41" t="s">
        <v>941</v>
      </c>
      <c r="K7303" s="41" t="s">
        <v>239</v>
      </c>
      <c r="P7303" s="42" t="s">
        <v>2228</v>
      </c>
    </row>
    <row r="7304" spans="1:16" x14ac:dyDescent="0.2">
      <c r="A7304" s="30">
        <v>791</v>
      </c>
      <c r="B7304" s="249" t="str">
        <f>IF(AND(A7304&lt;&gt;"",ISNUMBER(A7304)),VLOOKUP(A7304,Studies!A:BR,2,FALSE),"")</f>
        <v>Xu 2013</v>
      </c>
      <c r="C7304" s="250" t="str">
        <f>IF(AND(A7304&lt;&gt;"",ISNUMBER(A7304)),VLOOKUP(A7304,Studies!A:BR,3,FALSE),"")</f>
        <v>https://www.ncbi.nlm.nih.gov/pubmed/23846872</v>
      </c>
      <c r="D7304" s="250" t="str">
        <f>IF(AND(A7304&lt;&gt;"",ISNUMBER(A7304)),VLOOKUP(A7304,Studies!A:BR,4,FALSE),"")</f>
        <v>CYP2B6*1/*1 genotype</v>
      </c>
      <c r="E7304" s="250" t="str">
        <f>IF(AND(A7304&lt;&gt;"",ISNUMBER(A7304)),VLOOKUP(A7304,Studies!A:BR,5,FALSE),"")</f>
        <v>Efavirenz</v>
      </c>
      <c r="F7304" s="251" t="str">
        <f>IF(AND(A7304&lt;&gt;"",ISNUMBER(A7304)),VLOOKUP(A7304,Studies!A:BR,6,FALSE),"")</f>
        <v>Plasma</v>
      </c>
      <c r="G7304" s="267">
        <v>1.0006394900726154</v>
      </c>
      <c r="H7304" s="50" t="s">
        <v>60</v>
      </c>
      <c r="I7304" s="253">
        <v>500.46100030000002</v>
      </c>
      <c r="J7304" s="41" t="s">
        <v>941</v>
      </c>
      <c r="K7304" s="41" t="s">
        <v>239</v>
      </c>
      <c r="P7304" s="42" t="s">
        <v>2228</v>
      </c>
    </row>
    <row r="7305" spans="1:16" x14ac:dyDescent="0.2">
      <c r="A7305" s="30">
        <v>791</v>
      </c>
      <c r="B7305" s="249" t="str">
        <f>IF(AND(A7305&lt;&gt;"",ISNUMBER(A7305)),VLOOKUP(A7305,Studies!A:BR,2,FALSE),"")</f>
        <v>Xu 2013</v>
      </c>
      <c r="C7305" s="250" t="str">
        <f>IF(AND(A7305&lt;&gt;"",ISNUMBER(A7305)),VLOOKUP(A7305,Studies!A:BR,3,FALSE),"")</f>
        <v>https://www.ncbi.nlm.nih.gov/pubmed/23846872</v>
      </c>
      <c r="D7305" s="250" t="str">
        <f>IF(AND(A7305&lt;&gt;"",ISNUMBER(A7305)),VLOOKUP(A7305,Studies!A:BR,4,FALSE),"")</f>
        <v>CYP2B6*1/*1 genotype</v>
      </c>
      <c r="E7305" s="250" t="str">
        <f>IF(AND(A7305&lt;&gt;"",ISNUMBER(A7305)),VLOOKUP(A7305,Studies!A:BR,5,FALSE),"")</f>
        <v>Efavirenz</v>
      </c>
      <c r="F7305" s="251" t="str">
        <f>IF(AND(A7305&lt;&gt;"",ISNUMBER(A7305)),VLOOKUP(A7305,Studies!A:BR,6,FALSE),"")</f>
        <v>Plasma</v>
      </c>
      <c r="G7305" s="267">
        <v>1.0007779748677277</v>
      </c>
      <c r="H7305" s="50" t="s">
        <v>60</v>
      </c>
      <c r="I7305" s="253">
        <v>825.96960750000005</v>
      </c>
      <c r="J7305" s="41" t="s">
        <v>941</v>
      </c>
      <c r="K7305" s="41" t="s">
        <v>239</v>
      </c>
      <c r="P7305" s="42" t="s">
        <v>2228</v>
      </c>
    </row>
    <row r="7306" spans="1:16" x14ac:dyDescent="0.2">
      <c r="A7306" s="30">
        <v>791</v>
      </c>
      <c r="B7306" s="249" t="str">
        <f>IF(AND(A7306&lt;&gt;"",ISNUMBER(A7306)),VLOOKUP(A7306,Studies!A:BR,2,FALSE),"")</f>
        <v>Xu 2013</v>
      </c>
      <c r="C7306" s="250" t="str">
        <f>IF(AND(A7306&lt;&gt;"",ISNUMBER(A7306)),VLOOKUP(A7306,Studies!A:BR,3,FALSE),"")</f>
        <v>https://www.ncbi.nlm.nih.gov/pubmed/23846872</v>
      </c>
      <c r="D7306" s="250" t="str">
        <f>IF(AND(A7306&lt;&gt;"",ISNUMBER(A7306)),VLOOKUP(A7306,Studies!A:BR,4,FALSE),"")</f>
        <v>CYP2B6*1/*1 genotype</v>
      </c>
      <c r="E7306" s="250" t="str">
        <f>IF(AND(A7306&lt;&gt;"",ISNUMBER(A7306)),VLOOKUP(A7306,Studies!A:BR,5,FALSE),"")</f>
        <v>Efavirenz</v>
      </c>
      <c r="F7306" s="251" t="str">
        <f>IF(AND(A7306&lt;&gt;"",ISNUMBER(A7306)),VLOOKUP(A7306,Studies!A:BR,6,FALSE),"")</f>
        <v>Plasma</v>
      </c>
      <c r="G7306" s="267">
        <v>1.9990761874173768</v>
      </c>
      <c r="H7306" s="50" t="s">
        <v>60</v>
      </c>
      <c r="I7306" s="253">
        <v>106.01443500000001</v>
      </c>
      <c r="J7306" s="41" t="s">
        <v>941</v>
      </c>
      <c r="K7306" s="41" t="s">
        <v>239</v>
      </c>
      <c r="P7306" s="42" t="s">
        <v>2228</v>
      </c>
    </row>
    <row r="7307" spans="1:16" x14ac:dyDescent="0.2">
      <c r="A7307" s="30">
        <v>791</v>
      </c>
      <c r="B7307" s="249" t="str">
        <f>IF(AND(A7307&lt;&gt;"",ISNUMBER(A7307)),VLOOKUP(A7307,Studies!A:BR,2,FALSE),"")</f>
        <v>Xu 2013</v>
      </c>
      <c r="C7307" s="250" t="str">
        <f>IF(AND(A7307&lt;&gt;"",ISNUMBER(A7307)),VLOOKUP(A7307,Studies!A:BR,3,FALSE),"")</f>
        <v>https://www.ncbi.nlm.nih.gov/pubmed/23846872</v>
      </c>
      <c r="D7307" s="250" t="str">
        <f>IF(AND(A7307&lt;&gt;"",ISNUMBER(A7307)),VLOOKUP(A7307,Studies!A:BR,4,FALSE),"")</f>
        <v>CYP2B6*1/*1 genotype</v>
      </c>
      <c r="E7307" s="250" t="str">
        <f>IF(AND(A7307&lt;&gt;"",ISNUMBER(A7307)),VLOOKUP(A7307,Studies!A:BR,5,FALSE),"")</f>
        <v>Efavirenz</v>
      </c>
      <c r="F7307" s="251" t="str">
        <f>IF(AND(A7307&lt;&gt;"",ISNUMBER(A7307)),VLOOKUP(A7307,Studies!A:BR,6,FALSE),"")</f>
        <v>Plasma</v>
      </c>
      <c r="G7307" s="267">
        <v>1.9995432073641568</v>
      </c>
      <c r="H7307" s="50" t="s">
        <v>60</v>
      </c>
      <c r="I7307" s="253">
        <v>1282.8443159999999</v>
      </c>
      <c r="J7307" s="41" t="s">
        <v>941</v>
      </c>
      <c r="K7307" s="41" t="s">
        <v>239</v>
      </c>
      <c r="P7307" s="42" t="s">
        <v>2228</v>
      </c>
    </row>
    <row r="7308" spans="1:16" x14ac:dyDescent="0.2">
      <c r="A7308" s="30">
        <v>791</v>
      </c>
      <c r="B7308" s="249" t="str">
        <f>IF(AND(A7308&lt;&gt;"",ISNUMBER(A7308)),VLOOKUP(A7308,Studies!A:BR,2,FALSE),"")</f>
        <v>Xu 2013</v>
      </c>
      <c r="C7308" s="250" t="str">
        <f>IF(AND(A7308&lt;&gt;"",ISNUMBER(A7308)),VLOOKUP(A7308,Studies!A:BR,3,FALSE),"")</f>
        <v>https://www.ncbi.nlm.nih.gov/pubmed/23846872</v>
      </c>
      <c r="D7308" s="250" t="str">
        <f>IF(AND(A7308&lt;&gt;"",ISNUMBER(A7308)),VLOOKUP(A7308,Studies!A:BR,4,FALSE),"")</f>
        <v>CYP2B6*1/*1 genotype</v>
      </c>
      <c r="E7308" s="250" t="str">
        <f>IF(AND(A7308&lt;&gt;"",ISNUMBER(A7308)),VLOOKUP(A7308,Studies!A:BR,5,FALSE),"")</f>
        <v>Efavirenz</v>
      </c>
      <c r="F7308" s="251" t="str">
        <f>IF(AND(A7308&lt;&gt;"",ISNUMBER(A7308)),VLOOKUP(A7308,Studies!A:BR,6,FALSE),"")</f>
        <v>Plasma</v>
      </c>
      <c r="G7308" s="267">
        <v>1.999774343971163</v>
      </c>
      <c r="H7308" s="50" t="s">
        <v>60</v>
      </c>
      <c r="I7308" s="253">
        <v>731.98359600000003</v>
      </c>
      <c r="J7308" s="41" t="s">
        <v>941</v>
      </c>
      <c r="K7308" s="41" t="s">
        <v>239</v>
      </c>
      <c r="P7308" s="42" t="s">
        <v>2228</v>
      </c>
    </row>
    <row r="7309" spans="1:16" x14ac:dyDescent="0.2">
      <c r="A7309" s="30">
        <v>791</v>
      </c>
      <c r="B7309" s="249" t="str">
        <f>IF(AND(A7309&lt;&gt;"",ISNUMBER(A7309)),VLOOKUP(A7309,Studies!A:BR,2,FALSE),"")</f>
        <v>Xu 2013</v>
      </c>
      <c r="C7309" s="250" t="str">
        <f>IF(AND(A7309&lt;&gt;"",ISNUMBER(A7309)),VLOOKUP(A7309,Studies!A:BR,3,FALSE),"")</f>
        <v>https://www.ncbi.nlm.nih.gov/pubmed/23846872</v>
      </c>
      <c r="D7309" s="250" t="str">
        <f>IF(AND(A7309&lt;&gt;"",ISNUMBER(A7309)),VLOOKUP(A7309,Studies!A:BR,4,FALSE),"")</f>
        <v>CYP2B6*1/*1 genotype</v>
      </c>
      <c r="E7309" s="250" t="str">
        <f>IF(AND(A7309&lt;&gt;"",ISNUMBER(A7309)),VLOOKUP(A7309,Studies!A:BR,5,FALSE),"")</f>
        <v>Efavirenz</v>
      </c>
      <c r="F7309" s="251" t="str">
        <f>IF(AND(A7309&lt;&gt;"",ISNUMBER(A7309)),VLOOKUP(A7309,Studies!A:BR,6,FALSE),"")</f>
        <v>Plasma</v>
      </c>
      <c r="G7309" s="267">
        <v>1.9997952526616865</v>
      </c>
      <c r="H7309" s="50" t="s">
        <v>60</v>
      </c>
      <c r="I7309" s="253">
        <v>3605.2319619999998</v>
      </c>
      <c r="J7309" s="41" t="s">
        <v>941</v>
      </c>
      <c r="K7309" s="41" t="s">
        <v>239</v>
      </c>
      <c r="P7309" s="42" t="s">
        <v>2228</v>
      </c>
    </row>
    <row r="7310" spans="1:16" x14ac:dyDescent="0.2">
      <c r="A7310" s="30">
        <v>791</v>
      </c>
      <c r="B7310" s="249" t="str">
        <f>IF(AND(A7310&lt;&gt;"",ISNUMBER(A7310)),VLOOKUP(A7310,Studies!A:BR,2,FALSE),"")</f>
        <v>Xu 2013</v>
      </c>
      <c r="C7310" s="250" t="str">
        <f>IF(AND(A7310&lt;&gt;"",ISNUMBER(A7310)),VLOOKUP(A7310,Studies!A:BR,3,FALSE),"")</f>
        <v>https://www.ncbi.nlm.nih.gov/pubmed/23846872</v>
      </c>
      <c r="D7310" s="250" t="str">
        <f>IF(AND(A7310&lt;&gt;"",ISNUMBER(A7310)),VLOOKUP(A7310,Studies!A:BR,4,FALSE),"")</f>
        <v>CYP2B6*1/*1 genotype</v>
      </c>
      <c r="E7310" s="250" t="str">
        <f>IF(AND(A7310&lt;&gt;"",ISNUMBER(A7310)),VLOOKUP(A7310,Studies!A:BR,5,FALSE),"")</f>
        <v>Efavirenz</v>
      </c>
      <c r="F7310" s="251" t="str">
        <f>IF(AND(A7310&lt;&gt;"",ISNUMBER(A7310)),VLOOKUP(A7310,Studies!A:BR,6,FALSE),"")</f>
        <v>Plasma</v>
      </c>
      <c r="G7310" s="267">
        <v>2.0003357438379901</v>
      </c>
      <c r="H7310" s="50" t="s">
        <v>60</v>
      </c>
      <c r="I7310" s="253">
        <v>1163.917408</v>
      </c>
      <c r="J7310" s="41" t="s">
        <v>941</v>
      </c>
      <c r="K7310" s="41" t="s">
        <v>239</v>
      </c>
      <c r="P7310" s="42" t="s">
        <v>2228</v>
      </c>
    </row>
    <row r="7311" spans="1:16" x14ac:dyDescent="0.2">
      <c r="A7311" s="30">
        <v>791</v>
      </c>
      <c r="B7311" s="249" t="str">
        <f>IF(AND(A7311&lt;&gt;"",ISNUMBER(A7311)),VLOOKUP(A7311,Studies!A:BR,2,FALSE),"")</f>
        <v>Xu 2013</v>
      </c>
      <c r="C7311" s="250" t="str">
        <f>IF(AND(A7311&lt;&gt;"",ISNUMBER(A7311)),VLOOKUP(A7311,Studies!A:BR,3,FALSE),"")</f>
        <v>https://www.ncbi.nlm.nih.gov/pubmed/23846872</v>
      </c>
      <c r="D7311" s="250" t="str">
        <f>IF(AND(A7311&lt;&gt;"",ISNUMBER(A7311)),VLOOKUP(A7311,Studies!A:BR,4,FALSE),"")</f>
        <v>CYP2B6*1/*1 genotype</v>
      </c>
      <c r="E7311" s="250" t="str">
        <f>IF(AND(A7311&lt;&gt;"",ISNUMBER(A7311)),VLOOKUP(A7311,Studies!A:BR,5,FALSE),"")</f>
        <v>Efavirenz</v>
      </c>
      <c r="F7311" s="251" t="str">
        <f>IF(AND(A7311&lt;&gt;"",ISNUMBER(A7311)),VLOOKUP(A7311,Studies!A:BR,6,FALSE),"")</f>
        <v>Plasma</v>
      </c>
      <c r="G7311" s="267">
        <v>2.0004727929523214</v>
      </c>
      <c r="H7311" s="50" t="s">
        <v>60</v>
      </c>
      <c r="I7311" s="253">
        <v>2835.2789109999999</v>
      </c>
      <c r="J7311" s="41" t="s">
        <v>941</v>
      </c>
      <c r="K7311" s="41" t="s">
        <v>239</v>
      </c>
      <c r="P7311" s="42" t="s">
        <v>2228</v>
      </c>
    </row>
    <row r="7312" spans="1:16" x14ac:dyDescent="0.2">
      <c r="A7312" s="30">
        <v>791</v>
      </c>
      <c r="B7312" s="249" t="str">
        <f>IF(AND(A7312&lt;&gt;"",ISNUMBER(A7312)),VLOOKUP(A7312,Studies!A:BR,2,FALSE),"")</f>
        <v>Xu 2013</v>
      </c>
      <c r="C7312" s="250" t="str">
        <f>IF(AND(A7312&lt;&gt;"",ISNUMBER(A7312)),VLOOKUP(A7312,Studies!A:BR,3,FALSE),"")</f>
        <v>https://www.ncbi.nlm.nih.gov/pubmed/23846872</v>
      </c>
      <c r="D7312" s="250" t="str">
        <f>IF(AND(A7312&lt;&gt;"",ISNUMBER(A7312)),VLOOKUP(A7312,Studies!A:BR,4,FALSE),"")</f>
        <v>CYP2B6*1/*1 genotype</v>
      </c>
      <c r="E7312" s="250" t="str">
        <f>IF(AND(A7312&lt;&gt;"",ISNUMBER(A7312)),VLOOKUP(A7312,Studies!A:BR,5,FALSE),"")</f>
        <v>Efavirenz</v>
      </c>
      <c r="F7312" s="251" t="str">
        <f>IF(AND(A7312&lt;&gt;"",ISNUMBER(A7312)),VLOOKUP(A7312,Studies!A:BR,6,FALSE),"")</f>
        <v>Plasma</v>
      </c>
      <c r="G7312" s="267">
        <v>2.0005767523539251</v>
      </c>
      <c r="H7312" s="50" t="s">
        <v>60</v>
      </c>
      <c r="I7312" s="253">
        <v>2378.3059750000002</v>
      </c>
      <c r="J7312" s="41" t="s">
        <v>941</v>
      </c>
      <c r="K7312" s="41" t="s">
        <v>239</v>
      </c>
      <c r="P7312" s="42" t="s">
        <v>2228</v>
      </c>
    </row>
    <row r="7313" spans="1:16" x14ac:dyDescent="0.2">
      <c r="A7313" s="30">
        <v>791</v>
      </c>
      <c r="B7313" s="249" t="str">
        <f>IF(AND(A7313&lt;&gt;"",ISNUMBER(A7313)),VLOOKUP(A7313,Studies!A:BR,2,FALSE),"")</f>
        <v>Xu 2013</v>
      </c>
      <c r="C7313" s="250" t="str">
        <f>IF(AND(A7313&lt;&gt;"",ISNUMBER(A7313)),VLOOKUP(A7313,Studies!A:BR,3,FALSE),"")</f>
        <v>https://www.ncbi.nlm.nih.gov/pubmed/23846872</v>
      </c>
      <c r="D7313" s="250" t="str">
        <f>IF(AND(A7313&lt;&gt;"",ISNUMBER(A7313)),VLOOKUP(A7313,Studies!A:BR,4,FALSE),"")</f>
        <v>CYP2B6*1/*1 genotype</v>
      </c>
      <c r="E7313" s="250" t="str">
        <f>IF(AND(A7313&lt;&gt;"",ISNUMBER(A7313)),VLOOKUP(A7313,Studies!A:BR,5,FALSE),"")</f>
        <v>Efavirenz</v>
      </c>
      <c r="F7313" s="251" t="str">
        <f>IF(AND(A7313&lt;&gt;"",ISNUMBER(A7313)),VLOOKUP(A7313,Studies!A:BR,6,FALSE),"")</f>
        <v>Plasma</v>
      </c>
      <c r="G7313" s="267">
        <v>2.0008527168892325</v>
      </c>
      <c r="H7313" s="50" t="s">
        <v>60</v>
      </c>
      <c r="I7313" s="253">
        <v>1821.1944040000001</v>
      </c>
      <c r="J7313" s="41" t="s">
        <v>941</v>
      </c>
      <c r="K7313" s="41" t="s">
        <v>239</v>
      </c>
      <c r="P7313" s="42" t="s">
        <v>2228</v>
      </c>
    </row>
    <row r="7314" spans="1:16" x14ac:dyDescent="0.2">
      <c r="A7314" s="30">
        <v>791</v>
      </c>
      <c r="B7314" s="249" t="str">
        <f>IF(AND(A7314&lt;&gt;"",ISNUMBER(A7314)),VLOOKUP(A7314,Studies!A:BR,2,FALSE),"")</f>
        <v>Xu 2013</v>
      </c>
      <c r="C7314" s="250" t="str">
        <f>IF(AND(A7314&lt;&gt;"",ISNUMBER(A7314)),VLOOKUP(A7314,Studies!A:BR,3,FALSE),"")</f>
        <v>https://www.ncbi.nlm.nih.gov/pubmed/23846872</v>
      </c>
      <c r="D7314" s="250" t="str">
        <f>IF(AND(A7314&lt;&gt;"",ISNUMBER(A7314)),VLOOKUP(A7314,Studies!A:BR,4,FALSE),"")</f>
        <v>CYP2B6*1/*1 genotype</v>
      </c>
      <c r="E7314" s="250" t="str">
        <f>IF(AND(A7314&lt;&gt;"",ISNUMBER(A7314)),VLOOKUP(A7314,Studies!A:BR,5,FALSE),"")</f>
        <v>Efavirenz</v>
      </c>
      <c r="F7314" s="251" t="str">
        <f>IF(AND(A7314&lt;&gt;"",ISNUMBER(A7314)),VLOOKUP(A7314,Studies!A:BR,6,FALSE),"")</f>
        <v>Plasma</v>
      </c>
      <c r="G7314" s="267">
        <v>2.9992636278965512</v>
      </c>
      <c r="H7314" s="50" t="s">
        <v>60</v>
      </c>
      <c r="I7314" s="253">
        <v>1833.615738</v>
      </c>
      <c r="J7314" s="41" t="s">
        <v>941</v>
      </c>
      <c r="K7314" s="41" t="s">
        <v>239</v>
      </c>
      <c r="P7314" s="42" t="s">
        <v>2228</v>
      </c>
    </row>
    <row r="7315" spans="1:16" x14ac:dyDescent="0.2">
      <c r="A7315" s="30">
        <v>791</v>
      </c>
      <c r="B7315" s="249" t="str">
        <f>IF(AND(A7315&lt;&gt;"",ISNUMBER(A7315)),VLOOKUP(A7315,Studies!A:BR,2,FALSE),"")</f>
        <v>Xu 2013</v>
      </c>
      <c r="C7315" s="250" t="str">
        <f>IF(AND(A7315&lt;&gt;"",ISNUMBER(A7315)),VLOOKUP(A7315,Studies!A:BR,3,FALSE),"")</f>
        <v>https://www.ncbi.nlm.nih.gov/pubmed/23846872</v>
      </c>
      <c r="D7315" s="250" t="str">
        <f>IF(AND(A7315&lt;&gt;"",ISNUMBER(A7315)),VLOOKUP(A7315,Studies!A:BR,4,FALSE),"")</f>
        <v>CYP2B6*1/*1 genotype</v>
      </c>
      <c r="E7315" s="250" t="str">
        <f>IF(AND(A7315&lt;&gt;"",ISNUMBER(A7315)),VLOOKUP(A7315,Studies!A:BR,5,FALSE),"")</f>
        <v>Efavirenz</v>
      </c>
      <c r="F7315" s="251" t="str">
        <f>IF(AND(A7315&lt;&gt;"",ISNUMBER(A7315)),VLOOKUP(A7315,Studies!A:BR,6,FALSE),"")</f>
        <v>Plasma</v>
      </c>
      <c r="G7315" s="267">
        <v>2.9995036288248373</v>
      </c>
      <c r="H7315" s="50" t="s">
        <v>60</v>
      </c>
      <c r="I7315" s="253">
        <v>2528.451419</v>
      </c>
      <c r="J7315" s="41" t="s">
        <v>941</v>
      </c>
      <c r="K7315" s="41" t="s">
        <v>239</v>
      </c>
      <c r="P7315" s="42" t="s">
        <v>2228</v>
      </c>
    </row>
    <row r="7316" spans="1:16" x14ac:dyDescent="0.2">
      <c r="A7316" s="30">
        <v>791</v>
      </c>
      <c r="B7316" s="249" t="str">
        <f>IF(AND(A7316&lt;&gt;"",ISNUMBER(A7316)),VLOOKUP(A7316,Studies!A:BR,2,FALSE),"")</f>
        <v>Xu 2013</v>
      </c>
      <c r="C7316" s="250" t="str">
        <f>IF(AND(A7316&lt;&gt;"",ISNUMBER(A7316)),VLOOKUP(A7316,Studies!A:BR,3,FALSE),"")</f>
        <v>https://www.ncbi.nlm.nih.gov/pubmed/23846872</v>
      </c>
      <c r="D7316" s="250" t="str">
        <f>IF(AND(A7316&lt;&gt;"",ISNUMBER(A7316)),VLOOKUP(A7316,Studies!A:BR,4,FALSE),"")</f>
        <v>CYP2B6*1/*1 genotype</v>
      </c>
      <c r="E7316" s="250" t="str">
        <f>IF(AND(A7316&lt;&gt;"",ISNUMBER(A7316)),VLOOKUP(A7316,Studies!A:BR,5,FALSE),"")</f>
        <v>Efavirenz</v>
      </c>
      <c r="F7316" s="251" t="str">
        <f>IF(AND(A7316&lt;&gt;"",ISNUMBER(A7316)),VLOOKUP(A7316,Studies!A:BR,6,FALSE),"")</f>
        <v>Plasma</v>
      </c>
      <c r="G7316" s="267">
        <v>2.9995352392010393</v>
      </c>
      <c r="H7316" s="50" t="s">
        <v>60</v>
      </c>
      <c r="I7316" s="253">
        <v>1232.6767709999999</v>
      </c>
      <c r="J7316" s="41" t="s">
        <v>941</v>
      </c>
      <c r="K7316" s="41" t="s">
        <v>239</v>
      </c>
      <c r="P7316" s="42" t="s">
        <v>2228</v>
      </c>
    </row>
    <row r="7317" spans="1:16" x14ac:dyDescent="0.2">
      <c r="A7317" s="30">
        <v>791</v>
      </c>
      <c r="B7317" s="249" t="str">
        <f>IF(AND(A7317&lt;&gt;"",ISNUMBER(A7317)),VLOOKUP(A7317,Studies!A:BR,2,FALSE),"")</f>
        <v>Xu 2013</v>
      </c>
      <c r="C7317" s="250" t="str">
        <f>IF(AND(A7317&lt;&gt;"",ISNUMBER(A7317)),VLOOKUP(A7317,Studies!A:BR,3,FALSE),"")</f>
        <v>https://www.ncbi.nlm.nih.gov/pubmed/23846872</v>
      </c>
      <c r="D7317" s="250" t="str">
        <f>IF(AND(A7317&lt;&gt;"",ISNUMBER(A7317)),VLOOKUP(A7317,Studies!A:BR,4,FALSE),"")</f>
        <v>CYP2B6*1/*1 genotype</v>
      </c>
      <c r="E7317" s="250" t="str">
        <f>IF(AND(A7317&lt;&gt;"",ISNUMBER(A7317)),VLOOKUP(A7317,Studies!A:BR,5,FALSE),"")</f>
        <v>Efavirenz</v>
      </c>
      <c r="F7317" s="251" t="str">
        <f>IF(AND(A7317&lt;&gt;"",ISNUMBER(A7317)),VLOOKUP(A7317,Studies!A:BR,6,FALSE),"")</f>
        <v>Plasma</v>
      </c>
      <c r="G7317" s="267">
        <v>3.0002712619313971</v>
      </c>
      <c r="H7317" s="50" t="s">
        <v>60</v>
      </c>
      <c r="I7317" s="253">
        <v>1802.3168330000001</v>
      </c>
      <c r="J7317" s="41" t="s">
        <v>941</v>
      </c>
      <c r="K7317" s="41" t="s">
        <v>239</v>
      </c>
      <c r="P7317" s="42" t="s">
        <v>2228</v>
      </c>
    </row>
    <row r="7318" spans="1:16" x14ac:dyDescent="0.2">
      <c r="A7318" s="30">
        <v>791</v>
      </c>
      <c r="B7318" s="249" t="str">
        <f>IF(AND(A7318&lt;&gt;"",ISNUMBER(A7318)),VLOOKUP(A7318,Studies!A:BR,2,FALSE),"")</f>
        <v>Xu 2013</v>
      </c>
      <c r="C7318" s="250" t="str">
        <f>IF(AND(A7318&lt;&gt;"",ISNUMBER(A7318)),VLOOKUP(A7318,Studies!A:BR,3,FALSE),"")</f>
        <v>https://www.ncbi.nlm.nih.gov/pubmed/23846872</v>
      </c>
      <c r="D7318" s="250" t="str">
        <f>IF(AND(A7318&lt;&gt;"",ISNUMBER(A7318)),VLOOKUP(A7318,Studies!A:BR,4,FALSE),"")</f>
        <v>CYP2B6*1/*1 genotype</v>
      </c>
      <c r="E7318" s="250" t="str">
        <f>IF(AND(A7318&lt;&gt;"",ISNUMBER(A7318)),VLOOKUP(A7318,Studies!A:BR,5,FALSE),"")</f>
        <v>Efavirenz</v>
      </c>
      <c r="F7318" s="251" t="str">
        <f>IF(AND(A7318&lt;&gt;"",ISNUMBER(A7318)),VLOOKUP(A7318,Studies!A:BR,6,FALSE),"")</f>
        <v>Plasma</v>
      </c>
      <c r="G7318" s="267">
        <v>3.0003330111778341</v>
      </c>
      <c r="H7318" s="50" t="s">
        <v>60</v>
      </c>
      <c r="I7318" s="253">
        <v>1946.291794</v>
      </c>
      <c r="J7318" s="41" t="s">
        <v>941</v>
      </c>
      <c r="K7318" s="41" t="s">
        <v>239</v>
      </c>
      <c r="P7318" s="42" t="s">
        <v>2228</v>
      </c>
    </row>
    <row r="7319" spans="1:16" x14ac:dyDescent="0.2">
      <c r="A7319" s="30">
        <v>791</v>
      </c>
      <c r="B7319" s="249" t="str">
        <f>IF(AND(A7319&lt;&gt;"",ISNUMBER(A7319)),VLOOKUP(A7319,Studies!A:BR,2,FALSE),"")</f>
        <v>Xu 2013</v>
      </c>
      <c r="C7319" s="250" t="str">
        <f>IF(AND(A7319&lt;&gt;"",ISNUMBER(A7319)),VLOOKUP(A7319,Studies!A:BR,3,FALSE),"")</f>
        <v>https://www.ncbi.nlm.nih.gov/pubmed/23846872</v>
      </c>
      <c r="D7319" s="250" t="str">
        <f>IF(AND(A7319&lt;&gt;"",ISNUMBER(A7319)),VLOOKUP(A7319,Studies!A:BR,4,FALSE),"")</f>
        <v>CYP2B6*1/*1 genotype</v>
      </c>
      <c r="E7319" s="250" t="str">
        <f>IF(AND(A7319&lt;&gt;"",ISNUMBER(A7319)),VLOOKUP(A7319,Studies!A:BR,5,FALSE),"")</f>
        <v>Efavirenz</v>
      </c>
      <c r="F7319" s="251" t="str">
        <f>IF(AND(A7319&lt;&gt;"",ISNUMBER(A7319)),VLOOKUP(A7319,Studies!A:BR,6,FALSE),"")</f>
        <v>Plasma</v>
      </c>
      <c r="G7319" s="267">
        <v>3.0005671435645782</v>
      </c>
      <c r="H7319" s="50" t="s">
        <v>60</v>
      </c>
      <c r="I7319" s="253">
        <v>2853.9600260000002</v>
      </c>
      <c r="J7319" s="41" t="s">
        <v>941</v>
      </c>
      <c r="K7319" s="41" t="s">
        <v>239</v>
      </c>
      <c r="P7319" s="42" t="s">
        <v>2228</v>
      </c>
    </row>
    <row r="7320" spans="1:16" x14ac:dyDescent="0.2">
      <c r="A7320" s="30">
        <v>791</v>
      </c>
      <c r="B7320" s="249" t="str">
        <f>IF(AND(A7320&lt;&gt;"",ISNUMBER(A7320)),VLOOKUP(A7320,Studies!A:BR,2,FALSE),"")</f>
        <v>Xu 2013</v>
      </c>
      <c r="C7320" s="250" t="str">
        <f>IF(AND(A7320&lt;&gt;"",ISNUMBER(A7320)),VLOOKUP(A7320,Studies!A:BR,3,FALSE),"")</f>
        <v>https://www.ncbi.nlm.nih.gov/pubmed/23846872</v>
      </c>
      <c r="D7320" s="250" t="str">
        <f>IF(AND(A7320&lt;&gt;"",ISNUMBER(A7320)),VLOOKUP(A7320,Studies!A:BR,4,FALSE),"")</f>
        <v>CYP2B6*1/*1 genotype</v>
      </c>
      <c r="E7320" s="250" t="str">
        <f>IF(AND(A7320&lt;&gt;"",ISNUMBER(A7320)),VLOOKUP(A7320,Studies!A:BR,5,FALSE),"")</f>
        <v>Efavirenz</v>
      </c>
      <c r="F7320" s="251" t="str">
        <f>IF(AND(A7320&lt;&gt;"",ISNUMBER(A7320)),VLOOKUP(A7320,Studies!A:BR,6,FALSE),"")</f>
        <v>Plasma</v>
      </c>
      <c r="G7320" s="267">
        <v>3.0008599406038412</v>
      </c>
      <c r="H7320" s="50" t="s">
        <v>60</v>
      </c>
      <c r="I7320" s="253">
        <v>1633.3116789999999</v>
      </c>
      <c r="J7320" s="41" t="s">
        <v>941</v>
      </c>
      <c r="K7320" s="41" t="s">
        <v>239</v>
      </c>
      <c r="P7320" s="42" t="s">
        <v>2228</v>
      </c>
    </row>
    <row r="7321" spans="1:16" x14ac:dyDescent="0.2">
      <c r="A7321" s="30">
        <v>791</v>
      </c>
      <c r="B7321" s="249" t="str">
        <f>IF(AND(A7321&lt;&gt;"",ISNUMBER(A7321)),VLOOKUP(A7321,Studies!A:BR,2,FALSE),"")</f>
        <v>Xu 2013</v>
      </c>
      <c r="C7321" s="250" t="str">
        <f>IF(AND(A7321&lt;&gt;"",ISNUMBER(A7321)),VLOOKUP(A7321,Studies!A:BR,3,FALSE),"")</f>
        <v>https://www.ncbi.nlm.nih.gov/pubmed/23846872</v>
      </c>
      <c r="D7321" s="250" t="str">
        <f>IF(AND(A7321&lt;&gt;"",ISNUMBER(A7321)),VLOOKUP(A7321,Studies!A:BR,4,FALSE),"")</f>
        <v>CYP2B6*1/*1 genotype</v>
      </c>
      <c r="E7321" s="250" t="str">
        <f>IF(AND(A7321&lt;&gt;"",ISNUMBER(A7321)),VLOOKUP(A7321,Studies!A:BR,5,FALSE),"")</f>
        <v>Efavirenz</v>
      </c>
      <c r="F7321" s="251" t="str">
        <f>IF(AND(A7321&lt;&gt;"",ISNUMBER(A7321)),VLOOKUP(A7321,Studies!A:BR,6,FALSE),"")</f>
        <v>Plasma</v>
      </c>
      <c r="G7321" s="267">
        <v>3.0008890221961773</v>
      </c>
      <c r="H7321" s="50" t="s">
        <v>60</v>
      </c>
      <c r="I7321" s="253">
        <v>775.71276450000005</v>
      </c>
      <c r="J7321" s="41" t="s">
        <v>941</v>
      </c>
      <c r="K7321" s="41" t="s">
        <v>239</v>
      </c>
      <c r="P7321" s="42" t="s">
        <v>2228</v>
      </c>
    </row>
    <row r="7322" spans="1:16" x14ac:dyDescent="0.2">
      <c r="A7322" s="30">
        <v>791</v>
      </c>
      <c r="B7322" s="249" t="str">
        <f>IF(AND(A7322&lt;&gt;"",ISNUMBER(A7322)),VLOOKUP(A7322,Studies!A:BR,2,FALSE),"")</f>
        <v>Xu 2013</v>
      </c>
      <c r="C7322" s="250" t="str">
        <f>IF(AND(A7322&lt;&gt;"",ISNUMBER(A7322)),VLOOKUP(A7322,Studies!A:BR,3,FALSE),"")</f>
        <v>https://www.ncbi.nlm.nih.gov/pubmed/23846872</v>
      </c>
      <c r="D7322" s="250" t="str">
        <f>IF(AND(A7322&lt;&gt;"",ISNUMBER(A7322)),VLOOKUP(A7322,Studies!A:BR,4,FALSE),"")</f>
        <v>CYP2B6*1/*1 genotype</v>
      </c>
      <c r="E7322" s="250" t="str">
        <f>IF(AND(A7322&lt;&gt;"",ISNUMBER(A7322)),VLOOKUP(A7322,Studies!A:BR,5,FALSE),"")</f>
        <v>Efavirenz</v>
      </c>
      <c r="F7322" s="251" t="str">
        <f>IF(AND(A7322&lt;&gt;"",ISNUMBER(A7322)),VLOOKUP(A7322,Studies!A:BR,6,FALSE),"")</f>
        <v>Plasma</v>
      </c>
      <c r="G7322" s="267">
        <v>3.9991827559918165</v>
      </c>
      <c r="H7322" s="50" t="s">
        <v>60</v>
      </c>
      <c r="I7322" s="253">
        <v>1551.845229</v>
      </c>
      <c r="J7322" s="41" t="s">
        <v>941</v>
      </c>
      <c r="K7322" s="41" t="s">
        <v>239</v>
      </c>
      <c r="P7322" s="42" t="s">
        <v>2228</v>
      </c>
    </row>
    <row r="7323" spans="1:16" x14ac:dyDescent="0.2">
      <c r="A7323" s="30">
        <v>791</v>
      </c>
      <c r="B7323" s="249" t="str">
        <f>IF(AND(A7323&lt;&gt;"",ISNUMBER(A7323)),VLOOKUP(A7323,Studies!A:BR,2,FALSE),"")</f>
        <v>Xu 2013</v>
      </c>
      <c r="C7323" s="250" t="str">
        <f>IF(AND(A7323&lt;&gt;"",ISNUMBER(A7323)),VLOOKUP(A7323,Studies!A:BR,3,FALSE),"")</f>
        <v>https://www.ncbi.nlm.nih.gov/pubmed/23846872</v>
      </c>
      <c r="D7323" s="250" t="str">
        <f>IF(AND(A7323&lt;&gt;"",ISNUMBER(A7323)),VLOOKUP(A7323,Studies!A:BR,4,FALSE),"")</f>
        <v>CYP2B6*1/*1 genotype</v>
      </c>
      <c r="E7323" s="250" t="str">
        <f>IF(AND(A7323&lt;&gt;"",ISNUMBER(A7323)),VLOOKUP(A7323,Studies!A:BR,5,FALSE),"")</f>
        <v>Efavirenz</v>
      </c>
      <c r="F7323" s="251" t="str">
        <f>IF(AND(A7323&lt;&gt;"",ISNUMBER(A7323)),VLOOKUP(A7323,Studies!A:BR,6,FALSE),"")</f>
        <v>Plasma</v>
      </c>
      <c r="G7323" s="267">
        <v>3.9995240703774617</v>
      </c>
      <c r="H7323" s="50" t="s">
        <v>60</v>
      </c>
      <c r="I7323" s="253">
        <v>1501.775911</v>
      </c>
      <c r="J7323" s="41" t="s">
        <v>941</v>
      </c>
      <c r="K7323" s="41" t="s">
        <v>239</v>
      </c>
      <c r="P7323" s="42" t="s">
        <v>2228</v>
      </c>
    </row>
    <row r="7324" spans="1:16" x14ac:dyDescent="0.2">
      <c r="A7324" s="30">
        <v>791</v>
      </c>
      <c r="B7324" s="249" t="str">
        <f>IF(AND(A7324&lt;&gt;"",ISNUMBER(A7324)),VLOOKUP(A7324,Studies!A:BR,2,FALSE),"")</f>
        <v>Xu 2013</v>
      </c>
      <c r="C7324" s="250" t="str">
        <f>IF(AND(A7324&lt;&gt;"",ISNUMBER(A7324)),VLOOKUP(A7324,Studies!A:BR,3,FALSE),"")</f>
        <v>https://www.ncbi.nlm.nih.gov/pubmed/23846872</v>
      </c>
      <c r="D7324" s="250" t="str">
        <f>IF(AND(A7324&lt;&gt;"",ISNUMBER(A7324)),VLOOKUP(A7324,Studies!A:BR,4,FALSE),"")</f>
        <v>CYP2B6*1/*1 genotype</v>
      </c>
      <c r="E7324" s="250" t="str">
        <f>IF(AND(A7324&lt;&gt;"",ISNUMBER(A7324)),VLOOKUP(A7324,Studies!A:BR,5,FALSE),"")</f>
        <v>Efavirenz</v>
      </c>
      <c r="F7324" s="251" t="str">
        <f>IF(AND(A7324&lt;&gt;"",ISNUMBER(A7324)),VLOOKUP(A7324,Studies!A:BR,6,FALSE),"")</f>
        <v>Plasma</v>
      </c>
      <c r="G7324" s="267">
        <v>3.999731458341703</v>
      </c>
      <c r="H7324" s="50" t="s">
        <v>60</v>
      </c>
      <c r="I7324" s="253">
        <v>1094.8812230000001</v>
      </c>
      <c r="J7324" s="41" t="s">
        <v>941</v>
      </c>
      <c r="K7324" s="41" t="s">
        <v>239</v>
      </c>
      <c r="P7324" s="42" t="s">
        <v>2228</v>
      </c>
    </row>
    <row r="7325" spans="1:16" x14ac:dyDescent="0.2">
      <c r="A7325" s="30">
        <v>791</v>
      </c>
      <c r="B7325" s="249" t="str">
        <f>IF(AND(A7325&lt;&gt;"",ISNUMBER(A7325)),VLOOKUP(A7325,Studies!A:BR,2,FALSE),"")</f>
        <v>Xu 2013</v>
      </c>
      <c r="C7325" s="250" t="str">
        <f>IF(AND(A7325&lt;&gt;"",ISNUMBER(A7325)),VLOOKUP(A7325,Studies!A:BR,3,FALSE),"")</f>
        <v>https://www.ncbi.nlm.nih.gov/pubmed/23846872</v>
      </c>
      <c r="D7325" s="250" t="str">
        <f>IF(AND(A7325&lt;&gt;"",ISNUMBER(A7325)),VLOOKUP(A7325,Studies!A:BR,4,FALSE),"")</f>
        <v>CYP2B6*1/*1 genotype</v>
      </c>
      <c r="E7325" s="250" t="str">
        <f>IF(AND(A7325&lt;&gt;"",ISNUMBER(A7325)),VLOOKUP(A7325,Studies!A:BR,5,FALSE),"")</f>
        <v>Efavirenz</v>
      </c>
      <c r="F7325" s="251" t="str">
        <f>IF(AND(A7325&lt;&gt;"",ISNUMBER(A7325)),VLOOKUP(A7325,Studies!A:BR,6,FALSE),"")</f>
        <v>Plasma</v>
      </c>
      <c r="G7325" s="267">
        <v>3.9997765069012532</v>
      </c>
      <c r="H7325" s="50" t="s">
        <v>60</v>
      </c>
      <c r="I7325" s="253">
        <v>1733.3610160000001</v>
      </c>
      <c r="J7325" s="41" t="s">
        <v>941</v>
      </c>
      <c r="K7325" s="41" t="s">
        <v>239</v>
      </c>
      <c r="P7325" s="42" t="s">
        <v>2228</v>
      </c>
    </row>
    <row r="7326" spans="1:16" x14ac:dyDescent="0.2">
      <c r="A7326" s="30">
        <v>791</v>
      </c>
      <c r="B7326" s="249" t="str">
        <f>IF(AND(A7326&lt;&gt;"",ISNUMBER(A7326)),VLOOKUP(A7326,Studies!A:BR,2,FALSE),"")</f>
        <v>Xu 2013</v>
      </c>
      <c r="C7326" s="250" t="str">
        <f>IF(AND(A7326&lt;&gt;"",ISNUMBER(A7326)),VLOOKUP(A7326,Studies!A:BR,3,FALSE),"")</f>
        <v>https://www.ncbi.nlm.nih.gov/pubmed/23846872</v>
      </c>
      <c r="D7326" s="250" t="str">
        <f>IF(AND(A7326&lt;&gt;"",ISNUMBER(A7326)),VLOOKUP(A7326,Studies!A:BR,4,FALSE),"")</f>
        <v>CYP2B6*1/*1 genotype</v>
      </c>
      <c r="E7326" s="250" t="str">
        <f>IF(AND(A7326&lt;&gt;"",ISNUMBER(A7326)),VLOOKUP(A7326,Studies!A:BR,5,FALSE),"")</f>
        <v>Efavirenz</v>
      </c>
      <c r="F7326" s="251" t="str">
        <f>IF(AND(A7326&lt;&gt;"",ISNUMBER(A7326)),VLOOKUP(A7326,Studies!A:BR,6,FALSE),"")</f>
        <v>Plasma</v>
      </c>
      <c r="G7326" s="267">
        <v>4.0000502759148366</v>
      </c>
      <c r="H7326" s="50" t="s">
        <v>60</v>
      </c>
      <c r="I7326" s="253">
        <v>1846.054932</v>
      </c>
      <c r="J7326" s="41" t="s">
        <v>941</v>
      </c>
      <c r="K7326" s="41" t="s">
        <v>239</v>
      </c>
      <c r="P7326" s="42" t="s">
        <v>2228</v>
      </c>
    </row>
    <row r="7327" spans="1:16" x14ac:dyDescent="0.2">
      <c r="A7327" s="30">
        <v>791</v>
      </c>
      <c r="B7327" s="249" t="str">
        <f>IF(AND(A7327&lt;&gt;"",ISNUMBER(A7327)),VLOOKUP(A7327,Studies!A:BR,2,FALSE),"")</f>
        <v>Xu 2013</v>
      </c>
      <c r="C7327" s="250" t="str">
        <f>IF(AND(A7327&lt;&gt;"",ISNUMBER(A7327)),VLOOKUP(A7327,Studies!A:BR,3,FALSE),"")</f>
        <v>https://www.ncbi.nlm.nih.gov/pubmed/23846872</v>
      </c>
      <c r="D7327" s="250" t="str">
        <f>IF(AND(A7327&lt;&gt;"",ISNUMBER(A7327)),VLOOKUP(A7327,Studies!A:BR,4,FALSE),"")</f>
        <v>CYP2B6*1/*1 genotype</v>
      </c>
      <c r="E7327" s="250" t="str">
        <f>IF(AND(A7327&lt;&gt;"",ISNUMBER(A7327)),VLOOKUP(A7327,Studies!A:BR,5,FALSE),"")</f>
        <v>Efavirenz</v>
      </c>
      <c r="F7327" s="251" t="str">
        <f>IF(AND(A7327&lt;&gt;"",ISNUMBER(A7327)),VLOOKUP(A7327,Studies!A:BR,6,FALSE),"")</f>
        <v>Plasma</v>
      </c>
      <c r="G7327" s="267">
        <v>4.0001135009997526</v>
      </c>
      <c r="H7327" s="50" t="s">
        <v>60</v>
      </c>
      <c r="I7327" s="253">
        <v>1639.4732320000001</v>
      </c>
      <c r="J7327" s="41" t="s">
        <v>941</v>
      </c>
      <c r="K7327" s="41" t="s">
        <v>239</v>
      </c>
      <c r="P7327" s="42" t="s">
        <v>2228</v>
      </c>
    </row>
    <row r="7328" spans="1:16" x14ac:dyDescent="0.2">
      <c r="A7328" s="30">
        <v>791</v>
      </c>
      <c r="B7328" s="249" t="str">
        <f>IF(AND(A7328&lt;&gt;"",ISNUMBER(A7328)),VLOOKUP(A7328,Studies!A:BR,2,FALSE),"")</f>
        <v>Xu 2013</v>
      </c>
      <c r="C7328" s="250" t="str">
        <f>IF(AND(A7328&lt;&gt;"",ISNUMBER(A7328)),VLOOKUP(A7328,Studies!A:BR,3,FALSE),"")</f>
        <v>https://www.ncbi.nlm.nih.gov/pubmed/23846872</v>
      </c>
      <c r="D7328" s="250" t="str">
        <f>IF(AND(A7328&lt;&gt;"",ISNUMBER(A7328)),VLOOKUP(A7328,Studies!A:BR,4,FALSE),"")</f>
        <v>CYP2B6*1/*1 genotype</v>
      </c>
      <c r="E7328" s="250" t="str">
        <f>IF(AND(A7328&lt;&gt;"",ISNUMBER(A7328)),VLOOKUP(A7328,Studies!A:BR,5,FALSE),"")</f>
        <v>Efavirenz</v>
      </c>
      <c r="F7328" s="251" t="str">
        <f>IF(AND(A7328&lt;&gt;"",ISNUMBER(A7328)),VLOOKUP(A7328,Studies!A:BR,6,FALSE),"")</f>
        <v>Plasma</v>
      </c>
      <c r="G7328" s="267">
        <v>4.0006368191982622</v>
      </c>
      <c r="H7328" s="50" t="s">
        <v>60</v>
      </c>
      <c r="I7328" s="253">
        <v>1238.847254</v>
      </c>
      <c r="J7328" s="41" t="s">
        <v>941</v>
      </c>
      <c r="K7328" s="41" t="s">
        <v>239</v>
      </c>
      <c r="P7328" s="42" t="s">
        <v>2228</v>
      </c>
    </row>
    <row r="7329" spans="1:16" x14ac:dyDescent="0.2">
      <c r="A7329" s="30">
        <v>791</v>
      </c>
      <c r="B7329" s="249" t="str">
        <f>IF(AND(A7329&lt;&gt;"",ISNUMBER(A7329)),VLOOKUP(A7329,Studies!A:BR,2,FALSE),"")</f>
        <v>Xu 2013</v>
      </c>
      <c r="C7329" s="250" t="str">
        <f>IF(AND(A7329&lt;&gt;"",ISNUMBER(A7329)),VLOOKUP(A7329,Studies!A:BR,3,FALSE),"")</f>
        <v>https://www.ncbi.nlm.nih.gov/pubmed/23846872</v>
      </c>
      <c r="D7329" s="250" t="str">
        <f>IF(AND(A7329&lt;&gt;"",ISNUMBER(A7329)),VLOOKUP(A7329,Studies!A:BR,4,FALSE),"")</f>
        <v>CYP2B6*1/*1 genotype</v>
      </c>
      <c r="E7329" s="250" t="str">
        <f>IF(AND(A7329&lt;&gt;"",ISNUMBER(A7329)),VLOOKUP(A7329,Studies!A:BR,5,FALSE),"")</f>
        <v>Efavirenz</v>
      </c>
      <c r="F7329" s="251" t="str">
        <f>IF(AND(A7329&lt;&gt;"",ISNUMBER(A7329)),VLOOKUP(A7329,Studies!A:BR,6,FALSE),"")</f>
        <v>Plasma</v>
      </c>
      <c r="G7329" s="267">
        <v>4.0009329197583723</v>
      </c>
      <c r="H7329" s="50" t="s">
        <v>60</v>
      </c>
      <c r="I7329" s="253">
        <v>2553.4012440000001</v>
      </c>
      <c r="J7329" s="41" t="s">
        <v>941</v>
      </c>
      <c r="K7329" s="41" t="s">
        <v>239</v>
      </c>
      <c r="P7329" s="42" t="s">
        <v>2228</v>
      </c>
    </row>
    <row r="7330" spans="1:16" x14ac:dyDescent="0.2">
      <c r="A7330" s="30">
        <v>791</v>
      </c>
      <c r="B7330" s="249" t="str">
        <f>IF(AND(A7330&lt;&gt;"",ISNUMBER(A7330)),VLOOKUP(A7330,Studies!A:BR,2,FALSE),"")</f>
        <v>Xu 2013</v>
      </c>
      <c r="C7330" s="250" t="str">
        <f>IF(AND(A7330&lt;&gt;"",ISNUMBER(A7330)),VLOOKUP(A7330,Studies!A:BR,3,FALSE),"")</f>
        <v>https://www.ncbi.nlm.nih.gov/pubmed/23846872</v>
      </c>
      <c r="D7330" s="250" t="str">
        <f>IF(AND(A7330&lt;&gt;"",ISNUMBER(A7330)),VLOOKUP(A7330,Studies!A:BR,4,FALSE),"")</f>
        <v>CYP2B6*1/*1 genotype</v>
      </c>
      <c r="E7330" s="250" t="str">
        <f>IF(AND(A7330&lt;&gt;"",ISNUMBER(A7330)),VLOOKUP(A7330,Studies!A:BR,5,FALSE),"")</f>
        <v>Efavirenz</v>
      </c>
      <c r="F7330" s="251" t="str">
        <f>IF(AND(A7330&lt;&gt;"",ISNUMBER(A7330)),VLOOKUP(A7330,Studies!A:BR,6,FALSE),"")</f>
        <v>Plasma</v>
      </c>
      <c r="G7330" s="267">
        <v>4.9993311329679564</v>
      </c>
      <c r="H7330" s="50" t="s">
        <v>60</v>
      </c>
      <c r="I7330" s="253">
        <v>1526.7078779999999</v>
      </c>
      <c r="J7330" s="41" t="s">
        <v>941</v>
      </c>
      <c r="K7330" s="41" t="s">
        <v>239</v>
      </c>
      <c r="P7330" s="42" t="s">
        <v>2228</v>
      </c>
    </row>
    <row r="7331" spans="1:16" x14ac:dyDescent="0.2">
      <c r="A7331" s="30">
        <v>791</v>
      </c>
      <c r="B7331" s="249" t="str">
        <f>IF(AND(A7331&lt;&gt;"",ISNUMBER(A7331)),VLOOKUP(A7331,Studies!A:BR,2,FALSE),"")</f>
        <v>Xu 2013</v>
      </c>
      <c r="C7331" s="250" t="str">
        <f>IF(AND(A7331&lt;&gt;"",ISNUMBER(A7331)),VLOOKUP(A7331,Studies!A:BR,3,FALSE),"")</f>
        <v>https://www.ncbi.nlm.nih.gov/pubmed/23846872</v>
      </c>
      <c r="D7331" s="250" t="str">
        <f>IF(AND(A7331&lt;&gt;"",ISNUMBER(A7331)),VLOOKUP(A7331,Studies!A:BR,4,FALSE),"")</f>
        <v>CYP2B6*1/*1 genotype</v>
      </c>
      <c r="E7331" s="250" t="str">
        <f>IF(AND(A7331&lt;&gt;"",ISNUMBER(A7331)),VLOOKUP(A7331,Studies!A:BR,5,FALSE),"")</f>
        <v>Efavirenz</v>
      </c>
      <c r="F7331" s="251" t="str">
        <f>IF(AND(A7331&lt;&gt;"",ISNUMBER(A7331)),VLOOKUP(A7331,Studies!A:BR,6,FALSE),"")</f>
        <v>Plasma</v>
      </c>
      <c r="G7331" s="267">
        <v>4.9997210026211105</v>
      </c>
      <c r="H7331" s="50" t="s">
        <v>60</v>
      </c>
      <c r="I7331" s="253">
        <v>1952.372979</v>
      </c>
      <c r="J7331" s="41" t="s">
        <v>941</v>
      </c>
      <c r="K7331" s="41" t="s">
        <v>239</v>
      </c>
      <c r="P7331" s="42" t="s">
        <v>2228</v>
      </c>
    </row>
    <row r="7332" spans="1:16" x14ac:dyDescent="0.2">
      <c r="A7332" s="30">
        <v>791</v>
      </c>
      <c r="B7332" s="249" t="str">
        <f>IF(AND(A7332&lt;&gt;"",ISNUMBER(A7332)),VLOOKUP(A7332,Studies!A:BR,2,FALSE),"")</f>
        <v>Xu 2013</v>
      </c>
      <c r="C7332" s="250" t="str">
        <f>IF(AND(A7332&lt;&gt;"",ISNUMBER(A7332)),VLOOKUP(A7332,Studies!A:BR,3,FALSE),"")</f>
        <v>https://www.ncbi.nlm.nih.gov/pubmed/23846872</v>
      </c>
      <c r="D7332" s="250" t="str">
        <f>IF(AND(A7332&lt;&gt;"",ISNUMBER(A7332)),VLOOKUP(A7332,Studies!A:BR,4,FALSE),"")</f>
        <v>CYP2B6*1/*1 genotype</v>
      </c>
      <c r="E7332" s="250" t="str">
        <f>IF(AND(A7332&lt;&gt;"",ISNUMBER(A7332)),VLOOKUP(A7332,Studies!A:BR,5,FALSE),"")</f>
        <v>Efavirenz</v>
      </c>
      <c r="F7332" s="251" t="str">
        <f>IF(AND(A7332&lt;&gt;"",ISNUMBER(A7332)),VLOOKUP(A7332,Studies!A:BR,6,FALSE),"")</f>
        <v>Plasma</v>
      </c>
      <c r="G7332" s="267">
        <v>4.9997720690169372</v>
      </c>
      <c r="H7332" s="50" t="s">
        <v>60</v>
      </c>
      <c r="I7332" s="253">
        <v>1076.0125820000001</v>
      </c>
      <c r="J7332" s="41" t="s">
        <v>941</v>
      </c>
      <c r="K7332" s="41" t="s">
        <v>239</v>
      </c>
      <c r="P7332" s="42" t="s">
        <v>2228</v>
      </c>
    </row>
    <row r="7333" spans="1:16" x14ac:dyDescent="0.2">
      <c r="A7333" s="30">
        <v>791</v>
      </c>
      <c r="B7333" s="249" t="str">
        <f>IF(AND(A7333&lt;&gt;"",ISNUMBER(A7333)),VLOOKUP(A7333,Studies!A:BR,2,FALSE),"")</f>
        <v>Xu 2013</v>
      </c>
      <c r="C7333" s="250" t="str">
        <f>IF(AND(A7333&lt;&gt;"",ISNUMBER(A7333)),VLOOKUP(A7333,Studies!A:BR,3,FALSE),"")</f>
        <v>https://www.ncbi.nlm.nih.gov/pubmed/23846872</v>
      </c>
      <c r="D7333" s="250" t="str">
        <f>IF(AND(A7333&lt;&gt;"",ISNUMBER(A7333)),VLOOKUP(A7333,Studies!A:BR,4,FALSE),"")</f>
        <v>CYP2B6*1/*1 genotype</v>
      </c>
      <c r="E7333" s="250" t="str">
        <f>IF(AND(A7333&lt;&gt;"",ISNUMBER(A7333)),VLOOKUP(A7333,Studies!A:BR,5,FALSE),"")</f>
        <v>Efavirenz</v>
      </c>
      <c r="F7333" s="251" t="str">
        <f>IF(AND(A7333&lt;&gt;"",ISNUMBER(A7333)),VLOOKUP(A7333,Studies!A:BR,6,FALSE),"")</f>
        <v>Plasma</v>
      </c>
      <c r="G7333" s="267">
        <v>4.9998891443512399</v>
      </c>
      <c r="H7333" s="50" t="s">
        <v>60</v>
      </c>
      <c r="I7333" s="253">
        <v>1050.9823879999999</v>
      </c>
      <c r="J7333" s="41" t="s">
        <v>941</v>
      </c>
      <c r="K7333" s="41" t="s">
        <v>239</v>
      </c>
      <c r="P7333" s="42" t="s">
        <v>2228</v>
      </c>
    </row>
    <row r="7334" spans="1:16" x14ac:dyDescent="0.2">
      <c r="A7334" s="30">
        <v>791</v>
      </c>
      <c r="B7334" s="249" t="str">
        <f>IF(AND(A7334&lt;&gt;"",ISNUMBER(A7334)),VLOOKUP(A7334,Studies!A:BR,2,FALSE),"")</f>
        <v>Xu 2013</v>
      </c>
      <c r="C7334" s="250" t="str">
        <f>IF(AND(A7334&lt;&gt;"",ISNUMBER(A7334)),VLOOKUP(A7334,Studies!A:BR,3,FALSE),"")</f>
        <v>https://www.ncbi.nlm.nih.gov/pubmed/23846872</v>
      </c>
      <c r="D7334" s="250" t="str">
        <f>IF(AND(A7334&lt;&gt;"",ISNUMBER(A7334)),VLOOKUP(A7334,Studies!A:BR,4,FALSE),"")</f>
        <v>CYP2B6*1/*1 genotype</v>
      </c>
      <c r="E7334" s="250" t="str">
        <f>IF(AND(A7334&lt;&gt;"",ISNUMBER(A7334)),VLOOKUP(A7334,Studies!A:BR,5,FALSE),"")</f>
        <v>Efavirenz</v>
      </c>
      <c r="F7334" s="251" t="str">
        <f>IF(AND(A7334&lt;&gt;"",ISNUMBER(A7334)),VLOOKUP(A7334,Studies!A:BR,6,FALSE),"")</f>
        <v>Plasma</v>
      </c>
      <c r="G7334" s="267">
        <v>5.0001250961283219</v>
      </c>
      <c r="H7334" s="50" t="s">
        <v>60</v>
      </c>
      <c r="I7334" s="253">
        <v>1088.541074</v>
      </c>
      <c r="J7334" s="41" t="s">
        <v>941</v>
      </c>
      <c r="K7334" s="41" t="s">
        <v>239</v>
      </c>
      <c r="P7334" s="42" t="s">
        <v>2228</v>
      </c>
    </row>
    <row r="7335" spans="1:16" x14ac:dyDescent="0.2">
      <c r="A7335" s="30">
        <v>791</v>
      </c>
      <c r="B7335" s="249" t="str">
        <f>IF(AND(A7335&lt;&gt;"",ISNUMBER(A7335)),VLOOKUP(A7335,Studies!A:BR,2,FALSE),"")</f>
        <v>Xu 2013</v>
      </c>
      <c r="C7335" s="250" t="str">
        <f>IF(AND(A7335&lt;&gt;"",ISNUMBER(A7335)),VLOOKUP(A7335,Studies!A:BR,3,FALSE),"")</f>
        <v>https://www.ncbi.nlm.nih.gov/pubmed/23846872</v>
      </c>
      <c r="D7335" s="250" t="str">
        <f>IF(AND(A7335&lt;&gt;"",ISNUMBER(A7335)),VLOOKUP(A7335,Studies!A:BR,4,FALSE),"")</f>
        <v>CYP2B6*1/*1 genotype</v>
      </c>
      <c r="E7335" s="250" t="str">
        <f>IF(AND(A7335&lt;&gt;"",ISNUMBER(A7335)),VLOOKUP(A7335,Studies!A:BR,5,FALSE),"")</f>
        <v>Efavirenz</v>
      </c>
      <c r="F7335" s="251" t="str">
        <f>IF(AND(A7335&lt;&gt;"",ISNUMBER(A7335)),VLOOKUP(A7335,Studies!A:BR,6,FALSE),"")</f>
        <v>Plasma</v>
      </c>
      <c r="G7335" s="267">
        <v>5.0001997209996913</v>
      </c>
      <c r="H7335" s="50" t="s">
        <v>60</v>
      </c>
      <c r="I7335" s="253">
        <v>1326.3948889999999</v>
      </c>
      <c r="J7335" s="41" t="s">
        <v>941</v>
      </c>
      <c r="K7335" s="41" t="s">
        <v>239</v>
      </c>
      <c r="P7335" s="42" t="s">
        <v>2228</v>
      </c>
    </row>
    <row r="7336" spans="1:16" x14ac:dyDescent="0.2">
      <c r="A7336" s="30">
        <v>791</v>
      </c>
      <c r="B7336" s="249" t="str">
        <f>IF(AND(A7336&lt;&gt;"",ISNUMBER(A7336)),VLOOKUP(A7336,Studies!A:BR,2,FALSE),"")</f>
        <v>Xu 2013</v>
      </c>
      <c r="C7336" s="250" t="str">
        <f>IF(AND(A7336&lt;&gt;"",ISNUMBER(A7336)),VLOOKUP(A7336,Studies!A:BR,3,FALSE),"")</f>
        <v>https://www.ncbi.nlm.nih.gov/pubmed/23846872</v>
      </c>
      <c r="D7336" s="250" t="str">
        <f>IF(AND(A7336&lt;&gt;"",ISNUMBER(A7336)),VLOOKUP(A7336,Studies!A:BR,4,FALSE),"")</f>
        <v>CYP2B6*1/*1 genotype</v>
      </c>
      <c r="E7336" s="250" t="str">
        <f>IF(AND(A7336&lt;&gt;"",ISNUMBER(A7336)),VLOOKUP(A7336,Studies!A:BR,5,FALSE),"")</f>
        <v>Efavirenz</v>
      </c>
      <c r="F7336" s="251" t="str">
        <f>IF(AND(A7336&lt;&gt;"",ISNUMBER(A7336)),VLOOKUP(A7336,Studies!A:BR,6,FALSE),"")</f>
        <v>Plasma</v>
      </c>
      <c r="G7336" s="267">
        <v>5.0008332537445241</v>
      </c>
      <c r="H7336" s="50" t="s">
        <v>60</v>
      </c>
      <c r="I7336" s="253">
        <v>2102.5987909999999</v>
      </c>
      <c r="J7336" s="41" t="s">
        <v>941</v>
      </c>
      <c r="K7336" s="41" t="s">
        <v>239</v>
      </c>
      <c r="P7336" s="42" t="s">
        <v>2228</v>
      </c>
    </row>
    <row r="7337" spans="1:16" x14ac:dyDescent="0.2">
      <c r="A7337" s="30">
        <v>791</v>
      </c>
      <c r="B7337" s="249" t="str">
        <f>IF(AND(A7337&lt;&gt;"",ISNUMBER(A7337)),VLOOKUP(A7337,Studies!A:BR,2,FALSE),"")</f>
        <v>Xu 2013</v>
      </c>
      <c r="C7337" s="250" t="str">
        <f>IF(AND(A7337&lt;&gt;"",ISNUMBER(A7337)),VLOOKUP(A7337,Studies!A:BR,3,FALSE),"")</f>
        <v>https://www.ncbi.nlm.nih.gov/pubmed/23846872</v>
      </c>
      <c r="D7337" s="250" t="str">
        <f>IF(AND(A7337&lt;&gt;"",ISNUMBER(A7337)),VLOOKUP(A7337,Studies!A:BR,4,FALSE),"")</f>
        <v>CYP2B6*1/*1 genotype</v>
      </c>
      <c r="E7337" s="250" t="str">
        <f>IF(AND(A7337&lt;&gt;"",ISNUMBER(A7337)),VLOOKUP(A7337,Studies!A:BR,5,FALSE),"")</f>
        <v>Efavirenz</v>
      </c>
      <c r="F7337" s="251" t="str">
        <f>IF(AND(A7337&lt;&gt;"",ISNUMBER(A7337)),VLOOKUP(A7337,Studies!A:BR,6,FALSE),"")</f>
        <v>Plasma</v>
      </c>
      <c r="G7337" s="267">
        <v>5.0009863464231605</v>
      </c>
      <c r="H7337" s="50" t="s">
        <v>60</v>
      </c>
      <c r="I7337" s="253">
        <v>944.55718300000001</v>
      </c>
      <c r="J7337" s="41" t="s">
        <v>941</v>
      </c>
      <c r="K7337" s="41" t="s">
        <v>239</v>
      </c>
      <c r="P7337" s="42" t="s">
        <v>2228</v>
      </c>
    </row>
    <row r="7338" spans="1:16" x14ac:dyDescent="0.2">
      <c r="A7338" s="30">
        <v>791</v>
      </c>
      <c r="B7338" s="249" t="str">
        <f>IF(AND(A7338&lt;&gt;"",ISNUMBER(A7338)),VLOOKUP(A7338,Studies!A:BR,2,FALSE),"")</f>
        <v>Xu 2013</v>
      </c>
      <c r="C7338" s="250" t="str">
        <f>IF(AND(A7338&lt;&gt;"",ISNUMBER(A7338)),VLOOKUP(A7338,Studies!A:BR,3,FALSE),"")</f>
        <v>https://www.ncbi.nlm.nih.gov/pubmed/23846872</v>
      </c>
      <c r="D7338" s="250" t="str">
        <f>IF(AND(A7338&lt;&gt;"",ISNUMBER(A7338)),VLOOKUP(A7338,Studies!A:BR,4,FALSE),"")</f>
        <v>CYP2B6*1/*1 genotype</v>
      </c>
      <c r="E7338" s="250" t="str">
        <f>IF(AND(A7338&lt;&gt;"",ISNUMBER(A7338)),VLOOKUP(A7338,Studies!A:BR,5,FALSE),"")</f>
        <v>Efavirenz</v>
      </c>
      <c r="F7338" s="251" t="str">
        <f>IF(AND(A7338&lt;&gt;"",ISNUMBER(A7338)),VLOOKUP(A7338,Studies!A:BR,6,FALSE),"")</f>
        <v>Plasma</v>
      </c>
      <c r="G7338" s="267">
        <v>5.9990342241898178</v>
      </c>
      <c r="H7338" s="50" t="s">
        <v>60</v>
      </c>
      <c r="I7338" s="253">
        <v>1564.186195</v>
      </c>
      <c r="J7338" s="41" t="s">
        <v>941</v>
      </c>
      <c r="K7338" s="41" t="s">
        <v>239</v>
      </c>
      <c r="P7338" s="42" t="s">
        <v>2228</v>
      </c>
    </row>
    <row r="7339" spans="1:16" x14ac:dyDescent="0.2">
      <c r="A7339" s="30">
        <v>791</v>
      </c>
      <c r="B7339" s="249" t="str">
        <f>IF(AND(A7339&lt;&gt;"",ISNUMBER(A7339)),VLOOKUP(A7339,Studies!A:BR,2,FALSE),"")</f>
        <v>Xu 2013</v>
      </c>
      <c r="C7339" s="250" t="str">
        <f>IF(AND(A7339&lt;&gt;"",ISNUMBER(A7339)),VLOOKUP(A7339,Studies!A:BR,3,FALSE),"")</f>
        <v>https://www.ncbi.nlm.nih.gov/pubmed/23846872</v>
      </c>
      <c r="D7339" s="250" t="str">
        <f>IF(AND(A7339&lt;&gt;"",ISNUMBER(A7339)),VLOOKUP(A7339,Studies!A:BR,4,FALSE),"")</f>
        <v>CYP2B6*1/*1 genotype</v>
      </c>
      <c r="E7339" s="250" t="str">
        <f>IF(AND(A7339&lt;&gt;"",ISNUMBER(A7339)),VLOOKUP(A7339,Studies!A:BR,5,FALSE),"")</f>
        <v>Efavirenz</v>
      </c>
      <c r="F7339" s="251" t="str">
        <f>IF(AND(A7339&lt;&gt;"",ISNUMBER(A7339)),VLOOKUP(A7339,Studies!A:BR,6,FALSE),"")</f>
        <v>Plasma</v>
      </c>
      <c r="G7339" s="267">
        <v>5.9992418729830534</v>
      </c>
      <c r="H7339" s="50" t="s">
        <v>60</v>
      </c>
      <c r="I7339" s="253">
        <v>731.63533429999995</v>
      </c>
      <c r="J7339" s="41" t="s">
        <v>941</v>
      </c>
      <c r="K7339" s="41" t="s">
        <v>239</v>
      </c>
      <c r="P7339" s="42" t="s">
        <v>2228</v>
      </c>
    </row>
    <row r="7340" spans="1:16" x14ac:dyDescent="0.2">
      <c r="A7340" s="30">
        <v>791</v>
      </c>
      <c r="B7340" s="249" t="str">
        <f>IF(AND(A7340&lt;&gt;"",ISNUMBER(A7340)),VLOOKUP(A7340,Studies!A:BR,2,FALSE),"")</f>
        <v>Xu 2013</v>
      </c>
      <c r="C7340" s="250" t="str">
        <f>IF(AND(A7340&lt;&gt;"",ISNUMBER(A7340)),VLOOKUP(A7340,Studies!A:BR,3,FALSE),"")</f>
        <v>https://www.ncbi.nlm.nih.gov/pubmed/23846872</v>
      </c>
      <c r="D7340" s="250" t="str">
        <f>IF(AND(A7340&lt;&gt;"",ISNUMBER(A7340)),VLOOKUP(A7340,Studies!A:BR,4,FALSE),"")</f>
        <v>CYP2B6*1/*1 genotype</v>
      </c>
      <c r="E7340" s="250" t="str">
        <f>IF(AND(A7340&lt;&gt;"",ISNUMBER(A7340)),VLOOKUP(A7340,Studies!A:BR,5,FALSE),"")</f>
        <v>Efavirenz</v>
      </c>
      <c r="F7340" s="251" t="str">
        <f>IF(AND(A7340&lt;&gt;"",ISNUMBER(A7340)),VLOOKUP(A7340,Studies!A:BR,6,FALSE),"")</f>
        <v>Plasma</v>
      </c>
      <c r="G7340" s="267">
        <v>5.9993176499316467</v>
      </c>
      <c r="H7340" s="50" t="s">
        <v>60</v>
      </c>
      <c r="I7340" s="253">
        <v>1038.373529</v>
      </c>
      <c r="J7340" s="41" t="s">
        <v>941</v>
      </c>
      <c r="K7340" s="41" t="s">
        <v>239</v>
      </c>
      <c r="P7340" s="42" t="s">
        <v>2228</v>
      </c>
    </row>
    <row r="7341" spans="1:16" x14ac:dyDescent="0.2">
      <c r="A7341" s="30">
        <v>791</v>
      </c>
      <c r="B7341" s="249" t="str">
        <f>IF(AND(A7341&lt;&gt;"",ISNUMBER(A7341)),VLOOKUP(A7341,Studies!A:BR,2,FALSE),"")</f>
        <v>Xu 2013</v>
      </c>
      <c r="C7341" s="250" t="str">
        <f>IF(AND(A7341&lt;&gt;"",ISNUMBER(A7341)),VLOOKUP(A7341,Studies!A:BR,3,FALSE),"")</f>
        <v>https://www.ncbi.nlm.nih.gov/pubmed/23846872</v>
      </c>
      <c r="D7341" s="250" t="str">
        <f>IF(AND(A7341&lt;&gt;"",ISNUMBER(A7341)),VLOOKUP(A7341,Studies!A:BR,4,FALSE),"")</f>
        <v>CYP2B6*1/*1 genotype</v>
      </c>
      <c r="E7341" s="250" t="str">
        <f>IF(AND(A7341&lt;&gt;"",ISNUMBER(A7341)),VLOOKUP(A7341,Studies!A:BR,5,FALSE),"")</f>
        <v>Efavirenz</v>
      </c>
      <c r="F7341" s="251" t="str">
        <f>IF(AND(A7341&lt;&gt;"",ISNUMBER(A7341)),VLOOKUP(A7341,Studies!A:BR,6,FALSE),"")</f>
        <v>Plasma</v>
      </c>
      <c r="G7341" s="267">
        <v>5.9995147169469858</v>
      </c>
      <c r="H7341" s="50" t="s">
        <v>60</v>
      </c>
      <c r="I7341" s="253">
        <v>975.77571950000004</v>
      </c>
      <c r="J7341" s="41" t="s">
        <v>941</v>
      </c>
      <c r="K7341" s="41" t="s">
        <v>239</v>
      </c>
      <c r="P7341" s="42" t="s">
        <v>2228</v>
      </c>
    </row>
    <row r="7342" spans="1:16" x14ac:dyDescent="0.2">
      <c r="A7342" s="30">
        <v>791</v>
      </c>
      <c r="B7342" s="249" t="str">
        <f>IF(AND(A7342&lt;&gt;"",ISNUMBER(A7342)),VLOOKUP(A7342,Studies!A:BR,2,FALSE),"")</f>
        <v>Xu 2013</v>
      </c>
      <c r="C7342" s="250" t="str">
        <f>IF(AND(A7342&lt;&gt;"",ISNUMBER(A7342)),VLOOKUP(A7342,Studies!A:BR,3,FALSE),"")</f>
        <v>https://www.ncbi.nlm.nih.gov/pubmed/23846872</v>
      </c>
      <c r="D7342" s="250" t="str">
        <f>IF(AND(A7342&lt;&gt;"",ISNUMBER(A7342)),VLOOKUP(A7342,Studies!A:BR,4,FALSE),"")</f>
        <v>CYP2B6*1/*1 genotype</v>
      </c>
      <c r="E7342" s="250" t="str">
        <f>IF(AND(A7342&lt;&gt;"",ISNUMBER(A7342)),VLOOKUP(A7342,Studies!A:BR,5,FALSE),"")</f>
        <v>Efavirenz</v>
      </c>
      <c r="F7342" s="251" t="str">
        <f>IF(AND(A7342&lt;&gt;"",ISNUMBER(A7342)),VLOOKUP(A7342,Studies!A:BR,6,FALSE),"")</f>
        <v>Plasma</v>
      </c>
      <c r="G7342" s="267">
        <v>5.9998343125986864</v>
      </c>
      <c r="H7342" s="50" t="s">
        <v>60</v>
      </c>
      <c r="I7342" s="253">
        <v>894.39856769999994</v>
      </c>
      <c r="J7342" s="41" t="s">
        <v>941</v>
      </c>
      <c r="K7342" s="41" t="s">
        <v>239</v>
      </c>
      <c r="P7342" s="42" t="s">
        <v>2228</v>
      </c>
    </row>
    <row r="7343" spans="1:16" x14ac:dyDescent="0.2">
      <c r="A7343" s="30">
        <v>791</v>
      </c>
      <c r="B7343" s="249" t="str">
        <f>IF(AND(A7343&lt;&gt;"",ISNUMBER(A7343)),VLOOKUP(A7343,Studies!A:BR,2,FALSE),"")</f>
        <v>Xu 2013</v>
      </c>
      <c r="C7343" s="250" t="str">
        <f>IF(AND(A7343&lt;&gt;"",ISNUMBER(A7343)),VLOOKUP(A7343,Studies!A:BR,3,FALSE),"")</f>
        <v>https://www.ncbi.nlm.nih.gov/pubmed/23846872</v>
      </c>
      <c r="D7343" s="250" t="str">
        <f>IF(AND(A7343&lt;&gt;"",ISNUMBER(A7343)),VLOOKUP(A7343,Studies!A:BR,4,FALSE),"")</f>
        <v>CYP2B6*1/*1 genotype</v>
      </c>
      <c r="E7343" s="250" t="str">
        <f>IF(AND(A7343&lt;&gt;"",ISNUMBER(A7343)),VLOOKUP(A7343,Studies!A:BR,5,FALSE),"")</f>
        <v>Efavirenz</v>
      </c>
      <c r="F7343" s="251" t="str">
        <f>IF(AND(A7343&lt;&gt;"",ISNUMBER(A7343)),VLOOKUP(A7343,Studies!A:BR,6,FALSE),"")</f>
        <v>Plasma</v>
      </c>
      <c r="G7343" s="267">
        <v>5.9999594580014239</v>
      </c>
      <c r="H7343" s="50" t="s">
        <v>60</v>
      </c>
      <c r="I7343" s="253">
        <v>1902.2232939999999</v>
      </c>
      <c r="J7343" s="41" t="s">
        <v>941</v>
      </c>
      <c r="K7343" s="41" t="s">
        <v>239</v>
      </c>
      <c r="P7343" s="42" t="s">
        <v>2228</v>
      </c>
    </row>
    <row r="7344" spans="1:16" x14ac:dyDescent="0.2">
      <c r="A7344" s="30">
        <v>791</v>
      </c>
      <c r="B7344" s="249" t="str">
        <f>IF(AND(A7344&lt;&gt;"",ISNUMBER(A7344)),VLOOKUP(A7344,Studies!A:BR,2,FALSE),"")</f>
        <v>Xu 2013</v>
      </c>
      <c r="C7344" s="250" t="str">
        <f>IF(AND(A7344&lt;&gt;"",ISNUMBER(A7344)),VLOOKUP(A7344,Studies!A:BR,3,FALSE),"")</f>
        <v>https://www.ncbi.nlm.nih.gov/pubmed/23846872</v>
      </c>
      <c r="D7344" s="250" t="str">
        <f>IF(AND(A7344&lt;&gt;"",ISNUMBER(A7344)),VLOOKUP(A7344,Studies!A:BR,4,FALSE),"")</f>
        <v>CYP2B6*1/*1 genotype</v>
      </c>
      <c r="E7344" s="250" t="str">
        <f>IF(AND(A7344&lt;&gt;"",ISNUMBER(A7344)),VLOOKUP(A7344,Studies!A:BR,5,FALSE),"")</f>
        <v>Efavirenz</v>
      </c>
      <c r="F7344" s="251" t="str">
        <f>IF(AND(A7344&lt;&gt;"",ISNUMBER(A7344)),VLOOKUP(A7344,Studies!A:BR,6,FALSE),"")</f>
        <v>Plasma</v>
      </c>
      <c r="G7344" s="267">
        <v>6.0000637055505068</v>
      </c>
      <c r="H7344" s="50" t="s">
        <v>60</v>
      </c>
      <c r="I7344" s="253">
        <v>994.54613240000003</v>
      </c>
      <c r="J7344" s="41" t="s">
        <v>941</v>
      </c>
      <c r="K7344" s="41" t="s">
        <v>239</v>
      </c>
      <c r="P7344" s="42" t="s">
        <v>2228</v>
      </c>
    </row>
    <row r="7345" spans="1:16" x14ac:dyDescent="0.2">
      <c r="A7345" s="30">
        <v>791</v>
      </c>
      <c r="B7345" s="249" t="str">
        <f>IF(AND(A7345&lt;&gt;"",ISNUMBER(A7345)),VLOOKUP(A7345,Studies!A:BR,2,FALSE),"")</f>
        <v>Xu 2013</v>
      </c>
      <c r="C7345" s="250" t="str">
        <f>IF(AND(A7345&lt;&gt;"",ISNUMBER(A7345)),VLOOKUP(A7345,Studies!A:BR,3,FALSE),"")</f>
        <v>https://www.ncbi.nlm.nih.gov/pubmed/23846872</v>
      </c>
      <c r="D7345" s="250" t="str">
        <f>IF(AND(A7345&lt;&gt;"",ISNUMBER(A7345)),VLOOKUP(A7345,Studies!A:BR,4,FALSE),"")</f>
        <v>CYP2B6*1/*1 genotype</v>
      </c>
      <c r="E7345" s="250" t="str">
        <f>IF(AND(A7345&lt;&gt;"",ISNUMBER(A7345)),VLOOKUP(A7345,Studies!A:BR,5,FALSE),"")</f>
        <v>Efavirenz</v>
      </c>
      <c r="F7345" s="251" t="str">
        <f>IF(AND(A7345&lt;&gt;"",ISNUMBER(A7345)),VLOOKUP(A7345,Studies!A:BR,6,FALSE),"")</f>
        <v>Plasma</v>
      </c>
      <c r="G7345" s="267">
        <v>6.0005932007529772</v>
      </c>
      <c r="H7345" s="50" t="s">
        <v>60</v>
      </c>
      <c r="I7345" s="253">
        <v>1232.417807</v>
      </c>
      <c r="J7345" s="41" t="s">
        <v>941</v>
      </c>
      <c r="K7345" s="41" t="s">
        <v>239</v>
      </c>
      <c r="P7345" s="42" t="s">
        <v>2228</v>
      </c>
    </row>
    <row r="7346" spans="1:16" x14ac:dyDescent="0.2">
      <c r="A7346" s="30">
        <v>791</v>
      </c>
      <c r="B7346" s="249" t="str">
        <f>IF(AND(A7346&lt;&gt;"",ISNUMBER(A7346)),VLOOKUP(A7346,Studies!A:BR,2,FALSE),"")</f>
        <v>Xu 2013</v>
      </c>
      <c r="C7346" s="250" t="str">
        <f>IF(AND(A7346&lt;&gt;"",ISNUMBER(A7346)),VLOOKUP(A7346,Studies!A:BR,3,FALSE),"")</f>
        <v>https://www.ncbi.nlm.nih.gov/pubmed/23846872</v>
      </c>
      <c r="D7346" s="250" t="str">
        <f>IF(AND(A7346&lt;&gt;"",ISNUMBER(A7346)),VLOOKUP(A7346,Studies!A:BR,4,FALSE),"")</f>
        <v>CYP2B6*1/*1 genotype</v>
      </c>
      <c r="E7346" s="250" t="str">
        <f>IF(AND(A7346&lt;&gt;"",ISNUMBER(A7346)),VLOOKUP(A7346,Studies!A:BR,5,FALSE),"")</f>
        <v>Efavirenz</v>
      </c>
      <c r="F7346" s="251" t="str">
        <f>IF(AND(A7346&lt;&gt;"",ISNUMBER(A7346)),VLOOKUP(A7346,Studies!A:BR,6,FALSE),"")</f>
        <v>Plasma</v>
      </c>
      <c r="G7346" s="267">
        <v>7.9992198984683487</v>
      </c>
      <c r="H7346" s="50" t="s">
        <v>60</v>
      </c>
      <c r="I7346" s="253">
        <v>650.06172719999995</v>
      </c>
      <c r="J7346" s="41" t="s">
        <v>941</v>
      </c>
      <c r="K7346" s="41" t="s">
        <v>239</v>
      </c>
      <c r="P7346" s="42" t="s">
        <v>2228</v>
      </c>
    </row>
    <row r="7347" spans="1:16" x14ac:dyDescent="0.2">
      <c r="A7347" s="30">
        <v>791</v>
      </c>
      <c r="B7347" s="249" t="str">
        <f>IF(AND(A7347&lt;&gt;"",ISNUMBER(A7347)),VLOOKUP(A7347,Studies!A:BR,2,FALSE),"")</f>
        <v>Xu 2013</v>
      </c>
      <c r="C7347" s="250" t="str">
        <f>IF(AND(A7347&lt;&gt;"",ISNUMBER(A7347)),VLOOKUP(A7347,Studies!A:BR,3,FALSE),"")</f>
        <v>https://www.ncbi.nlm.nih.gov/pubmed/23846872</v>
      </c>
      <c r="D7347" s="250" t="str">
        <f>IF(AND(A7347&lt;&gt;"",ISNUMBER(A7347)),VLOOKUP(A7347,Studies!A:BR,4,FALSE),"")</f>
        <v>CYP2B6*1/*1 genotype</v>
      </c>
      <c r="E7347" s="250" t="str">
        <f>IF(AND(A7347&lt;&gt;"",ISNUMBER(A7347)),VLOOKUP(A7347,Studies!A:BR,5,FALSE),"")</f>
        <v>Efavirenz</v>
      </c>
      <c r="F7347" s="251" t="str">
        <f>IF(AND(A7347&lt;&gt;"",ISNUMBER(A7347)),VLOOKUP(A7347,Studies!A:BR,6,FALSE),"")</f>
        <v>Plasma</v>
      </c>
      <c r="G7347" s="267">
        <v>7.9995430226461028</v>
      </c>
      <c r="H7347" s="50" t="s">
        <v>60</v>
      </c>
      <c r="I7347" s="253">
        <v>825.34452239999996</v>
      </c>
      <c r="J7347" s="41" t="s">
        <v>941</v>
      </c>
      <c r="K7347" s="41" t="s">
        <v>239</v>
      </c>
      <c r="P7347" s="42" t="s">
        <v>2228</v>
      </c>
    </row>
    <row r="7348" spans="1:16" x14ac:dyDescent="0.2">
      <c r="A7348" s="30">
        <v>791</v>
      </c>
      <c r="B7348" s="249" t="str">
        <f>IF(AND(A7348&lt;&gt;"",ISNUMBER(A7348)),VLOOKUP(A7348,Studies!A:BR,2,FALSE),"")</f>
        <v>Xu 2013</v>
      </c>
      <c r="C7348" s="250" t="str">
        <f>IF(AND(A7348&lt;&gt;"",ISNUMBER(A7348)),VLOOKUP(A7348,Studies!A:BR,3,FALSE),"")</f>
        <v>https://www.ncbi.nlm.nih.gov/pubmed/23846872</v>
      </c>
      <c r="D7348" s="250" t="str">
        <f>IF(AND(A7348&lt;&gt;"",ISNUMBER(A7348)),VLOOKUP(A7348,Studies!A:BR,4,FALSE),"")</f>
        <v>CYP2B6*1/*1 genotype</v>
      </c>
      <c r="E7348" s="250" t="str">
        <f>IF(AND(A7348&lt;&gt;"",ISNUMBER(A7348)),VLOOKUP(A7348,Studies!A:BR,5,FALSE),"")</f>
        <v>Efavirenz</v>
      </c>
      <c r="F7348" s="251" t="str">
        <f>IF(AND(A7348&lt;&gt;"",ISNUMBER(A7348)),VLOOKUP(A7348,Studies!A:BR,6,FALSE),"")</f>
        <v>Plasma</v>
      </c>
      <c r="G7348" s="267">
        <v>7.9996619381983765</v>
      </c>
      <c r="H7348" s="50" t="s">
        <v>60</v>
      </c>
      <c r="I7348" s="253">
        <v>700.14890419999995</v>
      </c>
      <c r="J7348" s="41" t="s">
        <v>941</v>
      </c>
      <c r="K7348" s="41" t="s">
        <v>239</v>
      </c>
      <c r="P7348" s="42" t="s">
        <v>2228</v>
      </c>
    </row>
    <row r="7349" spans="1:16" x14ac:dyDescent="0.2">
      <c r="A7349" s="30">
        <v>791</v>
      </c>
      <c r="B7349" s="249" t="str">
        <f>IF(AND(A7349&lt;&gt;"",ISNUMBER(A7349)),VLOOKUP(A7349,Studies!A:BR,2,FALSE),"")</f>
        <v>Xu 2013</v>
      </c>
      <c r="C7349" s="250" t="str">
        <f>IF(AND(A7349&lt;&gt;"",ISNUMBER(A7349)),VLOOKUP(A7349,Studies!A:BR,3,FALSE),"")</f>
        <v>https://www.ncbi.nlm.nih.gov/pubmed/23846872</v>
      </c>
      <c r="D7349" s="250" t="str">
        <f>IF(AND(A7349&lt;&gt;"",ISNUMBER(A7349)),VLOOKUP(A7349,Studies!A:BR,4,FALSE),"")</f>
        <v>CYP2B6*1/*1 genotype</v>
      </c>
      <c r="E7349" s="250" t="str">
        <f>IF(AND(A7349&lt;&gt;"",ISNUMBER(A7349)),VLOOKUP(A7349,Studies!A:BR,5,FALSE),"")</f>
        <v>Efavirenz</v>
      </c>
      <c r="F7349" s="251" t="str">
        <f>IF(AND(A7349&lt;&gt;"",ISNUMBER(A7349)),VLOOKUP(A7349,Studies!A:BR,6,FALSE),"")</f>
        <v>Plasma</v>
      </c>
      <c r="G7349" s="267">
        <v>7.9998657424650155</v>
      </c>
      <c r="H7349" s="50" t="s">
        <v>60</v>
      </c>
      <c r="I7349" s="253">
        <v>1025.6396520000001</v>
      </c>
      <c r="J7349" s="41" t="s">
        <v>941</v>
      </c>
      <c r="K7349" s="41" t="s">
        <v>239</v>
      </c>
      <c r="P7349" s="42" t="s">
        <v>2228</v>
      </c>
    </row>
    <row r="7350" spans="1:16" x14ac:dyDescent="0.2">
      <c r="A7350" s="30">
        <v>791</v>
      </c>
      <c r="B7350" s="249" t="str">
        <f>IF(AND(A7350&lt;&gt;"",ISNUMBER(A7350)),VLOOKUP(A7350,Studies!A:BR,2,FALSE),"")</f>
        <v>Xu 2013</v>
      </c>
      <c r="C7350" s="250" t="str">
        <f>IF(AND(A7350&lt;&gt;"",ISNUMBER(A7350)),VLOOKUP(A7350,Studies!A:BR,3,FALSE),"")</f>
        <v>https://www.ncbi.nlm.nih.gov/pubmed/23846872</v>
      </c>
      <c r="D7350" s="250" t="str">
        <f>IF(AND(A7350&lt;&gt;"",ISNUMBER(A7350)),VLOOKUP(A7350,Studies!A:BR,4,FALSE),"")</f>
        <v>CYP2B6*1/*1 genotype</v>
      </c>
      <c r="E7350" s="250" t="str">
        <f>IF(AND(A7350&lt;&gt;"",ISNUMBER(A7350)),VLOOKUP(A7350,Studies!A:BR,5,FALSE),"")</f>
        <v>Efavirenz</v>
      </c>
      <c r="F7350" s="251" t="str">
        <f>IF(AND(A7350&lt;&gt;"",ISNUMBER(A7350)),VLOOKUP(A7350,Studies!A:BR,6,FALSE),"")</f>
        <v>Plasma</v>
      </c>
      <c r="G7350" s="267">
        <v>8.0001332867909216</v>
      </c>
      <c r="H7350" s="50" t="s">
        <v>60</v>
      </c>
      <c r="I7350" s="253">
        <v>581.20413719999999</v>
      </c>
      <c r="J7350" s="41" t="s">
        <v>941</v>
      </c>
      <c r="K7350" s="41" t="s">
        <v>239</v>
      </c>
      <c r="P7350" s="42" t="s">
        <v>2228</v>
      </c>
    </row>
    <row r="7351" spans="1:16" x14ac:dyDescent="0.2">
      <c r="A7351" s="30">
        <v>791</v>
      </c>
      <c r="B7351" s="249" t="str">
        <f>IF(AND(A7351&lt;&gt;"",ISNUMBER(A7351)),VLOOKUP(A7351,Studies!A:BR,2,FALSE),"")</f>
        <v>Xu 2013</v>
      </c>
      <c r="C7351" s="250" t="str">
        <f>IF(AND(A7351&lt;&gt;"",ISNUMBER(A7351)),VLOOKUP(A7351,Studies!A:BR,3,FALSE),"")</f>
        <v>https://www.ncbi.nlm.nih.gov/pubmed/23846872</v>
      </c>
      <c r="D7351" s="250" t="str">
        <f>IF(AND(A7351&lt;&gt;"",ISNUMBER(A7351)),VLOOKUP(A7351,Studies!A:BR,4,FALSE),"")</f>
        <v>CYP2B6*1/*1 genotype</v>
      </c>
      <c r="E7351" s="250" t="str">
        <f>IF(AND(A7351&lt;&gt;"",ISNUMBER(A7351)),VLOOKUP(A7351,Studies!A:BR,5,FALSE),"")</f>
        <v>Efavirenz</v>
      </c>
      <c r="F7351" s="251" t="str">
        <f>IF(AND(A7351&lt;&gt;"",ISNUMBER(A7351)),VLOOKUP(A7351,Studies!A:BR,6,FALSE),"")</f>
        <v>Plasma</v>
      </c>
      <c r="G7351" s="267">
        <v>8.000433368845842</v>
      </c>
      <c r="H7351" s="50" t="s">
        <v>60</v>
      </c>
      <c r="I7351" s="253">
        <v>1751.792097</v>
      </c>
      <c r="J7351" s="41" t="s">
        <v>941</v>
      </c>
      <c r="K7351" s="41" t="s">
        <v>239</v>
      </c>
      <c r="P7351" s="42" t="s">
        <v>2228</v>
      </c>
    </row>
    <row r="7352" spans="1:16" x14ac:dyDescent="0.2">
      <c r="A7352" s="30">
        <v>791</v>
      </c>
      <c r="B7352" s="249" t="str">
        <f>IF(AND(A7352&lt;&gt;"",ISNUMBER(A7352)),VLOOKUP(A7352,Studies!A:BR,2,FALSE),"")</f>
        <v>Xu 2013</v>
      </c>
      <c r="C7352" s="250" t="str">
        <f>IF(AND(A7352&lt;&gt;"",ISNUMBER(A7352)),VLOOKUP(A7352,Studies!A:BR,3,FALSE),"")</f>
        <v>https://www.ncbi.nlm.nih.gov/pubmed/23846872</v>
      </c>
      <c r="D7352" s="250" t="str">
        <f>IF(AND(A7352&lt;&gt;"",ISNUMBER(A7352)),VLOOKUP(A7352,Studies!A:BR,4,FALSE),"")</f>
        <v>CYP2B6*1/*1 genotype</v>
      </c>
      <c r="E7352" s="250" t="str">
        <f>IF(AND(A7352&lt;&gt;"",ISNUMBER(A7352)),VLOOKUP(A7352,Studies!A:BR,5,FALSE),"")</f>
        <v>Efavirenz</v>
      </c>
      <c r="F7352" s="251" t="str">
        <f>IF(AND(A7352&lt;&gt;"",ISNUMBER(A7352)),VLOOKUP(A7352,Studies!A:BR,6,FALSE),"")</f>
        <v>Plasma</v>
      </c>
      <c r="G7352" s="267">
        <v>8.0006014681672681</v>
      </c>
      <c r="H7352" s="50" t="s">
        <v>60</v>
      </c>
      <c r="I7352" s="253">
        <v>956.79992140000002</v>
      </c>
      <c r="J7352" s="41" t="s">
        <v>941</v>
      </c>
      <c r="K7352" s="41" t="s">
        <v>239</v>
      </c>
      <c r="P7352" s="42" t="s">
        <v>2228</v>
      </c>
    </row>
    <row r="7353" spans="1:16" x14ac:dyDescent="0.2">
      <c r="A7353" s="30">
        <v>791</v>
      </c>
      <c r="B7353" s="249" t="str">
        <f>IF(AND(A7353&lt;&gt;"",ISNUMBER(A7353)),VLOOKUP(A7353,Studies!A:BR,2,FALSE),"")</f>
        <v>Xu 2013</v>
      </c>
      <c r="C7353" s="250" t="str">
        <f>IF(AND(A7353&lt;&gt;"",ISNUMBER(A7353)),VLOOKUP(A7353,Studies!A:BR,3,FALSE),"")</f>
        <v>https://www.ncbi.nlm.nih.gov/pubmed/23846872</v>
      </c>
      <c r="D7353" s="250" t="str">
        <f>IF(AND(A7353&lt;&gt;"",ISNUMBER(A7353)),VLOOKUP(A7353,Studies!A:BR,4,FALSE),"")</f>
        <v>CYP2B6*1/*1 genotype</v>
      </c>
      <c r="E7353" s="250" t="str">
        <f>IF(AND(A7353&lt;&gt;"",ISNUMBER(A7353)),VLOOKUP(A7353,Studies!A:BR,5,FALSE),"")</f>
        <v>Efavirenz</v>
      </c>
      <c r="F7353" s="251" t="str">
        <f>IF(AND(A7353&lt;&gt;"",ISNUMBER(A7353)),VLOOKUP(A7353,Studies!A:BR,6,FALSE),"")</f>
        <v>Plasma</v>
      </c>
      <c r="G7353" s="267">
        <v>8.0009773036572156</v>
      </c>
      <c r="H7353" s="50" t="s">
        <v>60</v>
      </c>
      <c r="I7353" s="253">
        <v>1501.40086</v>
      </c>
      <c r="J7353" s="41" t="s">
        <v>941</v>
      </c>
      <c r="K7353" s="41" t="s">
        <v>239</v>
      </c>
      <c r="P7353" s="42" t="s">
        <v>2228</v>
      </c>
    </row>
    <row r="7354" spans="1:16" x14ac:dyDescent="0.2">
      <c r="A7354" s="30">
        <v>791</v>
      </c>
      <c r="B7354" s="249" t="str">
        <f>IF(AND(A7354&lt;&gt;"",ISNUMBER(A7354)),VLOOKUP(A7354,Studies!A:BR,2,FALSE),"")</f>
        <v>Xu 2013</v>
      </c>
      <c r="C7354" s="250" t="str">
        <f>IF(AND(A7354&lt;&gt;"",ISNUMBER(A7354)),VLOOKUP(A7354,Studies!A:BR,3,FALSE),"")</f>
        <v>https://www.ncbi.nlm.nih.gov/pubmed/23846872</v>
      </c>
      <c r="D7354" s="250" t="str">
        <f>IF(AND(A7354&lt;&gt;"",ISNUMBER(A7354)),VLOOKUP(A7354,Studies!A:BR,4,FALSE),"")</f>
        <v>CYP2B6*1/*1 genotype</v>
      </c>
      <c r="E7354" s="250" t="str">
        <f>IF(AND(A7354&lt;&gt;"",ISNUMBER(A7354)),VLOOKUP(A7354,Studies!A:BR,5,FALSE),"")</f>
        <v>Efavirenz</v>
      </c>
      <c r="F7354" s="251" t="str">
        <f>IF(AND(A7354&lt;&gt;"",ISNUMBER(A7354)),VLOOKUP(A7354,Studies!A:BR,6,FALSE),"")</f>
        <v>Plasma</v>
      </c>
      <c r="G7354" s="267">
        <v>9.9991815963513222</v>
      </c>
      <c r="H7354" s="50" t="s">
        <v>60</v>
      </c>
      <c r="I7354" s="253">
        <v>793.86702209999999</v>
      </c>
      <c r="J7354" s="41" t="s">
        <v>941</v>
      </c>
      <c r="K7354" s="41" t="s">
        <v>239</v>
      </c>
      <c r="P7354" s="42" t="s">
        <v>2228</v>
      </c>
    </row>
    <row r="7355" spans="1:16" x14ac:dyDescent="0.2">
      <c r="A7355" s="30">
        <v>791</v>
      </c>
      <c r="B7355" s="249" t="str">
        <f>IF(AND(A7355&lt;&gt;"",ISNUMBER(A7355)),VLOOKUP(A7355,Studies!A:BR,2,FALSE),"")</f>
        <v>Xu 2013</v>
      </c>
      <c r="C7355" s="250" t="str">
        <f>IF(AND(A7355&lt;&gt;"",ISNUMBER(A7355)),VLOOKUP(A7355,Studies!A:BR,3,FALSE),"")</f>
        <v>https://www.ncbi.nlm.nih.gov/pubmed/23846872</v>
      </c>
      <c r="D7355" s="250" t="str">
        <f>IF(AND(A7355&lt;&gt;"",ISNUMBER(A7355)),VLOOKUP(A7355,Studies!A:BR,4,FALSE),"")</f>
        <v>CYP2B6*1/*1 genotype</v>
      </c>
      <c r="E7355" s="250" t="str">
        <f>IF(AND(A7355&lt;&gt;"",ISNUMBER(A7355)),VLOOKUP(A7355,Studies!A:BR,5,FALSE),"")</f>
        <v>Efavirenz</v>
      </c>
      <c r="F7355" s="251" t="str">
        <f>IF(AND(A7355&lt;&gt;"",ISNUMBER(A7355)),VLOOKUP(A7355,Studies!A:BR,6,FALSE),"")</f>
        <v>Plasma</v>
      </c>
      <c r="G7355" s="267">
        <v>9.9993722011009236</v>
      </c>
      <c r="H7355" s="50" t="s">
        <v>60</v>
      </c>
      <c r="I7355" s="253">
        <v>643.63228030000005</v>
      </c>
      <c r="J7355" s="41" t="s">
        <v>941</v>
      </c>
      <c r="K7355" s="41" t="s">
        <v>239</v>
      </c>
      <c r="P7355" s="42" t="s">
        <v>2228</v>
      </c>
    </row>
    <row r="7356" spans="1:16" x14ac:dyDescent="0.2">
      <c r="A7356" s="30">
        <v>791</v>
      </c>
      <c r="B7356" s="249" t="str">
        <f>IF(AND(A7356&lt;&gt;"",ISNUMBER(A7356)),VLOOKUP(A7356,Studies!A:BR,2,FALSE),"")</f>
        <v>Xu 2013</v>
      </c>
      <c r="C7356" s="250" t="str">
        <f>IF(AND(A7356&lt;&gt;"",ISNUMBER(A7356)),VLOOKUP(A7356,Studies!A:BR,3,FALSE),"")</f>
        <v>https://www.ncbi.nlm.nih.gov/pubmed/23846872</v>
      </c>
      <c r="D7356" s="250" t="str">
        <f>IF(AND(A7356&lt;&gt;"",ISNUMBER(A7356)),VLOOKUP(A7356,Studies!A:BR,4,FALSE),"")</f>
        <v>CYP2B6*1/*1 genotype</v>
      </c>
      <c r="E7356" s="250" t="str">
        <f>IF(AND(A7356&lt;&gt;"",ISNUMBER(A7356)),VLOOKUP(A7356,Studies!A:BR,5,FALSE),"")</f>
        <v>Efavirenz</v>
      </c>
      <c r="F7356" s="251" t="str">
        <f>IF(AND(A7356&lt;&gt;"",ISNUMBER(A7356)),VLOOKUP(A7356,Studies!A:BR,6,FALSE),"")</f>
        <v>Plasma</v>
      </c>
      <c r="G7356" s="267">
        <v>9.9994994290228938</v>
      </c>
      <c r="H7356" s="50" t="s">
        <v>60</v>
      </c>
      <c r="I7356" s="253">
        <v>1620.1670320000001</v>
      </c>
      <c r="J7356" s="41" t="s">
        <v>941</v>
      </c>
      <c r="K7356" s="41" t="s">
        <v>239</v>
      </c>
      <c r="P7356" s="42" t="s">
        <v>2228</v>
      </c>
    </row>
    <row r="7357" spans="1:16" x14ac:dyDescent="0.2">
      <c r="A7357" s="30">
        <v>791</v>
      </c>
      <c r="B7357" s="249" t="str">
        <f>IF(AND(A7357&lt;&gt;"",ISNUMBER(A7357)),VLOOKUP(A7357,Studies!A:BR,2,FALSE),"")</f>
        <v>Xu 2013</v>
      </c>
      <c r="C7357" s="250" t="str">
        <f>IF(AND(A7357&lt;&gt;"",ISNUMBER(A7357)),VLOOKUP(A7357,Studies!A:BR,3,FALSE),"")</f>
        <v>https://www.ncbi.nlm.nih.gov/pubmed/23846872</v>
      </c>
      <c r="D7357" s="250" t="str">
        <f>IF(AND(A7357&lt;&gt;"",ISNUMBER(A7357)),VLOOKUP(A7357,Studies!A:BR,4,FALSE),"")</f>
        <v>CYP2B6*1/*1 genotype</v>
      </c>
      <c r="E7357" s="250" t="str">
        <f>IF(AND(A7357&lt;&gt;"",ISNUMBER(A7357)),VLOOKUP(A7357,Studies!A:BR,5,FALSE),"")</f>
        <v>Efavirenz</v>
      </c>
      <c r="F7357" s="251" t="str">
        <f>IF(AND(A7357&lt;&gt;"",ISNUMBER(A7357)),VLOOKUP(A7357,Studies!A:BR,6,FALSE),"")</f>
        <v>Plasma</v>
      </c>
      <c r="G7357" s="267">
        <v>9.9996413219193929</v>
      </c>
      <c r="H7357" s="50" t="s">
        <v>60</v>
      </c>
      <c r="I7357" s="253">
        <v>1826.7308720000001</v>
      </c>
      <c r="J7357" s="41" t="s">
        <v>941</v>
      </c>
      <c r="K7357" s="41" t="s">
        <v>239</v>
      </c>
      <c r="P7357" s="42" t="s">
        <v>2228</v>
      </c>
    </row>
    <row r="7358" spans="1:16" x14ac:dyDescent="0.2">
      <c r="A7358" s="30">
        <v>791</v>
      </c>
      <c r="B7358" s="249" t="str">
        <f>IF(AND(A7358&lt;&gt;"",ISNUMBER(A7358)),VLOOKUP(A7358,Studies!A:BR,2,FALSE),"")</f>
        <v>Xu 2013</v>
      </c>
      <c r="C7358" s="250" t="str">
        <f>IF(AND(A7358&lt;&gt;"",ISNUMBER(A7358)),VLOOKUP(A7358,Studies!A:BR,3,FALSE),"")</f>
        <v>https://www.ncbi.nlm.nih.gov/pubmed/23846872</v>
      </c>
      <c r="D7358" s="250" t="str">
        <f>IF(AND(A7358&lt;&gt;"",ISNUMBER(A7358)),VLOOKUP(A7358,Studies!A:BR,4,FALSE),"")</f>
        <v>CYP2B6*1/*1 genotype</v>
      </c>
      <c r="E7358" s="250" t="str">
        <f>IF(AND(A7358&lt;&gt;"",ISNUMBER(A7358)),VLOOKUP(A7358,Studies!A:BR,5,FALSE),"")</f>
        <v>Efavirenz</v>
      </c>
      <c r="F7358" s="251" t="str">
        <f>IF(AND(A7358&lt;&gt;"",ISNUMBER(A7358)),VLOOKUP(A7358,Studies!A:BR,6,FALSE),"")</f>
        <v>Plasma</v>
      </c>
      <c r="G7358" s="267">
        <v>9.9999773033517414</v>
      </c>
      <c r="H7358" s="50" t="s">
        <v>60</v>
      </c>
      <c r="I7358" s="253">
        <v>1019.210205</v>
      </c>
      <c r="J7358" s="41" t="s">
        <v>941</v>
      </c>
      <c r="K7358" s="41" t="s">
        <v>239</v>
      </c>
      <c r="P7358" s="42" t="s">
        <v>2228</v>
      </c>
    </row>
    <row r="7359" spans="1:16" x14ac:dyDescent="0.2">
      <c r="A7359" s="30">
        <v>791</v>
      </c>
      <c r="B7359" s="249" t="str">
        <f>IF(AND(A7359&lt;&gt;"",ISNUMBER(A7359)),VLOOKUP(A7359,Studies!A:BR,2,FALSE),"")</f>
        <v>Xu 2013</v>
      </c>
      <c r="C7359" s="250" t="str">
        <f>IF(AND(A7359&lt;&gt;"",ISNUMBER(A7359)),VLOOKUP(A7359,Studies!A:BR,3,FALSE),"")</f>
        <v>https://www.ncbi.nlm.nih.gov/pubmed/23846872</v>
      </c>
      <c r="D7359" s="250" t="str">
        <f>IF(AND(A7359&lt;&gt;"",ISNUMBER(A7359)),VLOOKUP(A7359,Studies!A:BR,4,FALSE),"")</f>
        <v>CYP2B6*1/*1 genotype</v>
      </c>
      <c r="E7359" s="250" t="str">
        <f>IF(AND(A7359&lt;&gt;"",ISNUMBER(A7359)),VLOOKUP(A7359,Studies!A:BR,5,FALSE),"")</f>
        <v>Efavirenz</v>
      </c>
      <c r="F7359" s="251" t="str">
        <f>IF(AND(A7359&lt;&gt;"",ISNUMBER(A7359)),VLOOKUP(A7359,Studies!A:BR,6,FALSE),"")</f>
        <v>Plasma</v>
      </c>
      <c r="G7359" s="267">
        <v>10.000295008482878</v>
      </c>
      <c r="H7359" s="50" t="s">
        <v>60</v>
      </c>
      <c r="I7359" s="253">
        <v>693.71052750000001</v>
      </c>
      <c r="J7359" s="41" t="s">
        <v>941</v>
      </c>
      <c r="K7359" s="41" t="s">
        <v>239</v>
      </c>
      <c r="P7359" s="42" t="s">
        <v>2228</v>
      </c>
    </row>
    <row r="7360" spans="1:16" x14ac:dyDescent="0.2">
      <c r="A7360" s="30">
        <v>791</v>
      </c>
      <c r="B7360" s="249" t="str">
        <f>IF(AND(A7360&lt;&gt;"",ISNUMBER(A7360)),VLOOKUP(A7360,Studies!A:BR,2,FALSE),"")</f>
        <v>Xu 2013</v>
      </c>
      <c r="C7360" s="250" t="str">
        <f>IF(AND(A7360&lt;&gt;"",ISNUMBER(A7360)),VLOOKUP(A7360,Studies!A:BR,3,FALSE),"")</f>
        <v>https://www.ncbi.nlm.nih.gov/pubmed/23846872</v>
      </c>
      <c r="D7360" s="250" t="str">
        <f>IF(AND(A7360&lt;&gt;"",ISNUMBER(A7360)),VLOOKUP(A7360,Studies!A:BR,4,FALSE),"")</f>
        <v>CYP2B6*1/*1 genotype</v>
      </c>
      <c r="E7360" s="250" t="str">
        <f>IF(AND(A7360&lt;&gt;"",ISNUMBER(A7360)),VLOOKUP(A7360,Studies!A:BR,5,FALSE),"")</f>
        <v>Efavirenz</v>
      </c>
      <c r="F7360" s="251" t="str">
        <f>IF(AND(A7360&lt;&gt;"",ISNUMBER(A7360)),VLOOKUP(A7360,Studies!A:BR,6,FALSE),"")</f>
        <v>Plasma</v>
      </c>
      <c r="G7360" s="267">
        <v>10.000499531873967</v>
      </c>
      <c r="H7360" s="50" t="s">
        <v>60</v>
      </c>
      <c r="I7360" s="253">
        <v>474.61819580000002</v>
      </c>
      <c r="J7360" s="41" t="s">
        <v>941</v>
      </c>
      <c r="K7360" s="41" t="s">
        <v>239</v>
      </c>
      <c r="P7360" s="42" t="s">
        <v>2228</v>
      </c>
    </row>
    <row r="7361" spans="1:16" x14ac:dyDescent="0.2">
      <c r="A7361" s="30">
        <v>791</v>
      </c>
      <c r="B7361" s="249" t="str">
        <f>IF(AND(A7361&lt;&gt;"",ISNUMBER(A7361)),VLOOKUP(A7361,Studies!A:BR,2,FALSE),"")</f>
        <v>Xu 2013</v>
      </c>
      <c r="C7361" s="250" t="str">
        <f>IF(AND(A7361&lt;&gt;"",ISNUMBER(A7361)),VLOOKUP(A7361,Studies!A:BR,3,FALSE),"")</f>
        <v>https://www.ncbi.nlm.nih.gov/pubmed/23846872</v>
      </c>
      <c r="D7361" s="250" t="str">
        <f>IF(AND(A7361&lt;&gt;"",ISNUMBER(A7361)),VLOOKUP(A7361,Studies!A:BR,4,FALSE),"")</f>
        <v>CYP2B6*1/*1 genotype</v>
      </c>
      <c r="E7361" s="250" t="str">
        <f>IF(AND(A7361&lt;&gt;"",ISNUMBER(A7361)),VLOOKUP(A7361,Studies!A:BR,5,FALSE),"")</f>
        <v>Efavirenz</v>
      </c>
      <c r="F7361" s="251" t="str">
        <f>IF(AND(A7361&lt;&gt;"",ISNUMBER(A7361)),VLOOKUP(A7361,Studies!A:BR,6,FALSE),"")</f>
        <v>Plasma</v>
      </c>
      <c r="G7361" s="267">
        <v>10.000734494023025</v>
      </c>
      <c r="H7361" s="50" t="s">
        <v>60</v>
      </c>
      <c r="I7361" s="253">
        <v>768.82789839999998</v>
      </c>
      <c r="J7361" s="41" t="s">
        <v>941</v>
      </c>
      <c r="K7361" s="41" t="s">
        <v>239</v>
      </c>
      <c r="P7361" s="42" t="s">
        <v>2228</v>
      </c>
    </row>
    <row r="7362" spans="1:16" x14ac:dyDescent="0.2">
      <c r="A7362" s="30">
        <v>791</v>
      </c>
      <c r="B7362" s="249" t="str">
        <f>IF(AND(A7362&lt;&gt;"",ISNUMBER(A7362)),VLOOKUP(A7362,Studies!A:BR,2,FALSE),"")</f>
        <v>Xu 2013</v>
      </c>
      <c r="C7362" s="250" t="str">
        <f>IF(AND(A7362&lt;&gt;"",ISNUMBER(A7362)),VLOOKUP(A7362,Studies!A:BR,3,FALSE),"")</f>
        <v>https://www.ncbi.nlm.nih.gov/pubmed/23846872</v>
      </c>
      <c r="D7362" s="250" t="str">
        <f>IF(AND(A7362&lt;&gt;"",ISNUMBER(A7362)),VLOOKUP(A7362,Studies!A:BR,4,FALSE),"")</f>
        <v>CYP2B6*1/*1 genotype</v>
      </c>
      <c r="E7362" s="250" t="str">
        <f>IF(AND(A7362&lt;&gt;"",ISNUMBER(A7362)),VLOOKUP(A7362,Studies!A:BR,5,FALSE),"")</f>
        <v>Efavirenz</v>
      </c>
      <c r="F7362" s="251" t="str">
        <f>IF(AND(A7362&lt;&gt;"",ISNUMBER(A7362)),VLOOKUP(A7362,Studies!A:BR,6,FALSE),"")</f>
        <v>Plasma</v>
      </c>
      <c r="G7362" s="267">
        <v>11.999007880570833</v>
      </c>
      <c r="H7362" s="50" t="s">
        <v>60</v>
      </c>
      <c r="I7362" s="253">
        <v>1338.2893650000001</v>
      </c>
      <c r="J7362" s="41" t="s">
        <v>941</v>
      </c>
      <c r="K7362" s="41" t="s">
        <v>239</v>
      </c>
      <c r="P7362" s="42" t="s">
        <v>2228</v>
      </c>
    </row>
    <row r="7363" spans="1:16" x14ac:dyDescent="0.2">
      <c r="A7363" s="30">
        <v>791</v>
      </c>
      <c r="B7363" s="249" t="str">
        <f>IF(AND(A7363&lt;&gt;"",ISNUMBER(A7363)),VLOOKUP(A7363,Studies!A:BR,2,FALSE),"")</f>
        <v>Xu 2013</v>
      </c>
      <c r="C7363" s="250" t="str">
        <f>IF(AND(A7363&lt;&gt;"",ISNUMBER(A7363)),VLOOKUP(A7363,Studies!A:BR,3,FALSE),"")</f>
        <v>https://www.ncbi.nlm.nih.gov/pubmed/23846872</v>
      </c>
      <c r="D7363" s="250" t="str">
        <f>IF(AND(A7363&lt;&gt;"",ISNUMBER(A7363)),VLOOKUP(A7363,Studies!A:BR,4,FALSE),"")</f>
        <v>CYP2B6*1/*1 genotype</v>
      </c>
      <c r="E7363" s="250" t="str">
        <f>IF(AND(A7363&lt;&gt;"",ISNUMBER(A7363)),VLOOKUP(A7363,Studies!A:BR,5,FALSE),"")</f>
        <v>Efavirenz</v>
      </c>
      <c r="F7363" s="251" t="str">
        <f>IF(AND(A7363&lt;&gt;"",ISNUMBER(A7363)),VLOOKUP(A7363,Studies!A:BR,6,FALSE),"")</f>
        <v>Plasma</v>
      </c>
      <c r="G7363" s="267">
        <v>11.999056813117582</v>
      </c>
      <c r="H7363" s="50" t="s">
        <v>60</v>
      </c>
      <c r="I7363" s="253">
        <v>993.98355579999998</v>
      </c>
      <c r="J7363" s="41" t="s">
        <v>941</v>
      </c>
      <c r="K7363" s="41" t="s">
        <v>239</v>
      </c>
      <c r="P7363" s="42" t="s">
        <v>2228</v>
      </c>
    </row>
    <row r="7364" spans="1:16" x14ac:dyDescent="0.2">
      <c r="A7364" s="30">
        <v>791</v>
      </c>
      <c r="B7364" s="249" t="str">
        <f>IF(AND(A7364&lt;&gt;"",ISNUMBER(A7364)),VLOOKUP(A7364,Studies!A:BR,2,FALSE),"")</f>
        <v>Xu 2013</v>
      </c>
      <c r="C7364" s="250" t="str">
        <f>IF(AND(A7364&lt;&gt;"",ISNUMBER(A7364)),VLOOKUP(A7364,Studies!A:BR,3,FALSE),"")</f>
        <v>https://www.ncbi.nlm.nih.gov/pubmed/23846872</v>
      </c>
      <c r="D7364" s="250" t="str">
        <f>IF(AND(A7364&lt;&gt;"",ISNUMBER(A7364)),VLOOKUP(A7364,Studies!A:BR,4,FALSE),"")</f>
        <v>CYP2B6*1/*1 genotype</v>
      </c>
      <c r="E7364" s="250" t="str">
        <f>IF(AND(A7364&lt;&gt;"",ISNUMBER(A7364)),VLOOKUP(A7364,Studies!A:BR,5,FALSE),"")</f>
        <v>Efavirenz</v>
      </c>
      <c r="F7364" s="251" t="str">
        <f>IF(AND(A7364&lt;&gt;"",ISNUMBER(A7364)),VLOOKUP(A7364,Studies!A:BR,6,FALSE),"")</f>
        <v>Plasma</v>
      </c>
      <c r="G7364" s="267">
        <v>11.999085286993999</v>
      </c>
      <c r="H7364" s="50" t="s">
        <v>60</v>
      </c>
      <c r="I7364" s="253">
        <v>580.85587550000002</v>
      </c>
      <c r="J7364" s="41" t="s">
        <v>941</v>
      </c>
      <c r="K7364" s="41" t="s">
        <v>239</v>
      </c>
      <c r="P7364" s="42" t="s">
        <v>2228</v>
      </c>
    </row>
    <row r="7365" spans="1:16" x14ac:dyDescent="0.2">
      <c r="A7365" s="30">
        <v>791</v>
      </c>
      <c r="B7365" s="249" t="str">
        <f>IF(AND(A7365&lt;&gt;"",ISNUMBER(A7365)),VLOOKUP(A7365,Studies!A:BR,2,FALSE),"")</f>
        <v>Xu 2013</v>
      </c>
      <c r="C7365" s="250" t="str">
        <f>IF(AND(A7365&lt;&gt;"",ISNUMBER(A7365)),VLOOKUP(A7365,Studies!A:BR,3,FALSE),"")</f>
        <v>https://www.ncbi.nlm.nih.gov/pubmed/23846872</v>
      </c>
      <c r="D7365" s="250" t="str">
        <f>IF(AND(A7365&lt;&gt;"",ISNUMBER(A7365)),VLOOKUP(A7365,Studies!A:BR,4,FALSE),"")</f>
        <v>CYP2B6*1/*1 genotype</v>
      </c>
      <c r="E7365" s="250" t="str">
        <f>IF(AND(A7365&lt;&gt;"",ISNUMBER(A7365)),VLOOKUP(A7365,Studies!A:BR,5,FALSE),"")</f>
        <v>Efavirenz</v>
      </c>
      <c r="F7365" s="251" t="str">
        <f>IF(AND(A7365&lt;&gt;"",ISNUMBER(A7365)),VLOOKUP(A7365,Studies!A:BR,6,FALSE),"")</f>
        <v>Plasma</v>
      </c>
      <c r="G7365" s="267">
        <v>11.999506218205672</v>
      </c>
      <c r="H7365" s="50" t="s">
        <v>60</v>
      </c>
      <c r="I7365" s="253">
        <v>424.35242299999999</v>
      </c>
      <c r="J7365" s="41" t="s">
        <v>941</v>
      </c>
      <c r="K7365" s="41" t="s">
        <v>239</v>
      </c>
      <c r="P7365" s="42" t="s">
        <v>2228</v>
      </c>
    </row>
    <row r="7366" spans="1:16" x14ac:dyDescent="0.2">
      <c r="A7366" s="30">
        <v>791</v>
      </c>
      <c r="B7366" s="249" t="str">
        <f>IF(AND(A7366&lt;&gt;"",ISNUMBER(A7366)),VLOOKUP(A7366,Studies!A:BR,2,FALSE),"")</f>
        <v>Xu 2013</v>
      </c>
      <c r="C7366" s="250" t="str">
        <f>IF(AND(A7366&lt;&gt;"",ISNUMBER(A7366)),VLOOKUP(A7366,Studies!A:BR,3,FALSE),"")</f>
        <v>https://www.ncbi.nlm.nih.gov/pubmed/23846872</v>
      </c>
      <c r="D7366" s="250" t="str">
        <f>IF(AND(A7366&lt;&gt;"",ISNUMBER(A7366)),VLOOKUP(A7366,Studies!A:BR,4,FALSE),"")</f>
        <v>CYP2B6*1/*1 genotype</v>
      </c>
      <c r="E7366" s="250" t="str">
        <f>IF(AND(A7366&lt;&gt;"",ISNUMBER(A7366)),VLOOKUP(A7366,Studies!A:BR,5,FALSE),"")</f>
        <v>Efavirenz</v>
      </c>
      <c r="F7366" s="251" t="str">
        <f>IF(AND(A7366&lt;&gt;"",ISNUMBER(A7366)),VLOOKUP(A7366,Studies!A:BR,6,FALSE),"")</f>
        <v>Plasma</v>
      </c>
      <c r="G7366" s="267">
        <v>11.999828985883854</v>
      </c>
      <c r="H7366" s="50" t="s">
        <v>60</v>
      </c>
      <c r="I7366" s="253">
        <v>662.24195710000004</v>
      </c>
      <c r="J7366" s="41" t="s">
        <v>941</v>
      </c>
      <c r="K7366" s="41" t="s">
        <v>239</v>
      </c>
      <c r="P7366" s="42" t="s">
        <v>2228</v>
      </c>
    </row>
    <row r="7367" spans="1:16" x14ac:dyDescent="0.2">
      <c r="A7367" s="30">
        <v>791</v>
      </c>
      <c r="B7367" s="249" t="str">
        <f>IF(AND(A7367&lt;&gt;"",ISNUMBER(A7367)),VLOOKUP(A7367,Studies!A:BR,2,FALSE),"")</f>
        <v>Xu 2013</v>
      </c>
      <c r="C7367" s="250" t="str">
        <f>IF(AND(A7367&lt;&gt;"",ISNUMBER(A7367)),VLOOKUP(A7367,Studies!A:BR,3,FALSE),"")</f>
        <v>https://www.ncbi.nlm.nih.gov/pubmed/23846872</v>
      </c>
      <c r="D7367" s="250" t="str">
        <f>IF(AND(A7367&lt;&gt;"",ISNUMBER(A7367)),VLOOKUP(A7367,Studies!A:BR,4,FALSE),"")</f>
        <v>CYP2B6*1/*1 genotype</v>
      </c>
      <c r="E7367" s="250" t="str">
        <f>IF(AND(A7367&lt;&gt;"",ISNUMBER(A7367)),VLOOKUP(A7367,Studies!A:BR,5,FALSE),"")</f>
        <v>Efavirenz</v>
      </c>
      <c r="F7367" s="251" t="str">
        <f>IF(AND(A7367&lt;&gt;"",ISNUMBER(A7367)),VLOOKUP(A7367,Studies!A:BR,6,FALSE),"")</f>
        <v>Plasma</v>
      </c>
      <c r="G7367" s="267">
        <v>12.000062528350391</v>
      </c>
      <c r="H7367" s="50" t="s">
        <v>60</v>
      </c>
      <c r="I7367" s="253">
        <v>574.58716479999998</v>
      </c>
      <c r="J7367" s="41" t="s">
        <v>941</v>
      </c>
      <c r="K7367" s="41" t="s">
        <v>239</v>
      </c>
      <c r="P7367" s="42" t="s">
        <v>2228</v>
      </c>
    </row>
    <row r="7368" spans="1:16" x14ac:dyDescent="0.2">
      <c r="A7368" s="30">
        <v>791</v>
      </c>
      <c r="B7368" s="249" t="str">
        <f>IF(AND(A7368&lt;&gt;"",ISNUMBER(A7368)),VLOOKUP(A7368,Studies!A:BR,2,FALSE),"")</f>
        <v>Xu 2013</v>
      </c>
      <c r="C7368" s="250" t="str">
        <f>IF(AND(A7368&lt;&gt;"",ISNUMBER(A7368)),VLOOKUP(A7368,Studies!A:BR,3,FALSE),"")</f>
        <v>https://www.ncbi.nlm.nih.gov/pubmed/23846872</v>
      </c>
      <c r="D7368" s="250" t="str">
        <f>IF(AND(A7368&lt;&gt;"",ISNUMBER(A7368)),VLOOKUP(A7368,Studies!A:BR,4,FALSE),"")</f>
        <v>CYP2B6*1/*1 genotype</v>
      </c>
      <c r="E7368" s="250" t="str">
        <f>IF(AND(A7368&lt;&gt;"",ISNUMBER(A7368)),VLOOKUP(A7368,Studies!A:BR,5,FALSE),"")</f>
        <v>Efavirenz</v>
      </c>
      <c r="F7368" s="251" t="str">
        <f>IF(AND(A7368&lt;&gt;"",ISNUMBER(A7368)),VLOOKUP(A7368,Studies!A:BR,6,FALSE),"")</f>
        <v>Plasma</v>
      </c>
      <c r="G7368" s="267">
        <v>12.000937235812657</v>
      </c>
      <c r="H7368" s="50" t="s">
        <v>60</v>
      </c>
      <c r="I7368" s="253">
        <v>1450.965422</v>
      </c>
      <c r="J7368" s="41" t="s">
        <v>941</v>
      </c>
      <c r="K7368" s="41" t="s">
        <v>239</v>
      </c>
      <c r="P7368" s="42" t="s">
        <v>2228</v>
      </c>
    </row>
    <row r="7369" spans="1:16" x14ac:dyDescent="0.2">
      <c r="A7369" s="30">
        <v>791</v>
      </c>
      <c r="B7369" s="249" t="str">
        <f>IF(AND(A7369&lt;&gt;"",ISNUMBER(A7369)),VLOOKUP(A7369,Studies!A:BR,2,FALSE),"")</f>
        <v>Xu 2013</v>
      </c>
      <c r="C7369" s="250" t="str">
        <f>IF(AND(A7369&lt;&gt;"",ISNUMBER(A7369)),VLOOKUP(A7369,Studies!A:BR,3,FALSE),"")</f>
        <v>https://www.ncbi.nlm.nih.gov/pubmed/23846872</v>
      </c>
      <c r="D7369" s="250" t="str">
        <f>IF(AND(A7369&lt;&gt;"",ISNUMBER(A7369)),VLOOKUP(A7369,Studies!A:BR,4,FALSE),"")</f>
        <v>CYP2B6*1/*1 genotype</v>
      </c>
      <c r="E7369" s="250" t="str">
        <f>IF(AND(A7369&lt;&gt;"",ISNUMBER(A7369)),VLOOKUP(A7369,Studies!A:BR,5,FALSE),"")</f>
        <v>Efavirenz</v>
      </c>
      <c r="F7369" s="251" t="str">
        <f>IF(AND(A7369&lt;&gt;"",ISNUMBER(A7369)),VLOOKUP(A7369,Studies!A:BR,6,FALSE),"")</f>
        <v>Plasma</v>
      </c>
      <c r="G7369" s="267">
        <v>24.000107379783412</v>
      </c>
      <c r="H7369" s="50" t="s">
        <v>60</v>
      </c>
      <c r="I7369" s="253">
        <v>454.58868280000002</v>
      </c>
      <c r="J7369" s="41" t="s">
        <v>941</v>
      </c>
      <c r="K7369" s="41" t="s">
        <v>239</v>
      </c>
      <c r="P7369" s="42" t="s">
        <v>2228</v>
      </c>
    </row>
    <row r="7370" spans="1:16" x14ac:dyDescent="0.2">
      <c r="A7370" s="30">
        <v>791</v>
      </c>
      <c r="B7370" s="249" t="str">
        <f>IF(AND(A7370&lt;&gt;"",ISNUMBER(A7370)),VLOOKUP(A7370,Studies!A:BR,2,FALSE),"")</f>
        <v>Xu 2013</v>
      </c>
      <c r="C7370" s="250" t="str">
        <f>IF(AND(A7370&lt;&gt;"",ISNUMBER(A7370)),VLOOKUP(A7370,Studies!A:BR,3,FALSE),"")</f>
        <v>https://www.ncbi.nlm.nih.gov/pubmed/23846872</v>
      </c>
      <c r="D7370" s="250" t="str">
        <f>IF(AND(A7370&lt;&gt;"",ISNUMBER(A7370)),VLOOKUP(A7370,Studies!A:BR,4,FALSE),"")</f>
        <v>CYP2B6*1/*1 genotype</v>
      </c>
      <c r="E7370" s="250" t="str">
        <f>IF(AND(A7370&lt;&gt;"",ISNUMBER(A7370)),VLOOKUP(A7370,Studies!A:BR,5,FALSE),"")</f>
        <v>Efavirenz</v>
      </c>
      <c r="F7370" s="251" t="str">
        <f>IF(AND(A7370&lt;&gt;"",ISNUMBER(A7370)),VLOOKUP(A7370,Studies!A:BR,6,FALSE),"")</f>
        <v>Plasma</v>
      </c>
      <c r="G7370" s="267">
        <v>24.0001230941883</v>
      </c>
      <c r="H7370" s="50" t="s">
        <v>60</v>
      </c>
      <c r="I7370" s="253">
        <v>498.40714919999999</v>
      </c>
      <c r="J7370" s="41" t="s">
        <v>941</v>
      </c>
      <c r="K7370" s="41" t="s">
        <v>239</v>
      </c>
      <c r="P7370" s="42" t="s">
        <v>2228</v>
      </c>
    </row>
    <row r="7371" spans="1:16" x14ac:dyDescent="0.2">
      <c r="A7371" s="30">
        <v>791</v>
      </c>
      <c r="B7371" s="249" t="str">
        <f>IF(AND(A7371&lt;&gt;"",ISNUMBER(A7371)),VLOOKUP(A7371,Studies!A:BR,2,FALSE),"")</f>
        <v>Xu 2013</v>
      </c>
      <c r="C7371" s="250" t="str">
        <f>IF(AND(A7371&lt;&gt;"",ISNUMBER(A7371)),VLOOKUP(A7371,Studies!A:BR,3,FALSE),"")</f>
        <v>https://www.ncbi.nlm.nih.gov/pubmed/23846872</v>
      </c>
      <c r="D7371" s="250" t="str">
        <f>IF(AND(A7371&lt;&gt;"",ISNUMBER(A7371)),VLOOKUP(A7371,Studies!A:BR,4,FALSE),"")</f>
        <v>CYP2B6*1/*1 genotype</v>
      </c>
      <c r="E7371" s="250" t="str">
        <f>IF(AND(A7371&lt;&gt;"",ISNUMBER(A7371)),VLOOKUP(A7371,Studies!A:BR,5,FALSE),"")</f>
        <v>Efavirenz</v>
      </c>
      <c r="F7371" s="251" t="str">
        <f>IF(AND(A7371&lt;&gt;"",ISNUMBER(A7371)),VLOOKUP(A7371,Studies!A:BR,6,FALSE),"")</f>
        <v>Plasma</v>
      </c>
      <c r="G7371" s="267">
        <v>24.0001582327364</v>
      </c>
      <c r="H7371" s="50" t="s">
        <v>60</v>
      </c>
      <c r="I7371" s="253">
        <v>648.65082080000002</v>
      </c>
      <c r="J7371" s="41" t="s">
        <v>941</v>
      </c>
      <c r="K7371" s="41" t="s">
        <v>239</v>
      </c>
      <c r="P7371" s="42" t="s">
        <v>2228</v>
      </c>
    </row>
    <row r="7372" spans="1:16" x14ac:dyDescent="0.2">
      <c r="A7372" s="30">
        <v>791</v>
      </c>
      <c r="B7372" s="249" t="str">
        <f>IF(AND(A7372&lt;&gt;"",ISNUMBER(A7372)),VLOOKUP(A7372,Studies!A:BR,2,FALSE),"")</f>
        <v>Xu 2013</v>
      </c>
      <c r="C7372" s="250" t="str">
        <f>IF(AND(A7372&lt;&gt;"",ISNUMBER(A7372)),VLOOKUP(A7372,Studies!A:BR,3,FALSE),"")</f>
        <v>https://www.ncbi.nlm.nih.gov/pubmed/23846872</v>
      </c>
      <c r="D7372" s="250" t="str">
        <f>IF(AND(A7372&lt;&gt;"",ISNUMBER(A7372)),VLOOKUP(A7372,Studies!A:BR,4,FALSE),"")</f>
        <v>CYP2B6*1/*1 genotype</v>
      </c>
      <c r="E7372" s="250" t="str">
        <f>IF(AND(A7372&lt;&gt;"",ISNUMBER(A7372)),VLOOKUP(A7372,Studies!A:BR,5,FALSE),"")</f>
        <v>Efavirenz</v>
      </c>
      <c r="F7372" s="251" t="str">
        <f>IF(AND(A7372&lt;&gt;"",ISNUMBER(A7372)),VLOOKUP(A7372,Studies!A:BR,6,FALSE),"")</f>
        <v>Plasma</v>
      </c>
      <c r="G7372" s="267">
        <v>24.000534402201417</v>
      </c>
      <c r="H7372" s="50" t="s">
        <v>60</v>
      </c>
      <c r="I7372" s="253">
        <v>730.0279726</v>
      </c>
      <c r="J7372" s="41" t="s">
        <v>941</v>
      </c>
      <c r="K7372" s="41" t="s">
        <v>239</v>
      </c>
      <c r="P7372" s="42" t="s">
        <v>2228</v>
      </c>
    </row>
    <row r="7373" spans="1:16" x14ac:dyDescent="0.2">
      <c r="A7373" s="30">
        <v>791</v>
      </c>
      <c r="B7373" s="249" t="str">
        <f>IF(AND(A7373&lt;&gt;"",ISNUMBER(A7373)),VLOOKUP(A7373,Studies!A:BR,2,FALSE),"")</f>
        <v>Xu 2013</v>
      </c>
      <c r="C7373" s="250" t="str">
        <f>IF(AND(A7373&lt;&gt;"",ISNUMBER(A7373)),VLOOKUP(A7373,Studies!A:BR,3,FALSE),"")</f>
        <v>https://www.ncbi.nlm.nih.gov/pubmed/23846872</v>
      </c>
      <c r="D7373" s="250" t="str">
        <f>IF(AND(A7373&lt;&gt;"",ISNUMBER(A7373)),VLOOKUP(A7373,Studies!A:BR,4,FALSE),"")</f>
        <v>CYP2B6*1/*1 genotype</v>
      </c>
      <c r="E7373" s="250" t="str">
        <f>IF(AND(A7373&lt;&gt;"",ISNUMBER(A7373)),VLOOKUP(A7373,Studies!A:BR,5,FALSE),"")</f>
        <v>Efavirenz</v>
      </c>
      <c r="F7373" s="251" t="str">
        <f>IF(AND(A7373&lt;&gt;"",ISNUMBER(A7373)),VLOOKUP(A7373,Studies!A:BR,6,FALSE),"")</f>
        <v>Plasma</v>
      </c>
      <c r="G7373" s="267">
        <v>24.000879971871619</v>
      </c>
      <c r="H7373" s="50" t="s">
        <v>60</v>
      </c>
      <c r="I7373" s="253">
        <v>980.41920889999994</v>
      </c>
      <c r="J7373" s="41" t="s">
        <v>941</v>
      </c>
      <c r="K7373" s="41" t="s">
        <v>239</v>
      </c>
      <c r="P7373" s="42" t="s">
        <v>2228</v>
      </c>
    </row>
    <row r="7374" spans="1:16" x14ac:dyDescent="0.2">
      <c r="A7374" s="30">
        <v>791</v>
      </c>
      <c r="B7374" s="249" t="str">
        <f>IF(AND(A7374&lt;&gt;"",ISNUMBER(A7374)),VLOOKUP(A7374,Studies!A:BR,2,FALSE),"")</f>
        <v>Xu 2013</v>
      </c>
      <c r="C7374" s="250" t="str">
        <f>IF(AND(A7374&lt;&gt;"",ISNUMBER(A7374)),VLOOKUP(A7374,Studies!A:BR,3,FALSE),"")</f>
        <v>https://www.ncbi.nlm.nih.gov/pubmed/23846872</v>
      </c>
      <c r="D7374" s="250" t="str">
        <f>IF(AND(A7374&lt;&gt;"",ISNUMBER(A7374)),VLOOKUP(A7374,Studies!A:BR,4,FALSE),"")</f>
        <v>CYP2B6*1/*1 genotype</v>
      </c>
      <c r="E7374" s="250" t="str">
        <f>IF(AND(A7374&lt;&gt;"",ISNUMBER(A7374)),VLOOKUP(A7374,Studies!A:BR,5,FALSE),"")</f>
        <v>Efavirenz</v>
      </c>
      <c r="F7374" s="251" t="str">
        <f>IF(AND(A7374&lt;&gt;"",ISNUMBER(A7374)),VLOOKUP(A7374,Studies!A:BR,6,FALSE),"")</f>
        <v>Plasma</v>
      </c>
      <c r="G7374" s="267">
        <v>24.000905851803719</v>
      </c>
      <c r="H7374" s="50" t="s">
        <v>60</v>
      </c>
      <c r="I7374" s="253">
        <v>385.74002259999997</v>
      </c>
      <c r="J7374" s="41" t="s">
        <v>941</v>
      </c>
      <c r="K7374" s="41" t="s">
        <v>239</v>
      </c>
      <c r="P7374" s="42" t="s">
        <v>2228</v>
      </c>
    </row>
    <row r="7375" spans="1:16" x14ac:dyDescent="0.2">
      <c r="A7375" s="30">
        <v>791</v>
      </c>
      <c r="B7375" s="249" t="str">
        <f>IF(AND(A7375&lt;&gt;"",ISNUMBER(A7375)),VLOOKUP(A7375,Studies!A:BR,2,FALSE),"")</f>
        <v>Xu 2013</v>
      </c>
      <c r="C7375" s="250" t="str">
        <f>IF(AND(A7375&lt;&gt;"",ISNUMBER(A7375)),VLOOKUP(A7375,Studies!A:BR,3,FALSE),"")</f>
        <v>https://www.ncbi.nlm.nih.gov/pubmed/23846872</v>
      </c>
      <c r="D7375" s="250" t="str">
        <f>IF(AND(A7375&lt;&gt;"",ISNUMBER(A7375)),VLOOKUP(A7375,Studies!A:BR,4,FALSE),"")</f>
        <v>CYP2B6*1/*1 genotype</v>
      </c>
      <c r="E7375" s="250" t="str">
        <f>IF(AND(A7375&lt;&gt;"",ISNUMBER(A7375)),VLOOKUP(A7375,Studies!A:BR,5,FALSE),"")</f>
        <v>Efavirenz</v>
      </c>
      <c r="F7375" s="251" t="str">
        <f>IF(AND(A7375&lt;&gt;"",ISNUMBER(A7375)),VLOOKUP(A7375,Studies!A:BR,6,FALSE),"")</f>
        <v>Plasma</v>
      </c>
      <c r="G7375" s="267">
        <v>47.999506170596462</v>
      </c>
      <c r="H7375" s="50" t="s">
        <v>60</v>
      </c>
      <c r="I7375" s="253">
        <v>364.8086012</v>
      </c>
      <c r="J7375" s="41" t="s">
        <v>941</v>
      </c>
      <c r="K7375" s="41" t="s">
        <v>239</v>
      </c>
      <c r="P7375" s="42" t="s">
        <v>2228</v>
      </c>
    </row>
    <row r="7376" spans="1:16" x14ac:dyDescent="0.2">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67">
        <v>47.999848301580172</v>
      </c>
      <c r="H7376" s="50" t="s">
        <v>60</v>
      </c>
      <c r="I7376" s="253">
        <v>702.84569999999997</v>
      </c>
      <c r="J7376" s="41" t="s">
        <v>941</v>
      </c>
      <c r="K7376" s="41" t="s">
        <v>239</v>
      </c>
      <c r="P7376" s="42" t="s">
        <v>2228</v>
      </c>
    </row>
    <row r="7377" spans="1:16" x14ac:dyDescent="0.2">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67">
        <v>47.999870347754566</v>
      </c>
      <c r="H7377" s="50" t="s">
        <v>60</v>
      </c>
      <c r="I7377" s="253">
        <v>633.97918019999997</v>
      </c>
      <c r="J7377" s="41" t="s">
        <v>941</v>
      </c>
      <c r="K7377" s="41" t="s">
        <v>239</v>
      </c>
      <c r="P7377" s="42" t="s">
        <v>2228</v>
      </c>
    </row>
    <row r="7378" spans="1:16" x14ac:dyDescent="0.2">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67">
        <v>48.00013362200977</v>
      </c>
      <c r="H7378" s="50" t="s">
        <v>60</v>
      </c>
      <c r="I7378" s="253">
        <v>364.8086012</v>
      </c>
      <c r="J7378" s="41" t="s">
        <v>941</v>
      </c>
      <c r="K7378" s="41" t="s">
        <v>239</v>
      </c>
      <c r="P7378" s="42" t="s">
        <v>2228</v>
      </c>
    </row>
    <row r="7379" spans="1:16" x14ac:dyDescent="0.2">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67">
        <v>48.000250024814626</v>
      </c>
      <c r="H7379" s="50" t="s">
        <v>60</v>
      </c>
      <c r="I7379" s="253">
        <v>314.73928369999999</v>
      </c>
      <c r="J7379" s="41" t="s">
        <v>941</v>
      </c>
      <c r="K7379" s="41" t="s">
        <v>239</v>
      </c>
      <c r="P7379" s="42" t="s">
        <v>2228</v>
      </c>
    </row>
    <row r="7380" spans="1:16" x14ac:dyDescent="0.2">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67">
        <v>48.000581681322309</v>
      </c>
      <c r="H7380" s="50" t="s">
        <v>60</v>
      </c>
      <c r="I7380" s="253">
        <v>427.41534000000001</v>
      </c>
      <c r="J7380" s="41" t="s">
        <v>941</v>
      </c>
      <c r="K7380" s="41" t="s">
        <v>239</v>
      </c>
      <c r="P7380" s="42" t="s">
        <v>2228</v>
      </c>
    </row>
    <row r="7381" spans="1:16" x14ac:dyDescent="0.2">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67">
        <v>48.000665940280541</v>
      </c>
      <c r="H7381" s="50" t="s">
        <v>60</v>
      </c>
      <c r="I7381" s="253">
        <v>508.79249179999999</v>
      </c>
      <c r="J7381" s="41" t="s">
        <v>941</v>
      </c>
      <c r="K7381" s="41" t="s">
        <v>239</v>
      </c>
      <c r="P7381" s="42" t="s">
        <v>2228</v>
      </c>
    </row>
    <row r="7382" spans="1:16" x14ac:dyDescent="0.2">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67">
        <v>48.00079309643386</v>
      </c>
      <c r="H7382" s="50" t="s">
        <v>60</v>
      </c>
      <c r="I7382" s="253">
        <v>245.8816937</v>
      </c>
      <c r="J7382" s="41" t="s">
        <v>941</v>
      </c>
      <c r="K7382" s="41" t="s">
        <v>239</v>
      </c>
      <c r="P7382" s="42" t="s">
        <v>2228</v>
      </c>
    </row>
    <row r="7383" spans="1:16" x14ac:dyDescent="0.2">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67">
        <v>71.999061107210352</v>
      </c>
      <c r="H7383" s="50" t="s">
        <v>60</v>
      </c>
      <c r="I7383" s="253">
        <v>231.2100532</v>
      </c>
      <c r="J7383" s="41" t="s">
        <v>941</v>
      </c>
      <c r="K7383" s="41" t="s">
        <v>239</v>
      </c>
      <c r="P7383" s="42" t="s">
        <v>2228</v>
      </c>
    </row>
    <row r="7384" spans="1:16" x14ac:dyDescent="0.2">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67">
        <v>71.999964926713616</v>
      </c>
      <c r="H7384" s="50" t="s">
        <v>60</v>
      </c>
      <c r="I7384" s="253">
        <v>525.41975579999996</v>
      </c>
      <c r="J7384" s="41" t="s">
        <v>941</v>
      </c>
      <c r="K7384" s="41" t="s">
        <v>239</v>
      </c>
      <c r="P7384" s="42" t="s">
        <v>2228</v>
      </c>
    </row>
    <row r="7385" spans="1:16" x14ac:dyDescent="0.2">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67">
        <v>72.000347256653939</v>
      </c>
      <c r="H7385" s="50" t="s">
        <v>60</v>
      </c>
      <c r="I7385" s="253">
        <v>199.91114859999999</v>
      </c>
      <c r="J7385" s="41" t="s">
        <v>941</v>
      </c>
      <c r="K7385" s="41" t="s">
        <v>239</v>
      </c>
      <c r="P7385" s="42" t="s">
        <v>2228</v>
      </c>
    </row>
    <row r="7386" spans="1:16" x14ac:dyDescent="0.2">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67">
        <v>72.000507631931924</v>
      </c>
      <c r="H7386" s="50" t="s">
        <v>60</v>
      </c>
      <c r="I7386" s="253">
        <v>444.03367420000001</v>
      </c>
      <c r="J7386" s="41" t="s">
        <v>941</v>
      </c>
      <c r="K7386" s="41" t="s">
        <v>239</v>
      </c>
      <c r="P7386" s="42" t="s">
        <v>2228</v>
      </c>
    </row>
    <row r="7387" spans="1:16" x14ac:dyDescent="0.2">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67">
        <v>72.000634650575932</v>
      </c>
      <c r="H7387" s="50" t="s">
        <v>60</v>
      </c>
      <c r="I7387" s="253">
        <v>444.03367420000001</v>
      </c>
      <c r="J7387" s="41" t="s">
        <v>941</v>
      </c>
      <c r="K7387" s="41" t="s">
        <v>239</v>
      </c>
      <c r="P7387" s="42" t="s">
        <v>2228</v>
      </c>
    </row>
    <row r="7388" spans="1:16" x14ac:dyDescent="0.2">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67">
        <v>72.000912541727075</v>
      </c>
      <c r="H7388" s="50" t="s">
        <v>60</v>
      </c>
      <c r="I7388" s="253">
        <v>318.84698589999999</v>
      </c>
      <c r="J7388" s="41" t="s">
        <v>941</v>
      </c>
      <c r="K7388" s="41" t="s">
        <v>239</v>
      </c>
      <c r="P7388" s="42" t="s">
        <v>2228</v>
      </c>
    </row>
    <row r="7389" spans="1:16" x14ac:dyDescent="0.2">
      <c r="A7389" s="30">
        <v>792</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CYP2B6*1/*6 genotype</v>
      </c>
      <c r="E7389" s="250" t="str">
        <f>IF(AND(A7389&lt;&gt;"",ISNUMBER(A7389)),VLOOKUP(A7389,Studies!A:BR,5,FALSE),"")</f>
        <v>Efavirenz</v>
      </c>
      <c r="F7389" s="251" t="str">
        <f>IF(AND(A7389&lt;&gt;"",ISNUMBER(A7389)),VLOOKUP(A7389,Studies!A:BR,6,FALSE),"")</f>
        <v>Plasma</v>
      </c>
      <c r="G7389" s="267">
        <v>0.498536351243965</v>
      </c>
      <c r="H7389" s="50" t="s">
        <v>60</v>
      </c>
      <c r="I7389" s="253">
        <v>34.062164500000002</v>
      </c>
      <c r="J7389" s="41" t="s">
        <v>941</v>
      </c>
      <c r="K7389" s="41" t="s">
        <v>239</v>
      </c>
      <c r="P7389" s="42" t="s">
        <v>2228</v>
      </c>
    </row>
    <row r="7390" spans="1:16" x14ac:dyDescent="0.2">
      <c r="A7390" s="30">
        <v>792</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CYP2B6*1/*6 genotype</v>
      </c>
      <c r="E7390" s="250" t="str">
        <f>IF(AND(A7390&lt;&gt;"",ISNUMBER(A7390)),VLOOKUP(A7390,Studies!A:BR,5,FALSE),"")</f>
        <v>Efavirenz</v>
      </c>
      <c r="F7390" s="251" t="str">
        <f>IF(AND(A7390&lt;&gt;"",ISNUMBER(A7390)),VLOOKUP(A7390,Studies!A:BR,6,FALSE),"")</f>
        <v>Plasma</v>
      </c>
      <c r="G7390" s="267">
        <v>0.49882429712172599</v>
      </c>
      <c r="H7390" s="50" t="s">
        <v>60</v>
      </c>
      <c r="I7390" s="253">
        <v>183.08937130000001</v>
      </c>
      <c r="J7390" s="41" t="s">
        <v>941</v>
      </c>
      <c r="K7390" s="41" t="s">
        <v>239</v>
      </c>
      <c r="P7390" s="42" t="s">
        <v>2228</v>
      </c>
    </row>
    <row r="7391" spans="1:16" x14ac:dyDescent="0.2">
      <c r="A7391" s="30">
        <v>792</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CYP2B6*1/*6 genotype</v>
      </c>
      <c r="E7391" s="250" t="str">
        <f>IF(AND(A7391&lt;&gt;"",ISNUMBER(A7391)),VLOOKUP(A7391,Studies!A:BR,5,FALSE),"")</f>
        <v>Efavirenz</v>
      </c>
      <c r="F7391" s="251" t="str">
        <f>IF(AND(A7391&lt;&gt;"",ISNUMBER(A7391)),VLOOKUP(A7391,Studies!A:BR,6,FALSE),"")</f>
        <v>Plasma</v>
      </c>
      <c r="G7391" s="267">
        <v>0.49992146985139696</v>
      </c>
      <c r="H7391" s="50" t="s">
        <v>60</v>
      </c>
      <c r="I7391" s="253">
        <v>159.05103560000001</v>
      </c>
      <c r="J7391" s="41" t="s">
        <v>941</v>
      </c>
      <c r="K7391" s="41" t="s">
        <v>239</v>
      </c>
      <c r="P7391" s="42" t="s">
        <v>2228</v>
      </c>
    </row>
    <row r="7392" spans="1:16" x14ac:dyDescent="0.2">
      <c r="A7392" s="30">
        <v>792</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CYP2B6*1/*6 genotype</v>
      </c>
      <c r="E7392" s="250" t="str">
        <f>IF(AND(A7392&lt;&gt;"",ISNUMBER(A7392)),VLOOKUP(A7392,Studies!A:BR,5,FALSE),"")</f>
        <v>Efavirenz</v>
      </c>
      <c r="F7392" s="251" t="str">
        <f>IF(AND(A7392&lt;&gt;"",ISNUMBER(A7392)),VLOOKUP(A7392,Studies!A:BR,6,FALSE),"")</f>
        <v>Plasma</v>
      </c>
      <c r="G7392" s="267">
        <v>0.50032136914785952</v>
      </c>
      <c r="H7392" s="50" t="s">
        <v>60</v>
      </c>
      <c r="I7392" s="253">
        <v>135.0127</v>
      </c>
      <c r="J7392" s="41" t="s">
        <v>941</v>
      </c>
      <c r="K7392" s="41" t="s">
        <v>239</v>
      </c>
      <c r="P7392" s="42" t="s">
        <v>2228</v>
      </c>
    </row>
    <row r="7393" spans="1:16" x14ac:dyDescent="0.2">
      <c r="A7393" s="30">
        <v>792</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CYP2B6*1/*6 genotype</v>
      </c>
      <c r="E7393" s="250" t="str">
        <f>IF(AND(A7393&lt;&gt;"",ISNUMBER(A7393)),VLOOKUP(A7393,Studies!A:BR,5,FALSE),"")</f>
        <v>Efavirenz</v>
      </c>
      <c r="F7393" s="251" t="str">
        <f>IF(AND(A7393&lt;&gt;"",ISNUMBER(A7393)),VLOOKUP(A7393,Studies!A:BR,6,FALSE),"")</f>
        <v>Plasma</v>
      </c>
      <c r="G7393" s="267">
        <v>0.50043163906130939</v>
      </c>
      <c r="H7393" s="50" t="s">
        <v>60</v>
      </c>
      <c r="I7393" s="253">
        <v>110.9743643</v>
      </c>
      <c r="J7393" s="41" t="s">
        <v>941</v>
      </c>
      <c r="K7393" s="41" t="s">
        <v>239</v>
      </c>
      <c r="P7393" s="42" t="s">
        <v>2228</v>
      </c>
    </row>
    <row r="7394" spans="1:16" x14ac:dyDescent="0.2">
      <c r="A7394" s="30">
        <v>792</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CYP2B6*1/*6 genotype</v>
      </c>
      <c r="E7394" s="250" t="str">
        <f>IF(AND(A7394&lt;&gt;"",ISNUMBER(A7394)),VLOOKUP(A7394,Studies!A:BR,5,FALSE),"")</f>
        <v>Efavirenz</v>
      </c>
      <c r="F7394" s="251" t="str">
        <f>IF(AND(A7394&lt;&gt;"",ISNUMBER(A7394)),VLOOKUP(A7394,Studies!A:BR,6,FALSE),"")</f>
        <v>Plasma</v>
      </c>
      <c r="G7394" s="267">
        <v>0.50111237049009649</v>
      </c>
      <c r="H7394" s="50" t="s">
        <v>60</v>
      </c>
      <c r="I7394" s="253">
        <v>437.88525490000001</v>
      </c>
      <c r="J7394" s="41" t="s">
        <v>941</v>
      </c>
      <c r="K7394" s="41" t="s">
        <v>239</v>
      </c>
      <c r="P7394" s="42" t="s">
        <v>2228</v>
      </c>
    </row>
    <row r="7395" spans="1:16" x14ac:dyDescent="0.2">
      <c r="A7395" s="30">
        <v>792</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CYP2B6*1/*6 genotype</v>
      </c>
      <c r="E7395" s="250" t="str">
        <f>IF(AND(A7395&lt;&gt;"",ISNUMBER(A7395)),VLOOKUP(A7395,Studies!A:BR,5,FALSE),"")</f>
        <v>Efavirenz</v>
      </c>
      <c r="F7395" s="251" t="str">
        <f>IF(AND(A7395&lt;&gt;"",ISNUMBER(A7395)),VLOOKUP(A7395,Studies!A:BR,6,FALSE),"")</f>
        <v>Plasma</v>
      </c>
      <c r="G7395" s="267">
        <v>0.99865979601815347</v>
      </c>
      <c r="H7395" s="50" t="s">
        <v>60</v>
      </c>
      <c r="I7395" s="253">
        <v>115.8762995</v>
      </c>
      <c r="J7395" s="41" t="s">
        <v>941</v>
      </c>
      <c r="K7395" s="41" t="s">
        <v>239</v>
      </c>
      <c r="P7395" s="42" t="s">
        <v>2228</v>
      </c>
    </row>
    <row r="7396" spans="1:16" x14ac:dyDescent="0.2">
      <c r="A7396" s="30">
        <v>792</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CYP2B6*1/*6 genotype</v>
      </c>
      <c r="E7396" s="250" t="str">
        <f>IF(AND(A7396&lt;&gt;"",ISNUMBER(A7396)),VLOOKUP(A7396,Studies!A:BR,5,FALSE),"")</f>
        <v>Efavirenz</v>
      </c>
      <c r="F7396" s="251" t="str">
        <f>IF(AND(A7396&lt;&gt;"",ISNUMBER(A7396)),VLOOKUP(A7396,Studies!A:BR,6,FALSE),"")</f>
        <v>Plasma</v>
      </c>
      <c r="G7396" s="267">
        <v>0.99917540070880206</v>
      </c>
      <c r="H7396" s="50" t="s">
        <v>60</v>
      </c>
      <c r="I7396" s="253">
        <v>500.47919560000003</v>
      </c>
      <c r="J7396" s="41" t="s">
        <v>941</v>
      </c>
      <c r="K7396" s="41" t="s">
        <v>239</v>
      </c>
      <c r="P7396" s="42" t="s">
        <v>2228</v>
      </c>
    </row>
    <row r="7397" spans="1:16" x14ac:dyDescent="0.2">
      <c r="A7397" s="30">
        <v>792</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CYP2B6*1/*6 genotype</v>
      </c>
      <c r="E7397" s="250" t="str">
        <f>IF(AND(A7397&lt;&gt;"",ISNUMBER(A7397)),VLOOKUP(A7397,Studies!A:BR,5,FALSE),"")</f>
        <v>Efavirenz</v>
      </c>
      <c r="F7397" s="251" t="str">
        <f>IF(AND(A7397&lt;&gt;"",ISNUMBER(A7397)),VLOOKUP(A7397,Studies!A:BR,6,FALSE),"")</f>
        <v>Plasma</v>
      </c>
      <c r="G7397" s="267">
        <v>0.99972981693595653</v>
      </c>
      <c r="H7397" s="50" t="s">
        <v>60</v>
      </c>
      <c r="I7397" s="253">
        <v>2077.394014</v>
      </c>
      <c r="J7397" s="41" t="s">
        <v>941</v>
      </c>
      <c r="K7397" s="41" t="s">
        <v>239</v>
      </c>
      <c r="P7397" s="42" t="s">
        <v>2228</v>
      </c>
    </row>
    <row r="7398" spans="1:16" x14ac:dyDescent="0.2">
      <c r="A7398" s="30">
        <v>792</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CYP2B6*1/*6 genotype</v>
      </c>
      <c r="E7398" s="250" t="str">
        <f>IF(AND(A7398&lt;&gt;"",ISNUMBER(A7398)),VLOOKUP(A7398,Studies!A:BR,5,FALSE),"")</f>
        <v>Efavirenz</v>
      </c>
      <c r="F7398" s="251" t="str">
        <f>IF(AND(A7398&lt;&gt;"",ISNUMBER(A7398)),VLOOKUP(A7398,Studies!A:BR,6,FALSE),"")</f>
        <v>Plasma</v>
      </c>
      <c r="G7398" s="267">
        <v>1.000069703426212</v>
      </c>
      <c r="H7398" s="50" t="s">
        <v>60</v>
      </c>
      <c r="I7398" s="253">
        <v>1250.4857420000001</v>
      </c>
      <c r="J7398" s="41" t="s">
        <v>941</v>
      </c>
      <c r="K7398" s="41" t="s">
        <v>239</v>
      </c>
      <c r="P7398" s="42" t="s">
        <v>2228</v>
      </c>
    </row>
    <row r="7399" spans="1:16" x14ac:dyDescent="0.2">
      <c r="A7399" s="30">
        <v>792</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CYP2B6*1/*6 genotype</v>
      </c>
      <c r="E7399" s="250" t="str">
        <f>IF(AND(A7399&lt;&gt;"",ISNUMBER(A7399)),VLOOKUP(A7399,Studies!A:BR,5,FALSE),"")</f>
        <v>Efavirenz</v>
      </c>
      <c r="F7399" s="251" t="str">
        <f>IF(AND(A7399&lt;&gt;"",ISNUMBER(A7399)),VLOOKUP(A7399,Studies!A:BR,6,FALSE),"")</f>
        <v>Plasma</v>
      </c>
      <c r="G7399" s="267">
        <v>1.0002452748036013</v>
      </c>
      <c r="H7399" s="50" t="s">
        <v>60</v>
      </c>
      <c r="I7399" s="253">
        <v>1486.0614310000001</v>
      </c>
      <c r="J7399" s="41" t="s">
        <v>941</v>
      </c>
      <c r="K7399" s="41" t="s">
        <v>239</v>
      </c>
      <c r="P7399" s="42" t="s">
        <v>2228</v>
      </c>
    </row>
    <row r="7400" spans="1:16" x14ac:dyDescent="0.2">
      <c r="A7400" s="30">
        <v>792</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CYP2B6*1/*6 genotype</v>
      </c>
      <c r="E7400" s="250" t="str">
        <f>IF(AND(A7400&lt;&gt;"",ISNUMBER(A7400)),VLOOKUP(A7400,Studies!A:BR,5,FALSE),"")</f>
        <v>Efavirenz</v>
      </c>
      <c r="F7400" s="251" t="str">
        <f>IF(AND(A7400&lt;&gt;"",ISNUMBER(A7400)),VLOOKUP(A7400,Studies!A:BR,6,FALSE),"")</f>
        <v>Plasma</v>
      </c>
      <c r="G7400" s="267">
        <v>1.0003199440725148</v>
      </c>
      <c r="H7400" s="50" t="s">
        <v>60</v>
      </c>
      <c r="I7400" s="253">
        <v>1135.101731</v>
      </c>
      <c r="J7400" s="41" t="s">
        <v>941</v>
      </c>
      <c r="K7400" s="41" t="s">
        <v>239</v>
      </c>
      <c r="P7400" s="42" t="s">
        <v>2228</v>
      </c>
    </row>
    <row r="7401" spans="1:16" x14ac:dyDescent="0.2">
      <c r="A7401" s="30">
        <v>792</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CYP2B6*1/*6 genotype</v>
      </c>
      <c r="E7401" s="250" t="str">
        <f>IF(AND(A7401&lt;&gt;"",ISNUMBER(A7401)),VLOOKUP(A7401,Studies!A:BR,5,FALSE),"")</f>
        <v>Efavirenz</v>
      </c>
      <c r="F7401" s="251" t="str">
        <f>IF(AND(A7401&lt;&gt;"",ISNUMBER(A7401)),VLOOKUP(A7401,Studies!A:BR,6,FALSE),"")</f>
        <v>Plasma</v>
      </c>
      <c r="G7401" s="267">
        <v>1.0009389676889404</v>
      </c>
      <c r="H7401" s="50" t="s">
        <v>60</v>
      </c>
      <c r="I7401" s="253">
        <v>889.90023310000004</v>
      </c>
      <c r="J7401" s="41" t="s">
        <v>941</v>
      </c>
      <c r="K7401" s="41" t="s">
        <v>239</v>
      </c>
      <c r="P7401" s="42" t="s">
        <v>2228</v>
      </c>
    </row>
    <row r="7402" spans="1:16" x14ac:dyDescent="0.2">
      <c r="A7402" s="30">
        <v>792</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CYP2B6*1/*6 genotype</v>
      </c>
      <c r="E7402" s="250" t="str">
        <f>IF(AND(A7402&lt;&gt;"",ISNUMBER(A7402)),VLOOKUP(A7402,Studies!A:BR,5,FALSE),"")</f>
        <v>Efavirenz</v>
      </c>
      <c r="F7402" s="251" t="str">
        <f>IF(AND(A7402&lt;&gt;"",ISNUMBER(A7402)),VLOOKUP(A7402,Studies!A:BR,6,FALSE),"")</f>
        <v>Plasma</v>
      </c>
      <c r="G7402" s="267">
        <v>1.0013736128155142</v>
      </c>
      <c r="H7402" s="50" t="s">
        <v>60</v>
      </c>
      <c r="I7402" s="253">
        <v>471.63319280000002</v>
      </c>
      <c r="J7402" s="41" t="s">
        <v>941</v>
      </c>
      <c r="K7402" s="41" t="s">
        <v>239</v>
      </c>
      <c r="P7402" s="42" t="s">
        <v>2228</v>
      </c>
    </row>
    <row r="7403" spans="1:16" x14ac:dyDescent="0.2">
      <c r="A7403" s="30">
        <v>792</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CYP2B6*1/*6 genotype</v>
      </c>
      <c r="E7403" s="250" t="str">
        <f>IF(AND(A7403&lt;&gt;"",ISNUMBER(A7403)),VLOOKUP(A7403,Studies!A:BR,5,FALSE),"")</f>
        <v>Efavirenz</v>
      </c>
      <c r="F7403" s="251" t="str">
        <f>IF(AND(A7403&lt;&gt;"",ISNUMBER(A7403)),VLOOKUP(A7403,Studies!A:BR,6,FALSE),"")</f>
        <v>Plasma</v>
      </c>
      <c r="G7403" s="267">
        <v>1.0014765135068446</v>
      </c>
      <c r="H7403" s="50" t="s">
        <v>60</v>
      </c>
      <c r="I7403" s="253">
        <v>1418.754091</v>
      </c>
      <c r="J7403" s="41" t="s">
        <v>941</v>
      </c>
      <c r="K7403" s="41" t="s">
        <v>239</v>
      </c>
      <c r="P7403" s="42" t="s">
        <v>2228</v>
      </c>
    </row>
    <row r="7404" spans="1:16" x14ac:dyDescent="0.2">
      <c r="A7404" s="30">
        <v>792</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CYP2B6*1/*6 genotype</v>
      </c>
      <c r="E7404" s="250" t="str">
        <f>IF(AND(A7404&lt;&gt;"",ISNUMBER(A7404)),VLOOKUP(A7404,Studies!A:BR,5,FALSE),"")</f>
        <v>Efavirenz</v>
      </c>
      <c r="F7404" s="251" t="str">
        <f>IF(AND(A7404&lt;&gt;"",ISNUMBER(A7404)),VLOOKUP(A7404,Studies!A:BR,6,FALSE),"")</f>
        <v>Plasma</v>
      </c>
      <c r="G7404" s="267">
        <v>1.9980653323074802</v>
      </c>
      <c r="H7404" s="50" t="s">
        <v>60</v>
      </c>
      <c r="I7404" s="253">
        <v>880.42106369999999</v>
      </c>
      <c r="J7404" s="41" t="s">
        <v>941</v>
      </c>
      <c r="K7404" s="41" t="s">
        <v>239</v>
      </c>
      <c r="P7404" s="42" t="s">
        <v>2228</v>
      </c>
    </row>
    <row r="7405" spans="1:16" x14ac:dyDescent="0.2">
      <c r="A7405" s="30">
        <v>792</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CYP2B6*1/*6 genotype</v>
      </c>
      <c r="E7405" s="250" t="str">
        <f>IF(AND(A7405&lt;&gt;"",ISNUMBER(A7405)),VLOOKUP(A7405,Studies!A:BR,5,FALSE),"")</f>
        <v>Efavirenz</v>
      </c>
      <c r="F7405" s="251" t="str">
        <f>IF(AND(A7405&lt;&gt;"",ISNUMBER(A7405)),VLOOKUP(A7405,Studies!A:BR,6,FALSE),"")</f>
        <v>Plasma</v>
      </c>
      <c r="G7405" s="267">
        <v>1.9992700957581402</v>
      </c>
      <c r="H7405" s="50" t="s">
        <v>60</v>
      </c>
      <c r="I7405" s="253">
        <v>1515.0331249999999</v>
      </c>
      <c r="J7405" s="41" t="s">
        <v>941</v>
      </c>
      <c r="K7405" s="41" t="s">
        <v>239</v>
      </c>
      <c r="P7405" s="42" t="s">
        <v>2228</v>
      </c>
    </row>
    <row r="7406" spans="1:16" x14ac:dyDescent="0.2">
      <c r="A7406" s="30">
        <v>792</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CYP2B6*1/*6 genotype</v>
      </c>
      <c r="E7406" s="250" t="str">
        <f>IF(AND(A7406&lt;&gt;"",ISNUMBER(A7406)),VLOOKUP(A7406,Studies!A:BR,5,FALSE),"")</f>
        <v>Efavirenz</v>
      </c>
      <c r="F7406" s="251" t="str">
        <f>IF(AND(A7406&lt;&gt;"",ISNUMBER(A7406)),VLOOKUP(A7406,Studies!A:BR,6,FALSE),"")</f>
        <v>Plasma</v>
      </c>
      <c r="G7406" s="267">
        <v>1.9995404032971711</v>
      </c>
      <c r="H7406" s="50" t="s">
        <v>60</v>
      </c>
      <c r="I7406" s="253">
        <v>1707.3502840000001</v>
      </c>
      <c r="J7406" s="187" t="s">
        <v>941</v>
      </c>
      <c r="K7406" s="187" t="s">
        <v>239</v>
      </c>
      <c r="P7406" s="42" t="s">
        <v>2228</v>
      </c>
    </row>
    <row r="7407" spans="1:16" x14ac:dyDescent="0.2">
      <c r="A7407" s="30">
        <v>792</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CYP2B6*1/*6 genotype</v>
      </c>
      <c r="E7407" s="250" t="str">
        <f>IF(AND(A7407&lt;&gt;"",ISNUMBER(A7407)),VLOOKUP(A7407,Studies!A:BR,5,FALSE),"")</f>
        <v>Efavirenz</v>
      </c>
      <c r="F7407" s="251" t="str">
        <f>IF(AND(A7407&lt;&gt;"",ISNUMBER(A7407)),VLOOKUP(A7407,Studies!A:BR,6,FALSE),"")</f>
        <v>Plasma</v>
      </c>
      <c r="G7407" s="267">
        <v>1.999573882503435</v>
      </c>
      <c r="H7407" s="50" t="s">
        <v>60</v>
      </c>
      <c r="I7407" s="253">
        <v>1553.4944620000001</v>
      </c>
      <c r="J7407" s="187" t="s">
        <v>941</v>
      </c>
      <c r="K7407" s="187" t="s">
        <v>239</v>
      </c>
      <c r="P7407" s="42" t="s">
        <v>2228</v>
      </c>
    </row>
    <row r="7408" spans="1:16" x14ac:dyDescent="0.2">
      <c r="A7408" s="183">
        <v>792</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CYP2B6*1/*6 genotype</v>
      </c>
      <c r="E7408" s="250" t="str">
        <f>IF(AND(A7408&lt;&gt;"",ISNUMBER(A7408)),VLOOKUP(A7408,Studies!A:BR,5,FALSE),"")</f>
        <v>Efavirenz</v>
      </c>
      <c r="F7408" s="251" t="str">
        <f>IF(AND(A7408&lt;&gt;"",ISNUMBER(A7408)),VLOOKUP(A7408,Studies!A:BR,6,FALSE),"")</f>
        <v>Plasma</v>
      </c>
      <c r="G7408" s="267">
        <v>1.9996371620483697</v>
      </c>
      <c r="H7408" s="50" t="s">
        <v>60</v>
      </c>
      <c r="I7408" s="253">
        <v>1361.1773020000001</v>
      </c>
      <c r="J7408" s="187" t="s">
        <v>941</v>
      </c>
      <c r="K7408" s="187" t="s">
        <v>239</v>
      </c>
      <c r="P7408" s="42" t="s">
        <v>2228</v>
      </c>
    </row>
    <row r="7409" spans="1:16" x14ac:dyDescent="0.2">
      <c r="A7409" s="183">
        <v>792</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CYP2B6*1/*6 genotype</v>
      </c>
      <c r="E7409" s="250" t="str">
        <f>IF(AND(A7409&lt;&gt;"",ISNUMBER(A7409)),VLOOKUP(A7409,Studies!A:BR,5,FALSE),"")</f>
        <v>Efavirenz</v>
      </c>
      <c r="F7409" s="251" t="str">
        <f>IF(AND(A7409&lt;&gt;"",ISNUMBER(A7409)),VLOOKUP(A7409,Studies!A:BR,6,FALSE),"")</f>
        <v>Plasma</v>
      </c>
      <c r="G7409" s="267">
        <v>2.0004888669382779</v>
      </c>
      <c r="H7409" s="50" t="s">
        <v>60</v>
      </c>
      <c r="I7409" s="253">
        <v>2058.3099849999999</v>
      </c>
      <c r="J7409" s="187" t="s">
        <v>941</v>
      </c>
      <c r="K7409" s="187" t="s">
        <v>239</v>
      </c>
      <c r="P7409" s="42" t="s">
        <v>2228</v>
      </c>
    </row>
    <row r="7410" spans="1:16" x14ac:dyDescent="0.2">
      <c r="A7410" s="183">
        <v>792</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CYP2B6*1/*6 genotype</v>
      </c>
      <c r="E7410" s="250" t="str">
        <f>IF(AND(A7410&lt;&gt;"",ISNUMBER(A7410)),VLOOKUP(A7410,Studies!A:BR,5,FALSE),"")</f>
        <v>Efavirenz</v>
      </c>
      <c r="F7410" s="251" t="str">
        <f>IF(AND(A7410&lt;&gt;"",ISNUMBER(A7410)),VLOOKUP(A7410,Studies!A:BR,6,FALSE),"")</f>
        <v>Plasma</v>
      </c>
      <c r="G7410" s="267">
        <v>2.0005916985440999</v>
      </c>
      <c r="H7410" s="50" t="s">
        <v>60</v>
      </c>
      <c r="I7410" s="253">
        <v>1418.8902559999999</v>
      </c>
      <c r="J7410" s="187" t="s">
        <v>941</v>
      </c>
      <c r="K7410" s="187" t="s">
        <v>239</v>
      </c>
      <c r="P7410" s="42" t="s">
        <v>2228</v>
      </c>
    </row>
    <row r="7411" spans="1:16" x14ac:dyDescent="0.2">
      <c r="A7411" s="183">
        <v>792</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CYP2B6*1/*6 genotype</v>
      </c>
      <c r="E7411" s="250" t="str">
        <f>IF(AND(A7411&lt;&gt;"",ISNUMBER(A7411)),VLOOKUP(A7411,Studies!A:BR,5,FALSE),"")</f>
        <v>Efavirenz</v>
      </c>
      <c r="F7411" s="251" t="str">
        <f>IF(AND(A7411&lt;&gt;"",ISNUMBER(A7411)),VLOOKUP(A7411,Studies!A:BR,6,FALSE),"")</f>
        <v>Plasma</v>
      </c>
      <c r="G7411" s="267">
        <v>2.00162085361965</v>
      </c>
      <c r="H7411" s="50" t="s">
        <v>60</v>
      </c>
      <c r="I7411" s="253">
        <v>2414.0773519999998</v>
      </c>
      <c r="J7411" s="187" t="s">
        <v>941</v>
      </c>
      <c r="K7411" s="187" t="s">
        <v>239</v>
      </c>
      <c r="P7411" s="42" t="s">
        <v>2228</v>
      </c>
    </row>
    <row r="7412" spans="1:16" x14ac:dyDescent="0.2">
      <c r="A7412" s="183">
        <v>792</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CYP2B6*1/*6 genotype</v>
      </c>
      <c r="E7412" s="250" t="str">
        <f>IF(AND(A7412&lt;&gt;"",ISNUMBER(A7412)),VLOOKUP(A7412,Studies!A:BR,5,FALSE),"")</f>
        <v>Efavirenz</v>
      </c>
      <c r="F7412" s="251" t="str">
        <f>IF(AND(A7412&lt;&gt;"",ISNUMBER(A7412)),VLOOKUP(A7412,Studies!A:BR,6,FALSE),"")</f>
        <v>Plasma</v>
      </c>
      <c r="G7412" s="267">
        <v>2.0019359631612899</v>
      </c>
      <c r="H7412" s="50" t="s">
        <v>60</v>
      </c>
      <c r="I7412" s="253">
        <v>1543.8791269999999</v>
      </c>
      <c r="J7412" s="187" t="s">
        <v>941</v>
      </c>
      <c r="K7412" s="187" t="s">
        <v>239</v>
      </c>
      <c r="P7412" s="42" t="s">
        <v>2228</v>
      </c>
    </row>
    <row r="7413" spans="1:16" x14ac:dyDescent="0.2">
      <c r="A7413" s="183">
        <v>792</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CYP2B6*1/*6 genotype</v>
      </c>
      <c r="E7413" s="250" t="str">
        <f>IF(AND(A7413&lt;&gt;"",ISNUMBER(A7413)),VLOOKUP(A7413,Studies!A:BR,5,FALSE),"")</f>
        <v>Efavirenz</v>
      </c>
      <c r="F7413" s="251" t="str">
        <f>IF(AND(A7413&lt;&gt;"",ISNUMBER(A7413)),VLOOKUP(A7413,Studies!A:BR,6,FALSE),"")</f>
        <v>Plasma</v>
      </c>
      <c r="G7413" s="267">
        <v>2.9989057597946376</v>
      </c>
      <c r="H7413" s="50" t="s">
        <v>60</v>
      </c>
      <c r="I7413" s="253">
        <v>1967.079526</v>
      </c>
      <c r="J7413" s="187" t="s">
        <v>941</v>
      </c>
      <c r="K7413" s="187" t="s">
        <v>239</v>
      </c>
      <c r="P7413" s="42" t="s">
        <v>2228</v>
      </c>
    </row>
    <row r="7414" spans="1:16" x14ac:dyDescent="0.2">
      <c r="A7414" s="183">
        <v>792</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CYP2B6*1/*6 genotype</v>
      </c>
      <c r="E7414" s="250" t="str">
        <f>IF(AND(A7414&lt;&gt;"",ISNUMBER(A7414)),VLOOKUP(A7414,Studies!A:BR,5,FALSE),"")</f>
        <v>Efavirenz</v>
      </c>
      <c r="F7414" s="251" t="str">
        <f>IF(AND(A7414&lt;&gt;"",ISNUMBER(A7414)),VLOOKUP(A7414,Studies!A:BR,6,FALSE),"")</f>
        <v>Plasma</v>
      </c>
      <c r="G7414" s="267">
        <v>2.9993110354058445</v>
      </c>
      <c r="H7414" s="50" t="s">
        <v>60</v>
      </c>
      <c r="I7414" s="253">
        <v>1818.0523189999999</v>
      </c>
      <c r="J7414" s="187" t="s">
        <v>941</v>
      </c>
      <c r="K7414" s="187" t="s">
        <v>239</v>
      </c>
      <c r="P7414" s="42" t="s">
        <v>2228</v>
      </c>
    </row>
    <row r="7415" spans="1:16" x14ac:dyDescent="0.2">
      <c r="A7415" s="183">
        <v>792</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CYP2B6*1/*6 genotype</v>
      </c>
      <c r="E7415" s="250" t="str">
        <f>IF(AND(A7415&lt;&gt;"",ISNUMBER(A7415)),VLOOKUP(A7415,Studies!A:BR,5,FALSE),"")</f>
        <v>Efavirenz</v>
      </c>
      <c r="F7415" s="251" t="str">
        <f>IF(AND(A7415&lt;&gt;"",ISNUMBER(A7415)),VLOOKUP(A7415,Studies!A:BR,6,FALSE),"")</f>
        <v>Plasma</v>
      </c>
      <c r="G7415" s="267">
        <v>2.9994083658466115</v>
      </c>
      <c r="H7415" s="50" t="s">
        <v>60</v>
      </c>
      <c r="I7415" s="253">
        <v>1866.1394640000001</v>
      </c>
      <c r="J7415" s="187" t="s">
        <v>941</v>
      </c>
      <c r="K7415" s="187" t="s">
        <v>239</v>
      </c>
      <c r="P7415" s="42" t="s">
        <v>2228</v>
      </c>
    </row>
    <row r="7416" spans="1:16" x14ac:dyDescent="0.2">
      <c r="A7416" s="183">
        <v>792</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CYP2B6*1/*6 genotype</v>
      </c>
      <c r="E7416" s="250" t="str">
        <f>IF(AND(A7416&lt;&gt;"",ISNUMBER(A7416)),VLOOKUP(A7416,Studies!A:BR,5,FALSE),"")</f>
        <v>Efavirenz</v>
      </c>
      <c r="F7416" s="251" t="str">
        <f>IF(AND(A7416&lt;&gt;"",ISNUMBER(A7416)),VLOOKUP(A7416,Studies!A:BR,6,FALSE),"")</f>
        <v>Plasma</v>
      </c>
      <c r="G7416" s="267">
        <v>2.9996633728742599</v>
      </c>
      <c r="H7416" s="50" t="s">
        <v>60</v>
      </c>
      <c r="I7416" s="253">
        <v>755.56835739999997</v>
      </c>
      <c r="J7416" s="187" t="s">
        <v>941</v>
      </c>
      <c r="K7416" s="187" t="s">
        <v>239</v>
      </c>
      <c r="P7416" s="42" t="s">
        <v>2228</v>
      </c>
    </row>
    <row r="7417" spans="1:16" x14ac:dyDescent="0.2">
      <c r="A7417" s="183">
        <v>792</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CYP2B6*1/*6 genotype</v>
      </c>
      <c r="E7417" s="250" t="str">
        <f>IF(AND(A7417&lt;&gt;"",ISNUMBER(A7417)),VLOOKUP(A7417,Studies!A:BR,5,FALSE),"")</f>
        <v>Efavirenz</v>
      </c>
      <c r="F7417" s="251" t="str">
        <f>IF(AND(A7417&lt;&gt;"",ISNUMBER(A7417)),VLOOKUP(A7417,Studies!A:BR,6,FALSE),"")</f>
        <v>Plasma</v>
      </c>
      <c r="G7417" s="267">
        <v>2.9998059398783372</v>
      </c>
      <c r="H7417" s="50" t="s">
        <v>60</v>
      </c>
      <c r="I7417" s="253">
        <v>1063.2485790000001</v>
      </c>
      <c r="J7417" s="187" t="s">
        <v>941</v>
      </c>
      <c r="K7417" s="187" t="s">
        <v>239</v>
      </c>
      <c r="P7417" s="42" t="s">
        <v>2228</v>
      </c>
    </row>
    <row r="7418" spans="1:16" x14ac:dyDescent="0.2">
      <c r="A7418" s="30">
        <v>792</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CYP2B6*1/*6 genotype</v>
      </c>
      <c r="E7418" s="250" t="str">
        <f>IF(AND(A7418&lt;&gt;"",ISNUMBER(A7418)),VLOOKUP(A7418,Studies!A:BR,5,FALSE),"")</f>
        <v>Efavirenz</v>
      </c>
      <c r="F7418" s="251" t="str">
        <f>IF(AND(A7418&lt;&gt;"",ISNUMBER(A7418)),VLOOKUP(A7418,Studies!A:BR,6,FALSE),"")</f>
        <v>Plasma</v>
      </c>
      <c r="G7418" s="267">
        <v>3.0010504583604636</v>
      </c>
      <c r="H7418" s="194" t="s">
        <v>60</v>
      </c>
      <c r="I7418" s="253">
        <v>1337.2960800000001</v>
      </c>
      <c r="J7418" s="187" t="s">
        <v>941</v>
      </c>
      <c r="K7418" s="187" t="s">
        <v>239</v>
      </c>
      <c r="P7418" s="42" t="s">
        <v>2228</v>
      </c>
    </row>
    <row r="7419" spans="1:16" x14ac:dyDescent="0.2">
      <c r="A7419" s="30">
        <v>792</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CYP2B6*1/*6 genotype</v>
      </c>
      <c r="E7419" s="250" t="str">
        <f>IF(AND(A7419&lt;&gt;"",ISNUMBER(A7419)),VLOOKUP(A7419,Studies!A:BR,5,FALSE),"")</f>
        <v>Efavirenz</v>
      </c>
      <c r="F7419" s="251" t="str">
        <f>IF(AND(A7419&lt;&gt;"",ISNUMBER(A7419)),VLOOKUP(A7419,Studies!A:BR,6,FALSE),"")</f>
        <v>Plasma</v>
      </c>
      <c r="G7419" s="267">
        <v>3.0011768125267699</v>
      </c>
      <c r="H7419" s="194" t="s">
        <v>60</v>
      </c>
      <c r="I7419" s="253">
        <v>1524.7950980000001</v>
      </c>
      <c r="J7419" s="187" t="s">
        <v>941</v>
      </c>
      <c r="K7419" s="187" t="s">
        <v>239</v>
      </c>
      <c r="P7419" s="42" t="s">
        <v>2228</v>
      </c>
    </row>
    <row r="7420" spans="1:16" x14ac:dyDescent="0.2">
      <c r="A7420" s="183">
        <v>792</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CYP2B6*1/*6 genotype</v>
      </c>
      <c r="E7420" s="250" t="str">
        <f>IF(AND(A7420&lt;&gt;"",ISNUMBER(A7420)),VLOOKUP(A7420,Studies!A:BR,5,FALSE),"")</f>
        <v>Efavirenz</v>
      </c>
      <c r="F7420" s="251" t="str">
        <f>IF(AND(A7420&lt;&gt;"",ISNUMBER(A7420)),VLOOKUP(A7420,Studies!A:BR,6,FALSE),"")</f>
        <v>Plasma</v>
      </c>
      <c r="G7420" s="267">
        <v>3.0015074442867191</v>
      </c>
      <c r="H7420" s="194" t="s">
        <v>60</v>
      </c>
      <c r="I7420" s="253">
        <v>2116.1172069999998</v>
      </c>
      <c r="J7420" s="187" t="s">
        <v>941</v>
      </c>
      <c r="K7420" s="187" t="s">
        <v>239</v>
      </c>
      <c r="P7420" s="42" t="s">
        <v>2228</v>
      </c>
    </row>
    <row r="7421" spans="1:16" x14ac:dyDescent="0.2">
      <c r="A7421" s="183">
        <v>792</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CYP2B6*1/*6 genotype</v>
      </c>
      <c r="E7421" s="250" t="str">
        <f>IF(AND(A7421&lt;&gt;"",ISNUMBER(A7421)),VLOOKUP(A7421,Studies!A:BR,5,FALSE),"")</f>
        <v>Efavirenz</v>
      </c>
      <c r="F7421" s="251" t="str">
        <f>IF(AND(A7421&lt;&gt;"",ISNUMBER(A7421)),VLOOKUP(A7421,Studies!A:BR,6,FALSE),"")</f>
        <v>Plasma</v>
      </c>
      <c r="G7421" s="267">
        <v>3.0016478779641913</v>
      </c>
      <c r="H7421" s="194" t="s">
        <v>60</v>
      </c>
      <c r="I7421" s="253">
        <v>928.63389979999999</v>
      </c>
      <c r="J7421" s="187" t="s">
        <v>941</v>
      </c>
      <c r="K7421" s="187" t="s">
        <v>239</v>
      </c>
      <c r="P7421" s="42" t="s">
        <v>2228</v>
      </c>
    </row>
    <row r="7422" spans="1:16" x14ac:dyDescent="0.2">
      <c r="A7422" s="183">
        <v>792</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CYP2B6*1/*6 genotype</v>
      </c>
      <c r="E7422" s="250" t="str">
        <f>IF(AND(A7422&lt;&gt;"",ISNUMBER(A7422)),VLOOKUP(A7422,Studies!A:BR,5,FALSE),"")</f>
        <v>Efavirenz</v>
      </c>
      <c r="F7422" s="251" t="str">
        <f>IF(AND(A7422&lt;&gt;"",ISNUMBER(A7422)),VLOOKUP(A7422,Studies!A:BR,6,FALSE),"")</f>
        <v>Plasma</v>
      </c>
      <c r="G7422" s="267">
        <v>3.9985710700415074</v>
      </c>
      <c r="H7422" s="194" t="s">
        <v>60</v>
      </c>
      <c r="I7422" s="253">
        <v>640.32051109999998</v>
      </c>
      <c r="J7422" s="187" t="s">
        <v>941</v>
      </c>
      <c r="K7422" s="187" t="s">
        <v>239</v>
      </c>
      <c r="P7422" s="42" t="s">
        <v>2228</v>
      </c>
    </row>
    <row r="7423" spans="1:16" x14ac:dyDescent="0.2">
      <c r="A7423" s="183">
        <v>792</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CYP2B6*1/*6 genotype</v>
      </c>
      <c r="E7423" s="250" t="str">
        <f>IF(AND(A7423&lt;&gt;"",ISNUMBER(A7423)),VLOOKUP(A7423,Studies!A:BR,5,FALSE),"")</f>
        <v>Efavirenz</v>
      </c>
      <c r="F7423" s="251" t="str">
        <f>IF(AND(A7423&lt;&gt;"",ISNUMBER(A7423)),VLOOKUP(A7423,Studies!A:BR,6,FALSE),"")</f>
        <v>Plasma</v>
      </c>
      <c r="G7423" s="267">
        <v>3.9987589545408264</v>
      </c>
      <c r="H7423" s="194" t="s">
        <v>60</v>
      </c>
      <c r="I7423" s="253">
        <v>1270.114431</v>
      </c>
      <c r="J7423" s="187" t="s">
        <v>941</v>
      </c>
      <c r="K7423" s="187" t="s">
        <v>239</v>
      </c>
      <c r="P7423" s="42" t="s">
        <v>2228</v>
      </c>
    </row>
    <row r="7424" spans="1:16" x14ac:dyDescent="0.2">
      <c r="A7424" s="183">
        <v>792</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CYP2B6*1/*6 genotype</v>
      </c>
      <c r="E7424" s="250" t="str">
        <f>IF(AND(A7424&lt;&gt;"",ISNUMBER(A7424)),VLOOKUP(A7424,Studies!A:BR,5,FALSE),"")</f>
        <v>Efavirenz</v>
      </c>
      <c r="F7424" s="251" t="str">
        <f>IF(AND(A7424&lt;&gt;"",ISNUMBER(A7424)),VLOOKUP(A7424,Studies!A:BR,6,FALSE),"")</f>
        <v>Plasma</v>
      </c>
      <c r="G7424" s="267">
        <v>3.9988252363717183</v>
      </c>
      <c r="H7424" s="194" t="s">
        <v>60</v>
      </c>
      <c r="I7424" s="253">
        <v>1154.7304200000001</v>
      </c>
      <c r="J7424" s="187" t="s">
        <v>941</v>
      </c>
      <c r="K7424" s="187" t="s">
        <v>239</v>
      </c>
      <c r="P7424" s="42" t="s">
        <v>2228</v>
      </c>
    </row>
    <row r="7425" spans="1:16" x14ac:dyDescent="0.2">
      <c r="A7425" s="183">
        <v>792</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CYP2B6*1/*6 genotype</v>
      </c>
      <c r="E7425" s="250" t="str">
        <f>IF(AND(A7425&lt;&gt;"",ISNUMBER(A7425)),VLOOKUP(A7425,Studies!A:BR,5,FALSE),"")</f>
        <v>Efavirenz</v>
      </c>
      <c r="F7425" s="251" t="str">
        <f>IF(AND(A7425&lt;&gt;"",ISNUMBER(A7425)),VLOOKUP(A7425,Studies!A:BR,6,FALSE),"")</f>
        <v>Plasma</v>
      </c>
      <c r="G7425" s="267">
        <v>4.0000876429807395</v>
      </c>
      <c r="H7425" s="194" t="s">
        <v>60</v>
      </c>
      <c r="I7425" s="253">
        <v>770.11704940000004</v>
      </c>
      <c r="J7425" s="187" t="s">
        <v>941</v>
      </c>
      <c r="K7425" s="187" t="s">
        <v>239</v>
      </c>
      <c r="P7425" s="42" t="s">
        <v>2228</v>
      </c>
    </row>
    <row r="7426" spans="1:16" x14ac:dyDescent="0.2">
      <c r="A7426" s="183">
        <v>792</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CYP2B6*1/*6 genotype</v>
      </c>
      <c r="E7426" s="250" t="str">
        <f>IF(AND(A7426&lt;&gt;"",ISNUMBER(A7426)),VLOOKUP(A7426,Studies!A:BR,5,FALSE),"")</f>
        <v>Efavirenz</v>
      </c>
      <c r="F7426" s="251" t="str">
        <f>IF(AND(A7426&lt;&gt;"",ISNUMBER(A7426)),VLOOKUP(A7426,Studies!A:BR,6,FALSE),"")</f>
        <v>Plasma</v>
      </c>
      <c r="G7426" s="267">
        <v>4.0001945676142352</v>
      </c>
      <c r="H7426" s="194" t="s">
        <v>60</v>
      </c>
      <c r="I7426" s="253">
        <v>1121.0767499999999</v>
      </c>
      <c r="J7426" s="187" t="s">
        <v>941</v>
      </c>
      <c r="K7426" s="187" t="s">
        <v>239</v>
      </c>
      <c r="P7426" s="42" t="s">
        <v>2228</v>
      </c>
    </row>
    <row r="7427" spans="1:16" x14ac:dyDescent="0.2">
      <c r="A7427" s="183">
        <v>792</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CYP2B6*1/*6 genotype</v>
      </c>
      <c r="E7427" s="250" t="str">
        <f>IF(AND(A7427&lt;&gt;"",ISNUMBER(A7427)),VLOOKUP(A7427,Studies!A:BR,5,FALSE),"")</f>
        <v>Efavirenz</v>
      </c>
      <c r="F7427" s="251" t="str">
        <f>IF(AND(A7427&lt;&gt;"",ISNUMBER(A7427)),VLOOKUP(A7427,Studies!A:BR,6,FALSE),"")</f>
        <v>Plasma</v>
      </c>
      <c r="G7427" s="267">
        <v>4.0012586799254644</v>
      </c>
      <c r="H7427" s="194" t="s">
        <v>60</v>
      </c>
      <c r="I7427" s="253">
        <v>2159.5328500000001</v>
      </c>
      <c r="J7427" s="187" t="s">
        <v>941</v>
      </c>
      <c r="K7427" s="187" t="s">
        <v>239</v>
      </c>
      <c r="P7427" s="42" t="s">
        <v>2228</v>
      </c>
    </row>
    <row r="7428" spans="1:16" x14ac:dyDescent="0.2">
      <c r="A7428" s="183">
        <v>792</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CYP2B6*1/*6 genotype</v>
      </c>
      <c r="E7428" s="250" t="str">
        <f>IF(AND(A7428&lt;&gt;"",ISNUMBER(A7428)),VLOOKUP(A7428,Studies!A:BR,5,FALSE),"")</f>
        <v>Efavirenz</v>
      </c>
      <c r="F7428" s="251" t="str">
        <f>IF(AND(A7428&lt;&gt;"",ISNUMBER(A7428)),VLOOKUP(A7428,Studies!A:BR,6,FALSE),"")</f>
        <v>Plasma</v>
      </c>
      <c r="G7428" s="267">
        <v>4.0015513374675065</v>
      </c>
      <c r="H7428" s="194" t="s">
        <v>60</v>
      </c>
      <c r="I7428" s="253">
        <v>1851.8421530000001</v>
      </c>
      <c r="J7428" s="187" t="s">
        <v>941</v>
      </c>
      <c r="K7428" s="187" t="s">
        <v>239</v>
      </c>
      <c r="P7428" s="42" t="s">
        <v>2228</v>
      </c>
    </row>
    <row r="7429" spans="1:16" x14ac:dyDescent="0.2">
      <c r="A7429" s="183">
        <v>792</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CYP2B6*1/*6 genotype</v>
      </c>
      <c r="E7429" s="250" t="str">
        <f>IF(AND(A7429&lt;&gt;"",ISNUMBER(A7429)),VLOOKUP(A7429,Studies!A:BR,5,FALSE),"")</f>
        <v>Efavirenz</v>
      </c>
      <c r="F7429" s="251" t="str">
        <f>IF(AND(A7429&lt;&gt;"",ISNUMBER(A7429)),VLOOKUP(A7429,Studies!A:BR,6,FALSE),"")</f>
        <v>Plasma</v>
      </c>
      <c r="G7429" s="267">
        <v>4.0018157712612297</v>
      </c>
      <c r="H7429" s="194" t="s">
        <v>60</v>
      </c>
      <c r="I7429" s="253">
        <v>1505.6691719999999</v>
      </c>
      <c r="J7429" s="187" t="s">
        <v>941</v>
      </c>
      <c r="K7429" s="187" t="s">
        <v>239</v>
      </c>
      <c r="P7429" s="42" t="s">
        <v>2228</v>
      </c>
    </row>
    <row r="7430" spans="1:16" x14ac:dyDescent="0.2">
      <c r="A7430" s="30">
        <v>792</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CYP2B6*1/*6 genotype</v>
      </c>
      <c r="E7430" s="250" t="str">
        <f>IF(AND(A7430&lt;&gt;"",ISNUMBER(A7430)),VLOOKUP(A7430,Studies!A:BR,5,FALSE),"")</f>
        <v>Efavirenz</v>
      </c>
      <c r="F7430" s="251" t="str">
        <f>IF(AND(A7430&lt;&gt;"",ISNUMBER(A7430)),VLOOKUP(A7430,Studies!A:BR,6,FALSE),"")</f>
        <v>Plasma</v>
      </c>
      <c r="G7430" s="267">
        <v>4.9983179101729762</v>
      </c>
      <c r="H7430" s="50" t="s">
        <v>60</v>
      </c>
      <c r="I7430" s="253">
        <v>1058.7027680000001</v>
      </c>
      <c r="J7430" s="187" t="s">
        <v>941</v>
      </c>
      <c r="K7430" s="41" t="s">
        <v>239</v>
      </c>
      <c r="P7430" s="42" t="s">
        <v>2228</v>
      </c>
    </row>
    <row r="7431" spans="1:16" x14ac:dyDescent="0.2">
      <c r="A7431" s="30">
        <v>792</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CYP2B6*1/*6 genotype</v>
      </c>
      <c r="E7431" s="250" t="str">
        <f>IF(AND(A7431&lt;&gt;"",ISNUMBER(A7431)),VLOOKUP(A7431,Studies!A:BR,5,FALSE),"")</f>
        <v>Efavirenz</v>
      </c>
      <c r="F7431" s="251" t="str">
        <f>IF(AND(A7431&lt;&gt;"",ISNUMBER(A7431)),VLOOKUP(A7431,Studies!A:BR,6,FALSE),"")</f>
        <v>Plasma</v>
      </c>
      <c r="G7431" s="267">
        <v>4.9983691157521681</v>
      </c>
      <c r="H7431" s="194" t="s">
        <v>60</v>
      </c>
      <c r="I7431" s="253">
        <v>515.4468564</v>
      </c>
      <c r="J7431" s="187" t="s">
        <v>941</v>
      </c>
      <c r="K7431" s="187" t="s">
        <v>239</v>
      </c>
      <c r="P7431" s="188" t="s">
        <v>2228</v>
      </c>
    </row>
    <row r="7432" spans="1:16" x14ac:dyDescent="0.2">
      <c r="A7432" s="183">
        <v>792</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CYP2B6*1/*6 genotype</v>
      </c>
      <c r="E7432" s="250" t="str">
        <f>IF(AND(A7432&lt;&gt;"",ISNUMBER(A7432)),VLOOKUP(A7432,Studies!A:BR,5,FALSE),"")</f>
        <v>Efavirenz</v>
      </c>
      <c r="F7432" s="251" t="str">
        <f>IF(AND(A7432&lt;&gt;"",ISNUMBER(A7432)),VLOOKUP(A7432,Studies!A:BR,6,FALSE),"")</f>
        <v>Plasma</v>
      </c>
      <c r="G7432" s="267">
        <v>4.9990600429931655</v>
      </c>
      <c r="H7432" s="194" t="s">
        <v>60</v>
      </c>
      <c r="I7432" s="253">
        <v>808.71455130000004</v>
      </c>
      <c r="J7432" s="187" t="s">
        <v>941</v>
      </c>
      <c r="K7432" s="187" t="s">
        <v>239</v>
      </c>
      <c r="P7432" s="188" t="s">
        <v>2228</v>
      </c>
    </row>
    <row r="7433" spans="1:16" x14ac:dyDescent="0.2">
      <c r="A7433" s="183">
        <v>792</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CYP2B6*1/*6 genotype</v>
      </c>
      <c r="E7433" s="250" t="str">
        <f>IF(AND(A7433&lt;&gt;"",ISNUMBER(A7433)),VLOOKUP(A7433,Studies!A:BR,5,FALSE),"")</f>
        <v>Efavirenz</v>
      </c>
      <c r="F7433" s="251" t="str">
        <f>IF(AND(A7433&lt;&gt;"",ISNUMBER(A7433)),VLOOKUP(A7433,Studies!A:BR,6,FALSE),"")</f>
        <v>Plasma</v>
      </c>
      <c r="G7433" s="267">
        <v>4.9995768803488465</v>
      </c>
      <c r="H7433" s="194" t="s">
        <v>60</v>
      </c>
      <c r="I7433" s="253">
        <v>1275.047789</v>
      </c>
      <c r="J7433" s="187" t="s">
        <v>941</v>
      </c>
      <c r="K7433" s="187" t="s">
        <v>239</v>
      </c>
      <c r="P7433" s="188" t="s">
        <v>2228</v>
      </c>
    </row>
    <row r="7434" spans="1:16" x14ac:dyDescent="0.2">
      <c r="A7434" s="183">
        <v>792</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CYP2B6*1/*6 genotype</v>
      </c>
      <c r="E7434" s="250" t="str">
        <f>IF(AND(A7434&lt;&gt;"",ISNUMBER(A7434)),VLOOKUP(A7434,Studies!A:BR,5,FALSE),"")</f>
        <v>Efavirenz</v>
      </c>
      <c r="F7434" s="251" t="str">
        <f>IF(AND(A7434&lt;&gt;"",ISNUMBER(A7434)),VLOOKUP(A7434,Studies!A:BR,6,FALSE),"")</f>
        <v>Plasma</v>
      </c>
      <c r="G7434" s="267">
        <v>5.0002895013280213</v>
      </c>
      <c r="H7434" s="194" t="s">
        <v>60</v>
      </c>
      <c r="I7434" s="253">
        <v>2116.3895360000001</v>
      </c>
      <c r="J7434" s="187" t="s">
        <v>941</v>
      </c>
      <c r="K7434" s="187" t="s">
        <v>239</v>
      </c>
      <c r="P7434" s="188" t="s">
        <v>2228</v>
      </c>
    </row>
    <row r="7435" spans="1:16" x14ac:dyDescent="0.2">
      <c r="A7435" s="183">
        <v>792</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CYP2B6*1/*6 genotype</v>
      </c>
      <c r="E7435" s="250" t="str">
        <f>IF(AND(A7435&lt;&gt;"",ISNUMBER(A7435)),VLOOKUP(A7435,Studies!A:BR,5,FALSE),"")</f>
        <v>Efavirenz</v>
      </c>
      <c r="F7435" s="251" t="str">
        <f>IF(AND(A7435&lt;&gt;"",ISNUMBER(A7435)),VLOOKUP(A7435,Studies!A:BR,6,FALSE),"")</f>
        <v>Plasma</v>
      </c>
      <c r="G7435" s="267">
        <v>5.0004235120378437</v>
      </c>
      <c r="H7435" s="194" t="s">
        <v>60</v>
      </c>
      <c r="I7435" s="253">
        <v>981.78009369999995</v>
      </c>
      <c r="J7435" s="187" t="s">
        <v>941</v>
      </c>
      <c r="K7435" s="187" t="s">
        <v>239</v>
      </c>
      <c r="P7435" s="188" t="s">
        <v>2228</v>
      </c>
    </row>
    <row r="7436" spans="1:16" x14ac:dyDescent="0.2">
      <c r="A7436" s="183">
        <v>792</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CYP2B6*1/*6 genotype</v>
      </c>
      <c r="E7436" s="250" t="str">
        <f>IF(AND(A7436&lt;&gt;"",ISNUMBER(A7436)),VLOOKUP(A7436,Studies!A:BR,5,FALSE),"")</f>
        <v>Efavirenz</v>
      </c>
      <c r="F7436" s="251" t="str">
        <f>IF(AND(A7436&lt;&gt;"",ISNUMBER(A7436)),VLOOKUP(A7436,Studies!A:BR,6,FALSE),"")</f>
        <v>Plasma</v>
      </c>
      <c r="G7436" s="267">
        <v>5.0009822827549648</v>
      </c>
      <c r="H7436" s="194" t="s">
        <v>60</v>
      </c>
      <c r="I7436" s="253">
        <v>1236.586452</v>
      </c>
      <c r="J7436" s="187" t="s">
        <v>941</v>
      </c>
      <c r="K7436" s="187" t="s">
        <v>239</v>
      </c>
      <c r="P7436" s="188" t="s">
        <v>2228</v>
      </c>
    </row>
    <row r="7437" spans="1:16" x14ac:dyDescent="0.2">
      <c r="A7437" s="183">
        <v>792</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CYP2B6*1/*6 genotype</v>
      </c>
      <c r="E7437" s="250" t="str">
        <f>IF(AND(A7437&lt;&gt;"",ISNUMBER(A7437)),VLOOKUP(A7437,Studies!A:BR,5,FALSE),"")</f>
        <v>Efavirenz</v>
      </c>
      <c r="F7437" s="251" t="str">
        <f>IF(AND(A7437&lt;&gt;"",ISNUMBER(A7437)),VLOOKUP(A7437,Studies!A:BR,6,FALSE),"")</f>
        <v>Plasma</v>
      </c>
      <c r="G7437" s="267">
        <v>5.0013088293448087</v>
      </c>
      <c r="H7437" s="194" t="s">
        <v>60</v>
      </c>
      <c r="I7437" s="253">
        <v>1424.08547</v>
      </c>
      <c r="J7437" s="187" t="s">
        <v>941</v>
      </c>
      <c r="K7437" s="187" t="s">
        <v>239</v>
      </c>
      <c r="P7437" s="188" t="s">
        <v>2228</v>
      </c>
    </row>
    <row r="7438" spans="1:16" x14ac:dyDescent="0.2">
      <c r="A7438" s="183">
        <v>792</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CYP2B6*1/*6 genotype</v>
      </c>
      <c r="E7438" s="250" t="str">
        <f>IF(AND(A7438&lt;&gt;"",ISNUMBER(A7438)),VLOOKUP(A7438,Studies!A:BR,5,FALSE),"")</f>
        <v>Efavirenz</v>
      </c>
      <c r="F7438" s="251" t="str">
        <f>IF(AND(A7438&lt;&gt;"",ISNUMBER(A7438)),VLOOKUP(A7438,Studies!A:BR,6,FALSE),"")</f>
        <v>Plasma</v>
      </c>
      <c r="G7438" s="267">
        <v>5.0014851984428246</v>
      </c>
      <c r="H7438" s="194" t="s">
        <v>60</v>
      </c>
      <c r="I7438" s="253">
        <v>832.75288699999999</v>
      </c>
      <c r="J7438" s="187" t="s">
        <v>941</v>
      </c>
      <c r="K7438" s="187" t="s">
        <v>239</v>
      </c>
      <c r="P7438" s="188" t="s">
        <v>2228</v>
      </c>
    </row>
    <row r="7439" spans="1:16" x14ac:dyDescent="0.2">
      <c r="A7439" s="183">
        <v>792</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CYP2B6*1/*6 genotype</v>
      </c>
      <c r="E7439" s="250" t="str">
        <f>IF(AND(A7439&lt;&gt;"",ISNUMBER(A7439)),VLOOKUP(A7439,Studies!A:BR,5,FALSE),"")</f>
        <v>Efavirenz</v>
      </c>
      <c r="F7439" s="251" t="str">
        <f>IF(AND(A7439&lt;&gt;"",ISNUMBER(A7439)),VLOOKUP(A7439,Studies!A:BR,6,FALSE),"")</f>
        <v>Plasma</v>
      </c>
      <c r="G7439" s="267">
        <v>5.9983351867813619</v>
      </c>
      <c r="H7439" s="194" t="s">
        <v>60</v>
      </c>
      <c r="I7439" s="253">
        <v>1058.838933</v>
      </c>
      <c r="J7439" s="187" t="s">
        <v>941</v>
      </c>
      <c r="K7439" s="187" t="s">
        <v>239</v>
      </c>
      <c r="P7439" s="188" t="s">
        <v>2228</v>
      </c>
    </row>
    <row r="7440" spans="1:16" x14ac:dyDescent="0.2">
      <c r="A7440" s="183">
        <v>792</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CYP2B6*1/*6 genotype</v>
      </c>
      <c r="E7440" s="250" t="str">
        <f>IF(AND(A7440&lt;&gt;"",ISNUMBER(A7440)),VLOOKUP(A7440,Studies!A:BR,5,FALSE),"")</f>
        <v>Efavirenz</v>
      </c>
      <c r="F7440" s="251" t="str">
        <f>IF(AND(A7440&lt;&gt;"",ISNUMBER(A7440)),VLOOKUP(A7440,Studies!A:BR,6,FALSE),"")</f>
        <v>Plasma</v>
      </c>
      <c r="G7440" s="267">
        <v>5.9985551148848604</v>
      </c>
      <c r="H7440" s="194" t="s">
        <v>60</v>
      </c>
      <c r="I7440" s="253">
        <v>1366.540103</v>
      </c>
      <c r="J7440" s="187" t="s">
        <v>941</v>
      </c>
      <c r="K7440" s="187" t="s">
        <v>239</v>
      </c>
      <c r="P7440" s="188" t="s">
        <v>2228</v>
      </c>
    </row>
    <row r="7441" spans="1:16" x14ac:dyDescent="0.2">
      <c r="A7441" s="183">
        <v>792</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CYP2B6*1/*6 genotype</v>
      </c>
      <c r="E7441" s="250" t="str">
        <f>IF(AND(A7441&lt;&gt;"",ISNUMBER(A7441)),VLOOKUP(A7441,Studies!A:BR,5,FALSE),"")</f>
        <v>Efavirenz</v>
      </c>
      <c r="F7441" s="251" t="str">
        <f>IF(AND(A7441&lt;&gt;"",ISNUMBER(A7441)),VLOOKUP(A7441,Studies!A:BR,6,FALSE),"")</f>
        <v>Plasma</v>
      </c>
      <c r="G7441" s="267">
        <v>5.9989369355374951</v>
      </c>
      <c r="H7441" s="194" t="s">
        <v>60</v>
      </c>
      <c r="I7441" s="253">
        <v>943.47586999999999</v>
      </c>
      <c r="J7441" s="187" t="s">
        <v>941</v>
      </c>
      <c r="K7441" s="187" t="s">
        <v>239</v>
      </c>
      <c r="P7441" s="188" t="s">
        <v>2228</v>
      </c>
    </row>
    <row r="7442" spans="1:16" x14ac:dyDescent="0.2">
      <c r="A7442" s="183">
        <v>792</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CYP2B6*1/*6 genotype</v>
      </c>
      <c r="E7442" s="250" t="str">
        <f>IF(AND(A7442&lt;&gt;"",ISNUMBER(A7442)),VLOOKUP(A7442,Studies!A:BR,5,FALSE),"")</f>
        <v>Efavirenz</v>
      </c>
      <c r="F7442" s="251" t="str">
        <f>IF(AND(A7442&lt;&gt;"",ISNUMBER(A7442)),VLOOKUP(A7442,Studies!A:BR,6,FALSE),"")</f>
        <v>Plasma</v>
      </c>
      <c r="G7442" s="267">
        <v>5.9991279630167407</v>
      </c>
      <c r="H7442" s="194" t="s">
        <v>60</v>
      </c>
      <c r="I7442" s="253">
        <v>1265.5790930000001</v>
      </c>
      <c r="J7442" s="187" t="s">
        <v>941</v>
      </c>
      <c r="K7442" s="187" t="s">
        <v>239</v>
      </c>
      <c r="P7442" s="188" t="s">
        <v>2228</v>
      </c>
    </row>
    <row r="7443" spans="1:16" x14ac:dyDescent="0.2">
      <c r="A7443" s="183">
        <v>792</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CYP2B6*1/*6 genotype</v>
      </c>
      <c r="E7443" s="250" t="str">
        <f>IF(AND(A7443&lt;&gt;"",ISNUMBER(A7443)),VLOOKUP(A7443,Studies!A:BR,5,FALSE),"")</f>
        <v>Efavirenz</v>
      </c>
      <c r="F7443" s="251" t="str">
        <f>IF(AND(A7443&lt;&gt;"",ISNUMBER(A7443)),VLOOKUP(A7443,Studies!A:BR,6,FALSE),"")</f>
        <v>Plasma</v>
      </c>
      <c r="G7443" s="267">
        <v>5.999332006325945</v>
      </c>
      <c r="H7443" s="194" t="s">
        <v>60</v>
      </c>
      <c r="I7443" s="253">
        <v>2183.843515</v>
      </c>
      <c r="J7443" s="187" t="s">
        <v>941</v>
      </c>
      <c r="K7443" s="187" t="s">
        <v>239</v>
      </c>
      <c r="P7443" s="188" t="s">
        <v>2228</v>
      </c>
    </row>
    <row r="7444" spans="1:16" x14ac:dyDescent="0.2">
      <c r="A7444" s="183">
        <v>792</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CYP2B6*1/*6 genotype</v>
      </c>
      <c r="E7444" s="250" t="str">
        <f>IF(AND(A7444&lt;&gt;"",ISNUMBER(A7444)),VLOOKUP(A7444,Studies!A:BR,5,FALSE),"")</f>
        <v>Efavirenz</v>
      </c>
      <c r="F7444" s="251" t="str">
        <f>IF(AND(A7444&lt;&gt;"",ISNUMBER(A7444)),VLOOKUP(A7444,Studies!A:BR,6,FALSE),"")</f>
        <v>Plasma</v>
      </c>
      <c r="G7444" s="267">
        <v>5.999914165561087</v>
      </c>
      <c r="H7444" s="194" t="s">
        <v>60</v>
      </c>
      <c r="I7444" s="253">
        <v>1039.6187379999999</v>
      </c>
      <c r="J7444" s="187" t="s">
        <v>941</v>
      </c>
      <c r="K7444" s="187" t="s">
        <v>239</v>
      </c>
      <c r="P7444" s="188" t="s">
        <v>2228</v>
      </c>
    </row>
    <row r="7445" spans="1:16" x14ac:dyDescent="0.2">
      <c r="A7445" s="183">
        <v>792</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CYP2B6*1/*6 genotype</v>
      </c>
      <c r="E7445" s="250" t="str">
        <f>IF(AND(A7445&lt;&gt;"",ISNUMBER(A7445)),VLOOKUP(A7445,Studies!A:BR,5,FALSE),"")</f>
        <v>Efavirenz</v>
      </c>
      <c r="F7445" s="251" t="str">
        <f>IF(AND(A7445&lt;&gt;"",ISNUMBER(A7445)),VLOOKUP(A7445,Studies!A:BR,6,FALSE),"")</f>
        <v>Plasma</v>
      </c>
      <c r="G7445" s="267">
        <v>6.0004011895731093</v>
      </c>
      <c r="H7445" s="194" t="s">
        <v>60</v>
      </c>
      <c r="I7445" s="253">
        <v>789.62004769999999</v>
      </c>
      <c r="J7445" s="187" t="s">
        <v>941</v>
      </c>
      <c r="K7445" s="187" t="s">
        <v>239</v>
      </c>
      <c r="P7445" s="188" t="s">
        <v>2228</v>
      </c>
    </row>
    <row r="7446" spans="1:16" x14ac:dyDescent="0.2">
      <c r="A7446" s="183">
        <v>792</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CYP2B6*1/*6 genotype</v>
      </c>
      <c r="E7446" s="250" t="str">
        <f>IF(AND(A7446&lt;&gt;"",ISNUMBER(A7446)),VLOOKUP(A7446,Studies!A:BR,5,FALSE),"")</f>
        <v>Efavirenz</v>
      </c>
      <c r="F7446" s="251" t="str">
        <f>IF(AND(A7446&lt;&gt;"",ISNUMBER(A7446)),VLOOKUP(A7446,Studies!A:BR,6,FALSE),"")</f>
        <v>Plasma</v>
      </c>
      <c r="G7446" s="267">
        <v>6.0010691990954799</v>
      </c>
      <c r="H7446" s="194" t="s">
        <v>60</v>
      </c>
      <c r="I7446" s="253">
        <v>366.54534030000002</v>
      </c>
      <c r="J7446" s="187" t="s">
        <v>941</v>
      </c>
      <c r="K7446" s="187" t="s">
        <v>239</v>
      </c>
      <c r="P7446" s="188" t="s">
        <v>2228</v>
      </c>
    </row>
    <row r="7447" spans="1:16" x14ac:dyDescent="0.2">
      <c r="A7447" s="183">
        <v>792</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CYP2B6*1/*6 genotype</v>
      </c>
      <c r="E7447" s="250" t="str">
        <f>IF(AND(A7447&lt;&gt;"",ISNUMBER(A7447)),VLOOKUP(A7447,Studies!A:BR,5,FALSE),"")</f>
        <v>Efavirenz</v>
      </c>
      <c r="F7447" s="251" t="str">
        <f>IF(AND(A7447&lt;&gt;"",ISNUMBER(A7447)),VLOOKUP(A7447,Studies!A:BR,6,FALSE),"")</f>
        <v>Plasma</v>
      </c>
      <c r="G7447" s="267">
        <v>6.0014825083874168</v>
      </c>
      <c r="H7447" s="194" t="s">
        <v>60</v>
      </c>
      <c r="I7447" s="253">
        <v>640.59284090000006</v>
      </c>
      <c r="J7447" s="187" t="s">
        <v>941</v>
      </c>
      <c r="K7447" s="187" t="s">
        <v>239</v>
      </c>
      <c r="P7447" s="188" t="s">
        <v>2228</v>
      </c>
    </row>
    <row r="7448" spans="1:16" x14ac:dyDescent="0.2">
      <c r="A7448" s="183">
        <v>792</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CYP2B6*1/*6 genotype</v>
      </c>
      <c r="E7448" s="250" t="str">
        <f>IF(AND(A7448&lt;&gt;"",ISNUMBER(A7448)),VLOOKUP(A7448,Studies!A:BR,5,FALSE),"")</f>
        <v>Efavirenz</v>
      </c>
      <c r="F7448" s="251" t="str">
        <f>IF(AND(A7448&lt;&gt;"",ISNUMBER(A7448)),VLOOKUP(A7448,Studies!A:BR,6,FALSE),"")</f>
        <v>Plasma</v>
      </c>
      <c r="G7448" s="267">
        <v>7.9982540042418986</v>
      </c>
      <c r="H7448" s="194" t="s">
        <v>60</v>
      </c>
      <c r="I7448" s="253">
        <v>1193.7573649999999</v>
      </c>
      <c r="J7448" s="187" t="s">
        <v>941</v>
      </c>
      <c r="K7448" s="187" t="s">
        <v>239</v>
      </c>
      <c r="P7448" s="188" t="s">
        <v>2228</v>
      </c>
    </row>
    <row r="7449" spans="1:16" x14ac:dyDescent="0.2">
      <c r="A7449" s="183">
        <v>792</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CYP2B6*1/*6 genotype</v>
      </c>
      <c r="E7449" s="250" t="str">
        <f>IF(AND(A7449&lt;&gt;"",ISNUMBER(A7449)),VLOOKUP(A7449,Studies!A:BR,5,FALSE),"")</f>
        <v>Efavirenz</v>
      </c>
      <c r="F7449" s="251" t="str">
        <f>IF(AND(A7449&lt;&gt;"",ISNUMBER(A7449)),VLOOKUP(A7449,Studies!A:BR,6,FALSE),"")</f>
        <v>Plasma</v>
      </c>
      <c r="G7449" s="267">
        <v>7.9987157246693972</v>
      </c>
      <c r="H7449" s="194" t="s">
        <v>60</v>
      </c>
      <c r="I7449" s="253">
        <v>1482.2069180000001</v>
      </c>
      <c r="J7449" s="187" t="s">
        <v>941</v>
      </c>
      <c r="K7449" s="187" t="s">
        <v>239</v>
      </c>
      <c r="P7449" s="188" t="s">
        <v>2228</v>
      </c>
    </row>
    <row r="7450" spans="1:16" x14ac:dyDescent="0.2">
      <c r="A7450" s="183">
        <v>792</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CYP2B6*1/*6 genotype</v>
      </c>
      <c r="E7450" s="250" t="str">
        <f>IF(AND(A7450&lt;&gt;"",ISNUMBER(A7450)),VLOOKUP(A7450,Studies!A:BR,5,FALSE),"")</f>
        <v>Efavirenz</v>
      </c>
      <c r="F7450" s="251" t="str">
        <f>IF(AND(A7450&lt;&gt;"",ISNUMBER(A7450)),VLOOKUP(A7450,Studies!A:BR,6,FALSE),"")</f>
        <v>Plasma</v>
      </c>
      <c r="G7450" s="267">
        <v>7.9990966362198819</v>
      </c>
      <c r="H7450" s="194" t="s">
        <v>60</v>
      </c>
      <c r="I7450" s="253">
        <v>818.74885440000003</v>
      </c>
      <c r="J7450" s="187" t="s">
        <v>941</v>
      </c>
      <c r="K7450" s="187" t="s">
        <v>239</v>
      </c>
      <c r="P7450" s="188" t="s">
        <v>2228</v>
      </c>
    </row>
    <row r="7451" spans="1:16" x14ac:dyDescent="0.2">
      <c r="A7451" s="183">
        <v>792</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CYP2B6*1/*6 genotype</v>
      </c>
      <c r="E7451" s="250" t="str">
        <f>IF(AND(A7451&lt;&gt;"",ISNUMBER(A7451)),VLOOKUP(A7451,Studies!A:BR,5,FALSE),"")</f>
        <v>Efavirenz</v>
      </c>
      <c r="F7451" s="251" t="str">
        <f>IF(AND(A7451&lt;&gt;"",ISNUMBER(A7451)),VLOOKUP(A7451,Studies!A:BR,6,FALSE),"")</f>
        <v>Plasma</v>
      </c>
      <c r="G7451" s="267">
        <v>7.9993242398900914</v>
      </c>
      <c r="H7451" s="194" t="s">
        <v>60</v>
      </c>
      <c r="I7451" s="253">
        <v>462.991961</v>
      </c>
      <c r="J7451" s="187" t="s">
        <v>941</v>
      </c>
      <c r="K7451" s="187" t="s">
        <v>239</v>
      </c>
      <c r="P7451" s="188" t="s">
        <v>2228</v>
      </c>
    </row>
    <row r="7452" spans="1:16" x14ac:dyDescent="0.2">
      <c r="A7452" s="183">
        <v>792</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CYP2B6*1/*6 genotype</v>
      </c>
      <c r="E7452" s="250" t="str">
        <f>IF(AND(A7452&lt;&gt;"",ISNUMBER(A7452)),VLOOKUP(A7452,Studies!A:BR,5,FALSE),"")</f>
        <v>Efavirenz</v>
      </c>
      <c r="F7452" s="251" t="str">
        <f>IF(AND(A7452&lt;&gt;"",ISNUMBER(A7452)),VLOOKUP(A7452,Studies!A:BR,6,FALSE),"")</f>
        <v>Plasma</v>
      </c>
      <c r="G7452" s="267">
        <v>8.0002834555245936</v>
      </c>
      <c r="H7452" s="194" t="s">
        <v>60</v>
      </c>
      <c r="I7452" s="253">
        <v>866.82552569999996</v>
      </c>
      <c r="J7452" s="187" t="s">
        <v>941</v>
      </c>
      <c r="K7452" s="187" t="s">
        <v>239</v>
      </c>
      <c r="P7452" s="188" t="s">
        <v>2228</v>
      </c>
    </row>
    <row r="7453" spans="1:16" x14ac:dyDescent="0.2">
      <c r="A7453" s="183">
        <v>792</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CYP2B6*1/*6 genotype</v>
      </c>
      <c r="E7453" s="250" t="str">
        <f>IF(AND(A7453&lt;&gt;"",ISNUMBER(A7453)),VLOOKUP(A7453,Studies!A:BR,5,FALSE),"")</f>
        <v>Efavirenz</v>
      </c>
      <c r="F7453" s="251" t="str">
        <f>IF(AND(A7453&lt;&gt;"",ISNUMBER(A7453)),VLOOKUP(A7453,Studies!A:BR,6,FALSE),"")</f>
        <v>Plasma</v>
      </c>
      <c r="G7453" s="267">
        <v>8.0003558514174067</v>
      </c>
      <c r="H7453" s="194" t="s">
        <v>60</v>
      </c>
      <c r="I7453" s="253">
        <v>1155.296028</v>
      </c>
      <c r="J7453" s="187" t="s">
        <v>941</v>
      </c>
      <c r="K7453" s="187" t="s">
        <v>239</v>
      </c>
      <c r="P7453" s="188" t="s">
        <v>2228</v>
      </c>
    </row>
    <row r="7454" spans="1:16" x14ac:dyDescent="0.2">
      <c r="A7454" s="183">
        <v>792</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CYP2B6*1/*6 genotype</v>
      </c>
      <c r="E7454" s="250" t="str">
        <f>IF(AND(A7454&lt;&gt;"",ISNUMBER(A7454)),VLOOKUP(A7454,Studies!A:BR,5,FALSE),"")</f>
        <v>Efavirenz</v>
      </c>
      <c r="F7454" s="251" t="str">
        <f>IF(AND(A7454&lt;&gt;"",ISNUMBER(A7454)),VLOOKUP(A7454,Studies!A:BR,6,FALSE),"")</f>
        <v>Plasma</v>
      </c>
      <c r="G7454" s="267">
        <v>8.0010045608468356</v>
      </c>
      <c r="H7454" s="194" t="s">
        <v>60</v>
      </c>
      <c r="I7454" s="253">
        <v>982.220011</v>
      </c>
      <c r="J7454" s="187" t="s">
        <v>941</v>
      </c>
      <c r="K7454" s="187" t="s">
        <v>239</v>
      </c>
      <c r="P7454" s="188" t="s">
        <v>2228</v>
      </c>
    </row>
    <row r="7455" spans="1:16" x14ac:dyDescent="0.2">
      <c r="A7455" s="183">
        <v>792</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CYP2B6*1/*6 genotype</v>
      </c>
      <c r="E7455" s="250" t="str">
        <f>IF(AND(A7455&lt;&gt;"",ISNUMBER(A7455)),VLOOKUP(A7455,Studies!A:BR,5,FALSE),"")</f>
        <v>Efavirenz</v>
      </c>
      <c r="F7455" s="251" t="str">
        <f>IF(AND(A7455&lt;&gt;"",ISNUMBER(A7455)),VLOOKUP(A7455,Studies!A:BR,6,FALSE),"")</f>
        <v>Plasma</v>
      </c>
      <c r="G7455" s="267">
        <v>8.0012242674035949</v>
      </c>
      <c r="H7455" s="194" t="s">
        <v>60</v>
      </c>
      <c r="I7455" s="253">
        <v>501.45329809999998</v>
      </c>
      <c r="J7455" s="187" t="s">
        <v>941</v>
      </c>
      <c r="K7455" s="187" t="s">
        <v>239</v>
      </c>
      <c r="P7455" s="188" t="s">
        <v>2228</v>
      </c>
    </row>
    <row r="7456" spans="1:16" x14ac:dyDescent="0.2">
      <c r="A7456" s="183">
        <v>792</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CYP2B6*1/*6 genotype</v>
      </c>
      <c r="E7456" s="250" t="str">
        <f>IF(AND(A7456&lt;&gt;"",ISNUMBER(A7456)),VLOOKUP(A7456,Studies!A:BR,5,FALSE),"")</f>
        <v>Efavirenz</v>
      </c>
      <c r="F7456" s="251" t="str">
        <f>IF(AND(A7456&lt;&gt;"",ISNUMBER(A7456)),VLOOKUP(A7456,Studies!A:BR,6,FALSE),"")</f>
        <v>Plasma</v>
      </c>
      <c r="G7456" s="267">
        <v>8.0015939598958941</v>
      </c>
      <c r="H7456" s="194" t="s">
        <v>60</v>
      </c>
      <c r="I7456" s="253">
        <v>924.51753120000001</v>
      </c>
      <c r="J7456" s="187" t="s">
        <v>941</v>
      </c>
      <c r="K7456" s="187" t="s">
        <v>239</v>
      </c>
      <c r="P7456" s="188" t="s">
        <v>2228</v>
      </c>
    </row>
    <row r="7457" spans="1:16" x14ac:dyDescent="0.2">
      <c r="A7457" s="183">
        <v>792</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CYP2B6*1/*6 genotype</v>
      </c>
      <c r="E7457" s="250" t="str">
        <f>IF(AND(A7457&lt;&gt;"",ISNUMBER(A7457)),VLOOKUP(A7457,Studies!A:BR,5,FALSE),"")</f>
        <v>Efavirenz</v>
      </c>
      <c r="F7457" s="251" t="str">
        <f>IF(AND(A7457&lt;&gt;"",ISNUMBER(A7457)),VLOOKUP(A7457,Studies!A:BR,6,FALSE),"")</f>
        <v>Plasma</v>
      </c>
      <c r="G7457" s="267">
        <v>9.9981614693319418</v>
      </c>
      <c r="H7457" s="194" t="s">
        <v>60</v>
      </c>
      <c r="I7457" s="253">
        <v>463.26429080000003</v>
      </c>
      <c r="J7457" s="187" t="s">
        <v>941</v>
      </c>
      <c r="K7457" s="187" t="s">
        <v>239</v>
      </c>
      <c r="P7457" s="188" t="s">
        <v>2228</v>
      </c>
    </row>
    <row r="7458" spans="1:16" x14ac:dyDescent="0.2">
      <c r="A7458" s="183">
        <v>792</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CYP2B6*1/*6 genotype</v>
      </c>
      <c r="E7458" s="250" t="str">
        <f>IF(AND(A7458&lt;&gt;"",ISNUMBER(A7458)),VLOOKUP(A7458,Studies!A:BR,5,FALSE),"")</f>
        <v>Efavirenz</v>
      </c>
      <c r="F7458" s="251" t="str">
        <f>IF(AND(A7458&lt;&gt;"",ISNUMBER(A7458)),VLOOKUP(A7458,Studies!A:BR,6,FALSE),"")</f>
        <v>Plasma</v>
      </c>
      <c r="G7458" s="267">
        <v>9.9983213838422671</v>
      </c>
      <c r="H7458" s="194" t="s">
        <v>60</v>
      </c>
      <c r="I7458" s="253">
        <v>958.45400510000002</v>
      </c>
      <c r="J7458" s="187" t="s">
        <v>941</v>
      </c>
      <c r="K7458" s="187" t="s">
        <v>239</v>
      </c>
      <c r="P7458" s="188" t="s">
        <v>2228</v>
      </c>
    </row>
    <row r="7459" spans="1:16" x14ac:dyDescent="0.2">
      <c r="A7459" s="183">
        <v>792</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CYP2B6*1/*6 genotype</v>
      </c>
      <c r="E7459" s="250" t="str">
        <f>IF(AND(A7459&lt;&gt;"",ISNUMBER(A7459)),VLOOKUP(A7459,Studies!A:BR,5,FALSE),"")</f>
        <v>Efavirenz</v>
      </c>
      <c r="F7459" s="251" t="str">
        <f>IF(AND(A7459&lt;&gt;"",ISNUMBER(A7459)),VLOOKUP(A7459,Studies!A:BR,6,FALSE),"")</f>
        <v>Plasma</v>
      </c>
      <c r="G7459" s="267">
        <v>9.9987572863781828</v>
      </c>
      <c r="H7459" s="194" t="s">
        <v>60</v>
      </c>
      <c r="I7459" s="253">
        <v>982.4923407</v>
      </c>
      <c r="J7459" s="187" t="s">
        <v>941</v>
      </c>
      <c r="K7459" s="187" t="s">
        <v>239</v>
      </c>
      <c r="P7459" s="188" t="s">
        <v>2228</v>
      </c>
    </row>
    <row r="7460" spans="1:16" x14ac:dyDescent="0.2">
      <c r="A7460" s="183">
        <v>792</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CYP2B6*1/*6 genotype</v>
      </c>
      <c r="E7460" s="250" t="str">
        <f>IF(AND(A7460&lt;&gt;"",ISNUMBER(A7460)),VLOOKUP(A7460,Studies!A:BR,5,FALSE),"")</f>
        <v>Efavirenz</v>
      </c>
      <c r="F7460" s="251" t="str">
        <f>IF(AND(A7460&lt;&gt;"",ISNUMBER(A7460)),VLOOKUP(A7460,Studies!A:BR,6,FALSE),"")</f>
        <v>Plasma</v>
      </c>
      <c r="G7460" s="267">
        <v>9.9989194555897267</v>
      </c>
      <c r="H7460" s="194" t="s">
        <v>60</v>
      </c>
      <c r="I7460" s="253">
        <v>746.91665139999998</v>
      </c>
      <c r="J7460" s="187" t="s">
        <v>941</v>
      </c>
      <c r="K7460" s="187" t="s">
        <v>239</v>
      </c>
      <c r="P7460" s="188" t="s">
        <v>2228</v>
      </c>
    </row>
    <row r="7461" spans="1:16" x14ac:dyDescent="0.2">
      <c r="A7461" s="183">
        <v>792</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CYP2B6*1/*6 genotype</v>
      </c>
      <c r="E7461" s="250" t="str">
        <f>IF(AND(A7461&lt;&gt;"",ISNUMBER(A7461)),VLOOKUP(A7461,Studies!A:BR,5,FALSE),"")</f>
        <v>Efavirenz</v>
      </c>
      <c r="F7461" s="251" t="str">
        <f>IF(AND(A7461&lt;&gt;"",ISNUMBER(A7461)),VLOOKUP(A7461,Studies!A:BR,6,FALSE),"")</f>
        <v>Plasma</v>
      </c>
      <c r="G7461" s="267">
        <v>9.999194763403386</v>
      </c>
      <c r="H7461" s="194" t="s">
        <v>60</v>
      </c>
      <c r="I7461" s="253">
        <v>400.75414389999997</v>
      </c>
      <c r="J7461" s="187" t="s">
        <v>941</v>
      </c>
      <c r="K7461" s="187" t="s">
        <v>239</v>
      </c>
      <c r="P7461" s="188" t="s">
        <v>2228</v>
      </c>
    </row>
    <row r="7462" spans="1:16" x14ac:dyDescent="0.2">
      <c r="A7462" s="183">
        <v>792</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CYP2B6*1/*6 genotype</v>
      </c>
      <c r="E7462" s="250" t="str">
        <f>IF(AND(A7462&lt;&gt;"",ISNUMBER(A7462)),VLOOKUP(A7462,Studies!A:BR,5,FALSE),"")</f>
        <v>Efavirenz</v>
      </c>
      <c r="F7462" s="251" t="str">
        <f>IF(AND(A7462&lt;&gt;"",ISNUMBER(A7462)),VLOOKUP(A7462,Studies!A:BR,6,FALSE),"")</f>
        <v>Plasma</v>
      </c>
      <c r="G7462" s="267">
        <v>9.99943033355102</v>
      </c>
      <c r="H7462" s="194" t="s">
        <v>60</v>
      </c>
      <c r="I7462" s="253">
        <v>540.18696480000006</v>
      </c>
      <c r="J7462" s="187" t="s">
        <v>941</v>
      </c>
      <c r="K7462" s="187" t="s">
        <v>239</v>
      </c>
      <c r="P7462" s="188" t="s">
        <v>2228</v>
      </c>
    </row>
    <row r="7463" spans="1:16" x14ac:dyDescent="0.2">
      <c r="A7463" s="183">
        <v>792</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CYP2B6*1/*6 genotype</v>
      </c>
      <c r="E7463" s="250" t="str">
        <f>IF(AND(A7463&lt;&gt;"",ISNUMBER(A7463)),VLOOKUP(A7463,Studies!A:BR,5,FALSE),"")</f>
        <v>Efavirenz</v>
      </c>
      <c r="F7463" s="251" t="str">
        <f>IF(AND(A7463&lt;&gt;"",ISNUMBER(A7463)),VLOOKUP(A7463,Studies!A:BR,6,FALSE),"")</f>
        <v>Plasma</v>
      </c>
      <c r="G7463" s="267">
        <v>9.9996728397700938</v>
      </c>
      <c r="H7463" s="194" t="s">
        <v>60</v>
      </c>
      <c r="I7463" s="253">
        <v>1155.5683570000001</v>
      </c>
      <c r="J7463" s="187" t="s">
        <v>941</v>
      </c>
      <c r="K7463" s="187" t="s">
        <v>239</v>
      </c>
      <c r="P7463" s="188" t="s">
        <v>2228</v>
      </c>
    </row>
    <row r="7464" spans="1:16" x14ac:dyDescent="0.2">
      <c r="A7464" s="183">
        <v>792</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CYP2B6*1/*6 genotype</v>
      </c>
      <c r="E7464" s="250" t="str">
        <f>IF(AND(A7464&lt;&gt;"",ISNUMBER(A7464)),VLOOKUP(A7464,Studies!A:BR,5,FALSE),"")</f>
        <v>Efavirenz</v>
      </c>
      <c r="F7464" s="251" t="str">
        <f>IF(AND(A7464&lt;&gt;"",ISNUMBER(A7464)),VLOOKUP(A7464,Studies!A:BR,6,FALSE),"")</f>
        <v>Plasma</v>
      </c>
      <c r="G7464" s="267">
        <v>10.000420236563309</v>
      </c>
      <c r="H7464" s="194" t="s">
        <v>60</v>
      </c>
      <c r="I7464" s="253">
        <v>1030.5690119999999</v>
      </c>
      <c r="J7464" s="187" t="s">
        <v>941</v>
      </c>
      <c r="K7464" s="187" t="s">
        <v>239</v>
      </c>
      <c r="P7464" s="188" t="s">
        <v>2228</v>
      </c>
    </row>
    <row r="7465" spans="1:16" x14ac:dyDescent="0.2">
      <c r="A7465" s="183">
        <v>792</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CYP2B6*1/*6 genotype</v>
      </c>
      <c r="E7465" s="250" t="str">
        <f>IF(AND(A7465&lt;&gt;"",ISNUMBER(A7465)),VLOOKUP(A7465,Studies!A:BR,5,FALSE),"")</f>
        <v>Efavirenz</v>
      </c>
      <c r="F7465" s="251" t="str">
        <f>IF(AND(A7465&lt;&gt;"",ISNUMBER(A7465)),VLOOKUP(A7465,Studies!A:BR,6,FALSE),"")</f>
        <v>Plasma</v>
      </c>
      <c r="G7465" s="267">
        <v>10.001249649196863</v>
      </c>
      <c r="H7465" s="194" t="s">
        <v>60</v>
      </c>
      <c r="I7465" s="253">
        <v>871.91599680000002</v>
      </c>
      <c r="J7465" s="187" t="s">
        <v>941</v>
      </c>
      <c r="K7465" s="187" t="s">
        <v>239</v>
      </c>
      <c r="P7465" s="188" t="s">
        <v>2228</v>
      </c>
    </row>
    <row r="7466" spans="1:16" x14ac:dyDescent="0.2">
      <c r="A7466" s="183">
        <v>792</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CYP2B6*1/*6 genotype</v>
      </c>
      <c r="E7466" s="250" t="str">
        <f>IF(AND(A7466&lt;&gt;"",ISNUMBER(A7466)),VLOOKUP(A7466,Studies!A:BR,5,FALSE),"")</f>
        <v>Efavirenz</v>
      </c>
      <c r="F7466" s="251" t="str">
        <f>IF(AND(A7466&lt;&gt;"",ISNUMBER(A7466)),VLOOKUP(A7466,Studies!A:BR,6,FALSE),"")</f>
        <v>Plasma</v>
      </c>
      <c r="G7466" s="267">
        <v>11.998170414872467</v>
      </c>
      <c r="H7466" s="194" t="s">
        <v>60</v>
      </c>
      <c r="I7466" s="253">
        <v>747.1785069</v>
      </c>
      <c r="J7466" s="187" t="s">
        <v>941</v>
      </c>
      <c r="K7466" s="187" t="s">
        <v>239</v>
      </c>
      <c r="P7466" s="188" t="s">
        <v>2228</v>
      </c>
    </row>
    <row r="7467" spans="1:16" x14ac:dyDescent="0.2">
      <c r="A7467" s="183">
        <v>792</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CYP2B6*1/*6 genotype</v>
      </c>
      <c r="E7467" s="250" t="str">
        <f>IF(AND(A7467&lt;&gt;"",ISNUMBER(A7467)),VLOOKUP(A7467,Studies!A:BR,5,FALSE),"")</f>
        <v>Efavirenz</v>
      </c>
      <c r="F7467" s="251" t="str">
        <f>IF(AND(A7467&lt;&gt;"",ISNUMBER(A7467)),VLOOKUP(A7467,Studies!A:BR,6,FALSE),"")</f>
        <v>Plasma</v>
      </c>
      <c r="G7467" s="267">
        <v>11.999638601101935</v>
      </c>
      <c r="H7467" s="194" t="s">
        <v>60</v>
      </c>
      <c r="I7467" s="253">
        <v>819.29351380000003</v>
      </c>
      <c r="J7467" s="187" t="s">
        <v>941</v>
      </c>
      <c r="K7467" s="187" t="s">
        <v>239</v>
      </c>
      <c r="P7467" s="188" t="s">
        <v>2228</v>
      </c>
    </row>
    <row r="7468" spans="1:16" x14ac:dyDescent="0.2">
      <c r="A7468" s="183">
        <v>792</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CYP2B6*1/*6 genotype</v>
      </c>
      <c r="E7468" s="250" t="str">
        <f>IF(AND(A7468&lt;&gt;"",ISNUMBER(A7468)),VLOOKUP(A7468,Studies!A:BR,5,FALSE),"")</f>
        <v>Efavirenz</v>
      </c>
      <c r="F7468" s="251" t="str">
        <f>IF(AND(A7468&lt;&gt;"",ISNUMBER(A7468)),VLOOKUP(A7468,Studies!A:BR,6,FALSE),"")</f>
        <v>Plasma</v>
      </c>
      <c r="G7468" s="267">
        <v>12.000731701279991</v>
      </c>
      <c r="H7468" s="50" t="s">
        <v>60</v>
      </c>
      <c r="I7468" s="253">
        <v>934.67752489999998</v>
      </c>
      <c r="J7468" s="187" t="s">
        <v>941</v>
      </c>
      <c r="K7468" s="187" t="s">
        <v>239</v>
      </c>
      <c r="P7468" s="188" t="s">
        <v>2228</v>
      </c>
    </row>
    <row r="7469" spans="1:16" x14ac:dyDescent="0.2">
      <c r="A7469" s="30">
        <v>792</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CYP2B6*1/*6 genotype</v>
      </c>
      <c r="E7469" s="250" t="str">
        <f>IF(AND(A7469&lt;&gt;"",ISNUMBER(A7469)),VLOOKUP(A7469,Studies!A:BR,5,FALSE),"")</f>
        <v>Efavirenz</v>
      </c>
      <c r="F7469" s="251" t="str">
        <f>IF(AND(A7469&lt;&gt;"",ISNUMBER(A7469)),VLOOKUP(A7469,Studies!A:BR,6,FALSE),"")</f>
        <v>Plasma</v>
      </c>
      <c r="G7469" s="267">
        <v>12.001130009610206</v>
      </c>
      <c r="H7469" s="194" t="s">
        <v>60</v>
      </c>
      <c r="I7469" s="253">
        <v>482.76728900000001</v>
      </c>
      <c r="J7469" s="187" t="s">
        <v>941</v>
      </c>
      <c r="K7469" s="187" t="s">
        <v>239</v>
      </c>
      <c r="P7469" s="42" t="s">
        <v>2228</v>
      </c>
    </row>
    <row r="7470" spans="1:16" x14ac:dyDescent="0.2">
      <c r="A7470" s="30">
        <v>792</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CYP2B6*1/*6 genotype</v>
      </c>
      <c r="E7470" s="250" t="str">
        <f>IF(AND(A7470&lt;&gt;"",ISNUMBER(A7470)),VLOOKUP(A7470,Studies!A:BR,5,FALSE),"")</f>
        <v>Efavirenz</v>
      </c>
      <c r="F7470" s="251" t="str">
        <f>IF(AND(A7470&lt;&gt;"",ISNUMBER(A7470)),VLOOKUP(A7470,Studies!A:BR,6,FALSE),"")</f>
        <v>Plasma</v>
      </c>
      <c r="G7470" s="267">
        <v>12.001513060186058</v>
      </c>
      <c r="H7470" s="194" t="s">
        <v>60</v>
      </c>
      <c r="I7470" s="253">
        <v>992.3695305</v>
      </c>
      <c r="J7470" s="187" t="s">
        <v>941</v>
      </c>
      <c r="K7470" s="187" t="s">
        <v>239</v>
      </c>
      <c r="P7470" s="42" t="s">
        <v>2228</v>
      </c>
    </row>
    <row r="7471" spans="1:16" x14ac:dyDescent="0.2">
      <c r="A7471" s="30">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67">
        <v>12.001594852138311</v>
      </c>
      <c r="H7471" s="194" t="s">
        <v>60</v>
      </c>
      <c r="I7471" s="253">
        <v>453.9212862</v>
      </c>
      <c r="J7471" s="187" t="s">
        <v>941</v>
      </c>
      <c r="K7471" s="187" t="s">
        <v>239</v>
      </c>
      <c r="P7471" s="42" t="s">
        <v>2228</v>
      </c>
    </row>
    <row r="7472" spans="1:16" x14ac:dyDescent="0.2">
      <c r="A7472" s="183">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67">
        <v>12.001614065766335</v>
      </c>
      <c r="H7472" s="194" t="s">
        <v>60</v>
      </c>
      <c r="I7472" s="253">
        <v>727.94783840000002</v>
      </c>
      <c r="J7472" s="187" t="s">
        <v>941</v>
      </c>
      <c r="K7472" s="187" t="s">
        <v>239</v>
      </c>
      <c r="P7472" s="42" t="s">
        <v>2228</v>
      </c>
    </row>
    <row r="7473" spans="1:16" x14ac:dyDescent="0.2">
      <c r="A7473" s="183">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67">
        <v>12.001680511197076</v>
      </c>
      <c r="H7473" s="194" t="s">
        <v>60</v>
      </c>
      <c r="I7473" s="253">
        <v>420.26761629999999</v>
      </c>
      <c r="J7473" s="187" t="s">
        <v>941</v>
      </c>
      <c r="K7473" s="187" t="s">
        <v>239</v>
      </c>
      <c r="P7473" s="42" t="s">
        <v>2228</v>
      </c>
    </row>
    <row r="7474" spans="1:16" x14ac:dyDescent="0.2">
      <c r="A7474" s="183">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67">
        <v>23.998569682379252</v>
      </c>
      <c r="H7474" s="194" t="s">
        <v>60</v>
      </c>
      <c r="I7474" s="253">
        <v>542.10374720000004</v>
      </c>
      <c r="J7474" s="187" t="s">
        <v>941</v>
      </c>
      <c r="K7474" s="187" t="s">
        <v>239</v>
      </c>
      <c r="P7474" s="42" t="s">
        <v>2228</v>
      </c>
    </row>
    <row r="7475" spans="1:16" x14ac:dyDescent="0.2">
      <c r="A7475" s="183">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67">
        <v>23.999396974683741</v>
      </c>
      <c r="H7475" s="194" t="s">
        <v>60</v>
      </c>
      <c r="I7475" s="253">
        <v>484.40126739999999</v>
      </c>
      <c r="J7475" s="187" t="s">
        <v>941</v>
      </c>
      <c r="K7475" s="187" t="s">
        <v>239</v>
      </c>
      <c r="P7475" s="42" t="s">
        <v>2228</v>
      </c>
    </row>
    <row r="7476" spans="1:16" x14ac:dyDescent="0.2">
      <c r="A7476" s="183">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67">
        <v>23.999468044679613</v>
      </c>
      <c r="H7476" s="194" t="s">
        <v>60</v>
      </c>
      <c r="I7476" s="253">
        <v>397.86325909999999</v>
      </c>
      <c r="J7476" s="187" t="s">
        <v>941</v>
      </c>
      <c r="K7476" s="187" t="s">
        <v>239</v>
      </c>
      <c r="P7476" s="42" t="s">
        <v>2228</v>
      </c>
    </row>
    <row r="7477" spans="1:16" x14ac:dyDescent="0.2">
      <c r="A7477" s="183">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67">
        <v>23.99967348227743</v>
      </c>
      <c r="H7477" s="194" t="s">
        <v>60</v>
      </c>
      <c r="I7477" s="253">
        <v>912.28364190000002</v>
      </c>
      <c r="J7477" s="187" t="s">
        <v>941</v>
      </c>
      <c r="K7477" s="187" t="s">
        <v>239</v>
      </c>
      <c r="P7477" s="42" t="s">
        <v>2228</v>
      </c>
    </row>
    <row r="7478" spans="1:16" x14ac:dyDescent="0.2">
      <c r="A7478" s="183">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67">
        <v>23.999765073240734</v>
      </c>
      <c r="H7478" s="194" t="s">
        <v>60</v>
      </c>
      <c r="I7478" s="253">
        <v>369.01725629999999</v>
      </c>
      <c r="J7478" s="187" t="s">
        <v>941</v>
      </c>
      <c r="K7478" s="187" t="s">
        <v>239</v>
      </c>
      <c r="P7478" s="42" t="s">
        <v>2228</v>
      </c>
    </row>
    <row r="7479" spans="1:16" x14ac:dyDescent="0.2">
      <c r="A7479" s="183">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67">
        <v>23.99993419148214</v>
      </c>
      <c r="H7479" s="194" t="s">
        <v>60</v>
      </c>
      <c r="I7479" s="253">
        <v>369.01725629999999</v>
      </c>
      <c r="J7479" s="187" t="s">
        <v>941</v>
      </c>
      <c r="K7479" s="187" t="s">
        <v>239</v>
      </c>
      <c r="P7479" s="42" t="s">
        <v>2228</v>
      </c>
    </row>
    <row r="7480" spans="1:16" x14ac:dyDescent="0.2">
      <c r="A7480" s="30">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67">
        <v>24.000002963450736</v>
      </c>
      <c r="H7480" s="50" t="s">
        <v>60</v>
      </c>
      <c r="I7480" s="253">
        <v>647.87242400000002</v>
      </c>
      <c r="J7480" s="187" t="s">
        <v>941</v>
      </c>
      <c r="K7480" s="187" t="s">
        <v>239</v>
      </c>
      <c r="M7480" s="195"/>
      <c r="N7480" s="195"/>
      <c r="P7480" s="42" t="s">
        <v>2228</v>
      </c>
    </row>
    <row r="7481" spans="1:16" x14ac:dyDescent="0.2">
      <c r="A7481" s="30">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67">
        <v>24.001005558090284</v>
      </c>
      <c r="H7481" s="50" t="s">
        <v>60</v>
      </c>
      <c r="I7481" s="253">
        <v>686.32328680000001</v>
      </c>
      <c r="J7481" s="187" t="s">
        <v>941</v>
      </c>
      <c r="K7481" s="187" t="s">
        <v>239</v>
      </c>
      <c r="M7481" s="195"/>
      <c r="N7481" s="195"/>
      <c r="P7481" s="42" t="s">
        <v>2228</v>
      </c>
    </row>
    <row r="7482" spans="1:16" x14ac:dyDescent="0.2">
      <c r="A7482" s="183">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67">
        <v>24.00152313399315</v>
      </c>
      <c r="H7482" s="194" t="s">
        <v>60</v>
      </c>
      <c r="I7482" s="253">
        <v>854.5916363</v>
      </c>
      <c r="J7482" s="187" t="s">
        <v>941</v>
      </c>
      <c r="K7482" s="187" t="s">
        <v>239</v>
      </c>
      <c r="M7482" s="195"/>
      <c r="N7482" s="195"/>
      <c r="P7482" s="42" t="s">
        <v>2228</v>
      </c>
    </row>
    <row r="7483" spans="1:16" x14ac:dyDescent="0.2">
      <c r="A7483" s="183">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67">
        <v>47.998215672013352</v>
      </c>
      <c r="H7483" s="194" t="s">
        <v>60</v>
      </c>
      <c r="I7483" s="253">
        <v>535.7773181</v>
      </c>
      <c r="J7483" s="187" t="s">
        <v>941</v>
      </c>
      <c r="K7483" s="187" t="s">
        <v>239</v>
      </c>
      <c r="M7483" s="195"/>
      <c r="N7483" s="195"/>
      <c r="P7483" s="42" t="s">
        <v>2228</v>
      </c>
    </row>
    <row r="7484" spans="1:16" x14ac:dyDescent="0.2">
      <c r="A7484" s="183">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67">
        <v>47.998748666732574</v>
      </c>
      <c r="H7484" s="194" t="s">
        <v>60</v>
      </c>
      <c r="I7484" s="253">
        <v>285.7786274</v>
      </c>
      <c r="J7484" s="187" t="s">
        <v>941</v>
      </c>
      <c r="K7484" s="187" t="s">
        <v>239</v>
      </c>
      <c r="M7484" s="195"/>
      <c r="N7484" s="195"/>
      <c r="P7484" s="42" t="s">
        <v>2228</v>
      </c>
    </row>
    <row r="7485" spans="1:16" x14ac:dyDescent="0.2">
      <c r="A7485" s="183">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67">
        <v>47.999267433067786</v>
      </c>
      <c r="H7485" s="194" t="s">
        <v>60</v>
      </c>
      <c r="I7485" s="253">
        <v>367.5089686</v>
      </c>
      <c r="J7485" s="187" t="s">
        <v>941</v>
      </c>
      <c r="K7485" s="187" t="s">
        <v>239</v>
      </c>
      <c r="M7485" s="195"/>
      <c r="N7485" s="195"/>
      <c r="P7485" s="42" t="s">
        <v>2228</v>
      </c>
    </row>
    <row r="7486" spans="1:16" x14ac:dyDescent="0.2">
      <c r="A7486" s="183">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67">
        <v>47.999359274528921</v>
      </c>
      <c r="H7486" s="194" t="s">
        <v>60</v>
      </c>
      <c r="I7486" s="253">
        <v>482.89297970000001</v>
      </c>
      <c r="J7486" s="187" t="s">
        <v>941</v>
      </c>
      <c r="K7486" s="187" t="s">
        <v>239</v>
      </c>
      <c r="M7486" s="195"/>
      <c r="N7486" s="195"/>
      <c r="P7486" s="42" t="s">
        <v>2228</v>
      </c>
    </row>
    <row r="7487" spans="1:16" x14ac:dyDescent="0.2">
      <c r="A7487" s="183">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67">
        <v>47.999428086832168</v>
      </c>
      <c r="H7487" s="194" t="s">
        <v>60</v>
      </c>
      <c r="I7487" s="253">
        <v>718.46866899999998</v>
      </c>
      <c r="J7487" s="187" t="s">
        <v>941</v>
      </c>
      <c r="K7487" s="187" t="s">
        <v>239</v>
      </c>
      <c r="M7487" s="195"/>
      <c r="N7487" s="195"/>
      <c r="P7487" s="42" t="s">
        <v>2228</v>
      </c>
    </row>
    <row r="7488" spans="1:16" x14ac:dyDescent="0.2">
      <c r="A7488" s="183">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67">
        <v>47.999594397491776</v>
      </c>
      <c r="H7488" s="194" t="s">
        <v>60</v>
      </c>
      <c r="I7488" s="253">
        <v>680.00733200000002</v>
      </c>
      <c r="J7488" s="187" t="s">
        <v>941</v>
      </c>
      <c r="K7488" s="187" t="s">
        <v>239</v>
      </c>
      <c r="M7488" s="195"/>
      <c r="N7488" s="195"/>
      <c r="P7488" s="42" t="s">
        <v>2228</v>
      </c>
    </row>
    <row r="7489" spans="1:16" x14ac:dyDescent="0.2">
      <c r="A7489" s="183">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67">
        <v>47.999807476419953</v>
      </c>
      <c r="H7489" s="194" t="s">
        <v>60</v>
      </c>
      <c r="I7489" s="253">
        <v>333.85529860000003</v>
      </c>
      <c r="J7489" s="187" t="s">
        <v>941</v>
      </c>
      <c r="K7489" s="187" t="s">
        <v>239</v>
      </c>
      <c r="M7489" s="195"/>
      <c r="N7489" s="195"/>
      <c r="P7489" s="42" t="s">
        <v>2228</v>
      </c>
    </row>
    <row r="7490" spans="1:16" x14ac:dyDescent="0.2">
      <c r="A7490" s="183">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67">
        <v>48.000755624020471</v>
      </c>
      <c r="H7490" s="194" t="s">
        <v>60</v>
      </c>
      <c r="I7490" s="253">
        <v>309.81696299999999</v>
      </c>
      <c r="J7490" s="187" t="s">
        <v>941</v>
      </c>
      <c r="K7490" s="187" t="s">
        <v>239</v>
      </c>
      <c r="M7490" s="195"/>
      <c r="N7490" s="195"/>
      <c r="P7490" s="42" t="s">
        <v>2228</v>
      </c>
    </row>
    <row r="7491" spans="1:16" x14ac:dyDescent="0.2">
      <c r="A7491" s="183">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67">
        <v>71.999353380477984</v>
      </c>
      <c r="H7491" s="194" t="s">
        <v>60</v>
      </c>
      <c r="I7491" s="253">
        <v>423.69268640000001</v>
      </c>
      <c r="J7491" s="187" t="s">
        <v>941</v>
      </c>
      <c r="K7491" s="187" t="s">
        <v>239</v>
      </c>
      <c r="M7491" s="195"/>
      <c r="N7491" s="195"/>
      <c r="P7491" s="42" t="s">
        <v>2228</v>
      </c>
    </row>
    <row r="7492" spans="1:16" x14ac:dyDescent="0.2">
      <c r="A7492" s="183">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67">
        <v>71.999685795641511</v>
      </c>
      <c r="H7492" s="194" t="s">
        <v>60</v>
      </c>
      <c r="I7492" s="253">
        <v>303.50100809999998</v>
      </c>
      <c r="J7492" s="187" t="s">
        <v>941</v>
      </c>
      <c r="K7492" s="187" t="s">
        <v>239</v>
      </c>
      <c r="M7492" s="195"/>
      <c r="N7492" s="195"/>
      <c r="P7492" s="42" t="s">
        <v>2228</v>
      </c>
    </row>
    <row r="7493" spans="1:16" x14ac:dyDescent="0.2">
      <c r="A7493" s="183">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67">
        <v>71.9997215865301</v>
      </c>
      <c r="H7493" s="194" t="s">
        <v>60</v>
      </c>
      <c r="I7493" s="253">
        <v>688.11437850000004</v>
      </c>
      <c r="J7493" s="187" t="s">
        <v>941</v>
      </c>
      <c r="K7493" s="187" t="s">
        <v>239</v>
      </c>
      <c r="M7493" s="195"/>
      <c r="N7493" s="195"/>
      <c r="P7493" s="42" t="s">
        <v>2228</v>
      </c>
    </row>
    <row r="7494" spans="1:16" x14ac:dyDescent="0.2">
      <c r="A7494" s="183">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67">
        <v>72.00004957787786</v>
      </c>
      <c r="H7494" s="194" t="s">
        <v>60</v>
      </c>
      <c r="I7494" s="253">
        <v>226.57833410000001</v>
      </c>
      <c r="J7494" s="187" t="s">
        <v>941</v>
      </c>
      <c r="K7494" s="187" t="s">
        <v>239</v>
      </c>
      <c r="M7494" s="195"/>
      <c r="N7494" s="195"/>
      <c r="P7494" s="42" t="s">
        <v>2228</v>
      </c>
    </row>
    <row r="7495" spans="1:16" x14ac:dyDescent="0.2">
      <c r="A7495" s="183">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67">
        <v>72.000796725715517</v>
      </c>
      <c r="H7495" s="194" t="s">
        <v>60</v>
      </c>
      <c r="I7495" s="253">
        <v>279.4626725</v>
      </c>
      <c r="J7495" s="187" t="s">
        <v>941</v>
      </c>
      <c r="K7495" s="187" t="s">
        <v>239</v>
      </c>
      <c r="M7495" s="195"/>
      <c r="N7495" s="195"/>
      <c r="P7495" s="42" t="s">
        <v>2228</v>
      </c>
    </row>
    <row r="7496" spans="1:16" x14ac:dyDescent="0.2">
      <c r="A7496" s="183">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67">
        <v>72.001218162809494</v>
      </c>
      <c r="H7496" s="194" t="s">
        <v>60</v>
      </c>
      <c r="I7496" s="253">
        <v>274.65500539999999</v>
      </c>
      <c r="J7496" s="187" t="s">
        <v>941</v>
      </c>
      <c r="K7496" s="187" t="s">
        <v>239</v>
      </c>
      <c r="M7496" s="195"/>
      <c r="N7496" s="195"/>
      <c r="P7496" s="42" t="s">
        <v>2228</v>
      </c>
    </row>
    <row r="7497" spans="1:16" x14ac:dyDescent="0.2">
      <c r="A7497" s="183">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67">
        <v>72.001880701039923</v>
      </c>
      <c r="H7497" s="194" t="s">
        <v>60</v>
      </c>
      <c r="I7497" s="253">
        <v>250.61666969999999</v>
      </c>
      <c r="J7497" s="187" t="s">
        <v>941</v>
      </c>
      <c r="K7497" s="187" t="s">
        <v>239</v>
      </c>
      <c r="M7497" s="195"/>
      <c r="N7497" s="195"/>
      <c r="P7497" s="42" t="s">
        <v>2228</v>
      </c>
    </row>
    <row r="7498" spans="1:16" x14ac:dyDescent="0.2">
      <c r="A7498" s="183">
        <v>793</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CYP2B6*6/*6 genotype</v>
      </c>
      <c r="E7498" s="250" t="str">
        <f>IF(AND(A7498&lt;&gt;"",ISNUMBER(A7498)),VLOOKUP(A7498,Studies!A:BR,5,FALSE),"")</f>
        <v>Efavirenz</v>
      </c>
      <c r="F7498" s="251" t="str">
        <f>IF(AND(A7498&lt;&gt;"",ISNUMBER(A7498)),VLOOKUP(A7498,Studies!A:BR,6,FALSE),"")</f>
        <v>Plasma</v>
      </c>
      <c r="G7498" s="267">
        <v>0.5</v>
      </c>
      <c r="H7498" s="194" t="s">
        <v>60</v>
      </c>
      <c r="I7498" s="253">
        <v>460.251762471071</v>
      </c>
      <c r="J7498" s="187" t="s">
        <v>941</v>
      </c>
      <c r="K7498" s="187" t="s">
        <v>239</v>
      </c>
      <c r="M7498" s="195"/>
      <c r="N7498" s="195"/>
      <c r="P7498" s="42" t="s">
        <v>2228</v>
      </c>
    </row>
    <row r="7499" spans="1:16" x14ac:dyDescent="0.2">
      <c r="A7499" s="183">
        <v>793</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CYP2B6*6/*6 genotype</v>
      </c>
      <c r="E7499" s="250" t="str">
        <f>IF(AND(A7499&lt;&gt;"",ISNUMBER(A7499)),VLOOKUP(A7499,Studies!A:BR,5,FALSE),"")</f>
        <v>Efavirenz</v>
      </c>
      <c r="F7499" s="251" t="str">
        <f>IF(AND(A7499&lt;&gt;"",ISNUMBER(A7499)),VLOOKUP(A7499,Studies!A:BR,6,FALSE),"")</f>
        <v>Plasma</v>
      </c>
      <c r="G7499" s="267">
        <v>0.99990000000000001</v>
      </c>
      <c r="H7499" s="194" t="s">
        <v>60</v>
      </c>
      <c r="I7499" s="253">
        <v>111.620938290102</v>
      </c>
      <c r="J7499" s="187" t="s">
        <v>941</v>
      </c>
      <c r="K7499" s="187" t="s">
        <v>239</v>
      </c>
      <c r="M7499" s="195"/>
      <c r="N7499" s="195"/>
      <c r="P7499" s="42" t="s">
        <v>2228</v>
      </c>
    </row>
    <row r="7500" spans="1:16" x14ac:dyDescent="0.2">
      <c r="A7500" s="183">
        <v>793</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CYP2B6*6/*6 genotype</v>
      </c>
      <c r="E7500" s="250" t="str">
        <f>IF(AND(A7500&lt;&gt;"",ISNUMBER(A7500)),VLOOKUP(A7500,Studies!A:BR,5,FALSE),"")</f>
        <v>Efavirenz</v>
      </c>
      <c r="F7500" s="251" t="str">
        <f>IF(AND(A7500&lt;&gt;"",ISNUMBER(A7500)),VLOOKUP(A7500,Studies!A:BR,6,FALSE),"")</f>
        <v>Plasma</v>
      </c>
      <c r="G7500" s="267">
        <v>1</v>
      </c>
      <c r="H7500" s="194" t="s">
        <v>60</v>
      </c>
      <c r="I7500" s="253">
        <v>2581.3545944644302</v>
      </c>
      <c r="J7500" s="187" t="s">
        <v>941</v>
      </c>
      <c r="K7500" s="187" t="s">
        <v>239</v>
      </c>
      <c r="M7500" s="195"/>
      <c r="N7500" s="195"/>
      <c r="P7500" s="42" t="s">
        <v>2228</v>
      </c>
    </row>
    <row r="7501" spans="1:16" x14ac:dyDescent="0.2">
      <c r="A7501" s="183">
        <v>793</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CYP2B6*6/*6 genotype</v>
      </c>
      <c r="E7501" s="250" t="str">
        <f>IF(AND(A7501&lt;&gt;"",ISNUMBER(A7501)),VLOOKUP(A7501,Studies!A:BR,5,FALSE),"")</f>
        <v>Efavirenz</v>
      </c>
      <c r="F7501" s="251" t="str">
        <f>IF(AND(A7501&lt;&gt;"",ISNUMBER(A7501)),VLOOKUP(A7501,Studies!A:BR,6,FALSE),"")</f>
        <v>Plasma</v>
      </c>
      <c r="G7501" s="267">
        <v>1.0001</v>
      </c>
      <c r="H7501" s="194" t="s">
        <v>60</v>
      </c>
      <c r="I7501" s="253">
        <v>833.17592604978995</v>
      </c>
      <c r="J7501" s="187" t="s">
        <v>941</v>
      </c>
      <c r="K7501" s="187" t="s">
        <v>239</v>
      </c>
      <c r="M7501" s="195"/>
      <c r="N7501" s="195"/>
      <c r="P7501" s="42" t="s">
        <v>2228</v>
      </c>
    </row>
    <row r="7502" spans="1:16" x14ac:dyDescent="0.2">
      <c r="A7502" s="183">
        <v>793</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CYP2B6*6/*6 genotype</v>
      </c>
      <c r="E7502" s="250" t="str">
        <f>IF(AND(A7502&lt;&gt;"",ISNUMBER(A7502)),VLOOKUP(A7502,Studies!A:BR,5,FALSE),"")</f>
        <v>Efavirenz</v>
      </c>
      <c r="F7502" s="251" t="str">
        <f>IF(AND(A7502&lt;&gt;"",ISNUMBER(A7502)),VLOOKUP(A7502,Studies!A:BR,6,FALSE),"")</f>
        <v>Plasma</v>
      </c>
      <c r="G7502" s="267">
        <v>1.9999</v>
      </c>
      <c r="H7502" s="194" t="s">
        <v>60</v>
      </c>
      <c r="I7502" s="253">
        <v>334.450791272591</v>
      </c>
      <c r="J7502" s="187" t="s">
        <v>941</v>
      </c>
      <c r="K7502" s="187" t="s">
        <v>239</v>
      </c>
      <c r="M7502" s="195"/>
      <c r="N7502" s="195"/>
      <c r="P7502" s="42" t="s">
        <v>2228</v>
      </c>
    </row>
    <row r="7503" spans="1:16" x14ac:dyDescent="0.2">
      <c r="A7503" s="183">
        <v>793</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CYP2B6*6/*6 genotype</v>
      </c>
      <c r="E7503" s="250" t="str">
        <f>IF(AND(A7503&lt;&gt;"",ISNUMBER(A7503)),VLOOKUP(A7503,Studies!A:BR,5,FALSE),"")</f>
        <v>Efavirenz</v>
      </c>
      <c r="F7503" s="251" t="str">
        <f>IF(AND(A7503&lt;&gt;"",ISNUMBER(A7503)),VLOOKUP(A7503,Studies!A:BR,6,FALSE),"")</f>
        <v>Plasma</v>
      </c>
      <c r="G7503" s="267">
        <v>2</v>
      </c>
      <c r="H7503" s="194" t="s">
        <v>60</v>
      </c>
      <c r="I7503" s="253">
        <v>1424.0445199523699</v>
      </c>
      <c r="J7503" s="187" t="s">
        <v>941</v>
      </c>
      <c r="K7503" s="187" t="s">
        <v>239</v>
      </c>
      <c r="M7503" s="195"/>
      <c r="N7503" s="195"/>
      <c r="P7503" s="42" t="s">
        <v>2228</v>
      </c>
    </row>
    <row r="7504" spans="1:16" x14ac:dyDescent="0.2">
      <c r="A7504" s="30">
        <v>793</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CYP2B6*6/*6 genotype</v>
      </c>
      <c r="E7504" s="250" t="str">
        <f>IF(AND(A7504&lt;&gt;"",ISNUMBER(A7504)),VLOOKUP(A7504,Studies!A:BR,5,FALSE),"")</f>
        <v>Efavirenz</v>
      </c>
      <c r="F7504" s="251" t="str">
        <f>IF(AND(A7504&lt;&gt;"",ISNUMBER(A7504)),VLOOKUP(A7504,Studies!A:BR,6,FALSE),"")</f>
        <v>Plasma</v>
      </c>
      <c r="G7504" s="267">
        <v>2.0001000000000002</v>
      </c>
      <c r="H7504" s="194" t="s">
        <v>60</v>
      </c>
      <c r="I7504" s="253">
        <v>1806.61110590879</v>
      </c>
      <c r="J7504" s="41" t="s">
        <v>941</v>
      </c>
      <c r="K7504" s="187" t="s">
        <v>239</v>
      </c>
      <c r="P7504" s="42" t="s">
        <v>2228</v>
      </c>
    </row>
    <row r="7505" spans="1:16" x14ac:dyDescent="0.2">
      <c r="A7505" s="30">
        <v>793</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CYP2B6*6/*6 genotype</v>
      </c>
      <c r="E7505" s="250" t="str">
        <f>IF(AND(A7505&lt;&gt;"",ISNUMBER(A7505)),VLOOKUP(A7505,Studies!A:BR,5,FALSE),"")</f>
        <v>Efavirenz</v>
      </c>
      <c r="F7505" s="251" t="str">
        <f>IF(AND(A7505&lt;&gt;"",ISNUMBER(A7505)),VLOOKUP(A7505,Studies!A:BR,6,FALSE),"")</f>
        <v>Plasma</v>
      </c>
      <c r="G7505" s="267">
        <v>3</v>
      </c>
      <c r="H7505" s="194" t="s">
        <v>60</v>
      </c>
      <c r="I7505" s="253">
        <v>2295.78478455714</v>
      </c>
      <c r="J7505" s="41" t="s">
        <v>941</v>
      </c>
      <c r="K7505" s="187" t="s">
        <v>239</v>
      </c>
      <c r="M7505" s="195"/>
      <c r="N7505" s="195"/>
      <c r="P7505" s="42" t="s">
        <v>2228</v>
      </c>
    </row>
    <row r="7506" spans="1:16" x14ac:dyDescent="0.2">
      <c r="A7506" s="183">
        <v>793</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CYP2B6*6/*6 genotype</v>
      </c>
      <c r="E7506" s="250" t="str">
        <f>IF(AND(A7506&lt;&gt;"",ISNUMBER(A7506)),VLOOKUP(A7506,Studies!A:BR,5,FALSE),"")</f>
        <v>Efavirenz</v>
      </c>
      <c r="F7506" s="251" t="str">
        <f>IF(AND(A7506&lt;&gt;"",ISNUMBER(A7506)),VLOOKUP(A7506,Studies!A:BR,6,FALSE),"")</f>
        <v>Plasma</v>
      </c>
      <c r="G7506" s="267">
        <v>3.0001000000000002</v>
      </c>
      <c r="H7506" s="194" t="s">
        <v>60</v>
      </c>
      <c r="I7506" s="253">
        <v>1990.7000387944299</v>
      </c>
      <c r="J7506" s="187" t="s">
        <v>941</v>
      </c>
      <c r="K7506" s="187" t="s">
        <v>239</v>
      </c>
      <c r="M7506" s="195"/>
      <c r="N7506" s="195"/>
      <c r="P7506" s="42" t="s">
        <v>2228</v>
      </c>
    </row>
    <row r="7507" spans="1:16" x14ac:dyDescent="0.2">
      <c r="A7507" s="183">
        <v>793</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CYP2B6*6/*6 genotype</v>
      </c>
      <c r="E7507" s="250" t="str">
        <f>IF(AND(A7507&lt;&gt;"",ISNUMBER(A7507)),VLOOKUP(A7507,Studies!A:BR,5,FALSE),"")</f>
        <v>Efavirenz</v>
      </c>
      <c r="F7507" s="251" t="str">
        <f>IF(AND(A7507&lt;&gt;"",ISNUMBER(A7507)),VLOOKUP(A7507,Studies!A:BR,6,FALSE),"")</f>
        <v>Plasma</v>
      </c>
      <c r="G7507" s="267">
        <v>3.9998999999999998</v>
      </c>
      <c r="H7507" s="194" t="s">
        <v>60</v>
      </c>
      <c r="I7507" s="253">
        <v>2426.5996013537901</v>
      </c>
      <c r="J7507" s="187" t="s">
        <v>941</v>
      </c>
      <c r="K7507" s="187" t="s">
        <v>239</v>
      </c>
      <c r="M7507" s="195"/>
      <c r="N7507" s="195"/>
      <c r="P7507" s="42" t="s">
        <v>2228</v>
      </c>
    </row>
    <row r="7508" spans="1:16" x14ac:dyDescent="0.2">
      <c r="A7508" s="183">
        <v>793</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CYP2B6*6/*6 genotype</v>
      </c>
      <c r="E7508" s="250" t="str">
        <f>IF(AND(A7508&lt;&gt;"",ISNUMBER(A7508)),VLOOKUP(A7508,Studies!A:BR,5,FALSE),"")</f>
        <v>Efavirenz</v>
      </c>
      <c r="F7508" s="251" t="str">
        <f>IF(AND(A7508&lt;&gt;"",ISNUMBER(A7508)),VLOOKUP(A7508,Studies!A:BR,6,FALSE),"")</f>
        <v>Plasma</v>
      </c>
      <c r="G7508" s="267">
        <v>4</v>
      </c>
      <c r="H7508" s="194" t="s">
        <v>60</v>
      </c>
      <c r="I7508" s="253">
        <v>1985.92163525209</v>
      </c>
      <c r="J7508" s="187" t="s">
        <v>941</v>
      </c>
      <c r="K7508" s="187" t="s">
        <v>239</v>
      </c>
      <c r="M7508" s="195"/>
      <c r="N7508" s="195"/>
      <c r="P7508" s="42" t="s">
        <v>2228</v>
      </c>
    </row>
    <row r="7509" spans="1:16" x14ac:dyDescent="0.2">
      <c r="A7509" s="183">
        <v>793</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CYP2B6*6/*6 genotype</v>
      </c>
      <c r="E7509" s="250" t="str">
        <f>IF(AND(A7509&lt;&gt;"",ISNUMBER(A7509)),VLOOKUP(A7509,Studies!A:BR,5,FALSE),"")</f>
        <v>Efavirenz</v>
      </c>
      <c r="F7509" s="251" t="str">
        <f>IF(AND(A7509&lt;&gt;"",ISNUMBER(A7509)),VLOOKUP(A7509,Studies!A:BR,6,FALSE),"")</f>
        <v>Plasma</v>
      </c>
      <c r="G7509" s="267">
        <v>4.0000999999999998</v>
      </c>
      <c r="H7509" s="194" t="s">
        <v>60</v>
      </c>
      <c r="I7509" s="253">
        <v>2237.7376158816301</v>
      </c>
      <c r="J7509" s="187" t="s">
        <v>941</v>
      </c>
      <c r="K7509" s="187" t="s">
        <v>239</v>
      </c>
      <c r="M7509" s="195"/>
      <c r="N7509" s="195"/>
      <c r="P7509" s="42" t="s">
        <v>2228</v>
      </c>
    </row>
    <row r="7510" spans="1:16" x14ac:dyDescent="0.2">
      <c r="A7510" s="183">
        <v>793</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CYP2B6*6/*6 genotype</v>
      </c>
      <c r="E7510" s="250" t="str">
        <f>IF(AND(A7510&lt;&gt;"",ISNUMBER(A7510)),VLOOKUP(A7510,Studies!A:BR,5,FALSE),"")</f>
        <v>Efavirenz</v>
      </c>
      <c r="F7510" s="251" t="str">
        <f>IF(AND(A7510&lt;&gt;"",ISNUMBER(A7510)),VLOOKUP(A7510,Studies!A:BR,6,FALSE),"")</f>
        <v>Plasma</v>
      </c>
      <c r="G7510" s="267">
        <v>4.9999000000000002</v>
      </c>
      <c r="H7510" s="194" t="s">
        <v>60</v>
      </c>
      <c r="I7510" s="253">
        <v>1869.7630864313101</v>
      </c>
      <c r="J7510" s="187" t="s">
        <v>941</v>
      </c>
      <c r="K7510" s="187" t="s">
        <v>239</v>
      </c>
      <c r="M7510" s="195"/>
      <c r="N7510" s="195"/>
      <c r="P7510" s="42" t="s">
        <v>2228</v>
      </c>
    </row>
    <row r="7511" spans="1:16" x14ac:dyDescent="0.2">
      <c r="A7511" s="183">
        <v>793</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CYP2B6*6/*6 genotype</v>
      </c>
      <c r="E7511" s="250" t="str">
        <f>IF(AND(A7511&lt;&gt;"",ISNUMBER(A7511)),VLOOKUP(A7511,Studies!A:BR,5,FALSE),"")</f>
        <v>Efavirenz</v>
      </c>
      <c r="F7511" s="251" t="str">
        <f>IF(AND(A7511&lt;&gt;"",ISNUMBER(A7511)),VLOOKUP(A7511,Studies!A:BR,6,FALSE),"")</f>
        <v>Plasma</v>
      </c>
      <c r="G7511" s="267">
        <v>5</v>
      </c>
      <c r="H7511" s="194" t="s">
        <v>60</v>
      </c>
      <c r="I7511" s="253">
        <v>1419.40524126122</v>
      </c>
      <c r="J7511" s="187" t="s">
        <v>941</v>
      </c>
      <c r="K7511" s="187" t="s">
        <v>239</v>
      </c>
      <c r="M7511" s="195"/>
      <c r="N7511" s="195"/>
      <c r="P7511" s="42" t="s">
        <v>2228</v>
      </c>
    </row>
    <row r="7512" spans="1:16" x14ac:dyDescent="0.2">
      <c r="A7512" s="183">
        <v>793</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CYP2B6*6/*6 genotype</v>
      </c>
      <c r="E7512" s="250" t="str">
        <f>IF(AND(A7512&lt;&gt;"",ISNUMBER(A7512)),VLOOKUP(A7512,Studies!A:BR,5,FALSE),"")</f>
        <v>Efavirenz</v>
      </c>
      <c r="F7512" s="251" t="str">
        <f>IF(AND(A7512&lt;&gt;"",ISNUMBER(A7512)),VLOOKUP(A7512,Studies!A:BR,6,FALSE),"")</f>
        <v>Plasma</v>
      </c>
      <c r="G7512" s="267">
        <v>5.0000999999999998</v>
      </c>
      <c r="H7512" s="194" t="s">
        <v>60</v>
      </c>
      <c r="I7512" s="253">
        <v>1598.57664575334</v>
      </c>
      <c r="J7512" s="187" t="s">
        <v>941</v>
      </c>
      <c r="K7512" s="187" t="s">
        <v>239</v>
      </c>
      <c r="M7512" s="195"/>
      <c r="N7512" s="195"/>
      <c r="P7512" s="42" t="s">
        <v>2228</v>
      </c>
    </row>
    <row r="7513" spans="1:16" x14ac:dyDescent="0.2">
      <c r="A7513" s="183">
        <v>793</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CYP2B6*6/*6 genotype</v>
      </c>
      <c r="E7513" s="250" t="str">
        <f>IF(AND(A7513&lt;&gt;"",ISNUMBER(A7513)),VLOOKUP(A7513,Studies!A:BR,5,FALSE),"")</f>
        <v>Efavirenz</v>
      </c>
      <c r="F7513" s="251" t="str">
        <f>IF(AND(A7513&lt;&gt;"",ISNUMBER(A7513)),VLOOKUP(A7513,Studies!A:BR,6,FALSE),"")</f>
        <v>Plasma</v>
      </c>
      <c r="G7513" s="267">
        <v>5.9999000000000002</v>
      </c>
      <c r="H7513" s="194" t="s">
        <v>60</v>
      </c>
      <c r="I7513" s="253">
        <v>1225.76485224673</v>
      </c>
      <c r="J7513" s="187" t="s">
        <v>941</v>
      </c>
      <c r="K7513" s="187" t="s">
        <v>239</v>
      </c>
      <c r="M7513" s="195"/>
      <c r="N7513" s="195"/>
      <c r="P7513" s="42" t="s">
        <v>2228</v>
      </c>
    </row>
    <row r="7514" spans="1:16" x14ac:dyDescent="0.2">
      <c r="A7514" s="183">
        <v>793</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CYP2B6*6/*6 genotype</v>
      </c>
      <c r="E7514" s="250" t="str">
        <f>IF(AND(A7514&lt;&gt;"",ISNUMBER(A7514)),VLOOKUP(A7514,Studies!A:BR,5,FALSE),"")</f>
        <v>Efavirenz</v>
      </c>
      <c r="F7514" s="251" t="str">
        <f>IF(AND(A7514&lt;&gt;"",ISNUMBER(A7514)),VLOOKUP(A7514,Studies!A:BR,6,FALSE),"")</f>
        <v>Plasma</v>
      </c>
      <c r="G7514" s="267">
        <v>6</v>
      </c>
      <c r="H7514" s="194" t="s">
        <v>60</v>
      </c>
      <c r="I7514" s="253">
        <v>1831.09707971586</v>
      </c>
      <c r="J7514" s="187" t="s">
        <v>941</v>
      </c>
      <c r="K7514" s="187" t="s">
        <v>239</v>
      </c>
      <c r="M7514" s="195"/>
      <c r="N7514" s="195"/>
      <c r="P7514" s="42" t="s">
        <v>2228</v>
      </c>
    </row>
    <row r="7515" spans="1:16" x14ac:dyDescent="0.2">
      <c r="A7515" s="30">
        <v>793</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CYP2B6*6/*6 genotype</v>
      </c>
      <c r="E7515" s="250" t="str">
        <f>IF(AND(A7515&lt;&gt;"",ISNUMBER(A7515)),VLOOKUP(A7515,Studies!A:BR,5,FALSE),"")</f>
        <v>Efavirenz</v>
      </c>
      <c r="F7515" s="251" t="str">
        <f>IF(AND(A7515&lt;&gt;"",ISNUMBER(A7515)),VLOOKUP(A7515,Studies!A:BR,6,FALSE),"")</f>
        <v>Plasma</v>
      </c>
      <c r="G7515" s="267">
        <v>6.0000999999999998</v>
      </c>
      <c r="H7515" s="50" t="s">
        <v>60</v>
      </c>
      <c r="I7515" s="253">
        <v>1085.3290168956401</v>
      </c>
      <c r="J7515" s="187" t="s">
        <v>941</v>
      </c>
      <c r="K7515" s="187" t="s">
        <v>239</v>
      </c>
      <c r="M7515" s="195"/>
      <c r="N7515" s="195"/>
      <c r="P7515" s="42" t="s">
        <v>2228</v>
      </c>
    </row>
    <row r="7516" spans="1:16" x14ac:dyDescent="0.2">
      <c r="A7516" s="30">
        <v>793</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CYP2B6*6/*6 genotype</v>
      </c>
      <c r="E7516" s="250" t="str">
        <f>IF(AND(A7516&lt;&gt;"",ISNUMBER(A7516)),VLOOKUP(A7516,Studies!A:BR,5,FALSE),"")</f>
        <v>Efavirenz</v>
      </c>
      <c r="F7516" s="251" t="str">
        <f>IF(AND(A7516&lt;&gt;"",ISNUMBER(A7516)),VLOOKUP(A7516,Studies!A:BR,6,FALSE),"")</f>
        <v>Plasma</v>
      </c>
      <c r="G7516" s="267">
        <v>7.9999000000000002</v>
      </c>
      <c r="H7516" s="50" t="s">
        <v>60</v>
      </c>
      <c r="I7516" s="253">
        <v>1177.4831779326501</v>
      </c>
      <c r="J7516" s="187" t="s">
        <v>941</v>
      </c>
      <c r="K7516" s="187" t="s">
        <v>239</v>
      </c>
      <c r="M7516" s="195"/>
      <c r="N7516" s="195"/>
      <c r="P7516" s="42" t="s">
        <v>2228</v>
      </c>
    </row>
    <row r="7517" spans="1:16" x14ac:dyDescent="0.2">
      <c r="A7517" s="30">
        <v>793</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CYP2B6*6/*6 genotype</v>
      </c>
      <c r="E7517" s="250" t="str">
        <f>IF(AND(A7517&lt;&gt;"",ISNUMBER(A7517)),VLOOKUP(A7517,Studies!A:BR,5,FALSE),"")</f>
        <v>Efavirenz</v>
      </c>
      <c r="F7517" s="251" t="str">
        <f>IF(AND(A7517&lt;&gt;"",ISNUMBER(A7517)),VLOOKUP(A7517,Studies!A:BR,6,FALSE),"")</f>
        <v>Plasma</v>
      </c>
      <c r="G7517" s="267">
        <v>8</v>
      </c>
      <c r="H7517" s="50" t="s">
        <v>60</v>
      </c>
      <c r="I7517" s="253">
        <v>1695.6483351838699</v>
      </c>
      <c r="J7517" s="187" t="s">
        <v>941</v>
      </c>
      <c r="K7517" s="187" t="s">
        <v>239</v>
      </c>
      <c r="M7517" s="195"/>
      <c r="N7517" s="195"/>
      <c r="P7517" s="42" t="s">
        <v>2228</v>
      </c>
    </row>
    <row r="7518" spans="1:16" x14ac:dyDescent="0.2">
      <c r="A7518" s="183">
        <v>793</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CYP2B6*6/*6 genotype</v>
      </c>
      <c r="E7518" s="250" t="str">
        <f>IF(AND(A7518&lt;&gt;"",ISNUMBER(A7518)),VLOOKUP(A7518,Studies!A:BR,5,FALSE),"")</f>
        <v>Efavirenz</v>
      </c>
      <c r="F7518" s="251" t="str">
        <f>IF(AND(A7518&lt;&gt;"",ISNUMBER(A7518)),VLOOKUP(A7518,Studies!A:BR,6,FALSE),"")</f>
        <v>Plasma</v>
      </c>
      <c r="G7518" s="267">
        <v>8.0000999999999998</v>
      </c>
      <c r="H7518" s="50" t="s">
        <v>60</v>
      </c>
      <c r="I7518" s="253">
        <v>1003.14903749682</v>
      </c>
      <c r="J7518" s="187" t="s">
        <v>941</v>
      </c>
      <c r="K7518" s="187" t="s">
        <v>239</v>
      </c>
      <c r="M7518" s="195"/>
      <c r="N7518" s="195"/>
      <c r="P7518" s="42" t="s">
        <v>2228</v>
      </c>
    </row>
    <row r="7519" spans="1:16" x14ac:dyDescent="0.2">
      <c r="A7519" s="183">
        <v>793</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CYP2B6*6/*6 genotype</v>
      </c>
      <c r="E7519" s="250" t="str">
        <f>IF(AND(A7519&lt;&gt;"",ISNUMBER(A7519)),VLOOKUP(A7519,Studies!A:BR,5,FALSE),"")</f>
        <v>Efavirenz</v>
      </c>
      <c r="F7519" s="251" t="str">
        <f>IF(AND(A7519&lt;&gt;"",ISNUMBER(A7519)),VLOOKUP(A7519,Studies!A:BR,6,FALSE),"")</f>
        <v>Plasma</v>
      </c>
      <c r="G7519" s="267">
        <v>9.9999000000000002</v>
      </c>
      <c r="H7519" s="50" t="s">
        <v>60</v>
      </c>
      <c r="I7519" s="253">
        <v>1090.4552325659099</v>
      </c>
      <c r="J7519" s="187" t="s">
        <v>941</v>
      </c>
      <c r="K7519" s="187" t="s">
        <v>239</v>
      </c>
      <c r="M7519" s="195"/>
      <c r="N7519" s="195"/>
      <c r="P7519" s="42" t="s">
        <v>2228</v>
      </c>
    </row>
    <row r="7520" spans="1:16" x14ac:dyDescent="0.2">
      <c r="A7520" s="183">
        <v>793</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CYP2B6*6/*6 genotype</v>
      </c>
      <c r="E7520" s="250" t="str">
        <f>IF(AND(A7520&lt;&gt;"",ISNUMBER(A7520)),VLOOKUP(A7520,Studies!A:BR,5,FALSE),"")</f>
        <v>Efavirenz</v>
      </c>
      <c r="F7520" s="251" t="str">
        <f>IF(AND(A7520&lt;&gt;"",ISNUMBER(A7520)),VLOOKUP(A7520,Studies!A:BR,6,FALSE),"")</f>
        <v>Plasma</v>
      </c>
      <c r="G7520" s="267">
        <v>10</v>
      </c>
      <c r="H7520" s="50" t="s">
        <v>60</v>
      </c>
      <c r="I7520" s="253">
        <v>1327.7487191149501</v>
      </c>
      <c r="J7520" s="187" t="s">
        <v>941</v>
      </c>
      <c r="K7520" s="187" t="s">
        <v>239</v>
      </c>
      <c r="M7520" s="195"/>
      <c r="N7520" s="195"/>
      <c r="P7520" s="42" t="s">
        <v>2228</v>
      </c>
    </row>
    <row r="7521" spans="1:16" x14ac:dyDescent="0.2">
      <c r="A7521" s="183">
        <v>793</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CYP2B6*6/*6 genotype</v>
      </c>
      <c r="E7521" s="250" t="str">
        <f>IF(AND(A7521&lt;&gt;"",ISNUMBER(A7521)),VLOOKUP(A7521,Studies!A:BR,5,FALSE),"")</f>
        <v>Efavirenz</v>
      </c>
      <c r="F7521" s="251" t="str">
        <f>IF(AND(A7521&lt;&gt;"",ISNUMBER(A7521)),VLOOKUP(A7521,Studies!A:BR,6,FALSE),"")</f>
        <v>Plasma</v>
      </c>
      <c r="G7521" s="267">
        <v>10.0001</v>
      </c>
      <c r="H7521" s="50" t="s">
        <v>60</v>
      </c>
      <c r="I7521" s="253">
        <v>979.07508728746598</v>
      </c>
      <c r="J7521" s="187" t="s">
        <v>941</v>
      </c>
      <c r="K7521" s="187" t="s">
        <v>239</v>
      </c>
      <c r="M7521" s="195"/>
      <c r="N7521" s="195"/>
      <c r="P7521" s="42" t="s">
        <v>2228</v>
      </c>
    </row>
    <row r="7522" spans="1:16" x14ac:dyDescent="0.2">
      <c r="A7522" s="183">
        <v>793</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CYP2B6*6/*6 genotype</v>
      </c>
      <c r="E7522" s="250" t="str">
        <f>IF(AND(A7522&lt;&gt;"",ISNUMBER(A7522)),VLOOKUP(A7522,Studies!A:BR,5,FALSE),"")</f>
        <v>Efavirenz</v>
      </c>
      <c r="F7522" s="251" t="str">
        <f>IF(AND(A7522&lt;&gt;"",ISNUMBER(A7522)),VLOOKUP(A7522,Studies!A:BR,6,FALSE),"")</f>
        <v>Plasma</v>
      </c>
      <c r="G7522" s="267">
        <v>11.9999</v>
      </c>
      <c r="H7522" s="50" t="s">
        <v>60</v>
      </c>
      <c r="I7522" s="253">
        <v>1269.7711128650301</v>
      </c>
      <c r="J7522" s="187" t="s">
        <v>941</v>
      </c>
      <c r="K7522" s="187" t="s">
        <v>239</v>
      </c>
      <c r="M7522" s="195"/>
      <c r="N7522" s="195"/>
      <c r="P7522" s="42" t="s">
        <v>2228</v>
      </c>
    </row>
    <row r="7523" spans="1:16" x14ac:dyDescent="0.2">
      <c r="A7523" s="30">
        <v>793</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CYP2B6*6/*6 genotype</v>
      </c>
      <c r="E7523" s="250" t="str">
        <f>IF(AND(A7523&lt;&gt;"",ISNUMBER(A7523)),VLOOKUP(A7523,Studies!A:BR,5,FALSE),"")</f>
        <v>Efavirenz</v>
      </c>
      <c r="F7523" s="251" t="str">
        <f>IF(AND(A7523&lt;&gt;"",ISNUMBER(A7523)),VLOOKUP(A7523,Studies!A:BR,6,FALSE),"")</f>
        <v>Plasma</v>
      </c>
      <c r="G7523" s="267">
        <v>12</v>
      </c>
      <c r="H7523" s="194" t="s">
        <v>60</v>
      </c>
      <c r="I7523" s="253">
        <v>896.88975693283203</v>
      </c>
      <c r="J7523" s="41" t="s">
        <v>941</v>
      </c>
      <c r="K7523" s="187" t="s">
        <v>239</v>
      </c>
      <c r="N7523" s="195"/>
      <c r="P7523" s="42" t="s">
        <v>2228</v>
      </c>
    </row>
    <row r="7524" spans="1:16" x14ac:dyDescent="0.2">
      <c r="A7524" s="30">
        <v>793</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CYP2B6*6/*6 genotype</v>
      </c>
      <c r="E7524" s="250" t="str">
        <f>IF(AND(A7524&lt;&gt;"",ISNUMBER(A7524)),VLOOKUP(A7524,Studies!A:BR,5,FALSE),"")</f>
        <v>Efavirenz</v>
      </c>
      <c r="F7524" s="251" t="str">
        <f>IF(AND(A7524&lt;&gt;"",ISNUMBER(A7524)),VLOOKUP(A7524,Studies!A:BR,6,FALSE),"")</f>
        <v>Plasma</v>
      </c>
      <c r="G7524" s="267">
        <v>12.0001</v>
      </c>
      <c r="H7524" s="194" t="s">
        <v>60</v>
      </c>
      <c r="I7524" s="253">
        <v>950.15852206600402</v>
      </c>
      <c r="J7524" s="187" t="s">
        <v>941</v>
      </c>
      <c r="K7524" s="187" t="s">
        <v>239</v>
      </c>
      <c r="N7524" s="195"/>
      <c r="P7524" s="188" t="s">
        <v>2228</v>
      </c>
    </row>
    <row r="7525" spans="1:16" x14ac:dyDescent="0.2">
      <c r="A7525" s="30">
        <v>793</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CYP2B6*6/*6 genotype</v>
      </c>
      <c r="E7525" s="250" t="str">
        <f>IF(AND(A7525&lt;&gt;"",ISNUMBER(A7525)),VLOOKUP(A7525,Studies!A:BR,5,FALSE),"")</f>
        <v>Efavirenz</v>
      </c>
      <c r="F7525" s="251" t="str">
        <f>IF(AND(A7525&lt;&gt;"",ISNUMBER(A7525)),VLOOKUP(A7525,Studies!A:BR,6,FALSE),"")</f>
        <v>Plasma</v>
      </c>
      <c r="G7525" s="267">
        <v>23.9999</v>
      </c>
      <c r="H7525" s="194" t="s">
        <v>60</v>
      </c>
      <c r="I7525" s="253">
        <v>946.14530520514199</v>
      </c>
      <c r="J7525" s="187" t="s">
        <v>941</v>
      </c>
      <c r="K7525" s="187" t="s">
        <v>239</v>
      </c>
      <c r="N7525" s="195"/>
      <c r="P7525" s="188" t="s">
        <v>2228</v>
      </c>
    </row>
    <row r="7526" spans="1:16" x14ac:dyDescent="0.2">
      <c r="A7526" s="30">
        <v>793</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CYP2B6*6/*6 genotype</v>
      </c>
      <c r="E7526" s="250" t="str">
        <f>IF(AND(A7526&lt;&gt;"",ISNUMBER(A7526)),VLOOKUP(A7526,Studies!A:BR,5,FALSE),"")</f>
        <v>Efavirenz</v>
      </c>
      <c r="F7526" s="251" t="str">
        <f>IF(AND(A7526&lt;&gt;"",ISNUMBER(A7526)),VLOOKUP(A7526,Studies!A:BR,6,FALSE),"")</f>
        <v>Plasma</v>
      </c>
      <c r="G7526" s="267">
        <v>24</v>
      </c>
      <c r="H7526" s="194" t="s">
        <v>60</v>
      </c>
      <c r="I7526" s="253">
        <v>742.76082565248203</v>
      </c>
      <c r="J7526" s="187" t="s">
        <v>941</v>
      </c>
      <c r="K7526" s="187" t="s">
        <v>239</v>
      </c>
      <c r="N7526" s="195"/>
      <c r="P7526" s="188" t="s">
        <v>2228</v>
      </c>
    </row>
    <row r="7527" spans="1:16" x14ac:dyDescent="0.2">
      <c r="A7527" s="30">
        <v>793</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CYP2B6*6/*6 genotype</v>
      </c>
      <c r="E7527" s="250" t="str">
        <f>IF(AND(A7527&lt;&gt;"",ISNUMBER(A7527)),VLOOKUP(A7527,Studies!A:BR,5,FALSE),"")</f>
        <v>Efavirenz</v>
      </c>
      <c r="F7527" s="251" t="str">
        <f>IF(AND(A7527&lt;&gt;"",ISNUMBER(A7527)),VLOOKUP(A7527,Studies!A:BR,6,FALSE),"")</f>
        <v>Plasma</v>
      </c>
      <c r="G7527" s="267">
        <v>24.0001</v>
      </c>
      <c r="H7527" s="194" t="s">
        <v>60</v>
      </c>
      <c r="I7527" s="253">
        <v>834.76515992669101</v>
      </c>
      <c r="J7527" s="187" t="s">
        <v>941</v>
      </c>
      <c r="K7527" s="187" t="s">
        <v>239</v>
      </c>
      <c r="N7527" s="195"/>
      <c r="P7527" s="188" t="s">
        <v>2228</v>
      </c>
    </row>
    <row r="7528" spans="1:16" x14ac:dyDescent="0.2">
      <c r="A7528" s="30">
        <v>793</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CYP2B6*6/*6 genotype</v>
      </c>
      <c r="E7528" s="250" t="str">
        <f>IF(AND(A7528&lt;&gt;"",ISNUMBER(A7528)),VLOOKUP(A7528,Studies!A:BR,5,FALSE),"")</f>
        <v>Efavirenz</v>
      </c>
      <c r="F7528" s="251" t="str">
        <f>IF(AND(A7528&lt;&gt;"",ISNUMBER(A7528)),VLOOKUP(A7528,Studies!A:BR,6,FALSE),"")</f>
        <v>Plasma</v>
      </c>
      <c r="G7528" s="267">
        <v>47.999899999999997</v>
      </c>
      <c r="H7528" s="194" t="s">
        <v>60</v>
      </c>
      <c r="I7528" s="253">
        <v>599.13582063596095</v>
      </c>
      <c r="J7528" s="187" t="s">
        <v>941</v>
      </c>
      <c r="K7528" s="187" t="s">
        <v>239</v>
      </c>
      <c r="N7528" s="195"/>
      <c r="P7528" s="188" t="s">
        <v>2228</v>
      </c>
    </row>
    <row r="7529" spans="1:16" x14ac:dyDescent="0.2">
      <c r="A7529" s="30">
        <v>793</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CYP2B6*6/*6 genotype</v>
      </c>
      <c r="E7529" s="250" t="str">
        <f>IF(AND(A7529&lt;&gt;"",ISNUMBER(A7529)),VLOOKUP(A7529,Studies!A:BR,5,FALSE),"")</f>
        <v>Efavirenz</v>
      </c>
      <c r="F7529" s="251" t="str">
        <f>IF(AND(A7529&lt;&gt;"",ISNUMBER(A7529)),VLOOKUP(A7529,Studies!A:BR,6,FALSE),"")</f>
        <v>Plasma</v>
      </c>
      <c r="G7529" s="267">
        <v>48</v>
      </c>
      <c r="H7529" s="194" t="s">
        <v>60</v>
      </c>
      <c r="I7529" s="253">
        <v>536.181825478576</v>
      </c>
      <c r="J7529" s="187" t="s">
        <v>941</v>
      </c>
      <c r="K7529" s="187" t="s">
        <v>239</v>
      </c>
      <c r="N7529" s="195"/>
      <c r="P7529" s="188" t="s">
        <v>2228</v>
      </c>
    </row>
    <row r="7530" spans="1:16" x14ac:dyDescent="0.2">
      <c r="A7530" s="30">
        <v>793</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CYP2B6*6/*6 genotype</v>
      </c>
      <c r="E7530" s="250" t="str">
        <f>IF(AND(A7530&lt;&gt;"",ISNUMBER(A7530)),VLOOKUP(A7530,Studies!A:BR,5,FALSE),"")</f>
        <v>Efavirenz</v>
      </c>
      <c r="F7530" s="251" t="str">
        <f>IF(AND(A7530&lt;&gt;"",ISNUMBER(A7530)),VLOOKUP(A7530,Studies!A:BR,6,FALSE),"")</f>
        <v>Plasma</v>
      </c>
      <c r="G7530" s="267">
        <v>48.000100000000003</v>
      </c>
      <c r="H7530" s="194" t="s">
        <v>60</v>
      </c>
      <c r="I7530" s="253">
        <v>574.92274557542805</v>
      </c>
      <c r="J7530" s="187" t="s">
        <v>941</v>
      </c>
      <c r="K7530" s="187" t="s">
        <v>239</v>
      </c>
      <c r="M7530" s="195"/>
      <c r="N7530" s="195"/>
      <c r="P7530" s="188" t="s">
        <v>2228</v>
      </c>
    </row>
    <row r="7531" spans="1:16" x14ac:dyDescent="0.2">
      <c r="A7531" s="30">
        <v>793</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CYP2B6*6/*6 genotype</v>
      </c>
      <c r="E7531" s="250" t="str">
        <f>IF(AND(A7531&lt;&gt;"",ISNUMBER(A7531)),VLOOKUP(A7531,Studies!A:BR,5,FALSE),"")</f>
        <v>Efavirenz</v>
      </c>
      <c r="F7531" s="251" t="str">
        <f>IF(AND(A7531&lt;&gt;"",ISNUMBER(A7531)),VLOOKUP(A7531,Studies!A:BR,6,FALSE),"")</f>
        <v>Plasma</v>
      </c>
      <c r="G7531" s="267">
        <v>71.999899999999997</v>
      </c>
      <c r="H7531" s="194" t="s">
        <v>60</v>
      </c>
      <c r="I7531" s="253">
        <v>562.05369684159803</v>
      </c>
      <c r="J7531" s="187" t="s">
        <v>941</v>
      </c>
      <c r="K7531" s="187" t="s">
        <v>239</v>
      </c>
      <c r="M7531" s="195"/>
      <c r="N7531" s="195"/>
      <c r="P7531" s="188" t="s">
        <v>2228</v>
      </c>
    </row>
    <row r="7532" spans="1:16" x14ac:dyDescent="0.2">
      <c r="A7532" s="30">
        <v>793</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CYP2B6*6/*6 genotype</v>
      </c>
      <c r="E7532" s="250" t="str">
        <f>IF(AND(A7532&lt;&gt;"",ISNUMBER(A7532)),VLOOKUP(A7532,Studies!A:BR,5,FALSE),"")</f>
        <v>Efavirenz</v>
      </c>
      <c r="F7532" s="251" t="str">
        <f>IF(AND(A7532&lt;&gt;"",ISNUMBER(A7532)),VLOOKUP(A7532,Studies!A:BR,6,FALSE),"")</f>
        <v>Plasma</v>
      </c>
      <c r="G7532" s="267">
        <v>72</v>
      </c>
      <c r="H7532" s="194" t="s">
        <v>60</v>
      </c>
      <c r="I7532" s="253">
        <v>518.47016173263899</v>
      </c>
      <c r="J7532" s="187" t="s">
        <v>941</v>
      </c>
      <c r="K7532" s="187" t="s">
        <v>239</v>
      </c>
      <c r="M7532" s="195"/>
      <c r="N7532" s="195"/>
      <c r="P7532" s="188" t="s">
        <v>2228</v>
      </c>
    </row>
    <row r="7533" spans="1:16" x14ac:dyDescent="0.2">
      <c r="A7533" s="30">
        <v>793</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CYP2B6*6/*6 genotype</v>
      </c>
      <c r="E7533" s="250" t="str">
        <f>IF(AND(A7533&lt;&gt;"",ISNUMBER(A7533)),VLOOKUP(A7533,Studies!A:BR,5,FALSE),"")</f>
        <v>Efavirenz</v>
      </c>
      <c r="F7533" s="251" t="str">
        <f>IF(AND(A7533&lt;&gt;"",ISNUMBER(A7533)),VLOOKUP(A7533,Studies!A:BR,6,FALSE),"")</f>
        <v>Plasma</v>
      </c>
      <c r="G7533" s="267">
        <v>72.000100000000003</v>
      </c>
      <c r="H7533" s="194" t="s">
        <v>60</v>
      </c>
      <c r="I7533" s="253">
        <v>513.62754672053302</v>
      </c>
      <c r="J7533" s="187" t="s">
        <v>941</v>
      </c>
      <c r="K7533" s="187" t="s">
        <v>239</v>
      </c>
      <c r="M7533" s="195"/>
      <c r="N7533" s="195"/>
      <c r="P7533" s="188" t="s">
        <v>2228</v>
      </c>
    </row>
    <row r="7534" spans="1:16" x14ac:dyDescent="0.2">
      <c r="A7534" s="30">
        <v>794</v>
      </c>
      <c r="B7534" s="249" t="str">
        <f>IF(AND(A7534&lt;&gt;"",ISNUMBER(A7534)),VLOOKUP(A7534,Studies!A:BR,2,FALSE),"")</f>
        <v>Damle 2008</v>
      </c>
      <c r="C7534" s="250" t="str">
        <f>IF(AND(A7534&lt;&gt;"",ISNUMBER(A7534)),VLOOKUP(A7534,Studies!A:BR,3,FALSE),"")</f>
        <v>https://www.ncbi.nlm.nih.gov/pubmed/18294336</v>
      </c>
      <c r="D7534" s="250" t="str">
        <f>IF(AND(A7534&lt;&gt;"",ISNUMBER(A7534)),VLOOKUP(A7534,Studies!A:BR,4,FALSE),"")</f>
        <v>Efavirenz alone</v>
      </c>
      <c r="E7534" s="250" t="str">
        <f>IF(AND(A7534&lt;&gt;"",ISNUMBER(A7534)),VLOOKUP(A7534,Studies!A:BR,5,FALSE),"")</f>
        <v>Efavirenz</v>
      </c>
      <c r="F7534" s="251" t="str">
        <f>IF(AND(A7534&lt;&gt;"",ISNUMBER(A7534)),VLOOKUP(A7534,Studies!A:BR,6,FALSE),"")</f>
        <v>Plasma</v>
      </c>
      <c r="G7534" s="194">
        <v>192</v>
      </c>
      <c r="H7534" s="194" t="s">
        <v>60</v>
      </c>
      <c r="I7534" s="187">
        <v>3.0283289999999998</v>
      </c>
      <c r="J7534" s="187" t="s">
        <v>959</v>
      </c>
      <c r="K7534" s="187" t="s">
        <v>116</v>
      </c>
      <c r="M7534" s="195"/>
      <c r="N7534" s="195"/>
      <c r="P7534" s="188"/>
    </row>
    <row r="7535" spans="1:16" x14ac:dyDescent="0.2">
      <c r="A7535" s="30">
        <v>794</v>
      </c>
      <c r="B7535" s="249" t="str">
        <f>IF(AND(A7535&lt;&gt;"",ISNUMBER(A7535)),VLOOKUP(A7535,Studies!A:BR,2,FALSE),"")</f>
        <v>Damle 2008</v>
      </c>
      <c r="C7535" s="250" t="str">
        <f>IF(AND(A7535&lt;&gt;"",ISNUMBER(A7535)),VLOOKUP(A7535,Studies!A:BR,3,FALSE),"")</f>
        <v>https://www.ncbi.nlm.nih.gov/pubmed/18294336</v>
      </c>
      <c r="D7535" s="250" t="str">
        <f>IF(AND(A7535&lt;&gt;"",ISNUMBER(A7535)),VLOOKUP(A7535,Studies!A:BR,4,FALSE),"")</f>
        <v>Efavirenz alone</v>
      </c>
      <c r="E7535" s="250" t="str">
        <f>IF(AND(A7535&lt;&gt;"",ISNUMBER(A7535)),VLOOKUP(A7535,Studies!A:BR,5,FALSE),"")</f>
        <v>Efavirenz</v>
      </c>
      <c r="F7535" s="251" t="str">
        <f>IF(AND(A7535&lt;&gt;"",ISNUMBER(A7535)),VLOOKUP(A7535,Studies!A:BR,6,FALSE),"")</f>
        <v>Plasma</v>
      </c>
      <c r="G7535" s="194">
        <v>192.5</v>
      </c>
      <c r="H7535" s="194" t="s">
        <v>60</v>
      </c>
      <c r="I7535" s="187">
        <v>3.2152970000000001</v>
      </c>
      <c r="J7535" s="187" t="s">
        <v>959</v>
      </c>
      <c r="K7535" s="187" t="s">
        <v>116</v>
      </c>
      <c r="M7535" s="195"/>
      <c r="N7535" s="195"/>
      <c r="P7535" s="188"/>
    </row>
    <row r="7536" spans="1:16" x14ac:dyDescent="0.2">
      <c r="A7536" s="30">
        <v>794</v>
      </c>
      <c r="B7536" s="249" t="str">
        <f>IF(AND(A7536&lt;&gt;"",ISNUMBER(A7536)),VLOOKUP(A7536,Studies!A:BR,2,FALSE),"")</f>
        <v>Damle 2008</v>
      </c>
      <c r="C7536" s="250" t="str">
        <f>IF(AND(A7536&lt;&gt;"",ISNUMBER(A7536)),VLOOKUP(A7536,Studies!A:BR,3,FALSE),"")</f>
        <v>https://www.ncbi.nlm.nih.gov/pubmed/18294336</v>
      </c>
      <c r="D7536" s="250" t="str">
        <f>IF(AND(A7536&lt;&gt;"",ISNUMBER(A7536)),VLOOKUP(A7536,Studies!A:BR,4,FALSE),"")</f>
        <v>Efavirenz alone</v>
      </c>
      <c r="E7536" s="250" t="str">
        <f>IF(AND(A7536&lt;&gt;"",ISNUMBER(A7536)),VLOOKUP(A7536,Studies!A:BR,5,FALSE),"")</f>
        <v>Efavirenz</v>
      </c>
      <c r="F7536" s="251" t="str">
        <f>IF(AND(A7536&lt;&gt;"",ISNUMBER(A7536)),VLOOKUP(A7536,Studies!A:BR,6,FALSE),"")</f>
        <v>Plasma</v>
      </c>
      <c r="G7536" s="194">
        <v>193</v>
      </c>
      <c r="H7536" s="194" t="s">
        <v>60</v>
      </c>
      <c r="I7536" s="187">
        <v>4.0594900000000003</v>
      </c>
      <c r="J7536" s="187" t="s">
        <v>959</v>
      </c>
      <c r="K7536" s="187" t="s">
        <v>116</v>
      </c>
      <c r="M7536" s="195"/>
      <c r="N7536" s="195"/>
      <c r="P7536" s="188"/>
    </row>
    <row r="7537" spans="1:16" x14ac:dyDescent="0.2">
      <c r="A7537" s="30">
        <v>794</v>
      </c>
      <c r="B7537" s="249" t="str">
        <f>IF(AND(A7537&lt;&gt;"",ISNUMBER(A7537)),VLOOKUP(A7537,Studies!A:BR,2,FALSE),"")</f>
        <v>Damle 2008</v>
      </c>
      <c r="C7537" s="250" t="str">
        <f>IF(AND(A7537&lt;&gt;"",ISNUMBER(A7537)),VLOOKUP(A7537,Studies!A:BR,3,FALSE),"")</f>
        <v>https://www.ncbi.nlm.nih.gov/pubmed/18294336</v>
      </c>
      <c r="D7537" s="250" t="str">
        <f>IF(AND(A7537&lt;&gt;"",ISNUMBER(A7537)),VLOOKUP(A7537,Studies!A:BR,4,FALSE),"")</f>
        <v>Efavirenz alone</v>
      </c>
      <c r="E7537" s="250" t="str">
        <f>IF(AND(A7537&lt;&gt;"",ISNUMBER(A7537)),VLOOKUP(A7537,Studies!A:BR,5,FALSE),"")</f>
        <v>Efavirenz</v>
      </c>
      <c r="F7537" s="251" t="str">
        <f>IF(AND(A7537&lt;&gt;"",ISNUMBER(A7537)),VLOOKUP(A7537,Studies!A:BR,6,FALSE),"")</f>
        <v>Plasma</v>
      </c>
      <c r="G7537" s="194">
        <v>194</v>
      </c>
      <c r="H7537" s="194" t="s">
        <v>60</v>
      </c>
      <c r="I7537" s="187">
        <v>5.5212459999999997</v>
      </c>
      <c r="J7537" s="187" t="s">
        <v>959</v>
      </c>
      <c r="K7537" s="187" t="s">
        <v>116</v>
      </c>
      <c r="M7537" s="195"/>
      <c r="N7537" s="195"/>
      <c r="P7537" s="188"/>
    </row>
    <row r="7538" spans="1:16" x14ac:dyDescent="0.2">
      <c r="A7538" s="30">
        <v>794</v>
      </c>
      <c r="B7538" s="249" t="str">
        <f>IF(AND(A7538&lt;&gt;"",ISNUMBER(A7538)),VLOOKUP(A7538,Studies!A:BR,2,FALSE),"")</f>
        <v>Damle 2008</v>
      </c>
      <c r="C7538" s="250" t="str">
        <f>IF(AND(A7538&lt;&gt;"",ISNUMBER(A7538)),VLOOKUP(A7538,Studies!A:BR,3,FALSE),"")</f>
        <v>https://www.ncbi.nlm.nih.gov/pubmed/18294336</v>
      </c>
      <c r="D7538" s="250" t="str">
        <f>IF(AND(A7538&lt;&gt;"",ISNUMBER(A7538)),VLOOKUP(A7538,Studies!A:BR,4,FALSE),"")</f>
        <v>Efavirenz alone</v>
      </c>
      <c r="E7538" s="250" t="str">
        <f>IF(AND(A7538&lt;&gt;"",ISNUMBER(A7538)),VLOOKUP(A7538,Studies!A:BR,5,FALSE),"")</f>
        <v>Efavirenz</v>
      </c>
      <c r="F7538" s="251" t="str">
        <f>IF(AND(A7538&lt;&gt;"",ISNUMBER(A7538)),VLOOKUP(A7538,Studies!A:BR,6,FALSE),"")</f>
        <v>Plasma</v>
      </c>
      <c r="G7538" s="194">
        <v>196</v>
      </c>
      <c r="H7538" s="194" t="s">
        <v>60</v>
      </c>
      <c r="I7538" s="187">
        <v>5.6515579999999996</v>
      </c>
      <c r="J7538" s="187" t="s">
        <v>959</v>
      </c>
      <c r="K7538" s="187" t="s">
        <v>116</v>
      </c>
      <c r="M7538" s="195"/>
      <c r="N7538" s="195"/>
      <c r="P7538" s="188"/>
    </row>
    <row r="7539" spans="1:16" x14ac:dyDescent="0.2">
      <c r="A7539" s="30">
        <v>794</v>
      </c>
      <c r="B7539" s="249" t="str">
        <f>IF(AND(A7539&lt;&gt;"",ISNUMBER(A7539)),VLOOKUP(A7539,Studies!A:BR,2,FALSE),"")</f>
        <v>Damle 2008</v>
      </c>
      <c r="C7539" s="250" t="str">
        <f>IF(AND(A7539&lt;&gt;"",ISNUMBER(A7539)),VLOOKUP(A7539,Studies!A:BR,3,FALSE),"")</f>
        <v>https://www.ncbi.nlm.nih.gov/pubmed/18294336</v>
      </c>
      <c r="D7539" s="250" t="str">
        <f>IF(AND(A7539&lt;&gt;"",ISNUMBER(A7539)),VLOOKUP(A7539,Studies!A:BR,4,FALSE),"")</f>
        <v>Efavirenz alone</v>
      </c>
      <c r="E7539" s="250" t="str">
        <f>IF(AND(A7539&lt;&gt;"",ISNUMBER(A7539)),VLOOKUP(A7539,Studies!A:BR,5,FALSE),"")</f>
        <v>Efavirenz</v>
      </c>
      <c r="F7539" s="251" t="str">
        <f>IF(AND(A7539&lt;&gt;"",ISNUMBER(A7539)),VLOOKUP(A7539,Studies!A:BR,6,FALSE),"")</f>
        <v>Plasma</v>
      </c>
      <c r="G7539" s="194">
        <v>198</v>
      </c>
      <c r="H7539" s="194" t="s">
        <v>60</v>
      </c>
      <c r="I7539" s="187">
        <v>5.0226629999999997</v>
      </c>
      <c r="J7539" s="187" t="s">
        <v>959</v>
      </c>
      <c r="K7539" s="187" t="s">
        <v>116</v>
      </c>
      <c r="M7539" s="195"/>
      <c r="N7539" s="195"/>
      <c r="P7539" s="188"/>
    </row>
    <row r="7540" spans="1:16" x14ac:dyDescent="0.2">
      <c r="A7540" s="30">
        <v>794</v>
      </c>
      <c r="B7540" s="249" t="str">
        <f>IF(AND(A7540&lt;&gt;"",ISNUMBER(A7540)),VLOOKUP(A7540,Studies!A:BR,2,FALSE),"")</f>
        <v>Damle 2008</v>
      </c>
      <c r="C7540" s="250" t="str">
        <f>IF(AND(A7540&lt;&gt;"",ISNUMBER(A7540)),VLOOKUP(A7540,Studies!A:BR,3,FALSE),"")</f>
        <v>https://www.ncbi.nlm.nih.gov/pubmed/18294336</v>
      </c>
      <c r="D7540" s="250" t="str">
        <f>IF(AND(A7540&lt;&gt;"",ISNUMBER(A7540)),VLOOKUP(A7540,Studies!A:BR,4,FALSE),"")</f>
        <v>Efavirenz alone</v>
      </c>
      <c r="E7540" s="250" t="str">
        <f>IF(AND(A7540&lt;&gt;"",ISNUMBER(A7540)),VLOOKUP(A7540,Studies!A:BR,5,FALSE),"")</f>
        <v>Efavirenz</v>
      </c>
      <c r="F7540" s="251" t="str">
        <f>IF(AND(A7540&lt;&gt;"",ISNUMBER(A7540)),VLOOKUP(A7540,Studies!A:BR,6,FALSE),"")</f>
        <v>Plasma</v>
      </c>
      <c r="G7540" s="194">
        <v>200</v>
      </c>
      <c r="H7540" s="194" t="s">
        <v>60</v>
      </c>
      <c r="I7540" s="187">
        <v>4.4844189999999999</v>
      </c>
      <c r="J7540" s="187" t="s">
        <v>959</v>
      </c>
      <c r="K7540" s="187" t="s">
        <v>116</v>
      </c>
      <c r="M7540" s="195"/>
      <c r="N7540" s="195"/>
      <c r="P7540" s="188"/>
    </row>
    <row r="7541" spans="1:16" x14ac:dyDescent="0.2">
      <c r="A7541" s="30">
        <v>794</v>
      </c>
      <c r="B7541" s="249" t="str">
        <f>IF(AND(A7541&lt;&gt;"",ISNUMBER(A7541)),VLOOKUP(A7541,Studies!A:BR,2,FALSE),"")</f>
        <v>Damle 2008</v>
      </c>
      <c r="C7541" s="250" t="str">
        <f>IF(AND(A7541&lt;&gt;"",ISNUMBER(A7541)),VLOOKUP(A7541,Studies!A:BR,3,FALSE),"")</f>
        <v>https://www.ncbi.nlm.nih.gov/pubmed/18294336</v>
      </c>
      <c r="D7541" s="250" t="str">
        <f>IF(AND(A7541&lt;&gt;"",ISNUMBER(A7541)),VLOOKUP(A7541,Studies!A:BR,4,FALSE),"")</f>
        <v>Efavirenz alone</v>
      </c>
      <c r="E7541" s="250" t="str">
        <f>IF(AND(A7541&lt;&gt;"",ISNUMBER(A7541)),VLOOKUP(A7541,Studies!A:BR,5,FALSE),"")</f>
        <v>Efavirenz</v>
      </c>
      <c r="F7541" s="251" t="str">
        <f>IF(AND(A7541&lt;&gt;"",ISNUMBER(A7541)),VLOOKUP(A7541,Studies!A:BR,6,FALSE),"")</f>
        <v>Plasma</v>
      </c>
      <c r="G7541" s="194">
        <v>202</v>
      </c>
      <c r="H7541" s="194" t="s">
        <v>60</v>
      </c>
      <c r="I7541" s="187">
        <v>3.974504</v>
      </c>
      <c r="J7541" s="187" t="s">
        <v>959</v>
      </c>
      <c r="K7541" s="187" t="s">
        <v>116</v>
      </c>
      <c r="M7541" s="195"/>
      <c r="N7541" s="195"/>
      <c r="P7541" s="188"/>
    </row>
    <row r="7542" spans="1:16" x14ac:dyDescent="0.2">
      <c r="A7542" s="30">
        <v>794</v>
      </c>
      <c r="B7542" s="249" t="str">
        <f>IF(AND(A7542&lt;&gt;"",ISNUMBER(A7542)),VLOOKUP(A7542,Studies!A:BR,2,FALSE),"")</f>
        <v>Damle 2008</v>
      </c>
      <c r="C7542" s="250" t="str">
        <f>IF(AND(A7542&lt;&gt;"",ISNUMBER(A7542)),VLOOKUP(A7542,Studies!A:BR,3,FALSE),"")</f>
        <v>https://www.ncbi.nlm.nih.gov/pubmed/18294336</v>
      </c>
      <c r="D7542" s="250" t="str">
        <f>IF(AND(A7542&lt;&gt;"",ISNUMBER(A7542)),VLOOKUP(A7542,Studies!A:BR,4,FALSE),"")</f>
        <v>Efavirenz alone</v>
      </c>
      <c r="E7542" s="250" t="str">
        <f>IF(AND(A7542&lt;&gt;"",ISNUMBER(A7542)),VLOOKUP(A7542,Studies!A:BR,5,FALSE),"")</f>
        <v>Efavirenz</v>
      </c>
      <c r="F7542" s="251" t="str">
        <f>IF(AND(A7542&lt;&gt;"",ISNUMBER(A7542)),VLOOKUP(A7542,Studies!A:BR,6,FALSE),"")</f>
        <v>Plasma</v>
      </c>
      <c r="G7542" s="194">
        <v>204</v>
      </c>
      <c r="H7542" s="194" t="s">
        <v>60</v>
      </c>
      <c r="I7542" s="187">
        <v>4.0764870000000002</v>
      </c>
      <c r="J7542" s="187" t="s">
        <v>959</v>
      </c>
      <c r="K7542" s="187" t="s">
        <v>116</v>
      </c>
      <c r="M7542" s="195"/>
      <c r="N7542" s="195"/>
      <c r="P7542" s="188"/>
    </row>
    <row r="7543" spans="1:16" x14ac:dyDescent="0.2">
      <c r="A7543" s="30">
        <v>794</v>
      </c>
      <c r="B7543" s="249" t="str">
        <f>IF(AND(A7543&lt;&gt;"",ISNUMBER(A7543)),VLOOKUP(A7543,Studies!A:BR,2,FALSE),"")</f>
        <v>Damle 2008</v>
      </c>
      <c r="C7543" s="250" t="str">
        <f>IF(AND(A7543&lt;&gt;"",ISNUMBER(A7543)),VLOOKUP(A7543,Studies!A:BR,3,FALSE),"")</f>
        <v>https://www.ncbi.nlm.nih.gov/pubmed/18294336</v>
      </c>
      <c r="D7543" s="250" t="str">
        <f>IF(AND(A7543&lt;&gt;"",ISNUMBER(A7543)),VLOOKUP(A7543,Studies!A:BR,4,FALSE),"")</f>
        <v>Efavirenz alone</v>
      </c>
      <c r="E7543" s="250" t="str">
        <f>IF(AND(A7543&lt;&gt;"",ISNUMBER(A7543)),VLOOKUP(A7543,Studies!A:BR,5,FALSE),"")</f>
        <v>Efavirenz</v>
      </c>
      <c r="F7543" s="251" t="str">
        <f>IF(AND(A7543&lt;&gt;"",ISNUMBER(A7543)),VLOOKUP(A7543,Studies!A:BR,6,FALSE),"")</f>
        <v>Plasma</v>
      </c>
      <c r="G7543" s="194">
        <v>208</v>
      </c>
      <c r="H7543" s="194" t="s">
        <v>60</v>
      </c>
      <c r="I7543" s="187">
        <v>3.5495749999999999</v>
      </c>
      <c r="J7543" s="187" t="s">
        <v>959</v>
      </c>
      <c r="K7543" s="187" t="s">
        <v>116</v>
      </c>
      <c r="M7543" s="195"/>
      <c r="N7543" s="195"/>
      <c r="P7543" s="188"/>
    </row>
    <row r="7544" spans="1:16" x14ac:dyDescent="0.2">
      <c r="A7544" s="30">
        <v>794</v>
      </c>
      <c r="B7544" s="249" t="str">
        <f>IF(AND(A7544&lt;&gt;"",ISNUMBER(A7544)),VLOOKUP(A7544,Studies!A:BR,2,FALSE),"")</f>
        <v>Damle 2008</v>
      </c>
      <c r="C7544" s="250" t="str">
        <f>IF(AND(A7544&lt;&gt;"",ISNUMBER(A7544)),VLOOKUP(A7544,Studies!A:BR,3,FALSE),"")</f>
        <v>https://www.ncbi.nlm.nih.gov/pubmed/18294336</v>
      </c>
      <c r="D7544" s="250" t="str">
        <f>IF(AND(A7544&lt;&gt;"",ISNUMBER(A7544)),VLOOKUP(A7544,Studies!A:BR,4,FALSE),"")</f>
        <v>Efavirenz alone</v>
      </c>
      <c r="E7544" s="250" t="str">
        <f>IF(AND(A7544&lt;&gt;"",ISNUMBER(A7544)),VLOOKUP(A7544,Studies!A:BR,5,FALSE),"")</f>
        <v>Efavirenz</v>
      </c>
      <c r="F7544" s="251" t="str">
        <f>IF(AND(A7544&lt;&gt;"",ISNUMBER(A7544)),VLOOKUP(A7544,Studies!A:BR,6,FALSE),"")</f>
        <v>Plasma</v>
      </c>
      <c r="G7544" s="194">
        <v>212</v>
      </c>
      <c r="H7544" s="194" t="s">
        <v>60</v>
      </c>
      <c r="I7544" s="187">
        <v>3.266289</v>
      </c>
      <c r="J7544" s="187" t="s">
        <v>959</v>
      </c>
      <c r="K7544" s="187" t="s">
        <v>116</v>
      </c>
      <c r="M7544" s="195"/>
      <c r="N7544" s="195"/>
      <c r="P7544" s="188"/>
    </row>
    <row r="7545" spans="1:16" x14ac:dyDescent="0.2">
      <c r="A7545" s="30">
        <v>794</v>
      </c>
      <c r="B7545" s="249" t="str">
        <f>IF(AND(A7545&lt;&gt;"",ISNUMBER(A7545)),VLOOKUP(A7545,Studies!A:BR,2,FALSE),"")</f>
        <v>Damle 2008</v>
      </c>
      <c r="C7545" s="250" t="str">
        <f>IF(AND(A7545&lt;&gt;"",ISNUMBER(A7545)),VLOOKUP(A7545,Studies!A:BR,3,FALSE),"")</f>
        <v>https://www.ncbi.nlm.nih.gov/pubmed/18294336</v>
      </c>
      <c r="D7545" s="250" t="str">
        <f>IF(AND(A7545&lt;&gt;"",ISNUMBER(A7545)),VLOOKUP(A7545,Studies!A:BR,4,FALSE),"")</f>
        <v>Efavirenz alone</v>
      </c>
      <c r="E7545" s="250" t="str">
        <f>IF(AND(A7545&lt;&gt;"",ISNUMBER(A7545)),VLOOKUP(A7545,Studies!A:BR,5,FALSE),"")</f>
        <v>Efavirenz</v>
      </c>
      <c r="F7545" s="251" t="str">
        <f>IF(AND(A7545&lt;&gt;"",ISNUMBER(A7545)),VLOOKUP(A7545,Studies!A:BR,6,FALSE),"")</f>
        <v>Plasma</v>
      </c>
      <c r="G7545" s="194">
        <v>216</v>
      </c>
      <c r="H7545" s="194" t="s">
        <v>60</v>
      </c>
      <c r="I7545" s="187">
        <v>3.03966</v>
      </c>
      <c r="J7545" s="187" t="s">
        <v>959</v>
      </c>
      <c r="K7545" s="187" t="s">
        <v>116</v>
      </c>
      <c r="M7545" s="195"/>
      <c r="N7545" s="195"/>
      <c r="P7545" s="188"/>
    </row>
    <row r="7546" spans="1:16" x14ac:dyDescent="0.2">
      <c r="A7546" s="30">
        <v>795</v>
      </c>
      <c r="B7546" s="249" t="str">
        <f>IF(AND(A7546&lt;&gt;"",ISNUMBER(A7546)),VLOOKUP(A7546,Studies!A:BR,2,FALSE),"")</f>
        <v>Liu 2008</v>
      </c>
      <c r="C7546" s="250" t="str">
        <f>IF(AND(A7546&lt;&gt;"",ISNUMBER(A7546)),VLOOKUP(A7546,Studies!A:BR,3,FALSE),"")</f>
        <v>https://www.ncbi.nlm.nih.gov/pubmed/18025525</v>
      </c>
      <c r="D7546" s="250" t="str">
        <f>IF(AND(A7546&lt;&gt;"",ISNUMBER(A7546)),VLOOKUP(A7546,Studies!A:BR,4,FALSE),"")</f>
        <v>Group 1, efavirenz alone</v>
      </c>
      <c r="E7546" s="250" t="str">
        <f>IF(AND(A7546&lt;&gt;"",ISNUMBER(A7546)),VLOOKUP(A7546,Studies!A:BR,5,FALSE),"")</f>
        <v>Efavirenz</v>
      </c>
      <c r="F7546" s="251" t="str">
        <f>IF(AND(A7546&lt;&gt;"",ISNUMBER(A7546)),VLOOKUP(A7546,Studies!A:BR,6,FALSE),"")</f>
        <v>Plasma</v>
      </c>
      <c r="G7546" s="194">
        <v>192</v>
      </c>
      <c r="H7546" s="194" t="s">
        <v>60</v>
      </c>
      <c r="I7546" s="187">
        <v>2.734375</v>
      </c>
      <c r="J7546" s="187" t="s">
        <v>959</v>
      </c>
      <c r="K7546" s="187" t="s">
        <v>116</v>
      </c>
      <c r="M7546" s="195"/>
      <c r="N7546" s="195"/>
      <c r="P7546" s="188"/>
    </row>
    <row r="7547" spans="1:16" x14ac:dyDescent="0.2">
      <c r="A7547" s="30">
        <v>795</v>
      </c>
      <c r="B7547" s="249" t="str">
        <f>IF(AND(A7547&lt;&gt;"",ISNUMBER(A7547)),VLOOKUP(A7547,Studies!A:BR,2,FALSE),"")</f>
        <v>Liu 2008</v>
      </c>
      <c r="C7547" s="250" t="str">
        <f>IF(AND(A7547&lt;&gt;"",ISNUMBER(A7547)),VLOOKUP(A7547,Studies!A:BR,3,FALSE),"")</f>
        <v>https://www.ncbi.nlm.nih.gov/pubmed/18025525</v>
      </c>
      <c r="D7547" s="250" t="str">
        <f>IF(AND(A7547&lt;&gt;"",ISNUMBER(A7547)),VLOOKUP(A7547,Studies!A:BR,4,FALSE),"")</f>
        <v>Group 1, efavirenz alone</v>
      </c>
      <c r="E7547" s="250" t="str">
        <f>IF(AND(A7547&lt;&gt;"",ISNUMBER(A7547)),VLOOKUP(A7547,Studies!A:BR,5,FALSE),"")</f>
        <v>Efavirenz</v>
      </c>
      <c r="F7547" s="251" t="str">
        <f>IF(AND(A7547&lt;&gt;"",ISNUMBER(A7547)),VLOOKUP(A7547,Studies!A:BR,6,FALSE),"")</f>
        <v>Plasma</v>
      </c>
      <c r="G7547" s="194">
        <v>192.5</v>
      </c>
      <c r="H7547" s="194" t="s">
        <v>60</v>
      </c>
      <c r="I7547" s="187">
        <v>2.828125</v>
      </c>
      <c r="J7547" s="187" t="s">
        <v>959</v>
      </c>
      <c r="K7547" s="187" t="s">
        <v>116</v>
      </c>
      <c r="M7547" s="195"/>
      <c r="N7547" s="195"/>
      <c r="P7547" s="188"/>
    </row>
    <row r="7548" spans="1:16" x14ac:dyDescent="0.2">
      <c r="A7548" s="183">
        <v>795</v>
      </c>
      <c r="B7548" s="249" t="str">
        <f>IF(AND(A7548&lt;&gt;"",ISNUMBER(A7548)),VLOOKUP(A7548,Studies!A:BR,2,FALSE),"")</f>
        <v>Liu 2008</v>
      </c>
      <c r="C7548" s="250" t="str">
        <f>IF(AND(A7548&lt;&gt;"",ISNUMBER(A7548)),VLOOKUP(A7548,Studies!A:BR,3,FALSE),"")</f>
        <v>https://www.ncbi.nlm.nih.gov/pubmed/18025525</v>
      </c>
      <c r="D7548" s="250" t="str">
        <f>IF(AND(A7548&lt;&gt;"",ISNUMBER(A7548)),VLOOKUP(A7548,Studies!A:BR,4,FALSE),"")</f>
        <v>Group 1, efavirenz alone</v>
      </c>
      <c r="E7548" s="250" t="str">
        <f>IF(AND(A7548&lt;&gt;"",ISNUMBER(A7548)),VLOOKUP(A7548,Studies!A:BR,5,FALSE),"")</f>
        <v>Efavirenz</v>
      </c>
      <c r="F7548" s="251" t="str">
        <f>IF(AND(A7548&lt;&gt;"",ISNUMBER(A7548)),VLOOKUP(A7548,Studies!A:BR,6,FALSE),"")</f>
        <v>Plasma</v>
      </c>
      <c r="G7548" s="194">
        <v>193</v>
      </c>
      <c r="H7548" s="194" t="s">
        <v>60</v>
      </c>
      <c r="I7548" s="187">
        <v>2.953125</v>
      </c>
      <c r="J7548" s="187" t="s">
        <v>959</v>
      </c>
      <c r="K7548" s="187" t="s">
        <v>116</v>
      </c>
      <c r="M7548" s="195"/>
      <c r="N7548" s="195"/>
      <c r="P7548" s="188"/>
    </row>
    <row r="7549" spans="1:16" x14ac:dyDescent="0.2">
      <c r="A7549" s="183">
        <v>795</v>
      </c>
      <c r="B7549" s="249" t="str">
        <f>IF(AND(A7549&lt;&gt;"",ISNUMBER(A7549)),VLOOKUP(A7549,Studies!A:BR,2,FALSE),"")</f>
        <v>Liu 2008</v>
      </c>
      <c r="C7549" s="250" t="str">
        <f>IF(AND(A7549&lt;&gt;"",ISNUMBER(A7549)),VLOOKUP(A7549,Studies!A:BR,3,FALSE),"")</f>
        <v>https://www.ncbi.nlm.nih.gov/pubmed/18025525</v>
      </c>
      <c r="D7549" s="250" t="str">
        <f>IF(AND(A7549&lt;&gt;"",ISNUMBER(A7549)),VLOOKUP(A7549,Studies!A:BR,4,FALSE),"")</f>
        <v>Group 1, efavirenz alone</v>
      </c>
      <c r="E7549" s="250" t="str">
        <f>IF(AND(A7549&lt;&gt;"",ISNUMBER(A7549)),VLOOKUP(A7549,Studies!A:BR,5,FALSE),"")</f>
        <v>Efavirenz</v>
      </c>
      <c r="F7549" s="251" t="str">
        <f>IF(AND(A7549&lt;&gt;"",ISNUMBER(A7549)),VLOOKUP(A7549,Studies!A:BR,6,FALSE),"")</f>
        <v>Plasma</v>
      </c>
      <c r="G7549" s="194">
        <v>194</v>
      </c>
      <c r="H7549" s="194" t="s">
        <v>60</v>
      </c>
      <c r="I7549" s="187">
        <v>4.09375</v>
      </c>
      <c r="J7549" s="187" t="s">
        <v>959</v>
      </c>
      <c r="K7549" s="187" t="s">
        <v>116</v>
      </c>
      <c r="M7549" s="195"/>
      <c r="N7549" s="195"/>
      <c r="P7549" s="188"/>
    </row>
    <row r="7550" spans="1:16" x14ac:dyDescent="0.2">
      <c r="A7550" s="183">
        <v>795</v>
      </c>
      <c r="B7550" s="249" t="str">
        <f>IF(AND(A7550&lt;&gt;"",ISNUMBER(A7550)),VLOOKUP(A7550,Studies!A:BR,2,FALSE),"")</f>
        <v>Liu 2008</v>
      </c>
      <c r="C7550" s="250" t="str">
        <f>IF(AND(A7550&lt;&gt;"",ISNUMBER(A7550)),VLOOKUP(A7550,Studies!A:BR,3,FALSE),"")</f>
        <v>https://www.ncbi.nlm.nih.gov/pubmed/18025525</v>
      </c>
      <c r="D7550" s="250" t="str">
        <f>IF(AND(A7550&lt;&gt;"",ISNUMBER(A7550)),VLOOKUP(A7550,Studies!A:BR,4,FALSE),"")</f>
        <v>Group 1, efavirenz alone</v>
      </c>
      <c r="E7550" s="250" t="str">
        <f>IF(AND(A7550&lt;&gt;"",ISNUMBER(A7550)),VLOOKUP(A7550,Studies!A:BR,5,FALSE),"")</f>
        <v>Efavirenz</v>
      </c>
      <c r="F7550" s="251" t="str">
        <f>IF(AND(A7550&lt;&gt;"",ISNUMBER(A7550)),VLOOKUP(A7550,Studies!A:BR,6,FALSE),"")</f>
        <v>Plasma</v>
      </c>
      <c r="G7550" s="194">
        <v>196</v>
      </c>
      <c r="H7550" s="194" t="s">
        <v>60</v>
      </c>
      <c r="I7550" s="187">
        <v>4.921875</v>
      </c>
      <c r="J7550" s="187" t="s">
        <v>959</v>
      </c>
      <c r="K7550" s="187" t="s">
        <v>116</v>
      </c>
      <c r="M7550" s="195"/>
      <c r="N7550" s="195"/>
      <c r="P7550" s="188"/>
    </row>
    <row r="7551" spans="1:16" x14ac:dyDescent="0.2">
      <c r="A7551" s="183">
        <v>795</v>
      </c>
      <c r="B7551" s="249" t="str">
        <f>IF(AND(A7551&lt;&gt;"",ISNUMBER(A7551)),VLOOKUP(A7551,Studies!A:BR,2,FALSE),"")</f>
        <v>Liu 2008</v>
      </c>
      <c r="C7551" s="250" t="str">
        <f>IF(AND(A7551&lt;&gt;"",ISNUMBER(A7551)),VLOOKUP(A7551,Studies!A:BR,3,FALSE),"")</f>
        <v>https://www.ncbi.nlm.nih.gov/pubmed/18025525</v>
      </c>
      <c r="D7551" s="250" t="str">
        <f>IF(AND(A7551&lt;&gt;"",ISNUMBER(A7551)),VLOOKUP(A7551,Studies!A:BR,4,FALSE),"")</f>
        <v>Group 1, efavirenz alone</v>
      </c>
      <c r="E7551" s="250" t="str">
        <f>IF(AND(A7551&lt;&gt;"",ISNUMBER(A7551)),VLOOKUP(A7551,Studies!A:BR,5,FALSE),"")</f>
        <v>Efavirenz</v>
      </c>
      <c r="F7551" s="251" t="str">
        <f>IF(AND(A7551&lt;&gt;"",ISNUMBER(A7551)),VLOOKUP(A7551,Studies!A:BR,6,FALSE),"")</f>
        <v>Plasma</v>
      </c>
      <c r="G7551" s="194">
        <v>198</v>
      </c>
      <c r="H7551" s="194" t="s">
        <v>60</v>
      </c>
      <c r="I7551" s="187">
        <v>4.765625</v>
      </c>
      <c r="J7551" s="187" t="s">
        <v>959</v>
      </c>
      <c r="K7551" s="187" t="s">
        <v>116</v>
      </c>
      <c r="M7551" s="195"/>
      <c r="N7551" s="195"/>
      <c r="P7551" s="188"/>
    </row>
    <row r="7552" spans="1:16" x14ac:dyDescent="0.2">
      <c r="A7552" s="183">
        <v>795</v>
      </c>
      <c r="B7552" s="249" t="str">
        <f>IF(AND(A7552&lt;&gt;"",ISNUMBER(A7552)),VLOOKUP(A7552,Studies!A:BR,2,FALSE),"")</f>
        <v>Liu 2008</v>
      </c>
      <c r="C7552" s="250" t="str">
        <f>IF(AND(A7552&lt;&gt;"",ISNUMBER(A7552)),VLOOKUP(A7552,Studies!A:BR,3,FALSE),"")</f>
        <v>https://www.ncbi.nlm.nih.gov/pubmed/18025525</v>
      </c>
      <c r="D7552" s="250" t="str">
        <f>IF(AND(A7552&lt;&gt;"",ISNUMBER(A7552)),VLOOKUP(A7552,Studies!A:BR,4,FALSE),"")</f>
        <v>Group 1, efavirenz alone</v>
      </c>
      <c r="E7552" s="250" t="str">
        <f>IF(AND(A7552&lt;&gt;"",ISNUMBER(A7552)),VLOOKUP(A7552,Studies!A:BR,5,FALSE),"")</f>
        <v>Efavirenz</v>
      </c>
      <c r="F7552" s="251" t="str">
        <f>IF(AND(A7552&lt;&gt;"",ISNUMBER(A7552)),VLOOKUP(A7552,Studies!A:BR,6,FALSE),"")</f>
        <v>Plasma</v>
      </c>
      <c r="G7552" s="194">
        <v>200</v>
      </c>
      <c r="H7552" s="194" t="s">
        <v>60</v>
      </c>
      <c r="I7552" s="187">
        <v>4.09375</v>
      </c>
      <c r="J7552" s="187" t="s">
        <v>959</v>
      </c>
      <c r="K7552" s="187" t="s">
        <v>116</v>
      </c>
      <c r="M7552" s="195"/>
      <c r="N7552" s="195"/>
      <c r="P7552" s="188"/>
    </row>
    <row r="7553" spans="1:16" x14ac:dyDescent="0.2">
      <c r="A7553" s="30">
        <v>795</v>
      </c>
      <c r="B7553" s="249" t="str">
        <f>IF(AND(A7553&lt;&gt;"",ISNUMBER(A7553)),VLOOKUP(A7553,Studies!A:BR,2,FALSE),"")</f>
        <v>Liu 2008</v>
      </c>
      <c r="C7553" s="250" t="str">
        <f>IF(AND(A7553&lt;&gt;"",ISNUMBER(A7553)),VLOOKUP(A7553,Studies!A:BR,3,FALSE),"")</f>
        <v>https://www.ncbi.nlm.nih.gov/pubmed/18025525</v>
      </c>
      <c r="D7553" s="250" t="str">
        <f>IF(AND(A7553&lt;&gt;"",ISNUMBER(A7553)),VLOOKUP(A7553,Studies!A:BR,4,FALSE),"")</f>
        <v>Group 1, efavirenz alone</v>
      </c>
      <c r="E7553" s="250" t="str">
        <f>IF(AND(A7553&lt;&gt;"",ISNUMBER(A7553)),VLOOKUP(A7553,Studies!A:BR,5,FALSE),"")</f>
        <v>Efavirenz</v>
      </c>
      <c r="F7553" s="251" t="str">
        <f>IF(AND(A7553&lt;&gt;"",ISNUMBER(A7553)),VLOOKUP(A7553,Studies!A:BR,6,FALSE),"")</f>
        <v>Plasma</v>
      </c>
      <c r="G7553" s="194">
        <v>202</v>
      </c>
      <c r="H7553" s="50" t="s">
        <v>60</v>
      </c>
      <c r="I7553" s="187">
        <v>3.640625</v>
      </c>
      <c r="J7553" s="41" t="s">
        <v>959</v>
      </c>
      <c r="K7553" s="41" t="s">
        <v>116</v>
      </c>
    </row>
    <row r="7554" spans="1:16" x14ac:dyDescent="0.2">
      <c r="A7554" s="30">
        <v>795</v>
      </c>
      <c r="B7554" s="249" t="str">
        <f>IF(AND(A7554&lt;&gt;"",ISNUMBER(A7554)),VLOOKUP(A7554,Studies!A:BR,2,FALSE),"")</f>
        <v>Liu 2008</v>
      </c>
      <c r="C7554" s="250" t="str">
        <f>IF(AND(A7554&lt;&gt;"",ISNUMBER(A7554)),VLOOKUP(A7554,Studies!A:BR,3,FALSE),"")</f>
        <v>https://www.ncbi.nlm.nih.gov/pubmed/18025525</v>
      </c>
      <c r="D7554" s="250" t="str">
        <f>IF(AND(A7554&lt;&gt;"",ISNUMBER(A7554)),VLOOKUP(A7554,Studies!A:BR,4,FALSE),"")</f>
        <v>Group 1, efavirenz alone</v>
      </c>
      <c r="E7554" s="250" t="str">
        <f>IF(AND(A7554&lt;&gt;"",ISNUMBER(A7554)),VLOOKUP(A7554,Studies!A:BR,5,FALSE),"")</f>
        <v>Efavirenz</v>
      </c>
      <c r="F7554" s="251" t="str">
        <f>IF(AND(A7554&lt;&gt;"",ISNUMBER(A7554)),VLOOKUP(A7554,Studies!A:BR,6,FALSE),"")</f>
        <v>Plasma</v>
      </c>
      <c r="G7554" s="194">
        <v>204</v>
      </c>
      <c r="H7554" s="194" t="s">
        <v>60</v>
      </c>
      <c r="I7554" s="187">
        <v>3.390625</v>
      </c>
      <c r="J7554" s="41" t="s">
        <v>959</v>
      </c>
      <c r="K7554" s="41" t="s">
        <v>116</v>
      </c>
      <c r="P7554" s="188"/>
    </row>
    <row r="7555" spans="1:16" x14ac:dyDescent="0.2">
      <c r="A7555" s="30">
        <v>795</v>
      </c>
      <c r="B7555" s="249" t="str">
        <f>IF(AND(A7555&lt;&gt;"",ISNUMBER(A7555)),VLOOKUP(A7555,Studies!A:BR,2,FALSE),"")</f>
        <v>Liu 2008</v>
      </c>
      <c r="C7555" s="250" t="str">
        <f>IF(AND(A7555&lt;&gt;"",ISNUMBER(A7555)),VLOOKUP(A7555,Studies!A:BR,3,FALSE),"")</f>
        <v>https://www.ncbi.nlm.nih.gov/pubmed/18025525</v>
      </c>
      <c r="D7555" s="250" t="str">
        <f>IF(AND(A7555&lt;&gt;"",ISNUMBER(A7555)),VLOOKUP(A7555,Studies!A:BR,4,FALSE),"")</f>
        <v>Group 1, efavirenz alone</v>
      </c>
      <c r="E7555" s="250" t="str">
        <f>IF(AND(A7555&lt;&gt;"",ISNUMBER(A7555)),VLOOKUP(A7555,Studies!A:BR,5,FALSE),"")</f>
        <v>Efavirenz</v>
      </c>
      <c r="F7555" s="251" t="str">
        <f>IF(AND(A7555&lt;&gt;"",ISNUMBER(A7555)),VLOOKUP(A7555,Studies!A:BR,6,FALSE),"")</f>
        <v>Plasma</v>
      </c>
      <c r="G7555" s="194">
        <v>208</v>
      </c>
      <c r="H7555" s="194" t="s">
        <v>60</v>
      </c>
      <c r="I7555" s="187">
        <v>3.015625</v>
      </c>
      <c r="J7555" s="187" t="s">
        <v>959</v>
      </c>
      <c r="K7555" s="187" t="s">
        <v>116</v>
      </c>
      <c r="P7555" s="188"/>
    </row>
    <row r="7556" spans="1:16" x14ac:dyDescent="0.2">
      <c r="A7556" s="183">
        <v>795</v>
      </c>
      <c r="B7556" s="249" t="str">
        <f>IF(AND(A7556&lt;&gt;"",ISNUMBER(A7556)),VLOOKUP(A7556,Studies!A:BR,2,FALSE),"")</f>
        <v>Liu 2008</v>
      </c>
      <c r="C7556" s="250" t="str">
        <f>IF(AND(A7556&lt;&gt;"",ISNUMBER(A7556)),VLOOKUP(A7556,Studies!A:BR,3,FALSE),"")</f>
        <v>https://www.ncbi.nlm.nih.gov/pubmed/18025525</v>
      </c>
      <c r="D7556" s="250" t="str">
        <f>IF(AND(A7556&lt;&gt;"",ISNUMBER(A7556)),VLOOKUP(A7556,Studies!A:BR,4,FALSE),"")</f>
        <v>Group 1, efavirenz alone</v>
      </c>
      <c r="E7556" s="250" t="str">
        <f>IF(AND(A7556&lt;&gt;"",ISNUMBER(A7556)),VLOOKUP(A7556,Studies!A:BR,5,FALSE),"")</f>
        <v>Efavirenz</v>
      </c>
      <c r="F7556" s="251" t="str">
        <f>IF(AND(A7556&lt;&gt;"",ISNUMBER(A7556)),VLOOKUP(A7556,Studies!A:BR,6,FALSE),"")</f>
        <v>Plasma</v>
      </c>
      <c r="G7556" s="194">
        <v>212</v>
      </c>
      <c r="H7556" s="194" t="s">
        <v>60</v>
      </c>
      <c r="I7556" s="187">
        <v>2.78125</v>
      </c>
      <c r="J7556" s="187" t="s">
        <v>959</v>
      </c>
      <c r="K7556" s="187" t="s">
        <v>116</v>
      </c>
      <c r="P7556" s="188"/>
    </row>
    <row r="7557" spans="1:16" x14ac:dyDescent="0.2">
      <c r="A7557" s="183">
        <v>795</v>
      </c>
      <c r="B7557" s="249" t="str">
        <f>IF(AND(A7557&lt;&gt;"",ISNUMBER(A7557)),VLOOKUP(A7557,Studies!A:BR,2,FALSE),"")</f>
        <v>Liu 2008</v>
      </c>
      <c r="C7557" s="250" t="str">
        <f>IF(AND(A7557&lt;&gt;"",ISNUMBER(A7557)),VLOOKUP(A7557,Studies!A:BR,3,FALSE),"")</f>
        <v>https://www.ncbi.nlm.nih.gov/pubmed/18025525</v>
      </c>
      <c r="D7557" s="250" t="str">
        <f>IF(AND(A7557&lt;&gt;"",ISNUMBER(A7557)),VLOOKUP(A7557,Studies!A:BR,4,FALSE),"")</f>
        <v>Group 1, efavirenz alone</v>
      </c>
      <c r="E7557" s="250" t="str">
        <f>IF(AND(A7557&lt;&gt;"",ISNUMBER(A7557)),VLOOKUP(A7557,Studies!A:BR,5,FALSE),"")</f>
        <v>Efavirenz</v>
      </c>
      <c r="F7557" s="251" t="str">
        <f>IF(AND(A7557&lt;&gt;"",ISNUMBER(A7557)),VLOOKUP(A7557,Studies!A:BR,6,FALSE),"")</f>
        <v>Plasma</v>
      </c>
      <c r="G7557" s="194">
        <v>216</v>
      </c>
      <c r="H7557" s="194" t="s">
        <v>60</v>
      </c>
      <c r="I7557" s="187">
        <v>2.53125</v>
      </c>
      <c r="J7557" s="187" t="s">
        <v>959</v>
      </c>
      <c r="K7557" s="187" t="s">
        <v>116</v>
      </c>
      <c r="P7557" s="188"/>
    </row>
    <row r="7558" spans="1:16" x14ac:dyDescent="0.2">
      <c r="A7558" s="183">
        <v>796</v>
      </c>
      <c r="B7558" s="249" t="str">
        <f>IF(AND(A7558&lt;&gt;"",ISNUMBER(A7558)),VLOOKUP(A7558,Studies!A:BR,2,FALSE),"")</f>
        <v>Liu 2008</v>
      </c>
      <c r="C7558" s="250" t="str">
        <f>IF(AND(A7558&lt;&gt;"",ISNUMBER(A7558)),VLOOKUP(A7558,Studies!A:BR,3,FALSE),"")</f>
        <v>https://www.ncbi.nlm.nih.gov/pubmed/18025525</v>
      </c>
      <c r="D7558" s="250" t="str">
        <f>IF(AND(A7558&lt;&gt;"",ISNUMBER(A7558)),VLOOKUP(A7558,Studies!A:BR,4,FALSE),"")</f>
        <v>Group 2, efavirenz alone</v>
      </c>
      <c r="E7558" s="250" t="str">
        <f>IF(AND(A7558&lt;&gt;"",ISNUMBER(A7558)),VLOOKUP(A7558,Studies!A:BR,5,FALSE),"")</f>
        <v>Efavirenz</v>
      </c>
      <c r="F7558" s="251" t="str">
        <f>IF(AND(A7558&lt;&gt;"",ISNUMBER(A7558)),VLOOKUP(A7558,Studies!A:BR,6,FALSE),"")</f>
        <v>Plasma</v>
      </c>
      <c r="G7558" s="194">
        <v>192</v>
      </c>
      <c r="H7558" s="194" t="s">
        <v>60</v>
      </c>
      <c r="I7558" s="187">
        <v>1.488189</v>
      </c>
      <c r="J7558" s="187" t="s">
        <v>959</v>
      </c>
      <c r="K7558" s="187" t="s">
        <v>116</v>
      </c>
      <c r="P7558" s="188"/>
    </row>
    <row r="7559" spans="1:16" x14ac:dyDescent="0.2">
      <c r="A7559" s="183">
        <v>796</v>
      </c>
      <c r="B7559" s="249" t="str">
        <f>IF(AND(A7559&lt;&gt;"",ISNUMBER(A7559)),VLOOKUP(A7559,Studies!A:BR,2,FALSE),"")</f>
        <v>Liu 2008</v>
      </c>
      <c r="C7559" s="250" t="str">
        <f>IF(AND(A7559&lt;&gt;"",ISNUMBER(A7559)),VLOOKUP(A7559,Studies!A:BR,3,FALSE),"")</f>
        <v>https://www.ncbi.nlm.nih.gov/pubmed/18025525</v>
      </c>
      <c r="D7559" s="250" t="str">
        <f>IF(AND(A7559&lt;&gt;"",ISNUMBER(A7559)),VLOOKUP(A7559,Studies!A:BR,4,FALSE),"")</f>
        <v>Group 2, efavirenz alone</v>
      </c>
      <c r="E7559" s="250" t="str">
        <f>IF(AND(A7559&lt;&gt;"",ISNUMBER(A7559)),VLOOKUP(A7559,Studies!A:BR,5,FALSE),"")</f>
        <v>Efavirenz</v>
      </c>
      <c r="F7559" s="251" t="str">
        <f>IF(AND(A7559&lt;&gt;"",ISNUMBER(A7559)),VLOOKUP(A7559,Studies!A:BR,6,FALSE),"")</f>
        <v>Plasma</v>
      </c>
      <c r="G7559" s="194">
        <v>192.5</v>
      </c>
      <c r="H7559" s="194" t="s">
        <v>60</v>
      </c>
      <c r="I7559" s="187">
        <v>1.488189</v>
      </c>
      <c r="J7559" s="187" t="s">
        <v>959</v>
      </c>
      <c r="K7559" s="187" t="s">
        <v>116</v>
      </c>
      <c r="P7559" s="188"/>
    </row>
    <row r="7560" spans="1:16" x14ac:dyDescent="0.2">
      <c r="A7560" s="183">
        <v>796</v>
      </c>
      <c r="B7560" s="249" t="str">
        <f>IF(AND(A7560&lt;&gt;"",ISNUMBER(A7560)),VLOOKUP(A7560,Studies!A:BR,2,FALSE),"")</f>
        <v>Liu 2008</v>
      </c>
      <c r="C7560" s="250" t="str">
        <f>IF(AND(A7560&lt;&gt;"",ISNUMBER(A7560)),VLOOKUP(A7560,Studies!A:BR,3,FALSE),"")</f>
        <v>https://www.ncbi.nlm.nih.gov/pubmed/18025525</v>
      </c>
      <c r="D7560" s="250" t="str">
        <f>IF(AND(A7560&lt;&gt;"",ISNUMBER(A7560)),VLOOKUP(A7560,Studies!A:BR,4,FALSE),"")</f>
        <v>Group 2, efavirenz alone</v>
      </c>
      <c r="E7560" s="250" t="str">
        <f>IF(AND(A7560&lt;&gt;"",ISNUMBER(A7560)),VLOOKUP(A7560,Studies!A:BR,5,FALSE),"")</f>
        <v>Efavirenz</v>
      </c>
      <c r="F7560" s="251" t="str">
        <f>IF(AND(A7560&lt;&gt;"",ISNUMBER(A7560)),VLOOKUP(A7560,Studies!A:BR,6,FALSE),"")</f>
        <v>Plasma</v>
      </c>
      <c r="G7560" s="194">
        <v>193</v>
      </c>
      <c r="H7560" s="194" t="s">
        <v>60</v>
      </c>
      <c r="I7560" s="187">
        <v>1.4724410000000001</v>
      </c>
      <c r="J7560" s="187" t="s">
        <v>959</v>
      </c>
      <c r="K7560" s="187" t="s">
        <v>116</v>
      </c>
      <c r="P7560" s="188"/>
    </row>
    <row r="7561" spans="1:16" x14ac:dyDescent="0.2">
      <c r="A7561" s="183">
        <v>796</v>
      </c>
      <c r="B7561" s="249" t="str">
        <f>IF(AND(A7561&lt;&gt;"",ISNUMBER(A7561)),VLOOKUP(A7561,Studies!A:BR,2,FALSE),"")</f>
        <v>Liu 2008</v>
      </c>
      <c r="C7561" s="250" t="str">
        <f>IF(AND(A7561&lt;&gt;"",ISNUMBER(A7561)),VLOOKUP(A7561,Studies!A:BR,3,FALSE),"")</f>
        <v>https://www.ncbi.nlm.nih.gov/pubmed/18025525</v>
      </c>
      <c r="D7561" s="250" t="str">
        <f>IF(AND(A7561&lt;&gt;"",ISNUMBER(A7561)),VLOOKUP(A7561,Studies!A:BR,4,FALSE),"")</f>
        <v>Group 2, efavirenz alone</v>
      </c>
      <c r="E7561" s="250" t="str">
        <f>IF(AND(A7561&lt;&gt;"",ISNUMBER(A7561)),VLOOKUP(A7561,Studies!A:BR,5,FALSE),"")</f>
        <v>Efavirenz</v>
      </c>
      <c r="F7561" s="251" t="str">
        <f>IF(AND(A7561&lt;&gt;"",ISNUMBER(A7561)),VLOOKUP(A7561,Studies!A:BR,6,FALSE),"")</f>
        <v>Plasma</v>
      </c>
      <c r="G7561" s="194">
        <v>194</v>
      </c>
      <c r="H7561" s="194" t="s">
        <v>60</v>
      </c>
      <c r="I7561" s="187">
        <v>1.944882</v>
      </c>
      <c r="J7561" s="187" t="s">
        <v>959</v>
      </c>
      <c r="K7561" s="187" t="s">
        <v>116</v>
      </c>
      <c r="P7561" s="188"/>
    </row>
    <row r="7562" spans="1:16" x14ac:dyDescent="0.2">
      <c r="A7562" s="183">
        <v>796</v>
      </c>
      <c r="B7562" s="249" t="str">
        <f>IF(AND(A7562&lt;&gt;"",ISNUMBER(A7562)),VLOOKUP(A7562,Studies!A:BR,2,FALSE),"")</f>
        <v>Liu 2008</v>
      </c>
      <c r="C7562" s="250" t="str">
        <f>IF(AND(A7562&lt;&gt;"",ISNUMBER(A7562)),VLOOKUP(A7562,Studies!A:BR,3,FALSE),"")</f>
        <v>https://www.ncbi.nlm.nih.gov/pubmed/18025525</v>
      </c>
      <c r="D7562" s="250" t="str">
        <f>IF(AND(A7562&lt;&gt;"",ISNUMBER(A7562)),VLOOKUP(A7562,Studies!A:BR,4,FALSE),"")</f>
        <v>Group 2, efavirenz alone</v>
      </c>
      <c r="E7562" s="250" t="str">
        <f>IF(AND(A7562&lt;&gt;"",ISNUMBER(A7562)),VLOOKUP(A7562,Studies!A:BR,5,FALSE),"")</f>
        <v>Efavirenz</v>
      </c>
      <c r="F7562" s="251" t="str">
        <f>IF(AND(A7562&lt;&gt;"",ISNUMBER(A7562)),VLOOKUP(A7562,Studies!A:BR,6,FALSE),"")</f>
        <v>Plasma</v>
      </c>
      <c r="G7562" s="194">
        <v>196</v>
      </c>
      <c r="H7562" s="194" t="s">
        <v>60</v>
      </c>
      <c r="I7562" s="187">
        <v>3.1259839999999999</v>
      </c>
      <c r="J7562" s="187" t="s">
        <v>959</v>
      </c>
      <c r="K7562" s="187" t="s">
        <v>116</v>
      </c>
      <c r="P7562" s="188"/>
    </row>
    <row r="7563" spans="1:16" x14ac:dyDescent="0.2">
      <c r="A7563" s="183">
        <v>796</v>
      </c>
      <c r="B7563" s="249" t="str">
        <f>IF(AND(A7563&lt;&gt;"",ISNUMBER(A7563)),VLOOKUP(A7563,Studies!A:BR,2,FALSE),"")</f>
        <v>Liu 2008</v>
      </c>
      <c r="C7563" s="250" t="str">
        <f>IF(AND(A7563&lt;&gt;"",ISNUMBER(A7563)),VLOOKUP(A7563,Studies!A:BR,3,FALSE),"")</f>
        <v>https://www.ncbi.nlm.nih.gov/pubmed/18025525</v>
      </c>
      <c r="D7563" s="250" t="str">
        <f>IF(AND(A7563&lt;&gt;"",ISNUMBER(A7563)),VLOOKUP(A7563,Studies!A:BR,4,FALSE),"")</f>
        <v>Group 2, efavirenz alone</v>
      </c>
      <c r="E7563" s="250" t="str">
        <f>IF(AND(A7563&lt;&gt;"",ISNUMBER(A7563)),VLOOKUP(A7563,Studies!A:BR,5,FALSE),"")</f>
        <v>Efavirenz</v>
      </c>
      <c r="F7563" s="251" t="str">
        <f>IF(AND(A7563&lt;&gt;"",ISNUMBER(A7563)),VLOOKUP(A7563,Studies!A:BR,6,FALSE),"")</f>
        <v>Plasma</v>
      </c>
      <c r="G7563" s="194">
        <v>198</v>
      </c>
      <c r="H7563" s="194" t="s">
        <v>60</v>
      </c>
      <c r="I7563" s="187">
        <v>3.0944880000000001</v>
      </c>
      <c r="J7563" s="187" t="s">
        <v>959</v>
      </c>
      <c r="K7563" s="187" t="s">
        <v>116</v>
      </c>
      <c r="P7563" s="188"/>
    </row>
    <row r="7564" spans="1:16" x14ac:dyDescent="0.2">
      <c r="A7564" s="183">
        <v>796</v>
      </c>
      <c r="B7564" s="249" t="str">
        <f>IF(AND(A7564&lt;&gt;"",ISNUMBER(A7564)),VLOOKUP(A7564,Studies!A:BR,2,FALSE),"")</f>
        <v>Liu 2008</v>
      </c>
      <c r="C7564" s="250" t="str">
        <f>IF(AND(A7564&lt;&gt;"",ISNUMBER(A7564)),VLOOKUP(A7564,Studies!A:BR,3,FALSE),"")</f>
        <v>https://www.ncbi.nlm.nih.gov/pubmed/18025525</v>
      </c>
      <c r="D7564" s="250" t="str">
        <f>IF(AND(A7564&lt;&gt;"",ISNUMBER(A7564)),VLOOKUP(A7564,Studies!A:BR,4,FALSE),"")</f>
        <v>Group 2, efavirenz alone</v>
      </c>
      <c r="E7564" s="250" t="str">
        <f>IF(AND(A7564&lt;&gt;"",ISNUMBER(A7564)),VLOOKUP(A7564,Studies!A:BR,5,FALSE),"")</f>
        <v>Efavirenz</v>
      </c>
      <c r="F7564" s="251" t="str">
        <f>IF(AND(A7564&lt;&gt;"",ISNUMBER(A7564)),VLOOKUP(A7564,Studies!A:BR,6,FALSE),"")</f>
        <v>Plasma</v>
      </c>
      <c r="G7564" s="194">
        <v>200</v>
      </c>
      <c r="H7564" s="194" t="s">
        <v>60</v>
      </c>
      <c r="I7564" s="187">
        <v>2.7480310000000001</v>
      </c>
      <c r="J7564" s="187" t="s">
        <v>959</v>
      </c>
      <c r="K7564" s="187" t="s">
        <v>116</v>
      </c>
      <c r="P7564" s="188"/>
    </row>
    <row r="7565" spans="1:16" x14ac:dyDescent="0.2">
      <c r="A7565" s="183">
        <v>796</v>
      </c>
      <c r="B7565" s="249" t="str">
        <f>IF(AND(A7565&lt;&gt;"",ISNUMBER(A7565)),VLOOKUP(A7565,Studies!A:BR,2,FALSE),"")</f>
        <v>Liu 2008</v>
      </c>
      <c r="C7565" s="250" t="str">
        <f>IF(AND(A7565&lt;&gt;"",ISNUMBER(A7565)),VLOOKUP(A7565,Studies!A:BR,3,FALSE),"")</f>
        <v>https://www.ncbi.nlm.nih.gov/pubmed/18025525</v>
      </c>
      <c r="D7565" s="250" t="str">
        <f>IF(AND(A7565&lt;&gt;"",ISNUMBER(A7565)),VLOOKUP(A7565,Studies!A:BR,4,FALSE),"")</f>
        <v>Group 2, efavirenz alone</v>
      </c>
      <c r="E7565" s="250" t="str">
        <f>IF(AND(A7565&lt;&gt;"",ISNUMBER(A7565)),VLOOKUP(A7565,Studies!A:BR,5,FALSE),"")</f>
        <v>Efavirenz</v>
      </c>
      <c r="F7565" s="251" t="str">
        <f>IF(AND(A7565&lt;&gt;"",ISNUMBER(A7565)),VLOOKUP(A7565,Studies!A:BR,6,FALSE),"")</f>
        <v>Plasma</v>
      </c>
      <c r="G7565" s="194">
        <v>202</v>
      </c>
      <c r="H7565" s="194" t="s">
        <v>60</v>
      </c>
      <c r="I7565" s="187">
        <v>2.322835</v>
      </c>
      <c r="J7565" s="187" t="s">
        <v>959</v>
      </c>
      <c r="K7565" s="187" t="s">
        <v>116</v>
      </c>
      <c r="P7565" s="188"/>
    </row>
    <row r="7566" spans="1:16" x14ac:dyDescent="0.2">
      <c r="A7566" s="183">
        <v>796</v>
      </c>
      <c r="B7566" s="249" t="str">
        <f>IF(AND(A7566&lt;&gt;"",ISNUMBER(A7566)),VLOOKUP(A7566,Studies!A:BR,2,FALSE),"")</f>
        <v>Liu 2008</v>
      </c>
      <c r="C7566" s="250" t="str">
        <f>IF(AND(A7566&lt;&gt;"",ISNUMBER(A7566)),VLOOKUP(A7566,Studies!A:BR,3,FALSE),"")</f>
        <v>https://www.ncbi.nlm.nih.gov/pubmed/18025525</v>
      </c>
      <c r="D7566" s="250" t="str">
        <f>IF(AND(A7566&lt;&gt;"",ISNUMBER(A7566)),VLOOKUP(A7566,Studies!A:BR,4,FALSE),"")</f>
        <v>Group 2, efavirenz alone</v>
      </c>
      <c r="E7566" s="250" t="str">
        <f>IF(AND(A7566&lt;&gt;"",ISNUMBER(A7566)),VLOOKUP(A7566,Studies!A:BR,5,FALSE),"")</f>
        <v>Efavirenz</v>
      </c>
      <c r="F7566" s="251" t="str">
        <f>IF(AND(A7566&lt;&gt;"",ISNUMBER(A7566)),VLOOKUP(A7566,Studies!A:BR,6,FALSE),"")</f>
        <v>Plasma</v>
      </c>
      <c r="G7566" s="194">
        <v>204</v>
      </c>
      <c r="H7566" s="194" t="s">
        <v>60</v>
      </c>
      <c r="I7566" s="187">
        <v>2.0393699999999999</v>
      </c>
      <c r="J7566" s="187" t="s">
        <v>959</v>
      </c>
      <c r="K7566" s="187" t="s">
        <v>116</v>
      </c>
      <c r="P7566" s="188"/>
    </row>
    <row r="7567" spans="1:16" x14ac:dyDescent="0.2">
      <c r="A7567" s="183">
        <v>796</v>
      </c>
      <c r="B7567" s="249" t="str">
        <f>IF(AND(A7567&lt;&gt;"",ISNUMBER(A7567)),VLOOKUP(A7567,Studies!A:BR,2,FALSE),"")</f>
        <v>Liu 2008</v>
      </c>
      <c r="C7567" s="250" t="str">
        <f>IF(AND(A7567&lt;&gt;"",ISNUMBER(A7567)),VLOOKUP(A7567,Studies!A:BR,3,FALSE),"")</f>
        <v>https://www.ncbi.nlm.nih.gov/pubmed/18025525</v>
      </c>
      <c r="D7567" s="250" t="str">
        <f>IF(AND(A7567&lt;&gt;"",ISNUMBER(A7567)),VLOOKUP(A7567,Studies!A:BR,4,FALSE),"")</f>
        <v>Group 2, efavirenz alone</v>
      </c>
      <c r="E7567" s="250" t="str">
        <f>IF(AND(A7567&lt;&gt;"",ISNUMBER(A7567)),VLOOKUP(A7567,Studies!A:BR,5,FALSE),"")</f>
        <v>Efavirenz</v>
      </c>
      <c r="F7567" s="251" t="str">
        <f>IF(AND(A7567&lt;&gt;"",ISNUMBER(A7567)),VLOOKUP(A7567,Studies!A:BR,6,FALSE),"")</f>
        <v>Plasma</v>
      </c>
      <c r="G7567" s="194">
        <v>208</v>
      </c>
      <c r="H7567" s="194" t="s">
        <v>60</v>
      </c>
      <c r="I7567" s="187">
        <v>1.8188979999999999</v>
      </c>
      <c r="J7567" s="187" t="s">
        <v>959</v>
      </c>
      <c r="K7567" s="187" t="s">
        <v>116</v>
      </c>
      <c r="P7567" s="188"/>
    </row>
    <row r="7568" spans="1:16" x14ac:dyDescent="0.2">
      <c r="A7568" s="183">
        <v>796</v>
      </c>
      <c r="B7568" s="249" t="str">
        <f>IF(AND(A7568&lt;&gt;"",ISNUMBER(A7568)),VLOOKUP(A7568,Studies!A:BR,2,FALSE),"")</f>
        <v>Liu 2008</v>
      </c>
      <c r="C7568" s="250" t="str">
        <f>IF(AND(A7568&lt;&gt;"",ISNUMBER(A7568)),VLOOKUP(A7568,Studies!A:BR,3,FALSE),"")</f>
        <v>https://www.ncbi.nlm.nih.gov/pubmed/18025525</v>
      </c>
      <c r="D7568" s="250" t="str">
        <f>IF(AND(A7568&lt;&gt;"",ISNUMBER(A7568)),VLOOKUP(A7568,Studies!A:BR,4,FALSE),"")</f>
        <v>Group 2, efavirenz alone</v>
      </c>
      <c r="E7568" s="250" t="str">
        <f>IF(AND(A7568&lt;&gt;"",ISNUMBER(A7568)),VLOOKUP(A7568,Studies!A:BR,5,FALSE),"")</f>
        <v>Efavirenz</v>
      </c>
      <c r="F7568" s="251" t="str">
        <f>IF(AND(A7568&lt;&gt;"",ISNUMBER(A7568)),VLOOKUP(A7568,Studies!A:BR,6,FALSE),"")</f>
        <v>Plasma</v>
      </c>
      <c r="G7568" s="194">
        <v>212</v>
      </c>
      <c r="H7568" s="194" t="s">
        <v>60</v>
      </c>
      <c r="I7568" s="187">
        <v>1.6929129999999999</v>
      </c>
      <c r="J7568" s="187" t="s">
        <v>959</v>
      </c>
      <c r="K7568" s="187" t="s">
        <v>116</v>
      </c>
      <c r="P7568" s="188"/>
    </row>
    <row r="7569" spans="1:16" x14ac:dyDescent="0.2">
      <c r="A7569" s="183">
        <v>796</v>
      </c>
      <c r="B7569" s="249" t="str">
        <f>IF(AND(A7569&lt;&gt;"",ISNUMBER(A7569)),VLOOKUP(A7569,Studies!A:BR,2,FALSE),"")</f>
        <v>Liu 2008</v>
      </c>
      <c r="C7569" s="250" t="str">
        <f>IF(AND(A7569&lt;&gt;"",ISNUMBER(A7569)),VLOOKUP(A7569,Studies!A:BR,3,FALSE),"")</f>
        <v>https://www.ncbi.nlm.nih.gov/pubmed/18025525</v>
      </c>
      <c r="D7569" s="250" t="str">
        <f>IF(AND(A7569&lt;&gt;"",ISNUMBER(A7569)),VLOOKUP(A7569,Studies!A:BR,4,FALSE),"")</f>
        <v>Group 2, efavirenz alone</v>
      </c>
      <c r="E7569" s="250" t="str">
        <f>IF(AND(A7569&lt;&gt;"",ISNUMBER(A7569)),VLOOKUP(A7569,Studies!A:BR,5,FALSE),"")</f>
        <v>Efavirenz</v>
      </c>
      <c r="F7569" s="251" t="str">
        <f>IF(AND(A7569&lt;&gt;"",ISNUMBER(A7569)),VLOOKUP(A7569,Studies!A:BR,6,FALSE),"")</f>
        <v>Plasma</v>
      </c>
      <c r="G7569" s="194">
        <v>216</v>
      </c>
      <c r="H7569" s="194" t="s">
        <v>60</v>
      </c>
      <c r="I7569" s="187">
        <v>1.5511809999999999</v>
      </c>
      <c r="J7569" s="187" t="s">
        <v>959</v>
      </c>
      <c r="K7569" s="187" t="s">
        <v>116</v>
      </c>
      <c r="P7569" s="188"/>
    </row>
    <row r="7570" spans="1:16" x14ac:dyDescent="0.2">
      <c r="A7570" s="183">
        <v>797</v>
      </c>
      <c r="B7570" s="249" t="str">
        <f>IF(AND(A7570&lt;&gt;"",ISNUMBER(A7570)),VLOOKUP(A7570,Studies!A:BR,2,FALSE),"")</f>
        <v>Liu 2008</v>
      </c>
      <c r="C7570" s="250" t="str">
        <f>IF(AND(A7570&lt;&gt;"",ISNUMBER(A7570)),VLOOKUP(A7570,Studies!A:BR,3,FALSE),"")</f>
        <v>https://www.ncbi.nlm.nih.gov/pubmed/18025525</v>
      </c>
      <c r="D7570" s="250" t="str">
        <f>IF(AND(A7570&lt;&gt;"",ISNUMBER(A7570)),VLOOKUP(A7570,Studies!A:BR,4,FALSE),"")</f>
        <v>Group 2, efavirenz + placebo</v>
      </c>
      <c r="E7570" s="250" t="str">
        <f>IF(AND(A7570&lt;&gt;"",ISNUMBER(A7570)),VLOOKUP(A7570,Studies!A:BR,5,FALSE),"")</f>
        <v>Efavirenz</v>
      </c>
      <c r="F7570" s="251" t="str">
        <f>IF(AND(A7570&lt;&gt;"",ISNUMBER(A7570)),VLOOKUP(A7570,Studies!A:BR,6,FALSE),"")</f>
        <v>Plasma</v>
      </c>
      <c r="G7570" s="194">
        <v>432</v>
      </c>
      <c r="H7570" s="194" t="s">
        <v>60</v>
      </c>
      <c r="I7570" s="187">
        <v>1.519685</v>
      </c>
      <c r="J7570" s="187" t="s">
        <v>959</v>
      </c>
      <c r="K7570" s="187" t="s">
        <v>116</v>
      </c>
      <c r="L7570" s="195">
        <v>0.66141720000000004</v>
      </c>
      <c r="M7570" s="52" t="s">
        <v>959</v>
      </c>
      <c r="N7570" s="52" t="s">
        <v>117</v>
      </c>
      <c r="P7570" s="188"/>
    </row>
    <row r="7571" spans="1:16" x14ac:dyDescent="0.2">
      <c r="A7571" s="183">
        <v>797</v>
      </c>
      <c r="B7571" s="249" t="str">
        <f>IF(AND(A7571&lt;&gt;"",ISNUMBER(A7571)),VLOOKUP(A7571,Studies!A:BR,2,FALSE),"")</f>
        <v>Liu 2008</v>
      </c>
      <c r="C7571" s="250" t="str">
        <f>IF(AND(A7571&lt;&gt;"",ISNUMBER(A7571)),VLOOKUP(A7571,Studies!A:BR,3,FALSE),"")</f>
        <v>https://www.ncbi.nlm.nih.gov/pubmed/18025525</v>
      </c>
      <c r="D7571" s="250" t="str">
        <f>IF(AND(A7571&lt;&gt;"",ISNUMBER(A7571)),VLOOKUP(A7571,Studies!A:BR,4,FALSE),"")</f>
        <v>Group 2, efavirenz + placebo</v>
      </c>
      <c r="E7571" s="250" t="str">
        <f>IF(AND(A7571&lt;&gt;"",ISNUMBER(A7571)),VLOOKUP(A7571,Studies!A:BR,5,FALSE),"")</f>
        <v>Efavirenz</v>
      </c>
      <c r="F7571" s="251" t="str">
        <f>IF(AND(A7571&lt;&gt;"",ISNUMBER(A7571)),VLOOKUP(A7571,Studies!A:BR,6,FALSE),"")</f>
        <v>Plasma</v>
      </c>
      <c r="G7571" s="194">
        <v>432.5</v>
      </c>
      <c r="H7571" s="194" t="s">
        <v>60</v>
      </c>
      <c r="I7571" s="187">
        <v>1.5511809999999999</v>
      </c>
      <c r="J7571" s="187" t="s">
        <v>959</v>
      </c>
      <c r="K7571" s="187" t="s">
        <v>116</v>
      </c>
      <c r="L7571" s="195">
        <v>0.6456693</v>
      </c>
      <c r="M7571" s="52" t="s">
        <v>959</v>
      </c>
      <c r="N7571" s="52" t="s">
        <v>117</v>
      </c>
      <c r="P7571" s="188"/>
    </row>
    <row r="7572" spans="1:16" x14ac:dyDescent="0.2">
      <c r="A7572" s="183">
        <v>797</v>
      </c>
      <c r="B7572" s="249" t="str">
        <f>IF(AND(A7572&lt;&gt;"",ISNUMBER(A7572)),VLOOKUP(A7572,Studies!A:BR,2,FALSE),"")</f>
        <v>Liu 2008</v>
      </c>
      <c r="C7572" s="250" t="str">
        <f>IF(AND(A7572&lt;&gt;"",ISNUMBER(A7572)),VLOOKUP(A7572,Studies!A:BR,3,FALSE),"")</f>
        <v>https://www.ncbi.nlm.nih.gov/pubmed/18025525</v>
      </c>
      <c r="D7572" s="250" t="str">
        <f>IF(AND(A7572&lt;&gt;"",ISNUMBER(A7572)),VLOOKUP(A7572,Studies!A:BR,4,FALSE),"")</f>
        <v>Group 2, efavirenz + placebo</v>
      </c>
      <c r="E7572" s="250" t="str">
        <f>IF(AND(A7572&lt;&gt;"",ISNUMBER(A7572)),VLOOKUP(A7572,Studies!A:BR,5,FALSE),"")</f>
        <v>Efavirenz</v>
      </c>
      <c r="F7572" s="251" t="str">
        <f>IF(AND(A7572&lt;&gt;"",ISNUMBER(A7572)),VLOOKUP(A7572,Studies!A:BR,6,FALSE),"")</f>
        <v>Plasma</v>
      </c>
      <c r="G7572" s="194">
        <v>433</v>
      </c>
      <c r="H7572" s="194" t="s">
        <v>60</v>
      </c>
      <c r="I7572" s="187">
        <v>1.740157</v>
      </c>
      <c r="J7572" s="187" t="s">
        <v>959</v>
      </c>
      <c r="K7572" s="187" t="s">
        <v>116</v>
      </c>
      <c r="L7572" s="195">
        <v>0.86614219999999997</v>
      </c>
      <c r="M7572" s="52" t="s">
        <v>959</v>
      </c>
      <c r="N7572" s="52" t="s">
        <v>117</v>
      </c>
      <c r="P7572" s="188"/>
    </row>
    <row r="7573" spans="1:16" x14ac:dyDescent="0.2">
      <c r="A7573" s="183">
        <v>797</v>
      </c>
      <c r="B7573" s="249" t="str">
        <f>IF(AND(A7573&lt;&gt;"",ISNUMBER(A7573)),VLOOKUP(A7573,Studies!A:BR,2,FALSE),"")</f>
        <v>Liu 2008</v>
      </c>
      <c r="C7573" s="250" t="str">
        <f>IF(AND(A7573&lt;&gt;"",ISNUMBER(A7573)),VLOOKUP(A7573,Studies!A:BR,3,FALSE),"")</f>
        <v>https://www.ncbi.nlm.nih.gov/pubmed/18025525</v>
      </c>
      <c r="D7573" s="250" t="str">
        <f>IF(AND(A7573&lt;&gt;"",ISNUMBER(A7573)),VLOOKUP(A7573,Studies!A:BR,4,FALSE),"")</f>
        <v>Group 2, efavirenz + placebo</v>
      </c>
      <c r="E7573" s="250" t="str">
        <f>IF(AND(A7573&lt;&gt;"",ISNUMBER(A7573)),VLOOKUP(A7573,Studies!A:BR,5,FALSE),"")</f>
        <v>Efavirenz</v>
      </c>
      <c r="F7573" s="251" t="str">
        <f>IF(AND(A7573&lt;&gt;"",ISNUMBER(A7573)),VLOOKUP(A7573,Studies!A:BR,6,FALSE),"")</f>
        <v>Plasma</v>
      </c>
      <c r="G7573" s="194">
        <v>434</v>
      </c>
      <c r="H7573" s="194" t="s">
        <v>60</v>
      </c>
      <c r="I7573" s="187">
        <v>2.5748030000000002</v>
      </c>
      <c r="J7573" s="187" t="s">
        <v>959</v>
      </c>
      <c r="K7573" s="187" t="s">
        <v>116</v>
      </c>
      <c r="L7573" s="195">
        <v>1.181103</v>
      </c>
      <c r="M7573" s="52" t="s">
        <v>959</v>
      </c>
      <c r="N7573" s="52" t="s">
        <v>117</v>
      </c>
      <c r="P7573" s="188"/>
    </row>
    <row r="7574" spans="1:16" x14ac:dyDescent="0.2">
      <c r="A7574" s="183">
        <v>797</v>
      </c>
      <c r="B7574" s="249" t="str">
        <f>IF(AND(A7574&lt;&gt;"",ISNUMBER(A7574)),VLOOKUP(A7574,Studies!A:BR,2,FALSE),"")</f>
        <v>Liu 2008</v>
      </c>
      <c r="C7574" s="250" t="str">
        <f>IF(AND(A7574&lt;&gt;"",ISNUMBER(A7574)),VLOOKUP(A7574,Studies!A:BR,3,FALSE),"")</f>
        <v>https://www.ncbi.nlm.nih.gov/pubmed/18025525</v>
      </c>
      <c r="D7574" s="250" t="str">
        <f>IF(AND(A7574&lt;&gt;"",ISNUMBER(A7574)),VLOOKUP(A7574,Studies!A:BR,4,FALSE),"")</f>
        <v>Group 2, efavirenz + placebo</v>
      </c>
      <c r="E7574" s="250" t="str">
        <f>IF(AND(A7574&lt;&gt;"",ISNUMBER(A7574)),VLOOKUP(A7574,Studies!A:BR,5,FALSE),"")</f>
        <v>Efavirenz</v>
      </c>
      <c r="F7574" s="251" t="str">
        <f>IF(AND(A7574&lt;&gt;"",ISNUMBER(A7574)),VLOOKUP(A7574,Studies!A:BR,6,FALSE),"")</f>
        <v>Plasma</v>
      </c>
      <c r="G7574" s="194">
        <v>436</v>
      </c>
      <c r="H7574" s="194" t="s">
        <v>60</v>
      </c>
      <c r="I7574" s="187">
        <v>3.0944880000000001</v>
      </c>
      <c r="J7574" s="187" t="s">
        <v>959</v>
      </c>
      <c r="K7574" s="187" t="s">
        <v>116</v>
      </c>
      <c r="L7574" s="195">
        <v>1.0393699999999999</v>
      </c>
      <c r="M7574" s="52" t="s">
        <v>959</v>
      </c>
      <c r="N7574" s="52" t="s">
        <v>117</v>
      </c>
      <c r="P7574" s="188"/>
    </row>
    <row r="7575" spans="1:16" x14ac:dyDescent="0.2">
      <c r="A7575" s="183">
        <v>797</v>
      </c>
      <c r="B7575" s="249" t="str">
        <f>IF(AND(A7575&lt;&gt;"",ISNUMBER(A7575)),VLOOKUP(A7575,Studies!A:BR,2,FALSE),"")</f>
        <v>Liu 2008</v>
      </c>
      <c r="C7575" s="250" t="str">
        <f>IF(AND(A7575&lt;&gt;"",ISNUMBER(A7575)),VLOOKUP(A7575,Studies!A:BR,3,FALSE),"")</f>
        <v>https://www.ncbi.nlm.nih.gov/pubmed/18025525</v>
      </c>
      <c r="D7575" s="250" t="str">
        <f>IF(AND(A7575&lt;&gt;"",ISNUMBER(A7575)),VLOOKUP(A7575,Studies!A:BR,4,FALSE),"")</f>
        <v>Group 2, efavirenz + placebo</v>
      </c>
      <c r="E7575" s="250" t="str">
        <f>IF(AND(A7575&lt;&gt;"",ISNUMBER(A7575)),VLOOKUP(A7575,Studies!A:BR,5,FALSE),"")</f>
        <v>Efavirenz</v>
      </c>
      <c r="F7575" s="251" t="str">
        <f>IF(AND(A7575&lt;&gt;"",ISNUMBER(A7575)),VLOOKUP(A7575,Studies!A:BR,6,FALSE),"")</f>
        <v>Plasma</v>
      </c>
      <c r="G7575" s="194">
        <v>438</v>
      </c>
      <c r="H7575" s="194" t="s">
        <v>60</v>
      </c>
      <c r="I7575" s="187">
        <v>3.0787399999999998</v>
      </c>
      <c r="J7575" s="187" t="s">
        <v>959</v>
      </c>
      <c r="K7575" s="187" t="s">
        <v>116</v>
      </c>
      <c r="L7575" s="195">
        <v>0.91338609999999998</v>
      </c>
      <c r="M7575" s="52" t="s">
        <v>959</v>
      </c>
      <c r="N7575" s="52" t="s">
        <v>117</v>
      </c>
      <c r="P7575" s="188"/>
    </row>
    <row r="7576" spans="1:16" x14ac:dyDescent="0.2">
      <c r="A7576" s="183">
        <v>797</v>
      </c>
      <c r="B7576" s="249" t="str">
        <f>IF(AND(A7576&lt;&gt;"",ISNUMBER(A7576)),VLOOKUP(A7576,Studies!A:BR,2,FALSE),"")</f>
        <v>Liu 2008</v>
      </c>
      <c r="C7576" s="250" t="str">
        <f>IF(AND(A7576&lt;&gt;"",ISNUMBER(A7576)),VLOOKUP(A7576,Studies!A:BR,3,FALSE),"")</f>
        <v>https://www.ncbi.nlm.nih.gov/pubmed/18025525</v>
      </c>
      <c r="D7576" s="250" t="str">
        <f>IF(AND(A7576&lt;&gt;"",ISNUMBER(A7576)),VLOOKUP(A7576,Studies!A:BR,4,FALSE),"")</f>
        <v>Group 2, efavirenz + placebo</v>
      </c>
      <c r="E7576" s="250" t="str">
        <f>IF(AND(A7576&lt;&gt;"",ISNUMBER(A7576)),VLOOKUP(A7576,Studies!A:BR,5,FALSE),"")</f>
        <v>Efavirenz</v>
      </c>
      <c r="F7576" s="251" t="str">
        <f>IF(AND(A7576&lt;&gt;"",ISNUMBER(A7576)),VLOOKUP(A7576,Studies!A:BR,6,FALSE),"")</f>
        <v>Plasma</v>
      </c>
      <c r="G7576" s="194">
        <v>440</v>
      </c>
      <c r="H7576" s="194" t="s">
        <v>60</v>
      </c>
      <c r="I7576" s="187">
        <v>2.5275590000000001</v>
      </c>
      <c r="J7576" s="187" t="s">
        <v>959</v>
      </c>
      <c r="K7576" s="187" t="s">
        <v>116</v>
      </c>
      <c r="L7576" s="195">
        <v>0.80314969999999997</v>
      </c>
      <c r="M7576" s="52" t="s">
        <v>959</v>
      </c>
      <c r="N7576" s="52" t="s">
        <v>117</v>
      </c>
      <c r="P7576" s="188"/>
    </row>
    <row r="7577" spans="1:16" x14ac:dyDescent="0.2">
      <c r="A7577" s="183">
        <v>797</v>
      </c>
      <c r="B7577" s="249" t="str">
        <f>IF(AND(A7577&lt;&gt;"",ISNUMBER(A7577)),VLOOKUP(A7577,Studies!A:BR,2,FALSE),"")</f>
        <v>Liu 2008</v>
      </c>
      <c r="C7577" s="250" t="str">
        <f>IF(AND(A7577&lt;&gt;"",ISNUMBER(A7577)),VLOOKUP(A7577,Studies!A:BR,3,FALSE),"")</f>
        <v>https://www.ncbi.nlm.nih.gov/pubmed/18025525</v>
      </c>
      <c r="D7577" s="250" t="str">
        <f>IF(AND(A7577&lt;&gt;"",ISNUMBER(A7577)),VLOOKUP(A7577,Studies!A:BR,4,FALSE),"")</f>
        <v>Group 2, efavirenz + placebo</v>
      </c>
      <c r="E7577" s="250" t="str">
        <f>IF(AND(A7577&lt;&gt;"",ISNUMBER(A7577)),VLOOKUP(A7577,Studies!A:BR,5,FALSE),"")</f>
        <v>Efavirenz</v>
      </c>
      <c r="F7577" s="251" t="str">
        <f>IF(AND(A7577&lt;&gt;"",ISNUMBER(A7577)),VLOOKUP(A7577,Studies!A:BR,6,FALSE),"")</f>
        <v>Plasma</v>
      </c>
      <c r="G7577" s="194">
        <v>442</v>
      </c>
      <c r="H7577" s="194" t="s">
        <v>60</v>
      </c>
      <c r="I7577" s="187">
        <v>2.19685</v>
      </c>
      <c r="J7577" s="187" t="s">
        <v>959</v>
      </c>
      <c r="K7577" s="187" t="s">
        <v>116</v>
      </c>
      <c r="L7577" s="195">
        <v>0.75590590000000002</v>
      </c>
      <c r="M7577" s="52" t="s">
        <v>959</v>
      </c>
      <c r="N7577" s="52" t="s">
        <v>117</v>
      </c>
      <c r="P7577" s="188"/>
    </row>
    <row r="7578" spans="1:16" x14ac:dyDescent="0.2">
      <c r="A7578" s="183">
        <v>797</v>
      </c>
      <c r="B7578" s="249" t="str">
        <f>IF(AND(A7578&lt;&gt;"",ISNUMBER(A7578)),VLOOKUP(A7578,Studies!A:BR,2,FALSE),"")</f>
        <v>Liu 2008</v>
      </c>
      <c r="C7578" s="250" t="str">
        <f>IF(AND(A7578&lt;&gt;"",ISNUMBER(A7578)),VLOOKUP(A7578,Studies!A:BR,3,FALSE),"")</f>
        <v>https://www.ncbi.nlm.nih.gov/pubmed/18025525</v>
      </c>
      <c r="D7578" s="250" t="str">
        <f>IF(AND(A7578&lt;&gt;"",ISNUMBER(A7578)),VLOOKUP(A7578,Studies!A:BR,4,FALSE),"")</f>
        <v>Group 2, efavirenz + placebo</v>
      </c>
      <c r="E7578" s="250" t="str">
        <f>IF(AND(A7578&lt;&gt;"",ISNUMBER(A7578)),VLOOKUP(A7578,Studies!A:BR,5,FALSE),"")</f>
        <v>Efavirenz</v>
      </c>
      <c r="F7578" s="251" t="str">
        <f>IF(AND(A7578&lt;&gt;"",ISNUMBER(A7578)),VLOOKUP(A7578,Studies!A:BR,6,FALSE),"")</f>
        <v>Plasma</v>
      </c>
      <c r="G7578" s="194">
        <v>444</v>
      </c>
      <c r="H7578" s="194" t="s">
        <v>60</v>
      </c>
      <c r="I7578" s="187">
        <v>2.0078740000000002</v>
      </c>
      <c r="J7578" s="187" t="s">
        <v>959</v>
      </c>
      <c r="K7578" s="187" t="s">
        <v>116</v>
      </c>
      <c r="L7578" s="195">
        <v>0.72440930000000003</v>
      </c>
      <c r="M7578" s="52" t="s">
        <v>959</v>
      </c>
      <c r="N7578" s="52" t="s">
        <v>117</v>
      </c>
      <c r="P7578" s="188"/>
    </row>
    <row r="7579" spans="1:16" x14ac:dyDescent="0.2">
      <c r="A7579" s="183">
        <v>797</v>
      </c>
      <c r="B7579" s="249" t="str">
        <f>IF(AND(A7579&lt;&gt;"",ISNUMBER(A7579)),VLOOKUP(A7579,Studies!A:BR,2,FALSE),"")</f>
        <v>Liu 2008</v>
      </c>
      <c r="C7579" s="250" t="str">
        <f>IF(AND(A7579&lt;&gt;"",ISNUMBER(A7579)),VLOOKUP(A7579,Studies!A:BR,3,FALSE),"")</f>
        <v>https://www.ncbi.nlm.nih.gov/pubmed/18025525</v>
      </c>
      <c r="D7579" s="250" t="str">
        <f>IF(AND(A7579&lt;&gt;"",ISNUMBER(A7579)),VLOOKUP(A7579,Studies!A:BR,4,FALSE),"")</f>
        <v>Group 2, efavirenz + placebo</v>
      </c>
      <c r="E7579" s="250" t="str">
        <f>IF(AND(A7579&lt;&gt;"",ISNUMBER(A7579)),VLOOKUP(A7579,Studies!A:BR,5,FALSE),"")</f>
        <v>Efavirenz</v>
      </c>
      <c r="F7579" s="251" t="str">
        <f>IF(AND(A7579&lt;&gt;"",ISNUMBER(A7579)),VLOOKUP(A7579,Studies!A:BR,6,FALSE),"")</f>
        <v>Plasma</v>
      </c>
      <c r="G7579" s="194">
        <v>448</v>
      </c>
      <c r="H7579" s="194" t="s">
        <v>60</v>
      </c>
      <c r="I7579" s="187">
        <v>1.7716540000000001</v>
      </c>
      <c r="J7579" s="187" t="s">
        <v>959</v>
      </c>
      <c r="K7579" s="187" t="s">
        <v>116</v>
      </c>
      <c r="L7579" s="195">
        <v>0.78740109999999996</v>
      </c>
      <c r="M7579" s="52" t="s">
        <v>959</v>
      </c>
      <c r="N7579" s="52" t="s">
        <v>117</v>
      </c>
      <c r="P7579" s="188"/>
    </row>
    <row r="7580" spans="1:16" x14ac:dyDescent="0.2">
      <c r="A7580" s="183">
        <v>797</v>
      </c>
      <c r="B7580" s="249" t="str">
        <f>IF(AND(A7580&lt;&gt;"",ISNUMBER(A7580)),VLOOKUP(A7580,Studies!A:BR,2,FALSE),"")</f>
        <v>Liu 2008</v>
      </c>
      <c r="C7580" s="250" t="str">
        <f>IF(AND(A7580&lt;&gt;"",ISNUMBER(A7580)),VLOOKUP(A7580,Studies!A:BR,3,FALSE),"")</f>
        <v>https://www.ncbi.nlm.nih.gov/pubmed/18025525</v>
      </c>
      <c r="D7580" s="250" t="str">
        <f>IF(AND(A7580&lt;&gt;"",ISNUMBER(A7580)),VLOOKUP(A7580,Studies!A:BR,4,FALSE),"")</f>
        <v>Group 2, efavirenz + placebo</v>
      </c>
      <c r="E7580" s="250" t="str">
        <f>IF(AND(A7580&lt;&gt;"",ISNUMBER(A7580)),VLOOKUP(A7580,Studies!A:BR,5,FALSE),"")</f>
        <v>Efavirenz</v>
      </c>
      <c r="F7580" s="251" t="str">
        <f>IF(AND(A7580&lt;&gt;"",ISNUMBER(A7580)),VLOOKUP(A7580,Studies!A:BR,6,FALSE),"")</f>
        <v>Plasma</v>
      </c>
      <c r="G7580" s="194">
        <v>452</v>
      </c>
      <c r="H7580" s="194" t="s">
        <v>60</v>
      </c>
      <c r="I7580" s="187">
        <v>1.629921</v>
      </c>
      <c r="J7580" s="187" t="s">
        <v>959</v>
      </c>
      <c r="K7580" s="187" t="s">
        <v>116</v>
      </c>
      <c r="L7580" s="195">
        <v>0.85039399999999998</v>
      </c>
      <c r="M7580" s="52" t="s">
        <v>959</v>
      </c>
      <c r="N7580" s="52" t="s">
        <v>117</v>
      </c>
      <c r="P7580" s="188"/>
    </row>
    <row r="7581" spans="1:16" x14ac:dyDescent="0.2">
      <c r="A7581" s="183">
        <v>797</v>
      </c>
      <c r="B7581" s="249" t="str">
        <f>IF(AND(A7581&lt;&gt;"",ISNUMBER(A7581)),VLOOKUP(A7581,Studies!A:BR,2,FALSE),"")</f>
        <v>Liu 2008</v>
      </c>
      <c r="C7581" s="250" t="str">
        <f>IF(AND(A7581&lt;&gt;"",ISNUMBER(A7581)),VLOOKUP(A7581,Studies!A:BR,3,FALSE),"")</f>
        <v>https://www.ncbi.nlm.nih.gov/pubmed/18025525</v>
      </c>
      <c r="D7581" s="250" t="str">
        <f>IF(AND(A7581&lt;&gt;"",ISNUMBER(A7581)),VLOOKUP(A7581,Studies!A:BR,4,FALSE),"")</f>
        <v>Group 2, efavirenz + placebo</v>
      </c>
      <c r="E7581" s="250" t="str">
        <f>IF(AND(A7581&lt;&gt;"",ISNUMBER(A7581)),VLOOKUP(A7581,Studies!A:BR,5,FALSE),"")</f>
        <v>Efavirenz</v>
      </c>
      <c r="F7581" s="251" t="str">
        <f>IF(AND(A7581&lt;&gt;"",ISNUMBER(A7581)),VLOOKUP(A7581,Studies!A:BR,6,FALSE),"")</f>
        <v>Plasma</v>
      </c>
      <c r="G7581" s="194">
        <v>456</v>
      </c>
      <c r="H7581" s="194" t="s">
        <v>60</v>
      </c>
      <c r="I7581" s="187">
        <v>1.519685</v>
      </c>
      <c r="J7581" s="187" t="s">
        <v>959</v>
      </c>
      <c r="K7581" s="187" t="s">
        <v>116</v>
      </c>
      <c r="L7581" s="195">
        <v>0.78740169999999998</v>
      </c>
      <c r="M7581" s="52" t="s">
        <v>959</v>
      </c>
      <c r="N7581" s="52" t="s">
        <v>117</v>
      </c>
      <c r="P7581" s="188"/>
    </row>
    <row r="7582" spans="1:16" x14ac:dyDescent="0.2">
      <c r="A7582" s="183">
        <v>798</v>
      </c>
      <c r="B7582" s="249" t="str">
        <f>IF(AND(A7582&lt;&gt;"",ISNUMBER(A7582)),VLOOKUP(A7582,Studies!A:BR,2,FALSE),"")</f>
        <v>Malvestutto 2014</v>
      </c>
      <c r="C7582" s="250" t="str">
        <f>IF(AND(A7582&lt;&gt;"",ISNUMBER(A7582)),VLOOKUP(A7582,Studies!A:BR,3,FALSE),"")</f>
        <v>https://www.ncbi.nlm.nih.gov/pubmed/25202920</v>
      </c>
      <c r="D7582" s="250" t="str">
        <f>IF(AND(A7582&lt;&gt;"",ISNUMBER(A7582)),VLOOKUP(A7582,Studies!A:BR,4,FALSE),"")</f>
        <v>Efavirenz alone</v>
      </c>
      <c r="E7582" s="250" t="str">
        <f>IF(AND(A7582&lt;&gt;"",ISNUMBER(A7582)),VLOOKUP(A7582,Studies!A:BR,5,FALSE),"")</f>
        <v>Efavirenz</v>
      </c>
      <c r="F7582" s="251" t="str">
        <f>IF(AND(A7582&lt;&gt;"",ISNUMBER(A7582)),VLOOKUP(A7582,Studies!A:BR,6,FALSE),"")</f>
        <v>Plasma</v>
      </c>
      <c r="G7582" s="194">
        <v>216</v>
      </c>
      <c r="H7582" s="194" t="s">
        <v>60</v>
      </c>
      <c r="I7582" s="187">
        <v>1.4061650000000001</v>
      </c>
      <c r="J7582" s="187" t="s">
        <v>959</v>
      </c>
      <c r="K7582" s="187" t="s">
        <v>116</v>
      </c>
      <c r="P7582" s="188"/>
    </row>
    <row r="7583" spans="1:16" x14ac:dyDescent="0.2">
      <c r="A7583" s="183">
        <v>798</v>
      </c>
      <c r="B7583" s="249" t="str">
        <f>IF(AND(A7583&lt;&gt;"",ISNUMBER(A7583)),VLOOKUP(A7583,Studies!A:BR,2,FALSE),"")</f>
        <v>Malvestutto 2014</v>
      </c>
      <c r="C7583" s="250" t="str">
        <f>IF(AND(A7583&lt;&gt;"",ISNUMBER(A7583)),VLOOKUP(A7583,Studies!A:BR,3,FALSE),"")</f>
        <v>https://www.ncbi.nlm.nih.gov/pubmed/25202920</v>
      </c>
      <c r="D7583" s="250" t="str">
        <f>IF(AND(A7583&lt;&gt;"",ISNUMBER(A7583)),VLOOKUP(A7583,Studies!A:BR,4,FALSE),"")</f>
        <v>Efavirenz alone</v>
      </c>
      <c r="E7583" s="250" t="str">
        <f>IF(AND(A7583&lt;&gt;"",ISNUMBER(A7583)),VLOOKUP(A7583,Studies!A:BR,5,FALSE),"")</f>
        <v>Efavirenz</v>
      </c>
      <c r="F7583" s="251" t="str">
        <f>IF(AND(A7583&lt;&gt;"",ISNUMBER(A7583)),VLOOKUP(A7583,Studies!A:BR,6,FALSE),"")</f>
        <v>Plasma</v>
      </c>
      <c r="G7583" s="194">
        <v>216.5</v>
      </c>
      <c r="H7583" s="194" t="s">
        <v>60</v>
      </c>
      <c r="I7583" s="187">
        <v>1.3867370000000001</v>
      </c>
      <c r="J7583" s="187" t="s">
        <v>959</v>
      </c>
      <c r="K7583" s="187" t="s">
        <v>116</v>
      </c>
      <c r="P7583" s="188"/>
    </row>
    <row r="7584" spans="1:16" x14ac:dyDescent="0.2">
      <c r="A7584" s="183">
        <v>798</v>
      </c>
      <c r="B7584" s="249" t="str">
        <f>IF(AND(A7584&lt;&gt;"",ISNUMBER(A7584)),VLOOKUP(A7584,Studies!A:BR,2,FALSE),"")</f>
        <v>Malvestutto 2014</v>
      </c>
      <c r="C7584" s="250" t="str">
        <f>IF(AND(A7584&lt;&gt;"",ISNUMBER(A7584)),VLOOKUP(A7584,Studies!A:BR,3,FALSE),"")</f>
        <v>https://www.ncbi.nlm.nih.gov/pubmed/25202920</v>
      </c>
      <c r="D7584" s="250" t="str">
        <f>IF(AND(A7584&lt;&gt;"",ISNUMBER(A7584)),VLOOKUP(A7584,Studies!A:BR,4,FALSE),"")</f>
        <v>Efavirenz alone</v>
      </c>
      <c r="E7584" s="250" t="str">
        <f>IF(AND(A7584&lt;&gt;"",ISNUMBER(A7584)),VLOOKUP(A7584,Studies!A:BR,5,FALSE),"")</f>
        <v>Efavirenz</v>
      </c>
      <c r="F7584" s="251" t="str">
        <f>IF(AND(A7584&lt;&gt;"",ISNUMBER(A7584)),VLOOKUP(A7584,Studies!A:BR,6,FALSE),"")</f>
        <v>Plasma</v>
      </c>
      <c r="G7584" s="194">
        <v>217</v>
      </c>
      <c r="H7584" s="194" t="s">
        <v>60</v>
      </c>
      <c r="I7584" s="187">
        <v>1.6849460000000001</v>
      </c>
      <c r="J7584" s="187" t="s">
        <v>959</v>
      </c>
      <c r="K7584" s="187" t="s">
        <v>116</v>
      </c>
      <c r="P7584" s="188"/>
    </row>
    <row r="7585" spans="1:16" x14ac:dyDescent="0.2">
      <c r="A7585" s="183">
        <v>798</v>
      </c>
      <c r="B7585" s="249" t="str">
        <f>IF(AND(A7585&lt;&gt;"",ISNUMBER(A7585)),VLOOKUP(A7585,Studies!A:BR,2,FALSE),"")</f>
        <v>Malvestutto 2014</v>
      </c>
      <c r="C7585" s="250" t="str">
        <f>IF(AND(A7585&lt;&gt;"",ISNUMBER(A7585)),VLOOKUP(A7585,Studies!A:BR,3,FALSE),"")</f>
        <v>https://www.ncbi.nlm.nih.gov/pubmed/25202920</v>
      </c>
      <c r="D7585" s="250" t="str">
        <f>IF(AND(A7585&lt;&gt;"",ISNUMBER(A7585)),VLOOKUP(A7585,Studies!A:BR,4,FALSE),"")</f>
        <v>Efavirenz alone</v>
      </c>
      <c r="E7585" s="250" t="str">
        <f>IF(AND(A7585&lt;&gt;"",ISNUMBER(A7585)),VLOOKUP(A7585,Studies!A:BR,5,FALSE),"")</f>
        <v>Efavirenz</v>
      </c>
      <c r="F7585" s="251" t="str">
        <f>IF(AND(A7585&lt;&gt;"",ISNUMBER(A7585)),VLOOKUP(A7585,Studies!A:BR,6,FALSE),"")</f>
        <v>Plasma</v>
      </c>
      <c r="G7585" s="194">
        <v>218</v>
      </c>
      <c r="H7585" s="194" t="s">
        <v>60</v>
      </c>
      <c r="I7585" s="187">
        <v>2.5577320000000001</v>
      </c>
      <c r="J7585" s="187" t="s">
        <v>959</v>
      </c>
      <c r="K7585" s="187" t="s">
        <v>116</v>
      </c>
      <c r="P7585" s="188"/>
    </row>
    <row r="7586" spans="1:16" x14ac:dyDescent="0.2">
      <c r="A7586" s="183">
        <v>798</v>
      </c>
      <c r="B7586" s="249" t="str">
        <f>IF(AND(A7586&lt;&gt;"",ISNUMBER(A7586)),VLOOKUP(A7586,Studies!A:BR,2,FALSE),"")</f>
        <v>Malvestutto 2014</v>
      </c>
      <c r="C7586" s="250" t="str">
        <f>IF(AND(A7586&lt;&gt;"",ISNUMBER(A7586)),VLOOKUP(A7586,Studies!A:BR,3,FALSE),"")</f>
        <v>https://www.ncbi.nlm.nih.gov/pubmed/25202920</v>
      </c>
      <c r="D7586" s="250" t="str">
        <f>IF(AND(A7586&lt;&gt;"",ISNUMBER(A7586)),VLOOKUP(A7586,Studies!A:BR,4,FALSE),"")</f>
        <v>Efavirenz alone</v>
      </c>
      <c r="E7586" s="250" t="str">
        <f>IF(AND(A7586&lt;&gt;"",ISNUMBER(A7586)),VLOOKUP(A7586,Studies!A:BR,5,FALSE),"")</f>
        <v>Efavirenz</v>
      </c>
      <c r="F7586" s="251" t="str">
        <f>IF(AND(A7586&lt;&gt;"",ISNUMBER(A7586)),VLOOKUP(A7586,Studies!A:BR,6,FALSE),"")</f>
        <v>Plasma</v>
      </c>
      <c r="G7586" s="194">
        <v>219</v>
      </c>
      <c r="H7586" s="194" t="s">
        <v>60</v>
      </c>
      <c r="I7586" s="187">
        <v>3.064819</v>
      </c>
      <c r="J7586" s="187" t="s">
        <v>959</v>
      </c>
      <c r="K7586" s="187" t="s">
        <v>116</v>
      </c>
      <c r="P7586" s="188"/>
    </row>
    <row r="7587" spans="1:16" x14ac:dyDescent="0.2">
      <c r="A7587" s="183">
        <v>798</v>
      </c>
      <c r="B7587" s="249" t="str">
        <f>IF(AND(A7587&lt;&gt;"",ISNUMBER(A7587)),VLOOKUP(A7587,Studies!A:BR,2,FALSE),"")</f>
        <v>Malvestutto 2014</v>
      </c>
      <c r="C7587" s="250" t="str">
        <f>IF(AND(A7587&lt;&gt;"",ISNUMBER(A7587)),VLOOKUP(A7587,Studies!A:BR,3,FALSE),"")</f>
        <v>https://www.ncbi.nlm.nih.gov/pubmed/25202920</v>
      </c>
      <c r="D7587" s="250" t="str">
        <f>IF(AND(A7587&lt;&gt;"",ISNUMBER(A7587)),VLOOKUP(A7587,Studies!A:BR,4,FALSE),"")</f>
        <v>Efavirenz alone</v>
      </c>
      <c r="E7587" s="250" t="str">
        <f>IF(AND(A7587&lt;&gt;"",ISNUMBER(A7587)),VLOOKUP(A7587,Studies!A:BR,5,FALSE),"")</f>
        <v>Efavirenz</v>
      </c>
      <c r="F7587" s="251" t="str">
        <f>IF(AND(A7587&lt;&gt;"",ISNUMBER(A7587)),VLOOKUP(A7587,Studies!A:BR,6,FALSE),"")</f>
        <v>Plasma</v>
      </c>
      <c r="G7587" s="194">
        <v>220</v>
      </c>
      <c r="H7587" s="194" t="s">
        <v>60</v>
      </c>
      <c r="I7587" s="187">
        <v>3.3783210000000001</v>
      </c>
      <c r="J7587" s="187" t="s">
        <v>959</v>
      </c>
      <c r="K7587" s="187" t="s">
        <v>116</v>
      </c>
      <c r="P7587" s="188"/>
    </row>
    <row r="7588" spans="1:16" x14ac:dyDescent="0.2">
      <c r="A7588" s="183">
        <v>798</v>
      </c>
      <c r="B7588" s="249" t="str">
        <f>IF(AND(A7588&lt;&gt;"",ISNUMBER(A7588)),VLOOKUP(A7588,Studies!A:BR,2,FALSE),"")</f>
        <v>Malvestutto 2014</v>
      </c>
      <c r="C7588" s="250" t="str">
        <f>IF(AND(A7588&lt;&gt;"",ISNUMBER(A7588)),VLOOKUP(A7588,Studies!A:BR,3,FALSE),"")</f>
        <v>https://www.ncbi.nlm.nih.gov/pubmed/25202920</v>
      </c>
      <c r="D7588" s="250" t="str">
        <f>IF(AND(A7588&lt;&gt;"",ISNUMBER(A7588)),VLOOKUP(A7588,Studies!A:BR,4,FALSE),"")</f>
        <v>Efavirenz alone</v>
      </c>
      <c r="E7588" s="250" t="str">
        <f>IF(AND(A7588&lt;&gt;"",ISNUMBER(A7588)),VLOOKUP(A7588,Studies!A:BR,5,FALSE),"")</f>
        <v>Efavirenz</v>
      </c>
      <c r="F7588" s="251" t="str">
        <f>IF(AND(A7588&lt;&gt;"",ISNUMBER(A7588)),VLOOKUP(A7588,Studies!A:BR,6,FALSE),"")</f>
        <v>Plasma</v>
      </c>
      <c r="G7588" s="194">
        <v>222</v>
      </c>
      <c r="H7588" s="194" t="s">
        <v>60</v>
      </c>
      <c r="I7588" s="187">
        <v>3.0015209999999999</v>
      </c>
      <c r="J7588" s="187" t="s">
        <v>959</v>
      </c>
      <c r="K7588" s="187" t="s">
        <v>116</v>
      </c>
      <c r="P7588" s="188"/>
    </row>
    <row r="7589" spans="1:16" x14ac:dyDescent="0.2">
      <c r="A7589" s="183">
        <v>798</v>
      </c>
      <c r="B7589" s="249" t="str">
        <f>IF(AND(A7589&lt;&gt;"",ISNUMBER(A7589)),VLOOKUP(A7589,Studies!A:BR,2,FALSE),"")</f>
        <v>Malvestutto 2014</v>
      </c>
      <c r="C7589" s="250" t="str">
        <f>IF(AND(A7589&lt;&gt;"",ISNUMBER(A7589)),VLOOKUP(A7589,Studies!A:BR,3,FALSE),"")</f>
        <v>https://www.ncbi.nlm.nih.gov/pubmed/25202920</v>
      </c>
      <c r="D7589" s="250" t="str">
        <f>IF(AND(A7589&lt;&gt;"",ISNUMBER(A7589)),VLOOKUP(A7589,Studies!A:BR,4,FALSE),"")</f>
        <v>Efavirenz alone</v>
      </c>
      <c r="E7589" s="250" t="str">
        <f>IF(AND(A7589&lt;&gt;"",ISNUMBER(A7589)),VLOOKUP(A7589,Studies!A:BR,5,FALSE),"")</f>
        <v>Efavirenz</v>
      </c>
      <c r="F7589" s="251" t="str">
        <f>IF(AND(A7589&lt;&gt;"",ISNUMBER(A7589)),VLOOKUP(A7589,Studies!A:BR,6,FALSE),"")</f>
        <v>Plasma</v>
      </c>
      <c r="G7589" s="194">
        <v>224</v>
      </c>
      <c r="H7589" s="194" t="s">
        <v>60</v>
      </c>
      <c r="I7589" s="187">
        <v>2.7229860000000001</v>
      </c>
      <c r="J7589" s="187" t="s">
        <v>959</v>
      </c>
      <c r="K7589" s="187" t="s">
        <v>116</v>
      </c>
      <c r="P7589" s="188"/>
    </row>
    <row r="7590" spans="1:16" x14ac:dyDescent="0.2">
      <c r="A7590" s="183">
        <v>798</v>
      </c>
      <c r="B7590" s="249" t="str">
        <f>IF(AND(A7590&lt;&gt;"",ISNUMBER(A7590)),VLOOKUP(A7590,Studies!A:BR,2,FALSE),"")</f>
        <v>Malvestutto 2014</v>
      </c>
      <c r="C7590" s="250" t="str">
        <f>IF(AND(A7590&lt;&gt;"",ISNUMBER(A7590)),VLOOKUP(A7590,Studies!A:BR,3,FALSE),"")</f>
        <v>https://www.ncbi.nlm.nih.gov/pubmed/25202920</v>
      </c>
      <c r="D7590" s="250" t="str">
        <f>IF(AND(A7590&lt;&gt;"",ISNUMBER(A7590)),VLOOKUP(A7590,Studies!A:BR,4,FALSE),"")</f>
        <v>Efavirenz alone</v>
      </c>
      <c r="E7590" s="250" t="str">
        <f>IF(AND(A7590&lt;&gt;"",ISNUMBER(A7590)),VLOOKUP(A7590,Studies!A:BR,5,FALSE),"")</f>
        <v>Efavirenz</v>
      </c>
      <c r="F7590" s="251" t="str">
        <f>IF(AND(A7590&lt;&gt;"",ISNUMBER(A7590)),VLOOKUP(A7590,Studies!A:BR,6,FALSE),"")</f>
        <v>Plasma</v>
      </c>
      <c r="G7590" s="194">
        <v>228</v>
      </c>
      <c r="H7590" s="194" t="s">
        <v>60</v>
      </c>
      <c r="I7590" s="187">
        <v>2.1050520000000001</v>
      </c>
      <c r="J7590" s="187" t="s">
        <v>959</v>
      </c>
      <c r="K7590" s="187" t="s">
        <v>116</v>
      </c>
      <c r="P7590" s="188"/>
    </row>
    <row r="7591" spans="1:16" x14ac:dyDescent="0.2">
      <c r="A7591" s="183">
        <v>798</v>
      </c>
      <c r="B7591" s="249" t="str">
        <f>IF(AND(A7591&lt;&gt;"",ISNUMBER(A7591)),VLOOKUP(A7591,Studies!A:BR,2,FALSE),"")</f>
        <v>Malvestutto 2014</v>
      </c>
      <c r="C7591" s="250" t="str">
        <f>IF(AND(A7591&lt;&gt;"",ISNUMBER(A7591)),VLOOKUP(A7591,Studies!A:BR,3,FALSE),"")</f>
        <v>https://www.ncbi.nlm.nih.gov/pubmed/25202920</v>
      </c>
      <c r="D7591" s="250" t="str">
        <f>IF(AND(A7591&lt;&gt;"",ISNUMBER(A7591)),VLOOKUP(A7591,Studies!A:BR,4,FALSE),"")</f>
        <v>Efavirenz alone</v>
      </c>
      <c r="E7591" s="250" t="str">
        <f>IF(AND(A7591&lt;&gt;"",ISNUMBER(A7591)),VLOOKUP(A7591,Studies!A:BR,5,FALSE),"")</f>
        <v>Efavirenz</v>
      </c>
      <c r="F7591" s="251" t="str">
        <f>IF(AND(A7591&lt;&gt;"",ISNUMBER(A7591)),VLOOKUP(A7591,Studies!A:BR,6,FALSE),"")</f>
        <v>Plasma</v>
      </c>
      <c r="G7591" s="194">
        <v>240</v>
      </c>
      <c r="H7591" s="194" t="s">
        <v>60</v>
      </c>
      <c r="I7591" s="187">
        <v>1.5392570000000001</v>
      </c>
      <c r="J7591" s="187" t="s">
        <v>959</v>
      </c>
      <c r="K7591" s="187" t="s">
        <v>116</v>
      </c>
      <c r="P7591" s="188"/>
    </row>
    <row r="7592" spans="1:16" x14ac:dyDescent="0.2">
      <c r="A7592" s="183">
        <v>799</v>
      </c>
      <c r="B7592" s="249" t="str">
        <f>IF(AND(A7592&lt;&gt;"",ISNUMBER(A7592)),VLOOKUP(A7592,Studies!A:BR,2,FALSE),"")</f>
        <v>Soon 2010</v>
      </c>
      <c r="C7592" s="250" t="str">
        <f>IF(AND(A7592&lt;&gt;"",ISNUMBER(A7592)),VLOOKUP(A7592,Studies!A:BR,3,FALSE),"")</f>
        <v>https://www.ncbi.nlm.nih.gov/pubmed/20385850</v>
      </c>
      <c r="D7592" s="250" t="str">
        <f>IF(AND(A7592&lt;&gt;"",ISNUMBER(A7592)),VLOOKUP(A7592,Studies!A:BR,4,FALSE),"")</f>
        <v>Efavirenz alone</v>
      </c>
      <c r="E7592" s="250" t="str">
        <f>IF(AND(A7592&lt;&gt;"",ISNUMBER(A7592)),VLOOKUP(A7592,Studies!A:BR,5,FALSE),"")</f>
        <v>Efavirenz</v>
      </c>
      <c r="F7592" s="251" t="str">
        <f>IF(AND(A7592&lt;&gt;"",ISNUMBER(A7592)),VLOOKUP(A7592,Studies!A:BR,6,FALSE),"")</f>
        <v>Plasma</v>
      </c>
      <c r="G7592" s="194">
        <v>672</v>
      </c>
      <c r="H7592" s="194" t="s">
        <v>60</v>
      </c>
      <c r="I7592" s="187">
        <v>4161.0739999999996</v>
      </c>
      <c r="J7592" s="187" t="s">
        <v>941</v>
      </c>
      <c r="K7592" s="187" t="s">
        <v>116</v>
      </c>
      <c r="P7592" s="188"/>
    </row>
    <row r="7593" spans="1:16" x14ac:dyDescent="0.2">
      <c r="A7593" s="183">
        <v>799</v>
      </c>
      <c r="B7593" s="249" t="str">
        <f>IF(AND(A7593&lt;&gt;"",ISNUMBER(A7593)),VLOOKUP(A7593,Studies!A:BR,2,FALSE),"")</f>
        <v>Soon 2010</v>
      </c>
      <c r="C7593" s="250" t="str">
        <f>IF(AND(A7593&lt;&gt;"",ISNUMBER(A7593)),VLOOKUP(A7593,Studies!A:BR,3,FALSE),"")</f>
        <v>https://www.ncbi.nlm.nih.gov/pubmed/20385850</v>
      </c>
      <c r="D7593" s="250" t="str">
        <f>IF(AND(A7593&lt;&gt;"",ISNUMBER(A7593)),VLOOKUP(A7593,Studies!A:BR,4,FALSE),"")</f>
        <v>Efavirenz alone</v>
      </c>
      <c r="E7593" s="250" t="str">
        <f>IF(AND(A7593&lt;&gt;"",ISNUMBER(A7593)),VLOOKUP(A7593,Studies!A:BR,5,FALSE),"")</f>
        <v>Efavirenz</v>
      </c>
      <c r="F7593" s="251" t="str">
        <f>IF(AND(A7593&lt;&gt;"",ISNUMBER(A7593)),VLOOKUP(A7593,Studies!A:BR,6,FALSE),"")</f>
        <v>Plasma</v>
      </c>
      <c r="G7593" s="194">
        <v>672.5</v>
      </c>
      <c r="H7593" s="194" t="s">
        <v>60</v>
      </c>
      <c r="I7593" s="187">
        <v>3006.7109999999998</v>
      </c>
      <c r="J7593" s="187" t="s">
        <v>941</v>
      </c>
      <c r="K7593" s="187" t="s">
        <v>116</v>
      </c>
      <c r="P7593" s="188"/>
    </row>
    <row r="7594" spans="1:16" x14ac:dyDescent="0.2">
      <c r="A7594" s="183">
        <v>799</v>
      </c>
      <c r="B7594" s="249" t="str">
        <f>IF(AND(A7594&lt;&gt;"",ISNUMBER(A7594)),VLOOKUP(A7594,Studies!A:BR,2,FALSE),"")</f>
        <v>Soon 2010</v>
      </c>
      <c r="C7594" s="250" t="str">
        <f>IF(AND(A7594&lt;&gt;"",ISNUMBER(A7594)),VLOOKUP(A7594,Studies!A:BR,3,FALSE),"")</f>
        <v>https://www.ncbi.nlm.nih.gov/pubmed/20385850</v>
      </c>
      <c r="D7594" s="250" t="str">
        <f>IF(AND(A7594&lt;&gt;"",ISNUMBER(A7594)),VLOOKUP(A7594,Studies!A:BR,4,FALSE),"")</f>
        <v>Efavirenz alone</v>
      </c>
      <c r="E7594" s="250" t="str">
        <f>IF(AND(A7594&lt;&gt;"",ISNUMBER(A7594)),VLOOKUP(A7594,Studies!A:BR,5,FALSE),"")</f>
        <v>Efavirenz</v>
      </c>
      <c r="F7594" s="251" t="str">
        <f>IF(AND(A7594&lt;&gt;"",ISNUMBER(A7594)),VLOOKUP(A7594,Studies!A:BR,6,FALSE),"")</f>
        <v>Plasma</v>
      </c>
      <c r="G7594" s="194">
        <v>673</v>
      </c>
      <c r="H7594" s="194" t="s">
        <v>60</v>
      </c>
      <c r="I7594" s="187">
        <v>4255.0339999999997</v>
      </c>
      <c r="J7594" s="187" t="s">
        <v>941</v>
      </c>
      <c r="K7594" s="187" t="s">
        <v>116</v>
      </c>
      <c r="P7594" s="188"/>
    </row>
    <row r="7595" spans="1:16" x14ac:dyDescent="0.2">
      <c r="A7595" s="183">
        <v>799</v>
      </c>
      <c r="B7595" s="249" t="str">
        <f>IF(AND(A7595&lt;&gt;"",ISNUMBER(A7595)),VLOOKUP(A7595,Studies!A:BR,2,FALSE),"")</f>
        <v>Soon 2010</v>
      </c>
      <c r="C7595" s="250" t="str">
        <f>IF(AND(A7595&lt;&gt;"",ISNUMBER(A7595)),VLOOKUP(A7595,Studies!A:BR,3,FALSE),"")</f>
        <v>https://www.ncbi.nlm.nih.gov/pubmed/20385850</v>
      </c>
      <c r="D7595" s="250" t="str">
        <f>IF(AND(A7595&lt;&gt;"",ISNUMBER(A7595)),VLOOKUP(A7595,Studies!A:BR,4,FALSE),"")</f>
        <v>Efavirenz alone</v>
      </c>
      <c r="E7595" s="250" t="str">
        <f>IF(AND(A7595&lt;&gt;"",ISNUMBER(A7595)),VLOOKUP(A7595,Studies!A:BR,5,FALSE),"")</f>
        <v>Efavirenz</v>
      </c>
      <c r="F7595" s="251" t="str">
        <f>IF(AND(A7595&lt;&gt;"",ISNUMBER(A7595)),VLOOKUP(A7595,Studies!A:BR,6,FALSE),"")</f>
        <v>Plasma</v>
      </c>
      <c r="G7595" s="194">
        <v>673.5</v>
      </c>
      <c r="H7595" s="194" t="s">
        <v>60</v>
      </c>
      <c r="I7595" s="187">
        <v>4671.1409999999996</v>
      </c>
      <c r="J7595" s="187" t="s">
        <v>941</v>
      </c>
      <c r="K7595" s="187" t="s">
        <v>116</v>
      </c>
      <c r="P7595" s="188"/>
    </row>
    <row r="7596" spans="1:16" x14ac:dyDescent="0.2">
      <c r="A7596" s="183">
        <v>799</v>
      </c>
      <c r="B7596" s="249" t="str">
        <f>IF(AND(A7596&lt;&gt;"",ISNUMBER(A7596)),VLOOKUP(A7596,Studies!A:BR,2,FALSE),"")</f>
        <v>Soon 2010</v>
      </c>
      <c r="C7596" s="250" t="str">
        <f>IF(AND(A7596&lt;&gt;"",ISNUMBER(A7596)),VLOOKUP(A7596,Studies!A:BR,3,FALSE),"")</f>
        <v>https://www.ncbi.nlm.nih.gov/pubmed/20385850</v>
      </c>
      <c r="D7596" s="250" t="str">
        <f>IF(AND(A7596&lt;&gt;"",ISNUMBER(A7596)),VLOOKUP(A7596,Studies!A:BR,4,FALSE),"")</f>
        <v>Efavirenz alone</v>
      </c>
      <c r="E7596" s="250" t="str">
        <f>IF(AND(A7596&lt;&gt;"",ISNUMBER(A7596)),VLOOKUP(A7596,Studies!A:BR,5,FALSE),"")</f>
        <v>Efavirenz</v>
      </c>
      <c r="F7596" s="251" t="str">
        <f>IF(AND(A7596&lt;&gt;"",ISNUMBER(A7596)),VLOOKUP(A7596,Studies!A:BR,6,FALSE),"")</f>
        <v>Plasma</v>
      </c>
      <c r="G7596" s="194">
        <v>674</v>
      </c>
      <c r="H7596" s="194" t="s">
        <v>60</v>
      </c>
      <c r="I7596" s="187">
        <v>5100.6710000000003</v>
      </c>
      <c r="J7596" s="187" t="s">
        <v>941</v>
      </c>
      <c r="K7596" s="187" t="s">
        <v>116</v>
      </c>
      <c r="P7596" s="188"/>
    </row>
    <row r="7597" spans="1:16" x14ac:dyDescent="0.2">
      <c r="A7597" s="183">
        <v>799</v>
      </c>
      <c r="B7597" s="249" t="str">
        <f>IF(AND(A7597&lt;&gt;"",ISNUMBER(A7597)),VLOOKUP(A7597,Studies!A:BR,2,FALSE),"")</f>
        <v>Soon 2010</v>
      </c>
      <c r="C7597" s="250" t="str">
        <f>IF(AND(A7597&lt;&gt;"",ISNUMBER(A7597)),VLOOKUP(A7597,Studies!A:BR,3,FALSE),"")</f>
        <v>https://www.ncbi.nlm.nih.gov/pubmed/20385850</v>
      </c>
      <c r="D7597" s="250" t="str">
        <f>IF(AND(A7597&lt;&gt;"",ISNUMBER(A7597)),VLOOKUP(A7597,Studies!A:BR,4,FALSE),"")</f>
        <v>Efavirenz alone</v>
      </c>
      <c r="E7597" s="250" t="str">
        <f>IF(AND(A7597&lt;&gt;"",ISNUMBER(A7597)),VLOOKUP(A7597,Studies!A:BR,5,FALSE),"")</f>
        <v>Efavirenz</v>
      </c>
      <c r="F7597" s="251" t="str">
        <f>IF(AND(A7597&lt;&gt;"",ISNUMBER(A7597)),VLOOKUP(A7597,Studies!A:BR,6,FALSE),"")</f>
        <v>Plasma</v>
      </c>
      <c r="G7597" s="194">
        <v>675</v>
      </c>
      <c r="H7597" s="194" t="s">
        <v>60</v>
      </c>
      <c r="I7597" s="187">
        <v>5234.8990000000003</v>
      </c>
      <c r="J7597" s="187" t="s">
        <v>941</v>
      </c>
      <c r="K7597" s="187" t="s">
        <v>116</v>
      </c>
      <c r="P7597" s="188"/>
    </row>
    <row r="7598" spans="1:16" x14ac:dyDescent="0.2">
      <c r="A7598" s="183">
        <v>799</v>
      </c>
      <c r="B7598" s="249" t="str">
        <f>IF(AND(A7598&lt;&gt;"",ISNUMBER(A7598)),VLOOKUP(A7598,Studies!A:BR,2,FALSE),"")</f>
        <v>Soon 2010</v>
      </c>
      <c r="C7598" s="250" t="str">
        <f>IF(AND(A7598&lt;&gt;"",ISNUMBER(A7598)),VLOOKUP(A7598,Studies!A:BR,3,FALSE),"")</f>
        <v>https://www.ncbi.nlm.nih.gov/pubmed/20385850</v>
      </c>
      <c r="D7598" s="250" t="str">
        <f>IF(AND(A7598&lt;&gt;"",ISNUMBER(A7598)),VLOOKUP(A7598,Studies!A:BR,4,FALSE),"")</f>
        <v>Efavirenz alone</v>
      </c>
      <c r="E7598" s="250" t="str">
        <f>IF(AND(A7598&lt;&gt;"",ISNUMBER(A7598)),VLOOKUP(A7598,Studies!A:BR,5,FALSE),"")</f>
        <v>Efavirenz</v>
      </c>
      <c r="F7598" s="251" t="str">
        <f>IF(AND(A7598&lt;&gt;"",ISNUMBER(A7598)),VLOOKUP(A7598,Studies!A:BR,6,FALSE),"")</f>
        <v>Plasma</v>
      </c>
      <c r="G7598" s="194">
        <v>676</v>
      </c>
      <c r="H7598" s="194" t="s">
        <v>60</v>
      </c>
      <c r="I7598" s="187">
        <v>6751.6779999999999</v>
      </c>
      <c r="J7598" s="187" t="s">
        <v>941</v>
      </c>
      <c r="K7598" s="187" t="s">
        <v>116</v>
      </c>
      <c r="P7598" s="188"/>
    </row>
    <row r="7599" spans="1:16" x14ac:dyDescent="0.2">
      <c r="A7599" s="183">
        <v>799</v>
      </c>
      <c r="B7599" s="249" t="str">
        <f>IF(AND(A7599&lt;&gt;"",ISNUMBER(A7599)),VLOOKUP(A7599,Studies!A:BR,2,FALSE),"")</f>
        <v>Soon 2010</v>
      </c>
      <c r="C7599" s="250" t="str">
        <f>IF(AND(A7599&lt;&gt;"",ISNUMBER(A7599)),VLOOKUP(A7599,Studies!A:BR,3,FALSE),"")</f>
        <v>https://www.ncbi.nlm.nih.gov/pubmed/20385850</v>
      </c>
      <c r="D7599" s="250" t="str">
        <f>IF(AND(A7599&lt;&gt;"",ISNUMBER(A7599)),VLOOKUP(A7599,Studies!A:BR,4,FALSE),"")</f>
        <v>Efavirenz alone</v>
      </c>
      <c r="E7599" s="250" t="str">
        <f>IF(AND(A7599&lt;&gt;"",ISNUMBER(A7599)),VLOOKUP(A7599,Studies!A:BR,5,FALSE),"")</f>
        <v>Efavirenz</v>
      </c>
      <c r="F7599" s="251" t="str">
        <f>IF(AND(A7599&lt;&gt;"",ISNUMBER(A7599)),VLOOKUP(A7599,Studies!A:BR,6,FALSE),"")</f>
        <v>Plasma</v>
      </c>
      <c r="G7599" s="194">
        <v>677</v>
      </c>
      <c r="H7599" s="194" t="s">
        <v>60</v>
      </c>
      <c r="I7599" s="187">
        <v>6362.4160000000002</v>
      </c>
      <c r="J7599" s="187" t="s">
        <v>941</v>
      </c>
      <c r="K7599" s="187" t="s">
        <v>116</v>
      </c>
      <c r="P7599" s="188"/>
    </row>
    <row r="7600" spans="1:16" x14ac:dyDescent="0.2">
      <c r="A7600" s="183">
        <v>799</v>
      </c>
      <c r="B7600" s="249" t="str">
        <f>IF(AND(A7600&lt;&gt;"",ISNUMBER(A7600)),VLOOKUP(A7600,Studies!A:BR,2,FALSE),"")</f>
        <v>Soon 2010</v>
      </c>
      <c r="C7600" s="250" t="str">
        <f>IF(AND(A7600&lt;&gt;"",ISNUMBER(A7600)),VLOOKUP(A7600,Studies!A:BR,3,FALSE),"")</f>
        <v>https://www.ncbi.nlm.nih.gov/pubmed/20385850</v>
      </c>
      <c r="D7600" s="250" t="str">
        <f>IF(AND(A7600&lt;&gt;"",ISNUMBER(A7600)),VLOOKUP(A7600,Studies!A:BR,4,FALSE),"")</f>
        <v>Efavirenz alone</v>
      </c>
      <c r="E7600" s="250" t="str">
        <f>IF(AND(A7600&lt;&gt;"",ISNUMBER(A7600)),VLOOKUP(A7600,Studies!A:BR,5,FALSE),"")</f>
        <v>Efavirenz</v>
      </c>
      <c r="F7600" s="251" t="str">
        <f>IF(AND(A7600&lt;&gt;"",ISNUMBER(A7600)),VLOOKUP(A7600,Studies!A:BR,6,FALSE),"")</f>
        <v>Plasma</v>
      </c>
      <c r="G7600" s="194">
        <v>678</v>
      </c>
      <c r="H7600" s="194" t="s">
        <v>60</v>
      </c>
      <c r="I7600" s="187">
        <v>5463.0870000000004</v>
      </c>
      <c r="J7600" s="187" t="s">
        <v>941</v>
      </c>
      <c r="K7600" s="187" t="s">
        <v>116</v>
      </c>
      <c r="P7600" s="188"/>
    </row>
    <row r="7601" spans="1:16" x14ac:dyDescent="0.2">
      <c r="A7601" s="183">
        <v>799</v>
      </c>
      <c r="B7601" s="249" t="str">
        <f>IF(AND(A7601&lt;&gt;"",ISNUMBER(A7601)),VLOOKUP(A7601,Studies!A:BR,2,FALSE),"")</f>
        <v>Soon 2010</v>
      </c>
      <c r="C7601" s="250" t="str">
        <f>IF(AND(A7601&lt;&gt;"",ISNUMBER(A7601)),VLOOKUP(A7601,Studies!A:BR,3,FALSE),"")</f>
        <v>https://www.ncbi.nlm.nih.gov/pubmed/20385850</v>
      </c>
      <c r="D7601" s="250" t="str">
        <f>IF(AND(A7601&lt;&gt;"",ISNUMBER(A7601)),VLOOKUP(A7601,Studies!A:BR,4,FALSE),"")</f>
        <v>Efavirenz alone</v>
      </c>
      <c r="E7601" s="250" t="str">
        <f>IF(AND(A7601&lt;&gt;"",ISNUMBER(A7601)),VLOOKUP(A7601,Studies!A:BR,5,FALSE),"")</f>
        <v>Efavirenz</v>
      </c>
      <c r="F7601" s="251" t="str">
        <f>IF(AND(A7601&lt;&gt;"",ISNUMBER(A7601)),VLOOKUP(A7601,Studies!A:BR,6,FALSE),"")</f>
        <v>Plasma</v>
      </c>
      <c r="G7601" s="194">
        <v>680</v>
      </c>
      <c r="H7601" s="194" t="s">
        <v>60</v>
      </c>
      <c r="I7601" s="187">
        <v>5610.7380000000003</v>
      </c>
      <c r="J7601" s="187" t="s">
        <v>941</v>
      </c>
      <c r="K7601" s="187" t="s">
        <v>116</v>
      </c>
      <c r="P7601" s="188"/>
    </row>
    <row r="7602" spans="1:16" x14ac:dyDescent="0.2">
      <c r="A7602" s="183">
        <v>799</v>
      </c>
      <c r="B7602" s="249" t="str">
        <f>IF(AND(A7602&lt;&gt;"",ISNUMBER(A7602)),VLOOKUP(A7602,Studies!A:BR,2,FALSE),"")</f>
        <v>Soon 2010</v>
      </c>
      <c r="C7602" s="250" t="str">
        <f>IF(AND(A7602&lt;&gt;"",ISNUMBER(A7602)),VLOOKUP(A7602,Studies!A:BR,3,FALSE),"")</f>
        <v>https://www.ncbi.nlm.nih.gov/pubmed/20385850</v>
      </c>
      <c r="D7602" s="250" t="str">
        <f>IF(AND(A7602&lt;&gt;"",ISNUMBER(A7602)),VLOOKUP(A7602,Studies!A:BR,4,FALSE),"")</f>
        <v>Efavirenz alone</v>
      </c>
      <c r="E7602" s="250" t="str">
        <f>IF(AND(A7602&lt;&gt;"",ISNUMBER(A7602)),VLOOKUP(A7602,Studies!A:BR,5,FALSE),"")</f>
        <v>Efavirenz</v>
      </c>
      <c r="F7602" s="251" t="str">
        <f>IF(AND(A7602&lt;&gt;"",ISNUMBER(A7602)),VLOOKUP(A7602,Studies!A:BR,6,FALSE),"")</f>
        <v>Plasma</v>
      </c>
      <c r="G7602" s="194">
        <v>682</v>
      </c>
      <c r="H7602" s="194" t="s">
        <v>60</v>
      </c>
      <c r="I7602" s="187">
        <v>4053.6909999999998</v>
      </c>
      <c r="J7602" s="187" t="s">
        <v>941</v>
      </c>
      <c r="K7602" s="187" t="s">
        <v>116</v>
      </c>
      <c r="P7602" s="188"/>
    </row>
    <row r="7603" spans="1:16" x14ac:dyDescent="0.2">
      <c r="A7603" s="183">
        <v>799</v>
      </c>
      <c r="B7603" s="249" t="str">
        <f>IF(AND(A7603&lt;&gt;"",ISNUMBER(A7603)),VLOOKUP(A7603,Studies!A:BR,2,FALSE),"")</f>
        <v>Soon 2010</v>
      </c>
      <c r="C7603" s="250" t="str">
        <f>IF(AND(A7603&lt;&gt;"",ISNUMBER(A7603)),VLOOKUP(A7603,Studies!A:BR,3,FALSE),"")</f>
        <v>https://www.ncbi.nlm.nih.gov/pubmed/20385850</v>
      </c>
      <c r="D7603" s="250" t="str">
        <f>IF(AND(A7603&lt;&gt;"",ISNUMBER(A7603)),VLOOKUP(A7603,Studies!A:BR,4,FALSE),"")</f>
        <v>Efavirenz alone</v>
      </c>
      <c r="E7603" s="250" t="str">
        <f>IF(AND(A7603&lt;&gt;"",ISNUMBER(A7603)),VLOOKUP(A7603,Studies!A:BR,5,FALSE),"")</f>
        <v>Efavirenz</v>
      </c>
      <c r="F7603" s="251" t="str">
        <f>IF(AND(A7603&lt;&gt;"",ISNUMBER(A7603)),VLOOKUP(A7603,Studies!A:BR,6,FALSE),"")</f>
        <v>Plasma</v>
      </c>
      <c r="G7603" s="194">
        <v>684</v>
      </c>
      <c r="H7603" s="194" t="s">
        <v>60</v>
      </c>
      <c r="I7603" s="187">
        <v>3046.98</v>
      </c>
      <c r="J7603" s="187" t="s">
        <v>941</v>
      </c>
      <c r="K7603" s="187" t="s">
        <v>116</v>
      </c>
      <c r="P7603" s="188"/>
    </row>
    <row r="7604" spans="1:16" x14ac:dyDescent="0.2">
      <c r="A7604" s="183">
        <v>799</v>
      </c>
      <c r="B7604" s="249" t="str">
        <f>IF(AND(A7604&lt;&gt;"",ISNUMBER(A7604)),VLOOKUP(A7604,Studies!A:BR,2,FALSE),"")</f>
        <v>Soon 2010</v>
      </c>
      <c r="C7604" s="250" t="str">
        <f>IF(AND(A7604&lt;&gt;"",ISNUMBER(A7604)),VLOOKUP(A7604,Studies!A:BR,3,FALSE),"")</f>
        <v>https://www.ncbi.nlm.nih.gov/pubmed/20385850</v>
      </c>
      <c r="D7604" s="250" t="str">
        <f>IF(AND(A7604&lt;&gt;"",ISNUMBER(A7604)),VLOOKUP(A7604,Studies!A:BR,4,FALSE),"")</f>
        <v>Efavirenz alone</v>
      </c>
      <c r="E7604" s="250" t="str">
        <f>IF(AND(A7604&lt;&gt;"",ISNUMBER(A7604)),VLOOKUP(A7604,Studies!A:BR,5,FALSE),"")</f>
        <v>Efavirenz</v>
      </c>
      <c r="F7604" s="251" t="str">
        <f>IF(AND(A7604&lt;&gt;"",ISNUMBER(A7604)),VLOOKUP(A7604,Studies!A:BR,6,FALSE),"")</f>
        <v>Plasma</v>
      </c>
      <c r="G7604" s="194">
        <v>696</v>
      </c>
      <c r="H7604" s="194" t="s">
        <v>60</v>
      </c>
      <c r="I7604" s="187">
        <v>2389.2620000000002</v>
      </c>
      <c r="J7604" s="187" t="s">
        <v>941</v>
      </c>
      <c r="K7604" s="187" t="s">
        <v>116</v>
      </c>
      <c r="P7604" s="188"/>
    </row>
    <row r="7605" spans="1:16" x14ac:dyDescent="0.2">
      <c r="A7605" s="183">
        <v>800</v>
      </c>
      <c r="B7605" s="249" t="str">
        <f>IF(AND(A7605&lt;&gt;"",ISNUMBER(A7605)),VLOOKUP(A7605,Studies!A:BR,2,FALSE),"")</f>
        <v>Kharasch 2012</v>
      </c>
      <c r="C7605" s="250" t="str">
        <f>IF(AND(A7605&lt;&gt;"",ISNUMBER(A7605)),VLOOKUP(A7605,Studies!A:BR,3,FALSE),"")</f>
        <v>https://www.ncbi.nlm.nih.gov/pubmed/22398970</v>
      </c>
      <c r="D7605" s="250" t="str">
        <f>IF(AND(A7605&lt;&gt;"",ISNUMBER(A7605)),VLOOKUP(A7605,Studies!A:BR,4,FALSE),"")</f>
        <v>Alfenatil PO alone</v>
      </c>
      <c r="E7605" s="250" t="str">
        <f>IF(AND(A7605&lt;&gt;"",ISNUMBER(A7605)),VLOOKUP(A7605,Studies!A:BR,5,FALSE),"")</f>
        <v>Alfentanil</v>
      </c>
      <c r="F7605" s="251" t="str">
        <f>IF(AND(A7605&lt;&gt;"",ISNUMBER(A7605)),VLOOKUP(A7605,Studies!A:BR,6,FALSE),"")</f>
        <v>Plasma</v>
      </c>
      <c r="G7605" s="194">
        <v>7.5675069999999997E-2</v>
      </c>
      <c r="H7605" s="194" t="s">
        <v>60</v>
      </c>
      <c r="I7605" s="187">
        <v>3.0626449999999998</v>
      </c>
      <c r="J7605" s="187" t="s">
        <v>941</v>
      </c>
      <c r="K7605" s="187" t="s">
        <v>116</v>
      </c>
      <c r="P7605" s="188"/>
    </row>
    <row r="7606" spans="1:16" x14ac:dyDescent="0.2">
      <c r="A7606" s="183">
        <v>800</v>
      </c>
      <c r="B7606" s="249" t="str">
        <f>IF(AND(A7606&lt;&gt;"",ISNUMBER(A7606)),VLOOKUP(A7606,Studies!A:BR,2,FALSE),"")</f>
        <v>Kharasch 2012</v>
      </c>
      <c r="C7606" s="250" t="str">
        <f>IF(AND(A7606&lt;&gt;"",ISNUMBER(A7606)),VLOOKUP(A7606,Studies!A:BR,3,FALSE),"")</f>
        <v>https://www.ncbi.nlm.nih.gov/pubmed/22398970</v>
      </c>
      <c r="D7606" s="250" t="str">
        <f>IF(AND(A7606&lt;&gt;"",ISNUMBER(A7606)),VLOOKUP(A7606,Studies!A:BR,4,FALSE),"")</f>
        <v>Alfenatil PO alone</v>
      </c>
      <c r="E7606" s="250" t="str">
        <f>IF(AND(A7606&lt;&gt;"",ISNUMBER(A7606)),VLOOKUP(A7606,Studies!A:BR,5,FALSE),"")</f>
        <v>Alfentanil</v>
      </c>
      <c r="F7606" s="251" t="str">
        <f>IF(AND(A7606&lt;&gt;"",ISNUMBER(A7606)),VLOOKUP(A7606,Studies!A:BR,6,FALSE),"")</f>
        <v>Plasma</v>
      </c>
      <c r="G7606" s="194">
        <v>0.1555687</v>
      </c>
      <c r="H7606" s="194" t="s">
        <v>60</v>
      </c>
      <c r="I7606" s="187">
        <v>15.313219999999999</v>
      </c>
      <c r="J7606" s="187" t="s">
        <v>941</v>
      </c>
      <c r="K7606" s="187" t="s">
        <v>116</v>
      </c>
      <c r="L7606" s="195">
        <v>12.90024</v>
      </c>
      <c r="M7606" s="52" t="s">
        <v>941</v>
      </c>
      <c r="N7606" s="52" t="s">
        <v>117</v>
      </c>
      <c r="P7606" s="188"/>
    </row>
    <row r="7607" spans="1:16" x14ac:dyDescent="0.2">
      <c r="A7607" s="183">
        <v>800</v>
      </c>
      <c r="B7607" s="249" t="str">
        <f>IF(AND(A7607&lt;&gt;"",ISNUMBER(A7607)),VLOOKUP(A7607,Studies!A:BR,2,FALSE),"")</f>
        <v>Kharasch 2012</v>
      </c>
      <c r="C7607" s="250" t="str">
        <f>IF(AND(A7607&lt;&gt;"",ISNUMBER(A7607)),VLOOKUP(A7607,Studies!A:BR,3,FALSE),"")</f>
        <v>https://www.ncbi.nlm.nih.gov/pubmed/22398970</v>
      </c>
      <c r="D7607" s="250" t="str">
        <f>IF(AND(A7607&lt;&gt;"",ISNUMBER(A7607)),VLOOKUP(A7607,Studies!A:BR,4,FALSE),"")</f>
        <v>Alfenatil PO alone</v>
      </c>
      <c r="E7607" s="250" t="str">
        <f>IF(AND(A7607&lt;&gt;"",ISNUMBER(A7607)),VLOOKUP(A7607,Studies!A:BR,5,FALSE),"")</f>
        <v>Alfentanil</v>
      </c>
      <c r="F7607" s="251" t="str">
        <f>IF(AND(A7607&lt;&gt;"",ISNUMBER(A7607)),VLOOKUP(A7607,Studies!A:BR,6,FALSE),"")</f>
        <v>Plasma</v>
      </c>
      <c r="G7607" s="194">
        <v>0.25108799999999998</v>
      </c>
      <c r="H7607" s="194" t="s">
        <v>60</v>
      </c>
      <c r="I7607" s="187">
        <v>21.2529</v>
      </c>
      <c r="J7607" s="187" t="s">
        <v>941</v>
      </c>
      <c r="K7607" s="187" t="s">
        <v>116</v>
      </c>
      <c r="L7607" s="195">
        <v>14.75638</v>
      </c>
      <c r="M7607" s="52" t="s">
        <v>941</v>
      </c>
      <c r="N7607" s="52" t="s">
        <v>117</v>
      </c>
      <c r="P7607" s="188"/>
    </row>
    <row r="7608" spans="1:16" x14ac:dyDescent="0.2">
      <c r="A7608" s="183">
        <v>800</v>
      </c>
      <c r="B7608" s="249" t="str">
        <f>IF(AND(A7608&lt;&gt;"",ISNUMBER(A7608)),VLOOKUP(A7608,Studies!A:BR,2,FALSE),"")</f>
        <v>Kharasch 2012</v>
      </c>
      <c r="C7608" s="250" t="str">
        <f>IF(AND(A7608&lt;&gt;"",ISNUMBER(A7608)),VLOOKUP(A7608,Studies!A:BR,3,FALSE),"")</f>
        <v>https://www.ncbi.nlm.nih.gov/pubmed/22398970</v>
      </c>
      <c r="D7608" s="250" t="str">
        <f>IF(AND(A7608&lt;&gt;"",ISNUMBER(A7608)),VLOOKUP(A7608,Studies!A:BR,4,FALSE),"")</f>
        <v>Alfenatil PO alone</v>
      </c>
      <c r="E7608" s="250" t="str">
        <f>IF(AND(A7608&lt;&gt;"",ISNUMBER(A7608)),VLOOKUP(A7608,Studies!A:BR,5,FALSE),"")</f>
        <v>Alfentanil</v>
      </c>
      <c r="F7608" s="251" t="str">
        <f>IF(AND(A7608&lt;&gt;"",ISNUMBER(A7608)),VLOOKUP(A7608,Studies!A:BR,6,FALSE),"")</f>
        <v>Plasma</v>
      </c>
      <c r="G7608" s="194">
        <v>0.32581599999999999</v>
      </c>
      <c r="H7608" s="194" t="s">
        <v>60</v>
      </c>
      <c r="I7608" s="187">
        <v>22.366589999999999</v>
      </c>
      <c r="J7608" s="187" t="s">
        <v>941</v>
      </c>
      <c r="K7608" s="187" t="s">
        <v>116</v>
      </c>
      <c r="L7608" s="195">
        <v>10.858470000000001</v>
      </c>
      <c r="M7608" s="52" t="s">
        <v>941</v>
      </c>
      <c r="N7608" s="52" t="s">
        <v>117</v>
      </c>
      <c r="P7608" s="188"/>
    </row>
    <row r="7609" spans="1:16" x14ac:dyDescent="0.2">
      <c r="A7609" s="183">
        <v>800</v>
      </c>
      <c r="B7609" s="249" t="str">
        <f>IF(AND(A7609&lt;&gt;"",ISNUMBER(A7609)),VLOOKUP(A7609,Studies!A:BR,2,FALSE),"")</f>
        <v>Kharasch 2012</v>
      </c>
      <c r="C7609" s="250" t="str">
        <f>IF(AND(A7609&lt;&gt;"",ISNUMBER(A7609)),VLOOKUP(A7609,Studies!A:BR,3,FALSE),"")</f>
        <v>https://www.ncbi.nlm.nih.gov/pubmed/22398970</v>
      </c>
      <c r="D7609" s="250" t="str">
        <f>IF(AND(A7609&lt;&gt;"",ISNUMBER(A7609)),VLOOKUP(A7609,Studies!A:BR,4,FALSE),"")</f>
        <v>Alfenatil PO alone</v>
      </c>
      <c r="E7609" s="250" t="str">
        <f>IF(AND(A7609&lt;&gt;"",ISNUMBER(A7609)),VLOOKUP(A7609,Studies!A:BR,5,FALSE),"")</f>
        <v>Alfentanil</v>
      </c>
      <c r="F7609" s="251" t="str">
        <f>IF(AND(A7609&lt;&gt;"",ISNUMBER(A7609)),VLOOKUP(A7609,Studies!A:BR,6,FALSE),"")</f>
        <v>Plasma</v>
      </c>
      <c r="G7609" s="194">
        <v>0.49386809999999998</v>
      </c>
      <c r="H7609" s="194" t="s">
        <v>60</v>
      </c>
      <c r="I7609" s="187">
        <v>24.686779999999999</v>
      </c>
      <c r="J7609" s="187" t="s">
        <v>941</v>
      </c>
      <c r="K7609" s="187" t="s">
        <v>116</v>
      </c>
      <c r="L7609" s="195">
        <v>9.9303869999999996</v>
      </c>
      <c r="M7609" s="52" t="s">
        <v>941</v>
      </c>
      <c r="N7609" s="52" t="s">
        <v>117</v>
      </c>
      <c r="P7609" s="188"/>
    </row>
    <row r="7610" spans="1:16" x14ac:dyDescent="0.2">
      <c r="A7610" s="183">
        <v>800</v>
      </c>
      <c r="B7610" s="249" t="str">
        <f>IF(AND(A7610&lt;&gt;"",ISNUMBER(A7610)),VLOOKUP(A7610,Studies!A:BR,2,FALSE),"")</f>
        <v>Kharasch 2012</v>
      </c>
      <c r="C7610" s="250" t="str">
        <f>IF(AND(A7610&lt;&gt;"",ISNUMBER(A7610)),VLOOKUP(A7610,Studies!A:BR,3,FALSE),"")</f>
        <v>https://www.ncbi.nlm.nih.gov/pubmed/22398970</v>
      </c>
      <c r="D7610" s="250" t="str">
        <f>IF(AND(A7610&lt;&gt;"",ISNUMBER(A7610)),VLOOKUP(A7610,Studies!A:BR,4,FALSE),"")</f>
        <v>Alfenatil PO alone</v>
      </c>
      <c r="E7610" s="250" t="str">
        <f>IF(AND(A7610&lt;&gt;"",ISNUMBER(A7610)),VLOOKUP(A7610,Studies!A:BR,5,FALSE),"")</f>
        <v>Alfentanil</v>
      </c>
      <c r="F7610" s="251" t="str">
        <f>IF(AND(A7610&lt;&gt;"",ISNUMBER(A7610)),VLOOKUP(A7610,Studies!A:BR,6,FALSE),"")</f>
        <v>Plasma</v>
      </c>
      <c r="G7610" s="194">
        <v>0.66174789999999994</v>
      </c>
      <c r="H7610" s="194" t="s">
        <v>60</v>
      </c>
      <c r="I7610" s="187">
        <v>26.635729999999999</v>
      </c>
      <c r="J7610" s="187" t="s">
        <v>941</v>
      </c>
      <c r="K7610" s="187" t="s">
        <v>116</v>
      </c>
      <c r="L7610" s="195">
        <v>11.229699999999999</v>
      </c>
      <c r="M7610" s="52" t="s">
        <v>941</v>
      </c>
      <c r="N7610" s="52" t="s">
        <v>117</v>
      </c>
      <c r="P7610" s="188"/>
    </row>
    <row r="7611" spans="1:16" x14ac:dyDescent="0.2">
      <c r="A7611" s="183">
        <v>800</v>
      </c>
      <c r="B7611" s="249" t="str">
        <f>IF(AND(A7611&lt;&gt;"",ISNUMBER(A7611)),VLOOKUP(A7611,Studies!A:BR,2,FALSE),"")</f>
        <v>Kharasch 2012</v>
      </c>
      <c r="C7611" s="250" t="str">
        <f>IF(AND(A7611&lt;&gt;"",ISNUMBER(A7611)),VLOOKUP(A7611,Studies!A:BR,3,FALSE),"")</f>
        <v>https://www.ncbi.nlm.nih.gov/pubmed/22398970</v>
      </c>
      <c r="D7611" s="250" t="str">
        <f>IF(AND(A7611&lt;&gt;"",ISNUMBER(A7611)),VLOOKUP(A7611,Studies!A:BR,4,FALSE),"")</f>
        <v>Alfenatil PO alone</v>
      </c>
      <c r="E7611" s="250" t="str">
        <f>IF(AND(A7611&lt;&gt;"",ISNUMBER(A7611)),VLOOKUP(A7611,Studies!A:BR,5,FALSE),"")</f>
        <v>Alfentanil</v>
      </c>
      <c r="F7611" s="251" t="str">
        <f>IF(AND(A7611&lt;&gt;"",ISNUMBER(A7611)),VLOOKUP(A7611,Studies!A:BR,6,FALSE),"")</f>
        <v>Plasma</v>
      </c>
      <c r="G7611" s="194">
        <v>0.83001519999999995</v>
      </c>
      <c r="H7611" s="194" t="s">
        <v>60</v>
      </c>
      <c r="I7611" s="187">
        <v>29.41995</v>
      </c>
      <c r="J7611" s="187" t="s">
        <v>941</v>
      </c>
      <c r="K7611" s="187" t="s">
        <v>116</v>
      </c>
      <c r="L7611" s="195">
        <v>17.540610000000001</v>
      </c>
      <c r="M7611" s="52" t="s">
        <v>941</v>
      </c>
      <c r="N7611" s="52" t="s">
        <v>117</v>
      </c>
      <c r="P7611" s="188"/>
    </row>
    <row r="7612" spans="1:16" x14ac:dyDescent="0.2">
      <c r="A7612" s="183">
        <v>800</v>
      </c>
      <c r="B7612" s="249" t="str">
        <f>IF(AND(A7612&lt;&gt;"",ISNUMBER(A7612)),VLOOKUP(A7612,Studies!A:BR,2,FALSE),"")</f>
        <v>Kharasch 2012</v>
      </c>
      <c r="C7612" s="250" t="str">
        <f>IF(AND(A7612&lt;&gt;"",ISNUMBER(A7612)),VLOOKUP(A7612,Studies!A:BR,3,FALSE),"")</f>
        <v>https://www.ncbi.nlm.nih.gov/pubmed/22398970</v>
      </c>
      <c r="D7612" s="250" t="str">
        <f>IF(AND(A7612&lt;&gt;"",ISNUMBER(A7612)),VLOOKUP(A7612,Studies!A:BR,4,FALSE),"")</f>
        <v>Alfenatil PO alone</v>
      </c>
      <c r="E7612" s="250" t="str">
        <f>IF(AND(A7612&lt;&gt;"",ISNUMBER(A7612)),VLOOKUP(A7612,Studies!A:BR,5,FALSE),"")</f>
        <v>Alfentanil</v>
      </c>
      <c r="F7612" s="251" t="str">
        <f>IF(AND(A7612&lt;&gt;"",ISNUMBER(A7612)),VLOOKUP(A7612,Studies!A:BR,6,FALSE),"")</f>
        <v>Plasma</v>
      </c>
      <c r="G7612" s="194">
        <v>1.0144679999999999</v>
      </c>
      <c r="H7612" s="194" t="s">
        <v>60</v>
      </c>
      <c r="I7612" s="187">
        <v>27.099769999999999</v>
      </c>
      <c r="J7612" s="187" t="s">
        <v>941</v>
      </c>
      <c r="K7612" s="187" t="s">
        <v>116</v>
      </c>
      <c r="L7612" s="195">
        <v>13.8283</v>
      </c>
      <c r="M7612" s="52" t="s">
        <v>941</v>
      </c>
      <c r="N7612" s="52" t="s">
        <v>117</v>
      </c>
      <c r="P7612" s="188"/>
    </row>
    <row r="7613" spans="1:16" x14ac:dyDescent="0.2">
      <c r="A7613" s="183">
        <v>800</v>
      </c>
      <c r="B7613" s="249" t="str">
        <f>IF(AND(A7613&lt;&gt;"",ISNUMBER(A7613)),VLOOKUP(A7613,Studies!A:BR,2,FALSE),"")</f>
        <v>Kharasch 2012</v>
      </c>
      <c r="C7613" s="250" t="str">
        <f>IF(AND(A7613&lt;&gt;"",ISNUMBER(A7613)),VLOOKUP(A7613,Studies!A:BR,3,FALSE),"")</f>
        <v>https://www.ncbi.nlm.nih.gov/pubmed/22398970</v>
      </c>
      <c r="D7613" s="250" t="str">
        <f>IF(AND(A7613&lt;&gt;"",ISNUMBER(A7613)),VLOOKUP(A7613,Studies!A:BR,4,FALSE),"")</f>
        <v>Alfenatil PO alone</v>
      </c>
      <c r="E7613" s="250" t="str">
        <f>IF(AND(A7613&lt;&gt;"",ISNUMBER(A7613)),VLOOKUP(A7613,Studies!A:BR,5,FALSE),"")</f>
        <v>Alfentanil</v>
      </c>
      <c r="F7613" s="251" t="str">
        <f>IF(AND(A7613&lt;&gt;"",ISNUMBER(A7613)),VLOOKUP(A7613,Studies!A:BR,6,FALSE),"")</f>
        <v>Plasma</v>
      </c>
      <c r="G7613" s="194">
        <v>1.4948189999999999</v>
      </c>
      <c r="H7613" s="194" t="s">
        <v>60</v>
      </c>
      <c r="I7613" s="187">
        <v>22.737819999999999</v>
      </c>
      <c r="J7613" s="187" t="s">
        <v>941</v>
      </c>
      <c r="K7613" s="187" t="s">
        <v>116</v>
      </c>
      <c r="L7613" s="195">
        <v>10.58005</v>
      </c>
      <c r="M7613" s="52" t="s">
        <v>941</v>
      </c>
      <c r="N7613" s="52" t="s">
        <v>117</v>
      </c>
      <c r="P7613" s="188"/>
    </row>
    <row r="7614" spans="1:16" x14ac:dyDescent="0.2">
      <c r="A7614" s="183">
        <v>800</v>
      </c>
      <c r="B7614" s="249" t="str">
        <f>IF(AND(A7614&lt;&gt;"",ISNUMBER(A7614)),VLOOKUP(A7614,Studies!A:BR,2,FALSE),"")</f>
        <v>Kharasch 2012</v>
      </c>
      <c r="C7614" s="250" t="str">
        <f>IF(AND(A7614&lt;&gt;"",ISNUMBER(A7614)),VLOOKUP(A7614,Studies!A:BR,3,FALSE),"")</f>
        <v>https://www.ncbi.nlm.nih.gov/pubmed/22398970</v>
      </c>
      <c r="D7614" s="250" t="str">
        <f>IF(AND(A7614&lt;&gt;"",ISNUMBER(A7614)),VLOOKUP(A7614,Studies!A:BR,4,FALSE),"")</f>
        <v>Alfenatil PO alone</v>
      </c>
      <c r="E7614" s="250" t="str">
        <f>IF(AND(A7614&lt;&gt;"",ISNUMBER(A7614)),VLOOKUP(A7614,Studies!A:BR,5,FALSE),"")</f>
        <v>Alfentanil</v>
      </c>
      <c r="F7614" s="251" t="str">
        <f>IF(AND(A7614&lt;&gt;"",ISNUMBER(A7614)),VLOOKUP(A7614,Studies!A:BR,6,FALSE),"")</f>
        <v>Plasma</v>
      </c>
      <c r="G7614" s="194">
        <v>1.9939389999999999</v>
      </c>
      <c r="H7614" s="194" t="s">
        <v>60</v>
      </c>
      <c r="I7614" s="187">
        <v>18.83991</v>
      </c>
      <c r="J7614" s="187" t="s">
        <v>941</v>
      </c>
      <c r="K7614" s="187" t="s">
        <v>116</v>
      </c>
      <c r="L7614" s="195">
        <v>11.879350000000001</v>
      </c>
      <c r="M7614" s="52" t="s">
        <v>941</v>
      </c>
      <c r="N7614" s="52" t="s">
        <v>117</v>
      </c>
      <c r="P7614" s="188"/>
    </row>
    <row r="7615" spans="1:16" x14ac:dyDescent="0.2">
      <c r="A7615" s="183">
        <v>800</v>
      </c>
      <c r="B7615" s="249" t="str">
        <f>IF(AND(A7615&lt;&gt;"",ISNUMBER(A7615)),VLOOKUP(A7615,Studies!A:BR,2,FALSE),"")</f>
        <v>Kharasch 2012</v>
      </c>
      <c r="C7615" s="250" t="str">
        <f>IF(AND(A7615&lt;&gt;"",ISNUMBER(A7615)),VLOOKUP(A7615,Studies!A:BR,3,FALSE),"")</f>
        <v>https://www.ncbi.nlm.nih.gov/pubmed/22398970</v>
      </c>
      <c r="D7615" s="250" t="str">
        <f>IF(AND(A7615&lt;&gt;"",ISNUMBER(A7615)),VLOOKUP(A7615,Studies!A:BR,4,FALSE),"")</f>
        <v>Alfenatil PO alone</v>
      </c>
      <c r="E7615" s="250" t="str">
        <f>IF(AND(A7615&lt;&gt;"",ISNUMBER(A7615)),VLOOKUP(A7615,Studies!A:BR,5,FALSE),"")</f>
        <v>Alfentanil</v>
      </c>
      <c r="F7615" s="251" t="str">
        <f>IF(AND(A7615&lt;&gt;"",ISNUMBER(A7615)),VLOOKUP(A7615,Studies!A:BR,6,FALSE),"")</f>
        <v>Plasma</v>
      </c>
      <c r="G7615" s="194">
        <v>2.4925419999999998</v>
      </c>
      <c r="H7615" s="194" t="s">
        <v>60</v>
      </c>
      <c r="I7615" s="187">
        <v>13.82831</v>
      </c>
      <c r="J7615" s="187" t="s">
        <v>941</v>
      </c>
      <c r="K7615" s="187" t="s">
        <v>116</v>
      </c>
      <c r="L7615" s="195">
        <v>8.9095099999999992</v>
      </c>
      <c r="M7615" s="52" t="s">
        <v>941</v>
      </c>
      <c r="N7615" s="52" t="s">
        <v>117</v>
      </c>
      <c r="P7615" s="188"/>
    </row>
    <row r="7616" spans="1:16" x14ac:dyDescent="0.2">
      <c r="A7616" s="183">
        <v>800</v>
      </c>
      <c r="B7616" s="249" t="str">
        <f>IF(AND(A7616&lt;&gt;"",ISNUMBER(A7616)),VLOOKUP(A7616,Studies!A:BR,2,FALSE),"")</f>
        <v>Kharasch 2012</v>
      </c>
      <c r="C7616" s="250" t="str">
        <f>IF(AND(A7616&lt;&gt;"",ISNUMBER(A7616)),VLOOKUP(A7616,Studies!A:BR,3,FALSE),"")</f>
        <v>https://www.ncbi.nlm.nih.gov/pubmed/22398970</v>
      </c>
      <c r="D7616" s="250" t="str">
        <f>IF(AND(A7616&lt;&gt;"",ISNUMBER(A7616)),VLOOKUP(A7616,Studies!A:BR,4,FALSE),"")</f>
        <v>Alfenatil PO alone</v>
      </c>
      <c r="E7616" s="250" t="str">
        <f>IF(AND(A7616&lt;&gt;"",ISNUMBER(A7616)),VLOOKUP(A7616,Studies!A:BR,5,FALSE),"")</f>
        <v>Alfentanil</v>
      </c>
      <c r="F7616" s="251" t="str">
        <f>IF(AND(A7616&lt;&gt;"",ISNUMBER(A7616)),VLOOKUP(A7616,Studies!A:BR,6,FALSE),"")</f>
        <v>Plasma</v>
      </c>
      <c r="G7616" s="194">
        <v>2.991533</v>
      </c>
      <c r="H7616" s="194" t="s">
        <v>60</v>
      </c>
      <c r="I7616" s="187">
        <v>9.6519720000000007</v>
      </c>
      <c r="J7616" s="187" t="s">
        <v>941</v>
      </c>
      <c r="K7616" s="187" t="s">
        <v>116</v>
      </c>
      <c r="L7616" s="195">
        <v>6.6821349999999997</v>
      </c>
      <c r="M7616" s="52" t="s">
        <v>941</v>
      </c>
      <c r="N7616" s="52" t="s">
        <v>117</v>
      </c>
      <c r="P7616" s="188"/>
    </row>
    <row r="7617" spans="1:16" x14ac:dyDescent="0.2">
      <c r="A7617" s="183">
        <v>800</v>
      </c>
      <c r="B7617" s="249" t="str">
        <f>IF(AND(A7617&lt;&gt;"",ISNUMBER(A7617)),VLOOKUP(A7617,Studies!A:BR,2,FALSE),"")</f>
        <v>Kharasch 2012</v>
      </c>
      <c r="C7617" s="250" t="str">
        <f>IF(AND(A7617&lt;&gt;"",ISNUMBER(A7617)),VLOOKUP(A7617,Studies!A:BR,3,FALSE),"")</f>
        <v>https://www.ncbi.nlm.nih.gov/pubmed/22398970</v>
      </c>
      <c r="D7617" s="250" t="str">
        <f>IF(AND(A7617&lt;&gt;"",ISNUMBER(A7617)),VLOOKUP(A7617,Studies!A:BR,4,FALSE),"")</f>
        <v>Alfenatil PO alone</v>
      </c>
      <c r="E7617" s="250" t="str">
        <f>IF(AND(A7617&lt;&gt;"",ISNUMBER(A7617)),VLOOKUP(A7617,Studies!A:BR,5,FALSE),"")</f>
        <v>Alfentanil</v>
      </c>
      <c r="F7617" s="251" t="str">
        <f>IF(AND(A7617&lt;&gt;"",ISNUMBER(A7617)),VLOOKUP(A7617,Studies!A:BR,6,FALSE),"")</f>
        <v>Plasma</v>
      </c>
      <c r="G7617" s="194">
        <v>3.9913219999999998</v>
      </c>
      <c r="H7617" s="194" t="s">
        <v>60</v>
      </c>
      <c r="I7617" s="187">
        <v>5.1972160000000001</v>
      </c>
      <c r="J7617" s="187" t="s">
        <v>941</v>
      </c>
      <c r="K7617" s="187" t="s">
        <v>116</v>
      </c>
      <c r="L7617" s="195">
        <v>4.0835270000000001</v>
      </c>
      <c r="M7617" s="52" t="s">
        <v>941</v>
      </c>
      <c r="N7617" s="52" t="s">
        <v>117</v>
      </c>
      <c r="P7617" s="188"/>
    </row>
    <row r="7618" spans="1:16" x14ac:dyDescent="0.2">
      <c r="A7618" s="183">
        <v>800</v>
      </c>
      <c r="B7618" s="249" t="str">
        <f>IF(AND(A7618&lt;&gt;"",ISNUMBER(A7618)),VLOOKUP(A7618,Studies!A:BR,2,FALSE),"")</f>
        <v>Kharasch 2012</v>
      </c>
      <c r="C7618" s="250" t="str">
        <f>IF(AND(A7618&lt;&gt;"",ISNUMBER(A7618)),VLOOKUP(A7618,Studies!A:BR,3,FALSE),"")</f>
        <v>https://www.ncbi.nlm.nih.gov/pubmed/22398970</v>
      </c>
      <c r="D7618" s="250" t="str">
        <f>IF(AND(A7618&lt;&gt;"",ISNUMBER(A7618)),VLOOKUP(A7618,Studies!A:BR,4,FALSE),"")</f>
        <v>Alfenatil PO alone</v>
      </c>
      <c r="E7618" s="250" t="str">
        <f>IF(AND(A7618&lt;&gt;"",ISNUMBER(A7618)),VLOOKUP(A7618,Studies!A:BR,5,FALSE),"")</f>
        <v>Alfentanil</v>
      </c>
      <c r="F7618" s="251" t="str">
        <f>IF(AND(A7618&lt;&gt;"",ISNUMBER(A7618)),VLOOKUP(A7618,Studies!A:BR,6,FALSE),"")</f>
        <v>Plasma</v>
      </c>
      <c r="G7618" s="194">
        <v>5.0106109999999999</v>
      </c>
      <c r="H7618" s="194" t="s">
        <v>60</v>
      </c>
      <c r="I7618" s="187">
        <v>2.7842229999999999</v>
      </c>
      <c r="J7618" s="187" t="s">
        <v>941</v>
      </c>
      <c r="K7618" s="187" t="s">
        <v>116</v>
      </c>
      <c r="L7618" s="195">
        <v>2.5057999999999998</v>
      </c>
      <c r="M7618" s="52" t="s">
        <v>941</v>
      </c>
      <c r="N7618" s="52" t="s">
        <v>117</v>
      </c>
      <c r="P7618" s="188"/>
    </row>
    <row r="7619" spans="1:16" x14ac:dyDescent="0.2">
      <c r="A7619" s="183">
        <v>800</v>
      </c>
      <c r="B7619" s="249" t="str">
        <f>IF(AND(A7619&lt;&gt;"",ISNUMBER(A7619)),VLOOKUP(A7619,Studies!A:BR,2,FALSE),"")</f>
        <v>Kharasch 2012</v>
      </c>
      <c r="C7619" s="250" t="str">
        <f>IF(AND(A7619&lt;&gt;"",ISNUMBER(A7619)),VLOOKUP(A7619,Studies!A:BR,3,FALSE),"")</f>
        <v>https://www.ncbi.nlm.nih.gov/pubmed/22398970</v>
      </c>
      <c r="D7619" s="250" t="str">
        <f>IF(AND(A7619&lt;&gt;"",ISNUMBER(A7619)),VLOOKUP(A7619,Studies!A:BR,4,FALSE),"")</f>
        <v>Alfenatil PO alone</v>
      </c>
      <c r="E7619" s="250" t="str">
        <f>IF(AND(A7619&lt;&gt;"",ISNUMBER(A7619)),VLOOKUP(A7619,Studies!A:BR,5,FALSE),"")</f>
        <v>Alfentanil</v>
      </c>
      <c r="F7619" s="251" t="str">
        <f>IF(AND(A7619&lt;&gt;"",ISNUMBER(A7619)),VLOOKUP(A7619,Studies!A:BR,6,FALSE),"")</f>
        <v>Plasma</v>
      </c>
      <c r="G7619" s="194">
        <v>6.0118640000000001</v>
      </c>
      <c r="H7619" s="194" t="s">
        <v>60</v>
      </c>
      <c r="I7619" s="187">
        <v>1.4849190000000001</v>
      </c>
      <c r="J7619" s="187" t="s">
        <v>941</v>
      </c>
      <c r="K7619" s="187" t="s">
        <v>116</v>
      </c>
      <c r="L7619" s="195">
        <v>1.577726</v>
      </c>
      <c r="M7619" s="52" t="s">
        <v>941</v>
      </c>
      <c r="N7619" s="52" t="s">
        <v>117</v>
      </c>
      <c r="P7619" s="188"/>
    </row>
    <row r="7620" spans="1:16" x14ac:dyDescent="0.2">
      <c r="A7620" s="183">
        <v>800</v>
      </c>
      <c r="B7620" s="249" t="str">
        <f>IF(AND(A7620&lt;&gt;"",ISNUMBER(A7620)),VLOOKUP(A7620,Studies!A:BR,2,FALSE),"")</f>
        <v>Kharasch 2012</v>
      </c>
      <c r="C7620" s="250" t="str">
        <f>IF(AND(A7620&lt;&gt;"",ISNUMBER(A7620)),VLOOKUP(A7620,Studies!A:BR,3,FALSE),"")</f>
        <v>https://www.ncbi.nlm.nih.gov/pubmed/22398970</v>
      </c>
      <c r="D7620" s="250" t="str">
        <f>IF(AND(A7620&lt;&gt;"",ISNUMBER(A7620)),VLOOKUP(A7620,Studies!A:BR,4,FALSE),"")</f>
        <v>Alfenatil PO alone</v>
      </c>
      <c r="E7620" s="250" t="str">
        <f>IF(AND(A7620&lt;&gt;"",ISNUMBER(A7620)),VLOOKUP(A7620,Studies!A:BR,5,FALSE),"")</f>
        <v>Alfentanil</v>
      </c>
      <c r="F7620" s="251" t="str">
        <f>IF(AND(A7620&lt;&gt;"",ISNUMBER(A7620)),VLOOKUP(A7620,Studies!A:BR,6,FALSE),"")</f>
        <v>Plasma</v>
      </c>
      <c r="G7620" s="194">
        <v>6.9948639999999997</v>
      </c>
      <c r="H7620" s="194" t="s">
        <v>60</v>
      </c>
      <c r="I7620" s="187">
        <v>0.83526679999999998</v>
      </c>
      <c r="J7620" s="187" t="s">
        <v>941</v>
      </c>
      <c r="K7620" s="187" t="s">
        <v>116</v>
      </c>
      <c r="L7620" s="195">
        <v>0.92807419999999996</v>
      </c>
      <c r="M7620" s="52" t="s">
        <v>941</v>
      </c>
      <c r="N7620" s="52" t="s">
        <v>117</v>
      </c>
      <c r="P7620" s="188"/>
    </row>
    <row r="7621" spans="1:16" x14ac:dyDescent="0.2">
      <c r="A7621" s="183">
        <v>800</v>
      </c>
      <c r="B7621" s="249" t="str">
        <f>IF(AND(A7621&lt;&gt;"",ISNUMBER(A7621)),VLOOKUP(A7621,Studies!A:BR,2,FALSE),"")</f>
        <v>Kharasch 2012</v>
      </c>
      <c r="C7621" s="250" t="str">
        <f>IF(AND(A7621&lt;&gt;"",ISNUMBER(A7621)),VLOOKUP(A7621,Studies!A:BR,3,FALSE),"")</f>
        <v>https://www.ncbi.nlm.nih.gov/pubmed/22398970</v>
      </c>
      <c r="D7621" s="250" t="str">
        <f>IF(AND(A7621&lt;&gt;"",ISNUMBER(A7621)),VLOOKUP(A7621,Studies!A:BR,4,FALSE),"")</f>
        <v>Alfenatil PO alone</v>
      </c>
      <c r="E7621" s="250" t="str">
        <f>IF(AND(A7621&lt;&gt;"",ISNUMBER(A7621)),VLOOKUP(A7621,Studies!A:BR,5,FALSE),"")</f>
        <v>Alfentanil</v>
      </c>
      <c r="F7621" s="251" t="str">
        <f>IF(AND(A7621&lt;&gt;"",ISNUMBER(A7621)),VLOOKUP(A7621,Studies!A:BR,6,FALSE),"")</f>
        <v>Plasma</v>
      </c>
      <c r="G7621" s="194">
        <v>7.9965479999999998</v>
      </c>
      <c r="H7621" s="194" t="s">
        <v>60</v>
      </c>
      <c r="I7621" s="187">
        <v>0.46403709999999998</v>
      </c>
      <c r="J7621" s="187" t="s">
        <v>941</v>
      </c>
      <c r="K7621" s="187" t="s">
        <v>116</v>
      </c>
      <c r="P7621" s="188"/>
    </row>
    <row r="7622" spans="1:16" x14ac:dyDescent="0.2">
      <c r="A7622" s="183">
        <v>801</v>
      </c>
      <c r="B7622" s="249" t="str">
        <f>IF(AND(A7622&lt;&gt;"",ISNUMBER(A7622)),VLOOKUP(A7622,Studies!A:BR,2,FALSE),"")</f>
        <v>Kharasch 2012</v>
      </c>
      <c r="C7622" s="250" t="str">
        <f>IF(AND(A7622&lt;&gt;"",ISNUMBER(A7622)),VLOOKUP(A7622,Studies!A:BR,3,FALSE),"")</f>
        <v>https://www.ncbi.nlm.nih.gov/pubmed/22398970</v>
      </c>
      <c r="D7622" s="250" t="str">
        <f>IF(AND(A7622&lt;&gt;"",ISNUMBER(A7622)),VLOOKUP(A7622,Studies!A:BR,4,FALSE),"")</f>
        <v>Alfenatil PO + efavirenz</v>
      </c>
      <c r="E7622" s="250" t="str">
        <f>IF(AND(A7622&lt;&gt;"",ISNUMBER(A7622)),VLOOKUP(A7622,Studies!A:BR,5,FALSE),"")</f>
        <v>Alfentanil</v>
      </c>
      <c r="F7622" s="251" t="str">
        <f>IF(AND(A7622&lt;&gt;"",ISNUMBER(A7622)),VLOOKUP(A7622,Studies!A:BR,6,FALSE),"")</f>
        <v>Plasma</v>
      </c>
      <c r="G7622" s="194">
        <v>336.57537374999998</v>
      </c>
      <c r="H7622" s="194" t="s">
        <v>60</v>
      </c>
      <c r="I7622" s="187">
        <v>2.4129930000000002</v>
      </c>
      <c r="J7622" s="187" t="s">
        <v>941</v>
      </c>
      <c r="K7622" s="187" t="s">
        <v>116</v>
      </c>
      <c r="P7622" s="188"/>
    </row>
    <row r="7623" spans="1:16" x14ac:dyDescent="0.2">
      <c r="A7623" s="183">
        <v>801</v>
      </c>
      <c r="B7623" s="249" t="str">
        <f>IF(AND(A7623&lt;&gt;"",ISNUMBER(A7623)),VLOOKUP(A7623,Studies!A:BR,2,FALSE),"")</f>
        <v>Kharasch 2012</v>
      </c>
      <c r="C7623" s="250" t="str">
        <f>IF(AND(A7623&lt;&gt;"",ISNUMBER(A7623)),VLOOKUP(A7623,Studies!A:BR,3,FALSE),"")</f>
        <v>https://www.ncbi.nlm.nih.gov/pubmed/22398970</v>
      </c>
      <c r="D7623" s="250" t="str">
        <f>IF(AND(A7623&lt;&gt;"",ISNUMBER(A7623)),VLOOKUP(A7623,Studies!A:BR,4,FALSE),"")</f>
        <v>Alfenatil PO + efavirenz</v>
      </c>
      <c r="E7623" s="250" t="str">
        <f>IF(AND(A7623&lt;&gt;"",ISNUMBER(A7623)),VLOOKUP(A7623,Studies!A:BR,5,FALSE),"")</f>
        <v>Alfentanil</v>
      </c>
      <c r="F7623" s="251" t="str">
        <f>IF(AND(A7623&lt;&gt;"",ISNUMBER(A7623)),VLOOKUP(A7623,Studies!A:BR,6,FALSE),"")</f>
        <v>Plasma</v>
      </c>
      <c r="G7623" s="194">
        <v>336.6523833</v>
      </c>
      <c r="H7623" s="194" t="s">
        <v>60</v>
      </c>
      <c r="I7623" s="187">
        <v>8.4454759999999993</v>
      </c>
      <c r="J7623" s="187" t="s">
        <v>941</v>
      </c>
      <c r="K7623" s="187" t="s">
        <v>116</v>
      </c>
      <c r="P7623" s="188"/>
    </row>
    <row r="7624" spans="1:16" x14ac:dyDescent="0.2">
      <c r="A7624" s="183">
        <v>801</v>
      </c>
      <c r="B7624" s="249" t="str">
        <f>IF(AND(A7624&lt;&gt;"",ISNUMBER(A7624)),VLOOKUP(A7624,Studies!A:BR,2,FALSE),"")</f>
        <v>Kharasch 2012</v>
      </c>
      <c r="C7624" s="250" t="str">
        <f>IF(AND(A7624&lt;&gt;"",ISNUMBER(A7624)),VLOOKUP(A7624,Studies!A:BR,3,FALSE),"")</f>
        <v>https://www.ncbi.nlm.nih.gov/pubmed/22398970</v>
      </c>
      <c r="D7624" s="250" t="str">
        <f>IF(AND(A7624&lt;&gt;"",ISNUMBER(A7624)),VLOOKUP(A7624,Studies!A:BR,4,FALSE),"")</f>
        <v>Alfenatil PO + efavirenz</v>
      </c>
      <c r="E7624" s="250" t="str">
        <f>IF(AND(A7624&lt;&gt;"",ISNUMBER(A7624)),VLOOKUP(A7624,Studies!A:BR,5,FALSE),"")</f>
        <v>Alfentanil</v>
      </c>
      <c r="F7624" s="251" t="str">
        <f>IF(AND(A7624&lt;&gt;"",ISNUMBER(A7624)),VLOOKUP(A7624,Studies!A:BR,6,FALSE),"")</f>
        <v>Plasma</v>
      </c>
      <c r="G7624" s="194">
        <v>336.74652509999999</v>
      </c>
      <c r="H7624" s="194" t="s">
        <v>60</v>
      </c>
      <c r="I7624" s="187">
        <v>11.41531</v>
      </c>
      <c r="J7624" s="187" t="s">
        <v>941</v>
      </c>
      <c r="K7624" s="187" t="s">
        <v>116</v>
      </c>
      <c r="L7624" s="195">
        <v>8.6310939999999992</v>
      </c>
      <c r="M7624" s="52" t="s">
        <v>941</v>
      </c>
      <c r="N7624" s="52" t="s">
        <v>117</v>
      </c>
      <c r="P7624" s="188"/>
    </row>
    <row r="7625" spans="1:16" x14ac:dyDescent="0.2">
      <c r="A7625" s="183">
        <v>801</v>
      </c>
      <c r="B7625" s="249" t="str">
        <f>IF(AND(A7625&lt;&gt;"",ISNUMBER(A7625)),VLOOKUP(A7625,Studies!A:BR,2,FALSE),"")</f>
        <v>Kharasch 2012</v>
      </c>
      <c r="C7625" s="250" t="str">
        <f>IF(AND(A7625&lt;&gt;"",ISNUMBER(A7625)),VLOOKUP(A7625,Studies!A:BR,3,FALSE),"")</f>
        <v>https://www.ncbi.nlm.nih.gov/pubmed/22398970</v>
      </c>
      <c r="D7625" s="250" t="str">
        <f>IF(AND(A7625&lt;&gt;"",ISNUMBER(A7625)),VLOOKUP(A7625,Studies!A:BR,4,FALSE),"")</f>
        <v>Alfenatil PO + efavirenz</v>
      </c>
      <c r="E7625" s="250" t="str">
        <f>IF(AND(A7625&lt;&gt;"",ISNUMBER(A7625)),VLOOKUP(A7625,Studies!A:BR,5,FALSE),"")</f>
        <v>Alfentanil</v>
      </c>
      <c r="F7625" s="251" t="str">
        <f>IF(AND(A7625&lt;&gt;"",ISNUMBER(A7625)),VLOOKUP(A7625,Studies!A:BR,6,FALSE),"")</f>
        <v>Plasma</v>
      </c>
      <c r="G7625" s="194">
        <v>336.85754100000003</v>
      </c>
      <c r="H7625" s="194" t="s">
        <v>60</v>
      </c>
      <c r="I7625" s="187">
        <v>10.76566</v>
      </c>
      <c r="J7625" s="187" t="s">
        <v>941</v>
      </c>
      <c r="K7625" s="187" t="s">
        <v>116</v>
      </c>
      <c r="L7625" s="195">
        <v>6.4965200000000003</v>
      </c>
      <c r="M7625" s="52" t="s">
        <v>941</v>
      </c>
      <c r="N7625" s="52" t="s">
        <v>117</v>
      </c>
      <c r="P7625" s="188"/>
    </row>
    <row r="7626" spans="1:16" x14ac:dyDescent="0.2">
      <c r="A7626" s="183">
        <v>801</v>
      </c>
      <c r="B7626" s="249" t="str">
        <f>IF(AND(A7626&lt;&gt;"",ISNUMBER(A7626)),VLOOKUP(A7626,Studies!A:BR,2,FALSE),"")</f>
        <v>Kharasch 2012</v>
      </c>
      <c r="C7626" s="250" t="str">
        <f>IF(AND(A7626&lt;&gt;"",ISNUMBER(A7626)),VLOOKUP(A7626,Studies!A:BR,3,FALSE),"")</f>
        <v>https://www.ncbi.nlm.nih.gov/pubmed/22398970</v>
      </c>
      <c r="D7626" s="250" t="str">
        <f>IF(AND(A7626&lt;&gt;"",ISNUMBER(A7626)),VLOOKUP(A7626,Studies!A:BR,4,FALSE),"")</f>
        <v>Alfenatil PO + efavirenz</v>
      </c>
      <c r="E7626" s="250" t="str">
        <f>IF(AND(A7626&lt;&gt;"",ISNUMBER(A7626)),VLOOKUP(A7626,Studies!A:BR,5,FALSE),"")</f>
        <v>Alfentanil</v>
      </c>
      <c r="F7626" s="251" t="str">
        <f>IF(AND(A7626&lt;&gt;"",ISNUMBER(A7626)),VLOOKUP(A7626,Studies!A:BR,6,FALSE),"")</f>
        <v>Plasma</v>
      </c>
      <c r="G7626" s="194">
        <v>336.98723899999999</v>
      </c>
      <c r="H7626" s="194" t="s">
        <v>60</v>
      </c>
      <c r="I7626" s="187">
        <v>10.39443</v>
      </c>
      <c r="J7626" s="187" t="s">
        <v>941</v>
      </c>
      <c r="K7626" s="187" t="s">
        <v>116</v>
      </c>
      <c r="L7626" s="195">
        <v>6.682137</v>
      </c>
      <c r="M7626" s="52" t="s">
        <v>941</v>
      </c>
      <c r="N7626" s="52" t="s">
        <v>117</v>
      </c>
      <c r="P7626" s="188"/>
    </row>
    <row r="7627" spans="1:16" x14ac:dyDescent="0.2">
      <c r="A7627" s="183">
        <v>801</v>
      </c>
      <c r="B7627" s="249" t="str">
        <f>IF(AND(A7627&lt;&gt;"",ISNUMBER(A7627)),VLOOKUP(A7627,Studies!A:BR,2,FALSE),"")</f>
        <v>Kharasch 2012</v>
      </c>
      <c r="C7627" s="250" t="str">
        <f>IF(AND(A7627&lt;&gt;"",ISNUMBER(A7627)),VLOOKUP(A7627,Studies!A:BR,3,FALSE),"")</f>
        <v>https://www.ncbi.nlm.nih.gov/pubmed/22398970</v>
      </c>
      <c r="D7627" s="250" t="str">
        <f>IF(AND(A7627&lt;&gt;"",ISNUMBER(A7627)),VLOOKUP(A7627,Studies!A:BR,4,FALSE),"")</f>
        <v>Alfenatil PO + efavirenz</v>
      </c>
      <c r="E7627" s="250" t="str">
        <f>IF(AND(A7627&lt;&gt;"",ISNUMBER(A7627)),VLOOKUP(A7627,Studies!A:BR,5,FALSE),"")</f>
        <v>Alfentanil</v>
      </c>
      <c r="F7627" s="251" t="str">
        <f>IF(AND(A7627&lt;&gt;"",ISNUMBER(A7627)),VLOOKUP(A7627,Studies!A:BR,6,FALSE),"")</f>
        <v>Plasma</v>
      </c>
      <c r="G7627" s="194">
        <v>337.15430090000001</v>
      </c>
      <c r="H7627" s="194" t="s">
        <v>60</v>
      </c>
      <c r="I7627" s="187">
        <v>10.58005</v>
      </c>
      <c r="J7627" s="187" t="s">
        <v>941</v>
      </c>
      <c r="K7627" s="187" t="s">
        <v>116</v>
      </c>
      <c r="L7627" s="195">
        <v>6.3109010000000003</v>
      </c>
      <c r="M7627" s="52" t="s">
        <v>941</v>
      </c>
      <c r="N7627" s="52" t="s">
        <v>117</v>
      </c>
      <c r="P7627" s="188"/>
    </row>
    <row r="7628" spans="1:16" x14ac:dyDescent="0.2">
      <c r="A7628" s="183">
        <v>801</v>
      </c>
      <c r="B7628" s="249" t="str">
        <f>IF(AND(A7628&lt;&gt;"",ISNUMBER(A7628)),VLOOKUP(A7628,Studies!A:BR,2,FALSE),"")</f>
        <v>Kharasch 2012</v>
      </c>
      <c r="C7628" s="250" t="str">
        <f>IF(AND(A7628&lt;&gt;"",ISNUMBER(A7628)),VLOOKUP(A7628,Studies!A:BR,3,FALSE),"")</f>
        <v>https://www.ncbi.nlm.nih.gov/pubmed/22398970</v>
      </c>
      <c r="D7628" s="250" t="str">
        <f>IF(AND(A7628&lt;&gt;"",ISNUMBER(A7628)),VLOOKUP(A7628,Studies!A:BR,4,FALSE),"")</f>
        <v>Alfenatil PO + efavirenz</v>
      </c>
      <c r="E7628" s="250" t="str">
        <f>IF(AND(A7628&lt;&gt;"",ISNUMBER(A7628)),VLOOKUP(A7628,Studies!A:BR,5,FALSE),"")</f>
        <v>Alfentanil</v>
      </c>
      <c r="F7628" s="251" t="str">
        <f>IF(AND(A7628&lt;&gt;"",ISNUMBER(A7628)),VLOOKUP(A7628,Studies!A:BR,6,FALSE),"")</f>
        <v>Plasma</v>
      </c>
      <c r="G7628" s="194">
        <v>337.33927010000002</v>
      </c>
      <c r="H7628" s="194" t="s">
        <v>60</v>
      </c>
      <c r="I7628" s="187">
        <v>9.3735490000000006</v>
      </c>
      <c r="J7628" s="187" t="s">
        <v>941</v>
      </c>
      <c r="K7628" s="187" t="s">
        <v>116</v>
      </c>
      <c r="L7628" s="195">
        <v>6.2180980000000003</v>
      </c>
      <c r="M7628" s="52" t="s">
        <v>941</v>
      </c>
      <c r="N7628" s="52" t="s">
        <v>117</v>
      </c>
      <c r="P7628" s="188"/>
    </row>
    <row r="7629" spans="1:16" x14ac:dyDescent="0.2">
      <c r="A7629" s="183">
        <v>801</v>
      </c>
      <c r="B7629" s="249" t="str">
        <f>IF(AND(A7629&lt;&gt;"",ISNUMBER(A7629)),VLOOKUP(A7629,Studies!A:BR,2,FALSE),"")</f>
        <v>Kharasch 2012</v>
      </c>
      <c r="C7629" s="250" t="str">
        <f>IF(AND(A7629&lt;&gt;"",ISNUMBER(A7629)),VLOOKUP(A7629,Studies!A:BR,3,FALSE),"")</f>
        <v>https://www.ncbi.nlm.nih.gov/pubmed/22398970</v>
      </c>
      <c r="D7629" s="250" t="str">
        <f>IF(AND(A7629&lt;&gt;"",ISNUMBER(A7629)),VLOOKUP(A7629,Studies!A:BR,4,FALSE),"")</f>
        <v>Alfenatil PO + efavirenz</v>
      </c>
      <c r="E7629" s="250" t="str">
        <f>IF(AND(A7629&lt;&gt;"",ISNUMBER(A7629)),VLOOKUP(A7629,Studies!A:BR,5,FALSE),"")</f>
        <v>Alfentanil</v>
      </c>
      <c r="F7629" s="251" t="str">
        <f>IF(AND(A7629&lt;&gt;"",ISNUMBER(A7629)),VLOOKUP(A7629,Studies!A:BR,6,FALSE),"")</f>
        <v>Plasma</v>
      </c>
      <c r="G7629" s="194">
        <v>337.50581599999998</v>
      </c>
      <c r="H7629" s="194" t="s">
        <v>60</v>
      </c>
      <c r="I7629" s="187">
        <v>8.4454759999999993</v>
      </c>
      <c r="J7629" s="187" t="s">
        <v>941</v>
      </c>
      <c r="K7629" s="187" t="s">
        <v>116</v>
      </c>
      <c r="L7629" s="195">
        <v>6.7749420000000002</v>
      </c>
      <c r="M7629" s="52" t="s">
        <v>941</v>
      </c>
      <c r="N7629" s="52" t="s">
        <v>117</v>
      </c>
      <c r="P7629" s="188"/>
    </row>
    <row r="7630" spans="1:16" x14ac:dyDescent="0.2">
      <c r="A7630" s="183">
        <v>801</v>
      </c>
      <c r="B7630" s="249" t="str">
        <f>IF(AND(A7630&lt;&gt;"",ISNUMBER(A7630)),VLOOKUP(A7630,Studies!A:BR,2,FALSE),"")</f>
        <v>Kharasch 2012</v>
      </c>
      <c r="C7630" s="250" t="str">
        <f>IF(AND(A7630&lt;&gt;"",ISNUMBER(A7630)),VLOOKUP(A7630,Studies!A:BR,3,FALSE),"")</f>
        <v>https://www.ncbi.nlm.nih.gov/pubmed/22398970</v>
      </c>
      <c r="D7630" s="250" t="str">
        <f>IF(AND(A7630&lt;&gt;"",ISNUMBER(A7630)),VLOOKUP(A7630,Studies!A:BR,4,FALSE),"")</f>
        <v>Alfenatil PO + efavirenz</v>
      </c>
      <c r="E7630" s="250" t="str">
        <f>IF(AND(A7630&lt;&gt;"",ISNUMBER(A7630)),VLOOKUP(A7630,Studies!A:BR,5,FALSE),"")</f>
        <v>Alfentanil</v>
      </c>
      <c r="F7630" s="251" t="str">
        <f>IF(AND(A7630&lt;&gt;"",ISNUMBER(A7630)),VLOOKUP(A7630,Studies!A:BR,6,FALSE),"")</f>
        <v>Plasma</v>
      </c>
      <c r="G7630" s="194">
        <v>337.98676999999998</v>
      </c>
      <c r="H7630" s="194" t="s">
        <v>60</v>
      </c>
      <c r="I7630" s="187">
        <v>5.3828310000000004</v>
      </c>
      <c r="J7630" s="187" t="s">
        <v>941</v>
      </c>
      <c r="K7630" s="187" t="s">
        <v>116</v>
      </c>
      <c r="L7630" s="195">
        <v>5.1972160000000001</v>
      </c>
      <c r="M7630" s="52" t="s">
        <v>941</v>
      </c>
      <c r="N7630" s="52" t="s">
        <v>117</v>
      </c>
      <c r="P7630" s="188"/>
    </row>
    <row r="7631" spans="1:16" x14ac:dyDescent="0.2">
      <c r="A7631" s="183">
        <v>801</v>
      </c>
      <c r="B7631" s="249" t="str">
        <f>IF(AND(A7631&lt;&gt;"",ISNUMBER(A7631)),VLOOKUP(A7631,Studies!A:BR,2,FALSE),"")</f>
        <v>Kharasch 2012</v>
      </c>
      <c r="C7631" s="250" t="str">
        <f>IF(AND(A7631&lt;&gt;"",ISNUMBER(A7631)),VLOOKUP(A7631,Studies!A:BR,3,FALSE),"")</f>
        <v>https://www.ncbi.nlm.nih.gov/pubmed/22398970</v>
      </c>
      <c r="D7631" s="250" t="str">
        <f>IF(AND(A7631&lt;&gt;"",ISNUMBER(A7631)),VLOOKUP(A7631,Studies!A:BR,4,FALSE),"")</f>
        <v>Alfenatil PO + efavirenz</v>
      </c>
      <c r="E7631" s="250" t="str">
        <f>IF(AND(A7631&lt;&gt;"",ISNUMBER(A7631)),VLOOKUP(A7631,Studies!A:BR,5,FALSE),"")</f>
        <v>Alfentanil</v>
      </c>
      <c r="F7631" s="251" t="str">
        <f>IF(AND(A7631&lt;&gt;"",ISNUMBER(A7631)),VLOOKUP(A7631,Studies!A:BR,6,FALSE),"")</f>
        <v>Plasma</v>
      </c>
      <c r="G7631" s="194">
        <v>338.505045</v>
      </c>
      <c r="H7631" s="194" t="s">
        <v>60</v>
      </c>
      <c r="I7631" s="187">
        <v>2.7842229999999999</v>
      </c>
      <c r="J7631" s="187" t="s">
        <v>941</v>
      </c>
      <c r="K7631" s="187" t="s">
        <v>116</v>
      </c>
      <c r="L7631" s="195">
        <v>2.6914150000000001</v>
      </c>
      <c r="M7631" s="52" t="s">
        <v>941</v>
      </c>
      <c r="N7631" s="52" t="s">
        <v>117</v>
      </c>
      <c r="P7631" s="188"/>
    </row>
    <row r="7632" spans="1:16" x14ac:dyDescent="0.2">
      <c r="A7632" s="183">
        <v>801</v>
      </c>
      <c r="B7632" s="249" t="str">
        <f>IF(AND(A7632&lt;&gt;"",ISNUMBER(A7632)),VLOOKUP(A7632,Studies!A:BR,2,FALSE),"")</f>
        <v>Kharasch 2012</v>
      </c>
      <c r="C7632" s="250" t="str">
        <f>IF(AND(A7632&lt;&gt;"",ISNUMBER(A7632)),VLOOKUP(A7632,Studies!A:BR,3,FALSE),"")</f>
        <v>https://www.ncbi.nlm.nih.gov/pubmed/22398970</v>
      </c>
      <c r="D7632" s="250" t="str">
        <f>IF(AND(A7632&lt;&gt;"",ISNUMBER(A7632)),VLOOKUP(A7632,Studies!A:BR,4,FALSE),"")</f>
        <v>Alfenatil PO + efavirenz</v>
      </c>
      <c r="E7632" s="250" t="str">
        <f>IF(AND(A7632&lt;&gt;"",ISNUMBER(A7632)),VLOOKUP(A7632,Studies!A:BR,5,FALSE),"")</f>
        <v>Alfentanil</v>
      </c>
      <c r="F7632" s="251" t="str">
        <f>IF(AND(A7632&lt;&gt;"",ISNUMBER(A7632)),VLOOKUP(A7632,Studies!A:BR,6,FALSE),"")</f>
        <v>Plasma</v>
      </c>
      <c r="G7632" s="194">
        <v>338.98698899999999</v>
      </c>
      <c r="H7632" s="194" t="s">
        <v>60</v>
      </c>
      <c r="I7632" s="187">
        <v>1.8561479999999999</v>
      </c>
      <c r="J7632" s="187" t="s">
        <v>941</v>
      </c>
      <c r="K7632" s="187" t="s">
        <v>116</v>
      </c>
      <c r="L7632" s="195">
        <v>1.392112</v>
      </c>
      <c r="M7632" s="52" t="s">
        <v>941</v>
      </c>
      <c r="N7632" s="52" t="s">
        <v>117</v>
      </c>
      <c r="P7632" s="188"/>
    </row>
    <row r="7633" spans="1:16" x14ac:dyDescent="0.2">
      <c r="A7633" s="183">
        <v>801</v>
      </c>
      <c r="B7633" s="249" t="str">
        <f>IF(AND(A7633&lt;&gt;"",ISNUMBER(A7633)),VLOOKUP(A7633,Studies!A:BR,2,FALSE),"")</f>
        <v>Kharasch 2012</v>
      </c>
      <c r="C7633" s="250" t="str">
        <f>IF(AND(A7633&lt;&gt;"",ISNUMBER(A7633)),VLOOKUP(A7633,Studies!A:BR,3,FALSE),"")</f>
        <v>https://www.ncbi.nlm.nih.gov/pubmed/22398970</v>
      </c>
      <c r="D7633" s="250" t="str">
        <f>IF(AND(A7633&lt;&gt;"",ISNUMBER(A7633)),VLOOKUP(A7633,Studies!A:BR,4,FALSE),"")</f>
        <v>Alfenatil PO + efavirenz</v>
      </c>
      <c r="E7633" s="250" t="str">
        <f>IF(AND(A7633&lt;&gt;"",ISNUMBER(A7633)),VLOOKUP(A7633,Studies!A:BR,5,FALSE),"")</f>
        <v>Alfentanil</v>
      </c>
      <c r="F7633" s="251" t="str">
        <f>IF(AND(A7633&lt;&gt;"",ISNUMBER(A7633)),VLOOKUP(A7633,Studies!A:BR,6,FALSE),"")</f>
        <v>Plasma</v>
      </c>
      <c r="G7633" s="194">
        <v>339.48748699999999</v>
      </c>
      <c r="H7633" s="194" t="s">
        <v>60</v>
      </c>
      <c r="I7633" s="187">
        <v>0.92807419999999996</v>
      </c>
      <c r="J7633" s="187" t="s">
        <v>941</v>
      </c>
      <c r="K7633" s="187" t="s">
        <v>116</v>
      </c>
      <c r="L7633" s="195">
        <v>1.1136889999999999</v>
      </c>
      <c r="M7633" s="52" t="s">
        <v>941</v>
      </c>
      <c r="N7633" s="52" t="s">
        <v>117</v>
      </c>
      <c r="P7633" s="188"/>
    </row>
    <row r="7634" spans="1:16" x14ac:dyDescent="0.2">
      <c r="A7634" s="183">
        <v>801</v>
      </c>
      <c r="B7634" s="249" t="str">
        <f>IF(AND(A7634&lt;&gt;"",ISNUMBER(A7634)),VLOOKUP(A7634,Studies!A:BR,2,FALSE),"")</f>
        <v>Kharasch 2012</v>
      </c>
      <c r="C7634" s="250" t="str">
        <f>IF(AND(A7634&lt;&gt;"",ISNUMBER(A7634)),VLOOKUP(A7634,Studies!A:BR,3,FALSE),"")</f>
        <v>https://www.ncbi.nlm.nih.gov/pubmed/22398970</v>
      </c>
      <c r="D7634" s="250" t="str">
        <f>IF(AND(A7634&lt;&gt;"",ISNUMBER(A7634)),VLOOKUP(A7634,Studies!A:BR,4,FALSE),"")</f>
        <v>Alfenatil PO + efavirenz</v>
      </c>
      <c r="E7634" s="250" t="str">
        <f>IF(AND(A7634&lt;&gt;"",ISNUMBER(A7634)),VLOOKUP(A7634,Studies!A:BR,5,FALSE),"")</f>
        <v>Alfentanil</v>
      </c>
      <c r="F7634" s="251" t="str">
        <f>IF(AND(A7634&lt;&gt;"",ISNUMBER(A7634)),VLOOKUP(A7634,Studies!A:BR,6,FALSE),"")</f>
        <v>Plasma</v>
      </c>
      <c r="G7634" s="194">
        <v>340.50763699999999</v>
      </c>
      <c r="H7634" s="194" t="s">
        <v>60</v>
      </c>
      <c r="I7634" s="187">
        <v>0.3712297</v>
      </c>
      <c r="J7634" s="187" t="s">
        <v>941</v>
      </c>
      <c r="K7634" s="187" t="s">
        <v>116</v>
      </c>
      <c r="P7634" s="188"/>
    </row>
    <row r="7635" spans="1:16" x14ac:dyDescent="0.2">
      <c r="A7635" s="183">
        <v>802</v>
      </c>
      <c r="B7635" s="249" t="str">
        <f>IF(AND(A7635&lt;&gt;"",ISNUMBER(A7635)),VLOOKUP(A7635,Studies!A:BR,2,FALSE),"")</f>
        <v>Kharasch 2012</v>
      </c>
      <c r="C7635" s="250" t="str">
        <f>IF(AND(A7635&lt;&gt;"",ISNUMBER(A7635)),VLOOKUP(A7635,Studies!A:BR,3,FALSE),"")</f>
        <v>https://www.ncbi.nlm.nih.gov/pubmed/22398970</v>
      </c>
      <c r="D7635" s="250" t="str">
        <f>IF(AND(A7635&lt;&gt;"",ISNUMBER(A7635)),VLOOKUP(A7635,Studies!A:BR,4,FALSE),"")</f>
        <v>Alfenatil IV alone</v>
      </c>
      <c r="E7635" s="250" t="str">
        <f>IF(AND(A7635&lt;&gt;"",ISNUMBER(A7635)),VLOOKUP(A7635,Studies!A:BR,5,FALSE),"")</f>
        <v>Alfentanil</v>
      </c>
      <c r="F7635" s="251" t="str">
        <f>IF(AND(A7635&lt;&gt;"",ISNUMBER(A7635)),VLOOKUP(A7635,Studies!A:BR,6,FALSE),"")</f>
        <v>Plasma</v>
      </c>
      <c r="G7635" s="194">
        <v>4.6387930000000001E-2</v>
      </c>
      <c r="H7635" s="194" t="s">
        <v>60</v>
      </c>
      <c r="I7635" s="187">
        <v>92.347579999999994</v>
      </c>
      <c r="J7635" s="187" t="s">
        <v>941</v>
      </c>
      <c r="K7635" s="187" t="s">
        <v>116</v>
      </c>
      <c r="P7635" s="188"/>
    </row>
    <row r="7636" spans="1:16" x14ac:dyDescent="0.2">
      <c r="A7636" s="183">
        <v>802</v>
      </c>
      <c r="B7636" s="249" t="str">
        <f>IF(AND(A7636&lt;&gt;"",ISNUMBER(A7636)),VLOOKUP(A7636,Studies!A:BR,2,FALSE),"")</f>
        <v>Kharasch 2012</v>
      </c>
      <c r="C7636" s="250" t="str">
        <f>IF(AND(A7636&lt;&gt;"",ISNUMBER(A7636)),VLOOKUP(A7636,Studies!A:BR,3,FALSE),"")</f>
        <v>https://www.ncbi.nlm.nih.gov/pubmed/22398970</v>
      </c>
      <c r="D7636" s="250" t="str">
        <f>IF(AND(A7636&lt;&gt;"",ISNUMBER(A7636)),VLOOKUP(A7636,Studies!A:BR,4,FALSE),"")</f>
        <v>Alfenatil IV alone</v>
      </c>
      <c r="E7636" s="250" t="str">
        <f>IF(AND(A7636&lt;&gt;"",ISNUMBER(A7636)),VLOOKUP(A7636,Studies!A:BR,5,FALSE),"")</f>
        <v>Alfentanil</v>
      </c>
      <c r="F7636" s="251" t="str">
        <f>IF(AND(A7636&lt;&gt;"",ISNUMBER(A7636)),VLOOKUP(A7636,Studies!A:BR,6,FALSE),"")</f>
        <v>Plasma</v>
      </c>
      <c r="G7636" s="194">
        <v>8.7654629999999997E-2</v>
      </c>
      <c r="H7636" s="194" t="s">
        <v>60</v>
      </c>
      <c r="I7636" s="187">
        <v>68.828119999999998</v>
      </c>
      <c r="J7636" s="187" t="s">
        <v>941</v>
      </c>
      <c r="K7636" s="187" t="s">
        <v>116</v>
      </c>
      <c r="P7636" s="188"/>
    </row>
    <row r="7637" spans="1:16" x14ac:dyDescent="0.2">
      <c r="A7637" s="183">
        <v>802</v>
      </c>
      <c r="B7637" s="249" t="str">
        <f>IF(AND(A7637&lt;&gt;"",ISNUMBER(A7637)),VLOOKUP(A7637,Studies!A:BR,2,FALSE),"")</f>
        <v>Kharasch 2012</v>
      </c>
      <c r="C7637" s="250" t="str">
        <f>IF(AND(A7637&lt;&gt;"",ISNUMBER(A7637)),VLOOKUP(A7637,Studies!A:BR,3,FALSE),"")</f>
        <v>https://www.ncbi.nlm.nih.gov/pubmed/22398970</v>
      </c>
      <c r="D7637" s="250" t="str">
        <f>IF(AND(A7637&lt;&gt;"",ISNUMBER(A7637)),VLOOKUP(A7637,Studies!A:BR,4,FALSE),"")</f>
        <v>Alfenatil IV alone</v>
      </c>
      <c r="E7637" s="250" t="str">
        <f>IF(AND(A7637&lt;&gt;"",ISNUMBER(A7637)),VLOOKUP(A7637,Studies!A:BR,5,FALSE),"")</f>
        <v>Alfentanil</v>
      </c>
      <c r="F7637" s="251" t="str">
        <f>IF(AND(A7637&lt;&gt;"",ISNUMBER(A7637)),VLOOKUP(A7637,Studies!A:BR,6,FALSE),"")</f>
        <v>Plasma</v>
      </c>
      <c r="G7637" s="194">
        <v>0.1568283</v>
      </c>
      <c r="H7637" s="194" t="s">
        <v>60</v>
      </c>
      <c r="I7637" s="187">
        <v>51.298699999999997</v>
      </c>
      <c r="J7637" s="187" t="s">
        <v>941</v>
      </c>
      <c r="K7637" s="187" t="s">
        <v>116</v>
      </c>
      <c r="P7637" s="188"/>
    </row>
    <row r="7638" spans="1:16" x14ac:dyDescent="0.2">
      <c r="A7638" s="183">
        <v>802</v>
      </c>
      <c r="B7638" s="249" t="str">
        <f>IF(AND(A7638&lt;&gt;"",ISNUMBER(A7638)),VLOOKUP(A7638,Studies!A:BR,2,FALSE),"")</f>
        <v>Kharasch 2012</v>
      </c>
      <c r="C7638" s="250" t="str">
        <f>IF(AND(A7638&lt;&gt;"",ISNUMBER(A7638)),VLOOKUP(A7638,Studies!A:BR,3,FALSE),"")</f>
        <v>https://www.ncbi.nlm.nih.gov/pubmed/22398970</v>
      </c>
      <c r="D7638" s="250" t="str">
        <f>IF(AND(A7638&lt;&gt;"",ISNUMBER(A7638)),VLOOKUP(A7638,Studies!A:BR,4,FALSE),"")</f>
        <v>Alfenatil IV alone</v>
      </c>
      <c r="E7638" s="250" t="str">
        <f>IF(AND(A7638&lt;&gt;"",ISNUMBER(A7638)),VLOOKUP(A7638,Studies!A:BR,5,FALSE),"")</f>
        <v>Alfentanil</v>
      </c>
      <c r="F7638" s="251" t="str">
        <f>IF(AND(A7638&lt;&gt;"",ISNUMBER(A7638)),VLOOKUP(A7638,Studies!A:BR,6,FALSE),"")</f>
        <v>Plasma</v>
      </c>
      <c r="G7638" s="194">
        <v>0.25398320000000002</v>
      </c>
      <c r="H7638" s="194" t="s">
        <v>60</v>
      </c>
      <c r="I7638" s="187">
        <v>39.664709999999999</v>
      </c>
      <c r="J7638" s="187" t="s">
        <v>941</v>
      </c>
      <c r="K7638" s="187" t="s">
        <v>116</v>
      </c>
      <c r="P7638" s="188"/>
    </row>
    <row r="7639" spans="1:16" x14ac:dyDescent="0.2">
      <c r="A7639" s="183">
        <v>802</v>
      </c>
      <c r="B7639" s="249" t="str">
        <f>IF(AND(A7639&lt;&gt;"",ISNUMBER(A7639)),VLOOKUP(A7639,Studies!A:BR,2,FALSE),"")</f>
        <v>Kharasch 2012</v>
      </c>
      <c r="C7639" s="250" t="str">
        <f>IF(AND(A7639&lt;&gt;"",ISNUMBER(A7639)),VLOOKUP(A7639,Studies!A:BR,3,FALSE),"")</f>
        <v>https://www.ncbi.nlm.nih.gov/pubmed/22398970</v>
      </c>
      <c r="D7639" s="250" t="str">
        <f>IF(AND(A7639&lt;&gt;"",ISNUMBER(A7639)),VLOOKUP(A7639,Studies!A:BR,4,FALSE),"")</f>
        <v>Alfenatil IV alone</v>
      </c>
      <c r="E7639" s="250" t="str">
        <f>IF(AND(A7639&lt;&gt;"",ISNUMBER(A7639)),VLOOKUP(A7639,Studies!A:BR,5,FALSE),"")</f>
        <v>Alfentanil</v>
      </c>
      <c r="F7639" s="251" t="str">
        <f>IF(AND(A7639&lt;&gt;"",ISNUMBER(A7639)),VLOOKUP(A7639,Studies!A:BR,6,FALSE),"")</f>
        <v>Plasma</v>
      </c>
      <c r="G7639" s="194">
        <v>0.33737010000000001</v>
      </c>
      <c r="H7639" s="194" t="s">
        <v>60</v>
      </c>
      <c r="I7639" s="187">
        <v>33.61985</v>
      </c>
      <c r="J7639" s="187" t="s">
        <v>941</v>
      </c>
      <c r="K7639" s="187" t="s">
        <v>116</v>
      </c>
      <c r="P7639" s="188"/>
    </row>
    <row r="7640" spans="1:16" x14ac:dyDescent="0.2">
      <c r="A7640" s="183">
        <v>802</v>
      </c>
      <c r="B7640" s="249" t="str">
        <f>IF(AND(A7640&lt;&gt;"",ISNUMBER(A7640)),VLOOKUP(A7640,Studies!A:BR,2,FALSE),"")</f>
        <v>Kharasch 2012</v>
      </c>
      <c r="C7640" s="250" t="str">
        <f>IF(AND(A7640&lt;&gt;"",ISNUMBER(A7640)),VLOOKUP(A7640,Studies!A:BR,3,FALSE),"")</f>
        <v>https://www.ncbi.nlm.nih.gov/pubmed/22398970</v>
      </c>
      <c r="D7640" s="250" t="str">
        <f>IF(AND(A7640&lt;&gt;"",ISNUMBER(A7640)),VLOOKUP(A7640,Studies!A:BR,4,FALSE),"")</f>
        <v>Alfenatil IV alone</v>
      </c>
      <c r="E7640" s="250" t="str">
        <f>IF(AND(A7640&lt;&gt;"",ISNUMBER(A7640)),VLOOKUP(A7640,Studies!A:BR,5,FALSE),"")</f>
        <v>Alfentanil</v>
      </c>
      <c r="F7640" s="251" t="str">
        <f>IF(AND(A7640&lt;&gt;"",ISNUMBER(A7640)),VLOOKUP(A7640,Studies!A:BR,6,FALSE),"")</f>
        <v>Plasma</v>
      </c>
      <c r="G7640" s="194">
        <v>0.50421819999999995</v>
      </c>
      <c r="H7640" s="194" t="s">
        <v>60</v>
      </c>
      <c r="I7640" s="187">
        <v>25.057410000000001</v>
      </c>
      <c r="J7640" s="187" t="s">
        <v>941</v>
      </c>
      <c r="K7640" s="187" t="s">
        <v>116</v>
      </c>
      <c r="L7640" s="195">
        <v>9.1858009999999997</v>
      </c>
      <c r="M7640" s="52" t="s">
        <v>941</v>
      </c>
      <c r="N7640" s="52" t="s">
        <v>117</v>
      </c>
      <c r="P7640" s="188"/>
    </row>
    <row r="7641" spans="1:16" x14ac:dyDescent="0.2">
      <c r="A7641" s="183">
        <v>802</v>
      </c>
      <c r="B7641" s="249" t="str">
        <f>IF(AND(A7641&lt;&gt;"",ISNUMBER(A7641)),VLOOKUP(A7641,Studies!A:BR,2,FALSE),"")</f>
        <v>Kharasch 2012</v>
      </c>
      <c r="C7641" s="250" t="str">
        <f>IF(AND(A7641&lt;&gt;"",ISNUMBER(A7641)),VLOOKUP(A7641,Studies!A:BR,3,FALSE),"")</f>
        <v>https://www.ncbi.nlm.nih.gov/pubmed/22398970</v>
      </c>
      <c r="D7641" s="250" t="str">
        <f>IF(AND(A7641&lt;&gt;"",ISNUMBER(A7641)),VLOOKUP(A7641,Studies!A:BR,4,FALSE),"")</f>
        <v>Alfenatil IV alone</v>
      </c>
      <c r="E7641" s="250" t="str">
        <f>IF(AND(A7641&lt;&gt;"",ISNUMBER(A7641)),VLOOKUP(A7641,Studies!A:BR,5,FALSE),"")</f>
        <v>Alfentanil</v>
      </c>
      <c r="F7641" s="251" t="str">
        <f>IF(AND(A7641&lt;&gt;"",ISNUMBER(A7641)),VLOOKUP(A7641,Studies!A:BR,6,FALSE),"")</f>
        <v>Plasma</v>
      </c>
      <c r="G7641" s="194">
        <v>0.67132610000000004</v>
      </c>
      <c r="H7641" s="194" t="s">
        <v>60</v>
      </c>
      <c r="I7641" s="187">
        <v>21.238689999999998</v>
      </c>
      <c r="J7641" s="187" t="s">
        <v>941</v>
      </c>
      <c r="K7641" s="187" t="s">
        <v>116</v>
      </c>
      <c r="L7641" s="195">
        <v>6.738785</v>
      </c>
      <c r="M7641" s="52" t="s">
        <v>941</v>
      </c>
      <c r="N7641" s="52" t="s">
        <v>117</v>
      </c>
      <c r="P7641" s="188"/>
    </row>
    <row r="7642" spans="1:16" x14ac:dyDescent="0.2">
      <c r="A7642" s="183">
        <v>802</v>
      </c>
      <c r="B7642" s="249" t="str">
        <f>IF(AND(A7642&lt;&gt;"",ISNUMBER(A7642)),VLOOKUP(A7642,Studies!A:BR,2,FALSE),"")</f>
        <v>Kharasch 2012</v>
      </c>
      <c r="C7642" s="250" t="str">
        <f>IF(AND(A7642&lt;&gt;"",ISNUMBER(A7642)),VLOOKUP(A7642,Studies!A:BR,3,FALSE),"")</f>
        <v>https://www.ncbi.nlm.nih.gov/pubmed/22398970</v>
      </c>
      <c r="D7642" s="250" t="str">
        <f>IF(AND(A7642&lt;&gt;"",ISNUMBER(A7642)),VLOOKUP(A7642,Studies!A:BR,4,FALSE),"")</f>
        <v>Alfenatil IV alone</v>
      </c>
      <c r="E7642" s="250" t="str">
        <f>IF(AND(A7642&lt;&gt;"",ISNUMBER(A7642)),VLOOKUP(A7642,Studies!A:BR,5,FALSE),"")</f>
        <v>Alfentanil</v>
      </c>
      <c r="F7642" s="251" t="str">
        <f>IF(AND(A7642&lt;&gt;"",ISNUMBER(A7642)),VLOOKUP(A7642,Studies!A:BR,6,FALSE),"")</f>
        <v>Plasma</v>
      </c>
      <c r="G7642" s="194">
        <v>0.83832260000000003</v>
      </c>
      <c r="H7642" s="194" t="s">
        <v>60</v>
      </c>
      <c r="I7642" s="187">
        <v>17.0366</v>
      </c>
      <c r="J7642" s="187" t="s">
        <v>941</v>
      </c>
      <c r="K7642" s="187" t="s">
        <v>116</v>
      </c>
      <c r="L7642" s="195">
        <v>6.2454530000000004</v>
      </c>
      <c r="M7642" s="52" t="s">
        <v>941</v>
      </c>
      <c r="N7642" s="52" t="s">
        <v>117</v>
      </c>
      <c r="P7642" s="188"/>
    </row>
    <row r="7643" spans="1:16" x14ac:dyDescent="0.2">
      <c r="A7643" s="183">
        <v>802</v>
      </c>
      <c r="B7643" s="249" t="str">
        <f>IF(AND(A7643&lt;&gt;"",ISNUMBER(A7643)),VLOOKUP(A7643,Studies!A:BR,2,FALSE),"")</f>
        <v>Kharasch 2012</v>
      </c>
      <c r="C7643" s="250" t="str">
        <f>IF(AND(A7643&lt;&gt;"",ISNUMBER(A7643)),VLOOKUP(A7643,Studies!A:BR,3,FALSE),"")</f>
        <v>https://www.ncbi.nlm.nih.gov/pubmed/22398970</v>
      </c>
      <c r="D7643" s="250" t="str">
        <f>IF(AND(A7643&lt;&gt;"",ISNUMBER(A7643)),VLOOKUP(A7643,Studies!A:BR,4,FALSE),"")</f>
        <v>Alfenatil IV alone</v>
      </c>
      <c r="E7643" s="250" t="str">
        <f>IF(AND(A7643&lt;&gt;"",ISNUMBER(A7643)),VLOOKUP(A7643,Studies!A:BR,5,FALSE),"")</f>
        <v>Alfentanil</v>
      </c>
      <c r="F7643" s="251" t="str">
        <f>IF(AND(A7643&lt;&gt;"",ISNUMBER(A7643)),VLOOKUP(A7643,Studies!A:BR,6,FALSE),"")</f>
        <v>Plasma</v>
      </c>
      <c r="G7643" s="194">
        <v>1</v>
      </c>
      <c r="H7643" s="194" t="s">
        <v>60</v>
      </c>
      <c r="I7643" s="187">
        <v>14.980689999999999</v>
      </c>
      <c r="J7643" s="187" t="s">
        <v>941</v>
      </c>
      <c r="K7643" s="187" t="s">
        <v>116</v>
      </c>
      <c r="L7643" s="195">
        <v>5.8713680000000004</v>
      </c>
      <c r="M7643" s="52" t="s">
        <v>941</v>
      </c>
      <c r="N7643" s="52" t="s">
        <v>117</v>
      </c>
      <c r="P7643" s="188"/>
    </row>
    <row r="7644" spans="1:16" x14ac:dyDescent="0.2">
      <c r="A7644" s="183">
        <v>802</v>
      </c>
      <c r="B7644" s="249" t="str">
        <f>IF(AND(A7644&lt;&gt;"",ISNUMBER(A7644)),VLOOKUP(A7644,Studies!A:BR,2,FALSE),"")</f>
        <v>Kharasch 2012</v>
      </c>
      <c r="C7644" s="250" t="str">
        <f>IF(AND(A7644&lt;&gt;"",ISNUMBER(A7644)),VLOOKUP(A7644,Studies!A:BR,3,FALSE),"")</f>
        <v>https://www.ncbi.nlm.nih.gov/pubmed/22398970</v>
      </c>
      <c r="D7644" s="250" t="str">
        <f>IF(AND(A7644&lt;&gt;"",ISNUMBER(A7644)),VLOOKUP(A7644,Studies!A:BR,4,FALSE),"")</f>
        <v>Alfenatil IV alone</v>
      </c>
      <c r="E7644" s="250" t="str">
        <f>IF(AND(A7644&lt;&gt;"",ISNUMBER(A7644)),VLOOKUP(A7644,Studies!A:BR,5,FALSE),"")</f>
        <v>Alfentanil</v>
      </c>
      <c r="F7644" s="251" t="str">
        <f>IF(AND(A7644&lt;&gt;"",ISNUMBER(A7644)),VLOOKUP(A7644,Studies!A:BR,6,FALSE),"")</f>
        <v>Plasma</v>
      </c>
      <c r="G7644" s="194">
        <v>1.5</v>
      </c>
      <c r="H7644" s="194" t="s">
        <v>60</v>
      </c>
      <c r="I7644" s="187">
        <v>10</v>
      </c>
      <c r="J7644" s="187" t="s">
        <v>941</v>
      </c>
      <c r="K7644" s="187" t="s">
        <v>116</v>
      </c>
      <c r="L7644" s="195">
        <v>4.707986</v>
      </c>
      <c r="M7644" s="52" t="s">
        <v>941</v>
      </c>
      <c r="N7644" s="52" t="s">
        <v>117</v>
      </c>
      <c r="P7644" s="188"/>
    </row>
    <row r="7645" spans="1:16" x14ac:dyDescent="0.2">
      <c r="A7645" s="183">
        <v>802</v>
      </c>
      <c r="B7645" s="249" t="str">
        <f>IF(AND(A7645&lt;&gt;"",ISNUMBER(A7645)),VLOOKUP(A7645,Studies!A:BR,2,FALSE),"")</f>
        <v>Kharasch 2012</v>
      </c>
      <c r="C7645" s="250" t="str">
        <f>IF(AND(A7645&lt;&gt;"",ISNUMBER(A7645)),VLOOKUP(A7645,Studies!A:BR,3,FALSE),"")</f>
        <v>https://www.ncbi.nlm.nih.gov/pubmed/22398970</v>
      </c>
      <c r="D7645" s="250" t="str">
        <f>IF(AND(A7645&lt;&gt;"",ISNUMBER(A7645)),VLOOKUP(A7645,Studies!A:BR,4,FALSE),"")</f>
        <v>Alfenatil IV alone</v>
      </c>
      <c r="E7645" s="250" t="str">
        <f>IF(AND(A7645&lt;&gt;"",ISNUMBER(A7645)),VLOOKUP(A7645,Studies!A:BR,5,FALSE),"")</f>
        <v>Alfentanil</v>
      </c>
      <c r="F7645" s="251" t="str">
        <f>IF(AND(A7645&lt;&gt;"",ISNUMBER(A7645)),VLOOKUP(A7645,Studies!A:BR,6,FALSE),"")</f>
        <v>Plasma</v>
      </c>
      <c r="G7645" s="194">
        <v>2</v>
      </c>
      <c r="H7645" s="194" t="s">
        <v>60</v>
      </c>
      <c r="I7645" s="187">
        <v>7.1842759999999997</v>
      </c>
      <c r="J7645" s="187" t="s">
        <v>941</v>
      </c>
      <c r="K7645" s="187" t="s">
        <v>116</v>
      </c>
      <c r="L7645" s="195">
        <v>3.7778200000000002</v>
      </c>
      <c r="M7645" s="52" t="s">
        <v>941</v>
      </c>
      <c r="N7645" s="52" t="s">
        <v>117</v>
      </c>
      <c r="P7645" s="188"/>
    </row>
    <row r="7646" spans="1:16" x14ac:dyDescent="0.2">
      <c r="A7646" s="183">
        <v>802</v>
      </c>
      <c r="B7646" s="249" t="str">
        <f>IF(AND(A7646&lt;&gt;"",ISNUMBER(A7646)),VLOOKUP(A7646,Studies!A:BR,2,FALSE),"")</f>
        <v>Kharasch 2012</v>
      </c>
      <c r="C7646" s="250" t="str">
        <f>IF(AND(A7646&lt;&gt;"",ISNUMBER(A7646)),VLOOKUP(A7646,Studies!A:BR,3,FALSE),"")</f>
        <v>https://www.ncbi.nlm.nih.gov/pubmed/22398970</v>
      </c>
      <c r="D7646" s="250" t="str">
        <f>IF(AND(A7646&lt;&gt;"",ISNUMBER(A7646)),VLOOKUP(A7646,Studies!A:BR,4,FALSE),"")</f>
        <v>Alfenatil IV alone</v>
      </c>
      <c r="E7646" s="250" t="str">
        <f>IF(AND(A7646&lt;&gt;"",ISNUMBER(A7646)),VLOOKUP(A7646,Studies!A:BR,5,FALSE),"")</f>
        <v>Alfentanil</v>
      </c>
      <c r="F7646" s="251" t="str">
        <f>IF(AND(A7646&lt;&gt;"",ISNUMBER(A7646)),VLOOKUP(A7646,Studies!A:BR,6,FALSE),"")</f>
        <v>Plasma</v>
      </c>
      <c r="G7646" s="194">
        <v>3</v>
      </c>
      <c r="H7646" s="194" t="s">
        <v>60</v>
      </c>
      <c r="I7646" s="187">
        <v>4.064832</v>
      </c>
      <c r="J7646" s="187" t="s">
        <v>941</v>
      </c>
      <c r="K7646" s="187" t="s">
        <v>116</v>
      </c>
      <c r="L7646" s="195">
        <v>2.4889100000000002</v>
      </c>
      <c r="M7646" s="52" t="s">
        <v>941</v>
      </c>
      <c r="N7646" s="52" t="s">
        <v>117</v>
      </c>
      <c r="P7646" s="188"/>
    </row>
    <row r="7647" spans="1:16" x14ac:dyDescent="0.2">
      <c r="A7647" s="183">
        <v>802</v>
      </c>
      <c r="B7647" s="249" t="str">
        <f>IF(AND(A7647&lt;&gt;"",ISNUMBER(A7647)),VLOOKUP(A7647,Studies!A:BR,2,FALSE),"")</f>
        <v>Kharasch 2012</v>
      </c>
      <c r="C7647" s="250" t="str">
        <f>IF(AND(A7647&lt;&gt;"",ISNUMBER(A7647)),VLOOKUP(A7647,Studies!A:BR,3,FALSE),"")</f>
        <v>https://www.ncbi.nlm.nih.gov/pubmed/22398970</v>
      </c>
      <c r="D7647" s="250" t="str">
        <f>IF(AND(A7647&lt;&gt;"",ISNUMBER(A7647)),VLOOKUP(A7647,Studies!A:BR,4,FALSE),"")</f>
        <v>Alfenatil IV alone</v>
      </c>
      <c r="E7647" s="250" t="str">
        <f>IF(AND(A7647&lt;&gt;"",ISNUMBER(A7647)),VLOOKUP(A7647,Studies!A:BR,5,FALSE),"")</f>
        <v>Alfentanil</v>
      </c>
      <c r="F7647" s="251" t="str">
        <f>IF(AND(A7647&lt;&gt;"",ISNUMBER(A7647)),VLOOKUP(A7647,Studies!A:BR,6,FALSE),"")</f>
        <v>Plasma</v>
      </c>
      <c r="G7647" s="194">
        <v>4</v>
      </c>
      <c r="H7647" s="194" t="s">
        <v>60</v>
      </c>
      <c r="I7647" s="187">
        <v>2.2168929999999998</v>
      </c>
      <c r="J7647" s="187" t="s">
        <v>941</v>
      </c>
      <c r="K7647" s="187" t="s">
        <v>116</v>
      </c>
      <c r="L7647" s="195">
        <v>1.6299669999999999</v>
      </c>
      <c r="M7647" s="52" t="s">
        <v>941</v>
      </c>
      <c r="N7647" s="52" t="s">
        <v>117</v>
      </c>
      <c r="P7647" s="188"/>
    </row>
    <row r="7648" spans="1:16" x14ac:dyDescent="0.2">
      <c r="A7648" s="183">
        <v>802</v>
      </c>
      <c r="B7648" s="249" t="str">
        <f>IF(AND(A7648&lt;&gt;"",ISNUMBER(A7648)),VLOOKUP(A7648,Studies!A:BR,2,FALSE),"")</f>
        <v>Kharasch 2012</v>
      </c>
      <c r="C7648" s="250" t="str">
        <f>IF(AND(A7648&lt;&gt;"",ISNUMBER(A7648)),VLOOKUP(A7648,Studies!A:BR,3,FALSE),"")</f>
        <v>https://www.ncbi.nlm.nih.gov/pubmed/22398970</v>
      </c>
      <c r="D7648" s="250" t="str">
        <f>IF(AND(A7648&lt;&gt;"",ISNUMBER(A7648)),VLOOKUP(A7648,Studies!A:BR,4,FALSE),"")</f>
        <v>Alfenatil IV alone</v>
      </c>
      <c r="E7648" s="250" t="str">
        <f>IF(AND(A7648&lt;&gt;"",ISNUMBER(A7648)),VLOOKUP(A7648,Studies!A:BR,5,FALSE),"")</f>
        <v>Alfentanil</v>
      </c>
      <c r="F7648" s="251" t="str">
        <f>IF(AND(A7648&lt;&gt;"",ISNUMBER(A7648)),VLOOKUP(A7648,Studies!A:BR,6,FALSE),"")</f>
        <v>Plasma</v>
      </c>
      <c r="G7648" s="194">
        <v>5</v>
      </c>
      <c r="H7648" s="194" t="s">
        <v>60</v>
      </c>
      <c r="I7648" s="187">
        <v>1.349955</v>
      </c>
      <c r="J7648" s="187" t="s">
        <v>941</v>
      </c>
      <c r="K7648" s="187" t="s">
        <v>116</v>
      </c>
      <c r="L7648" s="195">
        <v>0.99255170000000004</v>
      </c>
      <c r="M7648" s="52" t="s">
        <v>941</v>
      </c>
      <c r="N7648" s="52" t="s">
        <v>117</v>
      </c>
      <c r="P7648" s="188"/>
    </row>
    <row r="7649" spans="1:17" x14ac:dyDescent="0.2">
      <c r="A7649" s="183">
        <v>802</v>
      </c>
      <c r="B7649" s="249" t="str">
        <f>IF(AND(A7649&lt;&gt;"",ISNUMBER(A7649)),VLOOKUP(A7649,Studies!A:BR,2,FALSE),"")</f>
        <v>Kharasch 2012</v>
      </c>
      <c r="C7649" s="250" t="str">
        <f>IF(AND(A7649&lt;&gt;"",ISNUMBER(A7649)),VLOOKUP(A7649,Studies!A:BR,3,FALSE),"")</f>
        <v>https://www.ncbi.nlm.nih.gov/pubmed/22398970</v>
      </c>
      <c r="D7649" s="250" t="str">
        <f>IF(AND(A7649&lt;&gt;"",ISNUMBER(A7649)),VLOOKUP(A7649,Studies!A:BR,4,FALSE),"")</f>
        <v>Alfenatil IV alone</v>
      </c>
      <c r="E7649" s="250" t="str">
        <f>IF(AND(A7649&lt;&gt;"",ISNUMBER(A7649)),VLOOKUP(A7649,Studies!A:BR,5,FALSE),"")</f>
        <v>Alfentanil</v>
      </c>
      <c r="F7649" s="251" t="str">
        <f>IF(AND(A7649&lt;&gt;"",ISNUMBER(A7649)),VLOOKUP(A7649,Studies!A:BR,6,FALSE),"")</f>
        <v>Plasma</v>
      </c>
      <c r="G7649" s="194">
        <v>6</v>
      </c>
      <c r="H7649" s="194" t="s">
        <v>60</v>
      </c>
      <c r="I7649" s="187">
        <v>0.6840792</v>
      </c>
      <c r="J7649" s="187" t="s">
        <v>941</v>
      </c>
      <c r="K7649" s="187" t="s">
        <v>116</v>
      </c>
      <c r="L7649" s="195">
        <v>0.66587540000000001</v>
      </c>
      <c r="M7649" s="52" t="s">
        <v>941</v>
      </c>
      <c r="N7649" s="52" t="s">
        <v>117</v>
      </c>
      <c r="P7649" s="188"/>
    </row>
    <row r="7650" spans="1:17" x14ac:dyDescent="0.2">
      <c r="A7650" s="183">
        <v>802</v>
      </c>
      <c r="B7650" s="249" t="str">
        <f>IF(AND(A7650&lt;&gt;"",ISNUMBER(A7650)),VLOOKUP(A7650,Studies!A:BR,2,FALSE),"")</f>
        <v>Kharasch 2012</v>
      </c>
      <c r="C7650" s="250" t="str">
        <f>IF(AND(A7650&lt;&gt;"",ISNUMBER(A7650)),VLOOKUP(A7650,Studies!A:BR,3,FALSE),"")</f>
        <v>https://www.ncbi.nlm.nih.gov/pubmed/22398970</v>
      </c>
      <c r="D7650" s="250" t="str">
        <f>IF(AND(A7650&lt;&gt;"",ISNUMBER(A7650)),VLOOKUP(A7650,Studies!A:BR,4,FALSE),"")</f>
        <v>Alfenatil IV alone</v>
      </c>
      <c r="E7650" s="250" t="str">
        <f>IF(AND(A7650&lt;&gt;"",ISNUMBER(A7650)),VLOOKUP(A7650,Studies!A:BR,5,FALSE),"")</f>
        <v>Alfentanil</v>
      </c>
      <c r="F7650" s="251" t="str">
        <f>IF(AND(A7650&lt;&gt;"",ISNUMBER(A7650)),VLOOKUP(A7650,Studies!A:BR,6,FALSE),"")</f>
        <v>Plasma</v>
      </c>
      <c r="G7650" s="194">
        <v>7</v>
      </c>
      <c r="H7650" s="194" t="s">
        <v>60</v>
      </c>
      <c r="I7650" s="187">
        <v>0.34665190000000001</v>
      </c>
      <c r="J7650" s="187" t="s">
        <v>941</v>
      </c>
      <c r="K7650" s="187" t="s">
        <v>116</v>
      </c>
      <c r="L7650" s="195">
        <v>0.43130800000000002</v>
      </c>
      <c r="M7650" s="52" t="s">
        <v>941</v>
      </c>
      <c r="N7650" s="52" t="s">
        <v>117</v>
      </c>
      <c r="P7650" s="188"/>
    </row>
    <row r="7651" spans="1:17" x14ac:dyDescent="0.2">
      <c r="A7651" s="183">
        <v>803</v>
      </c>
      <c r="B7651" s="249" t="str">
        <f>IF(AND(A7651&lt;&gt;"",ISNUMBER(A7651)),VLOOKUP(A7651,Studies!A:BR,2,FALSE),"")</f>
        <v>Kharasch 2012</v>
      </c>
      <c r="C7651" s="250" t="str">
        <f>IF(AND(A7651&lt;&gt;"",ISNUMBER(A7651)),VLOOKUP(A7651,Studies!A:BR,3,FALSE),"")</f>
        <v>https://www.ncbi.nlm.nih.gov/pubmed/22398970</v>
      </c>
      <c r="D7651" s="250" t="str">
        <f>IF(AND(A7651&lt;&gt;"",ISNUMBER(A7651)),VLOOKUP(A7651,Studies!A:BR,4,FALSE),"")</f>
        <v>Alfenatil IV + efavirenz</v>
      </c>
      <c r="E7651" s="250" t="str">
        <f>IF(AND(A7651&lt;&gt;"",ISNUMBER(A7651)),VLOOKUP(A7651,Studies!A:BR,5,FALSE),"")</f>
        <v>Alfentanil</v>
      </c>
      <c r="F7651" s="251" t="str">
        <f>IF(AND(A7651&lt;&gt;"",ISNUMBER(A7651)),VLOOKUP(A7651,Studies!A:BR,6,FALSE),"")</f>
        <v>Plasma</v>
      </c>
      <c r="G7651" s="194">
        <v>360.64213260000002</v>
      </c>
      <c r="H7651" s="194" t="s">
        <v>60</v>
      </c>
      <c r="I7651" s="187">
        <v>35.524819999999998</v>
      </c>
      <c r="J7651" s="187" t="s">
        <v>941</v>
      </c>
      <c r="K7651" s="187" t="s">
        <v>116</v>
      </c>
      <c r="P7651" s="188"/>
    </row>
    <row r="7652" spans="1:17" x14ac:dyDescent="0.2">
      <c r="A7652" s="183">
        <v>803</v>
      </c>
      <c r="B7652" s="249" t="str">
        <f>IF(AND(A7652&lt;&gt;"",ISNUMBER(A7652)),VLOOKUP(A7652,Studies!A:BR,2,FALSE),"")</f>
        <v>Kharasch 2012</v>
      </c>
      <c r="C7652" s="250" t="str">
        <f>IF(AND(A7652&lt;&gt;"",ISNUMBER(A7652)),VLOOKUP(A7652,Studies!A:BR,3,FALSE),"")</f>
        <v>https://www.ncbi.nlm.nih.gov/pubmed/22398970</v>
      </c>
      <c r="D7652" s="250" t="str">
        <f>IF(AND(A7652&lt;&gt;"",ISNUMBER(A7652)),VLOOKUP(A7652,Studies!A:BR,4,FALSE),"")</f>
        <v>Alfenatil IV + efavirenz</v>
      </c>
      <c r="E7652" s="250" t="str">
        <f>IF(AND(A7652&lt;&gt;"",ISNUMBER(A7652)),VLOOKUP(A7652,Studies!A:BR,5,FALSE),"")</f>
        <v>Alfentanil</v>
      </c>
      <c r="F7652" s="251" t="str">
        <f>IF(AND(A7652&lt;&gt;"",ISNUMBER(A7652)),VLOOKUP(A7652,Studies!A:BR,6,FALSE),"")</f>
        <v>Plasma</v>
      </c>
      <c r="G7652" s="194">
        <v>360.73917619999997</v>
      </c>
      <c r="H7652" s="194" t="s">
        <v>60</v>
      </c>
      <c r="I7652" s="187">
        <v>25.995229999999999</v>
      </c>
      <c r="J7652" s="187" t="s">
        <v>941</v>
      </c>
      <c r="K7652" s="187" t="s">
        <v>116</v>
      </c>
      <c r="P7652" s="188"/>
    </row>
    <row r="7653" spans="1:17" x14ac:dyDescent="0.2">
      <c r="A7653" s="183">
        <v>803</v>
      </c>
      <c r="B7653" s="249" t="str">
        <f>IF(AND(A7653&lt;&gt;"",ISNUMBER(A7653)),VLOOKUP(A7653,Studies!A:BR,2,FALSE),"")</f>
        <v>Kharasch 2012</v>
      </c>
      <c r="C7653" s="250" t="str">
        <f>IF(AND(A7653&lt;&gt;"",ISNUMBER(A7653)),VLOOKUP(A7653,Studies!A:BR,3,FALSE),"")</f>
        <v>https://www.ncbi.nlm.nih.gov/pubmed/22398970</v>
      </c>
      <c r="D7653" s="250" t="str">
        <f>IF(AND(A7653&lt;&gt;"",ISNUMBER(A7653)),VLOOKUP(A7653,Studies!A:BR,4,FALSE),"")</f>
        <v>Alfenatil IV + efavirenz</v>
      </c>
      <c r="E7653" s="250" t="str">
        <f>IF(AND(A7653&lt;&gt;"",ISNUMBER(A7653)),VLOOKUP(A7653,Studies!A:BR,5,FALSE),"")</f>
        <v>Alfentanil</v>
      </c>
      <c r="F7653" s="251" t="str">
        <f>IF(AND(A7653&lt;&gt;"",ISNUMBER(A7653)),VLOOKUP(A7653,Studies!A:BR,6,FALSE),"")</f>
        <v>Plasma</v>
      </c>
      <c r="G7653" s="194">
        <v>360.83633099999997</v>
      </c>
      <c r="H7653" s="194" t="s">
        <v>60</v>
      </c>
      <c r="I7653" s="187">
        <v>20.099789999999999</v>
      </c>
      <c r="J7653" s="187" t="s">
        <v>941</v>
      </c>
      <c r="K7653" s="187" t="s">
        <v>116</v>
      </c>
      <c r="P7653" s="188"/>
    </row>
    <row r="7654" spans="1:17" x14ac:dyDescent="0.2">
      <c r="A7654" s="183">
        <v>803</v>
      </c>
      <c r="B7654" s="249" t="str">
        <f>IF(AND(A7654&lt;&gt;"",ISNUMBER(A7654)),VLOOKUP(A7654,Studies!A:BR,2,FALSE),"")</f>
        <v>Kharasch 2012</v>
      </c>
      <c r="C7654" s="250" t="str">
        <f>IF(AND(A7654&lt;&gt;"",ISNUMBER(A7654)),VLOOKUP(A7654,Studies!A:BR,3,FALSE),"")</f>
        <v>https://www.ncbi.nlm.nih.gov/pubmed/22398970</v>
      </c>
      <c r="D7654" s="250" t="str">
        <f>IF(AND(A7654&lt;&gt;"",ISNUMBER(A7654)),VLOOKUP(A7654,Studies!A:BR,4,FALSE),"")</f>
        <v>Alfenatil IV + efavirenz</v>
      </c>
      <c r="E7654" s="250" t="str">
        <f>IF(AND(A7654&lt;&gt;"",ISNUMBER(A7654)),VLOOKUP(A7654,Studies!A:BR,5,FALSE),"")</f>
        <v>Alfentanil</v>
      </c>
      <c r="F7654" s="251" t="str">
        <f>IF(AND(A7654&lt;&gt;"",ISNUMBER(A7654)),VLOOKUP(A7654,Studies!A:BR,6,FALSE),"")</f>
        <v>Plasma</v>
      </c>
      <c r="G7654" s="194">
        <v>360.98911429999998</v>
      </c>
      <c r="H7654" s="194" t="s">
        <v>60</v>
      </c>
      <c r="I7654" s="187">
        <v>14.17737</v>
      </c>
      <c r="J7654" s="187" t="s">
        <v>941</v>
      </c>
      <c r="K7654" s="187" t="s">
        <v>116</v>
      </c>
      <c r="L7654" s="195">
        <v>4.4983180000000003</v>
      </c>
      <c r="M7654" s="52" t="s">
        <v>941</v>
      </c>
      <c r="N7654" s="52" t="s">
        <v>117</v>
      </c>
      <c r="P7654" s="188"/>
    </row>
    <row r="7655" spans="1:17" x14ac:dyDescent="0.2">
      <c r="A7655" s="183">
        <v>803</v>
      </c>
      <c r="B7655" s="249" t="str">
        <f>IF(AND(A7655&lt;&gt;"",ISNUMBER(A7655)),VLOOKUP(A7655,Studies!A:BR,2,FALSE),"")</f>
        <v>Kharasch 2012</v>
      </c>
      <c r="C7655" s="250" t="str">
        <f>IF(AND(A7655&lt;&gt;"",ISNUMBER(A7655)),VLOOKUP(A7655,Studies!A:BR,3,FALSE),"")</f>
        <v>https://www.ncbi.nlm.nih.gov/pubmed/22398970</v>
      </c>
      <c r="D7655" s="250" t="str">
        <f>IF(AND(A7655&lt;&gt;"",ISNUMBER(A7655)),VLOOKUP(A7655,Studies!A:BR,4,FALSE),"")</f>
        <v>Alfenatil IV + efavirenz</v>
      </c>
      <c r="E7655" s="250" t="str">
        <f>IF(AND(A7655&lt;&gt;"",ISNUMBER(A7655)),VLOOKUP(A7655,Studies!A:BR,5,FALSE),"")</f>
        <v>Alfentanil</v>
      </c>
      <c r="F7655" s="251" t="str">
        <f>IF(AND(A7655&lt;&gt;"",ISNUMBER(A7655)),VLOOKUP(A7655,Studies!A:BR,6,FALSE),"")</f>
        <v>Plasma</v>
      </c>
      <c r="G7655" s="194">
        <v>361.15599950000001</v>
      </c>
      <c r="H7655" s="194" t="s">
        <v>60</v>
      </c>
      <c r="I7655" s="187">
        <v>10.76254</v>
      </c>
      <c r="J7655" s="187" t="s">
        <v>941</v>
      </c>
      <c r="K7655" s="187" t="s">
        <v>116</v>
      </c>
      <c r="L7655" s="195">
        <v>3.677702</v>
      </c>
      <c r="M7655" s="52" t="s">
        <v>941</v>
      </c>
      <c r="N7655" s="52" t="s">
        <v>117</v>
      </c>
      <c r="P7655" s="188"/>
    </row>
    <row r="7656" spans="1:17" x14ac:dyDescent="0.2">
      <c r="A7656" s="183">
        <v>803</v>
      </c>
      <c r="B7656" s="249" t="str">
        <f>IF(AND(A7656&lt;&gt;"",ISNUMBER(A7656)),VLOOKUP(A7656,Studies!A:BR,2,FALSE),"")</f>
        <v>Kharasch 2012</v>
      </c>
      <c r="C7656" s="250" t="str">
        <f>IF(AND(A7656&lt;&gt;"",ISNUMBER(A7656)),VLOOKUP(A7656,Studies!A:BR,3,FALSE),"")</f>
        <v>https://www.ncbi.nlm.nih.gov/pubmed/22398970</v>
      </c>
      <c r="D7656" s="250" t="str">
        <f>IF(AND(A7656&lt;&gt;"",ISNUMBER(A7656)),VLOOKUP(A7656,Studies!A:BR,4,FALSE),"")</f>
        <v>Alfenatil IV + efavirenz</v>
      </c>
      <c r="E7656" s="250" t="str">
        <f>IF(AND(A7656&lt;&gt;"",ISNUMBER(A7656)),VLOOKUP(A7656,Studies!A:BR,5,FALSE),"")</f>
        <v>Alfentanil</v>
      </c>
      <c r="F7656" s="251" t="str">
        <f>IF(AND(A7656&lt;&gt;"",ISNUMBER(A7656)),VLOOKUP(A7656,Studies!A:BR,6,FALSE),"")</f>
        <v>Plasma</v>
      </c>
      <c r="G7656" s="194">
        <v>361.32292180000002</v>
      </c>
      <c r="H7656" s="194" t="s">
        <v>60</v>
      </c>
      <c r="I7656" s="187">
        <v>8.3217130000000008</v>
      </c>
      <c r="J7656" s="187" t="s">
        <v>941</v>
      </c>
      <c r="K7656" s="187" t="s">
        <v>116</v>
      </c>
      <c r="L7656" s="195">
        <v>3.2615189999999998</v>
      </c>
      <c r="M7656" s="52" t="s">
        <v>941</v>
      </c>
      <c r="N7656" s="52" t="s">
        <v>117</v>
      </c>
      <c r="P7656" s="188"/>
    </row>
    <row r="7657" spans="1:17" x14ac:dyDescent="0.2">
      <c r="A7657" s="183">
        <v>803</v>
      </c>
      <c r="B7657" s="249" t="str">
        <f>IF(AND(A7657&lt;&gt;"",ISNUMBER(A7657)),VLOOKUP(A7657,Studies!A:BR,2,FALSE),"")</f>
        <v>Kharasch 2012</v>
      </c>
      <c r="C7657" s="250" t="str">
        <f>IF(AND(A7657&lt;&gt;"",ISNUMBER(A7657)),VLOOKUP(A7657,Studies!A:BR,3,FALSE),"")</f>
        <v>https://www.ncbi.nlm.nih.gov/pubmed/22398970</v>
      </c>
      <c r="D7657" s="250" t="str">
        <f>IF(AND(A7657&lt;&gt;"",ISNUMBER(A7657)),VLOOKUP(A7657,Studies!A:BR,4,FALSE),"")</f>
        <v>Alfenatil IV + efavirenz</v>
      </c>
      <c r="E7657" s="250" t="str">
        <f>IF(AND(A7657&lt;&gt;"",ISNUMBER(A7657)),VLOOKUP(A7657,Studies!A:BR,5,FALSE),"")</f>
        <v>Alfentanil</v>
      </c>
      <c r="F7657" s="251" t="str">
        <f>IF(AND(A7657&lt;&gt;"",ISNUMBER(A7657)),VLOOKUP(A7657,Studies!A:BR,6,FALSE),"")</f>
        <v>Plasma</v>
      </c>
      <c r="G7657" s="194">
        <v>361.48991840000002</v>
      </c>
      <c r="H7657" s="194" t="s">
        <v>60</v>
      </c>
      <c r="I7657" s="187">
        <v>6.6752589999999996</v>
      </c>
      <c r="J7657" s="187" t="s">
        <v>941</v>
      </c>
      <c r="K7657" s="187" t="s">
        <v>116</v>
      </c>
      <c r="L7657" s="195">
        <v>2.4470839999999998</v>
      </c>
      <c r="M7657" s="52" t="s">
        <v>941</v>
      </c>
      <c r="N7657" s="52" t="s">
        <v>117</v>
      </c>
      <c r="P7657" s="188"/>
    </row>
    <row r="7658" spans="1:17" x14ac:dyDescent="0.2">
      <c r="A7658" s="183">
        <v>803</v>
      </c>
      <c r="B7658" s="249" t="str">
        <f>IF(AND(A7658&lt;&gt;"",ISNUMBER(A7658)),VLOOKUP(A7658,Studies!A:BR,2,FALSE),"")</f>
        <v>Kharasch 2012</v>
      </c>
      <c r="C7658" s="250" t="str">
        <f>IF(AND(A7658&lt;&gt;"",ISNUMBER(A7658)),VLOOKUP(A7658,Studies!A:BR,3,FALSE),"")</f>
        <v>https://www.ncbi.nlm.nih.gov/pubmed/22398970</v>
      </c>
      <c r="D7658" s="250" t="str">
        <f>IF(AND(A7658&lt;&gt;"",ISNUMBER(A7658)),VLOOKUP(A7658,Studies!A:BR,4,FALSE),"")</f>
        <v>Alfenatil IV + efavirenz</v>
      </c>
      <c r="E7658" s="250" t="str">
        <f>IF(AND(A7658&lt;&gt;"",ISNUMBER(A7658)),VLOOKUP(A7658,Studies!A:BR,5,FALSE),"")</f>
        <v>Alfentanil</v>
      </c>
      <c r="F7658" s="251" t="str">
        <f>IF(AND(A7658&lt;&gt;"",ISNUMBER(A7658)),VLOOKUP(A7658,Studies!A:BR,6,FALSE),"")</f>
        <v>Plasma</v>
      </c>
      <c r="G7658" s="194">
        <v>361.99116800000002</v>
      </c>
      <c r="H7658" s="194" t="s">
        <v>60</v>
      </c>
      <c r="I7658" s="187">
        <v>3.9181859999999999</v>
      </c>
      <c r="J7658" s="187" t="s">
        <v>941</v>
      </c>
      <c r="K7658" s="187" t="s">
        <v>116</v>
      </c>
      <c r="L7658" s="195">
        <v>1.53565</v>
      </c>
      <c r="M7658" s="52" t="s">
        <v>941</v>
      </c>
      <c r="N7658" s="52" t="s">
        <v>117</v>
      </c>
      <c r="P7658" s="188"/>
    </row>
    <row r="7659" spans="1:17" x14ac:dyDescent="0.2">
      <c r="A7659" s="183">
        <v>803</v>
      </c>
      <c r="B7659" s="249" t="str">
        <f>IF(AND(A7659&lt;&gt;"",ISNUMBER(A7659)),VLOOKUP(A7659,Studies!A:BR,2,FALSE),"")</f>
        <v>Kharasch 2012</v>
      </c>
      <c r="C7659" s="250" t="str">
        <f>IF(AND(A7659&lt;&gt;"",ISNUMBER(A7659)),VLOOKUP(A7659,Studies!A:BR,3,FALSE),"")</f>
        <v>https://www.ncbi.nlm.nih.gov/pubmed/22398970</v>
      </c>
      <c r="D7659" s="250" t="str">
        <f>IF(AND(A7659&lt;&gt;"",ISNUMBER(A7659)),VLOOKUP(A7659,Studies!A:BR,4,FALSE),"")</f>
        <v>Alfenatil IV + efavirenz</v>
      </c>
      <c r="E7659" s="250" t="str">
        <f>IF(AND(A7659&lt;&gt;"",ISNUMBER(A7659)),VLOOKUP(A7659,Studies!A:BR,5,FALSE),"")</f>
        <v>Alfentanil</v>
      </c>
      <c r="F7659" s="251" t="str">
        <f>IF(AND(A7659&lt;&gt;"",ISNUMBER(A7659)),VLOOKUP(A7659,Studies!A:BR,6,FALSE),"")</f>
        <v>Plasma</v>
      </c>
      <c r="G7659" s="194">
        <v>362.50651900000003</v>
      </c>
      <c r="H7659" s="194" t="s">
        <v>60</v>
      </c>
      <c r="I7659" s="187">
        <v>2.475238</v>
      </c>
      <c r="J7659" s="187" t="s">
        <v>941</v>
      </c>
      <c r="K7659" s="187" t="s">
        <v>116</v>
      </c>
      <c r="L7659" s="195">
        <v>1.0990660000000001</v>
      </c>
      <c r="M7659" s="52" t="s">
        <v>941</v>
      </c>
      <c r="N7659" s="52" t="s">
        <v>117</v>
      </c>
      <c r="P7659" s="188"/>
    </row>
    <row r="7660" spans="1:17" x14ac:dyDescent="0.2">
      <c r="A7660" s="183">
        <v>803</v>
      </c>
      <c r="B7660" s="249" t="str">
        <f>IF(AND(A7660&lt;&gt;"",ISNUMBER(A7660)),VLOOKUP(A7660,Studies!A:BR,2,FALSE),"")</f>
        <v>Kharasch 2012</v>
      </c>
      <c r="C7660" s="250" t="str">
        <f>IF(AND(A7660&lt;&gt;"",ISNUMBER(A7660)),VLOOKUP(A7660,Studies!A:BR,3,FALSE),"")</f>
        <v>https://www.ncbi.nlm.nih.gov/pubmed/22398970</v>
      </c>
      <c r="D7660" s="250" t="str">
        <f>IF(AND(A7660&lt;&gt;"",ISNUMBER(A7660)),VLOOKUP(A7660,Studies!A:BR,4,FALSE),"")</f>
        <v>Alfenatil IV + efavirenz</v>
      </c>
      <c r="E7660" s="250" t="str">
        <f>IF(AND(A7660&lt;&gt;"",ISNUMBER(A7660)),VLOOKUP(A7660,Studies!A:BR,5,FALSE),"")</f>
        <v>Alfentanil</v>
      </c>
      <c r="F7660" s="251" t="str">
        <f>IF(AND(A7660&lt;&gt;"",ISNUMBER(A7660)),VLOOKUP(A7660,Studies!A:BR,6,FALSE),"")</f>
        <v>Plasma</v>
      </c>
      <c r="G7660" s="194">
        <v>363.49547200000001</v>
      </c>
      <c r="H7660" s="194" t="s">
        <v>60</v>
      </c>
      <c r="I7660" s="187">
        <v>1.0437989999999999</v>
      </c>
      <c r="J7660" s="187" t="s">
        <v>941</v>
      </c>
      <c r="K7660" s="187" t="s">
        <v>116</v>
      </c>
      <c r="L7660" s="195">
        <v>0.63912239999999998</v>
      </c>
      <c r="M7660" s="52" t="s">
        <v>941</v>
      </c>
      <c r="N7660" s="52" t="s">
        <v>117</v>
      </c>
      <c r="P7660" s="188"/>
    </row>
    <row r="7661" spans="1:17" x14ac:dyDescent="0.2">
      <c r="A7661" s="183">
        <v>803</v>
      </c>
      <c r="B7661" s="249" t="str">
        <f>IF(AND(A7661&lt;&gt;"",ISNUMBER(A7661)),VLOOKUP(A7661,Studies!A:BR,2,FALSE),"")</f>
        <v>Kharasch 2012</v>
      </c>
      <c r="C7661" s="250" t="str">
        <f>IF(AND(A7661&lt;&gt;"",ISNUMBER(A7661)),VLOOKUP(A7661,Studies!A:BR,3,FALSE),"")</f>
        <v>https://www.ncbi.nlm.nih.gov/pubmed/22398970</v>
      </c>
      <c r="D7661" s="250" t="str">
        <f>IF(AND(A7661&lt;&gt;"",ISNUMBER(A7661)),VLOOKUP(A7661,Studies!A:BR,4,FALSE),"")</f>
        <v>Alfenatil IV + efavirenz</v>
      </c>
      <c r="E7661" s="250" t="str">
        <f>IF(AND(A7661&lt;&gt;"",ISNUMBER(A7661)),VLOOKUP(A7661,Studies!A:BR,5,FALSE),"")</f>
        <v>Alfentanil</v>
      </c>
      <c r="F7661" s="251" t="str">
        <f>IF(AND(A7661&lt;&gt;"",ISNUMBER(A7661)),VLOOKUP(A7661,Studies!A:BR,6,FALSE),"")</f>
        <v>Plasma</v>
      </c>
      <c r="G7661" s="194">
        <v>364.49823099999998</v>
      </c>
      <c r="H7661" s="194" t="s">
        <v>60</v>
      </c>
      <c r="I7661" s="187">
        <v>0.40898000000000001</v>
      </c>
      <c r="J7661" s="187" t="s">
        <v>941</v>
      </c>
      <c r="K7661" s="187" t="s">
        <v>116</v>
      </c>
      <c r="L7661" s="195">
        <v>0.3409142</v>
      </c>
      <c r="M7661" s="52" t="s">
        <v>941</v>
      </c>
      <c r="N7661" s="52" t="s">
        <v>117</v>
      </c>
      <c r="P7661" s="188"/>
    </row>
    <row r="7662" spans="1:17" x14ac:dyDescent="0.2">
      <c r="A7662" s="183">
        <v>803</v>
      </c>
      <c r="B7662" s="249" t="str">
        <f>IF(AND(A7662&lt;&gt;"",ISNUMBER(A7662)),VLOOKUP(A7662,Studies!A:BR,2,FALSE),"")</f>
        <v>Kharasch 2012</v>
      </c>
      <c r="C7662" s="250" t="str">
        <f>IF(AND(A7662&lt;&gt;"",ISNUMBER(A7662)),VLOOKUP(A7662,Studies!A:BR,3,FALSE),"")</f>
        <v>https://www.ncbi.nlm.nih.gov/pubmed/22398970</v>
      </c>
      <c r="D7662" s="250" t="str">
        <f>IF(AND(A7662&lt;&gt;"",ISNUMBER(A7662)),VLOOKUP(A7662,Studies!A:BR,4,FALSE),"")</f>
        <v>Alfenatil IV + efavirenz</v>
      </c>
      <c r="E7662" s="250" t="str">
        <f>IF(AND(A7662&lt;&gt;"",ISNUMBER(A7662)),VLOOKUP(A7662,Studies!A:BR,5,FALSE),"")</f>
        <v>Alfentanil</v>
      </c>
      <c r="F7662" s="251" t="str">
        <f>IF(AND(A7662&lt;&gt;"",ISNUMBER(A7662)),VLOOKUP(A7662,Studies!A:BR,6,FALSE),"")</f>
        <v>Plasma</v>
      </c>
      <c r="G7662" s="194">
        <v>365.50084099999998</v>
      </c>
      <c r="H7662" s="194" t="s">
        <v>60</v>
      </c>
      <c r="I7662" s="187">
        <v>0.14889230000000001</v>
      </c>
      <c r="J7662" s="187" t="s">
        <v>941</v>
      </c>
      <c r="K7662" s="187" t="s">
        <v>116</v>
      </c>
      <c r="L7662" s="195">
        <v>0.14493020000000001</v>
      </c>
      <c r="M7662" s="52" t="s">
        <v>941</v>
      </c>
      <c r="N7662" s="52" t="s">
        <v>117</v>
      </c>
      <c r="P7662" s="188"/>
    </row>
    <row r="7663" spans="1:17" x14ac:dyDescent="0.2">
      <c r="A7663" s="183">
        <v>803</v>
      </c>
      <c r="B7663" s="249" t="str">
        <f>IF(AND(A7663&lt;&gt;"",ISNUMBER(A7663)),VLOOKUP(A7663,Studies!A:BR,2,FALSE),"")</f>
        <v>Kharasch 2012</v>
      </c>
      <c r="C7663" s="250" t="str">
        <f>IF(AND(A7663&lt;&gt;"",ISNUMBER(A7663)),VLOOKUP(A7663,Studies!A:BR,3,FALSE),"")</f>
        <v>https://www.ncbi.nlm.nih.gov/pubmed/22398970</v>
      </c>
      <c r="D7663" s="250" t="str">
        <f>IF(AND(A7663&lt;&gt;"",ISNUMBER(A7663)),VLOOKUP(A7663,Studies!A:BR,4,FALSE),"")</f>
        <v>Alfenatil IV + efavirenz</v>
      </c>
      <c r="E7663" s="250" t="str">
        <f>IF(AND(A7663&lt;&gt;"",ISNUMBER(A7663)),VLOOKUP(A7663,Studies!A:BR,5,FALSE),"")</f>
        <v>Alfentanil</v>
      </c>
      <c r="F7663" s="251" t="str">
        <f>IF(AND(A7663&lt;&gt;"",ISNUMBER(A7663)),VLOOKUP(A7663,Studies!A:BR,6,FALSE),"")</f>
        <v>Plasma</v>
      </c>
      <c r="G7663" s="194">
        <v>366.502227</v>
      </c>
      <c r="H7663" s="194" t="s">
        <v>60</v>
      </c>
      <c r="I7663" s="187">
        <v>2.9562740000000001E-2</v>
      </c>
      <c r="J7663" s="187" t="s">
        <v>941</v>
      </c>
      <c r="K7663" s="187" t="s">
        <v>116</v>
      </c>
      <c r="L7663" s="195">
        <v>8.9871000000000006E-2</v>
      </c>
      <c r="M7663" s="195" t="s">
        <v>941</v>
      </c>
      <c r="N7663" s="195" t="s">
        <v>117</v>
      </c>
      <c r="O7663" s="199"/>
      <c r="P7663" s="188"/>
      <c r="Q7663" s="183"/>
    </row>
    <row r="7664" spans="1:17" x14ac:dyDescent="0.2">
      <c r="A7664" s="183">
        <v>803</v>
      </c>
      <c r="B7664" s="249" t="str">
        <f>IF(AND(A7664&lt;&gt;"",ISNUMBER(A7664)),VLOOKUP(A7664,Studies!A:BR,2,FALSE),"")</f>
        <v>Kharasch 2012</v>
      </c>
      <c r="C7664" s="250" t="str">
        <f>IF(AND(A7664&lt;&gt;"",ISNUMBER(A7664)),VLOOKUP(A7664,Studies!A:BR,3,FALSE),"")</f>
        <v>https://www.ncbi.nlm.nih.gov/pubmed/22398970</v>
      </c>
      <c r="D7664" s="250" t="str">
        <f>IF(AND(A7664&lt;&gt;"",ISNUMBER(A7664)),VLOOKUP(A7664,Studies!A:BR,4,FALSE),"")</f>
        <v>Alfenatil IV + efavirenz</v>
      </c>
      <c r="E7664" s="250" t="str">
        <f>IF(AND(A7664&lt;&gt;"",ISNUMBER(A7664)),VLOOKUP(A7664,Studies!A:BR,5,FALSE),"")</f>
        <v>Alfentanil</v>
      </c>
      <c r="F7664" s="251" t="str">
        <f>IF(AND(A7664&lt;&gt;"",ISNUMBER(A7664)),VLOOKUP(A7664,Studies!A:BR,6,FALSE),"")</f>
        <v>Plasma</v>
      </c>
      <c r="G7664" s="194">
        <v>367.50635799999998</v>
      </c>
      <c r="H7664" s="194" t="s">
        <v>60</v>
      </c>
      <c r="I7664" s="187">
        <v>2.285823E-2</v>
      </c>
      <c r="J7664" s="187" t="s">
        <v>941</v>
      </c>
      <c r="K7664" s="187" t="s">
        <v>116</v>
      </c>
      <c r="L7664" s="195">
        <v>7.4721999999999997E-2</v>
      </c>
      <c r="M7664" s="195" t="s">
        <v>941</v>
      </c>
      <c r="N7664" s="195" t="s">
        <v>117</v>
      </c>
      <c r="O7664" s="199"/>
      <c r="P7664" s="188"/>
      <c r="Q7664" s="183"/>
    </row>
    <row r="7665" spans="1:17" x14ac:dyDescent="0.2">
      <c r="A7665" s="183">
        <v>804</v>
      </c>
      <c r="B7665" s="249" t="str">
        <f>IF(AND(A7665&lt;&gt;"",ISNUMBER(A7665)),VLOOKUP(A7665,Studies!A:BR,2,FALSE),"")</f>
        <v>Kharasch 2012</v>
      </c>
      <c r="C7665" s="250" t="str">
        <f>IF(AND(A7665&lt;&gt;"",ISNUMBER(A7665)),VLOOKUP(A7665,Studies!A:BR,3,FALSE),"")</f>
        <v>https://www.ncbi.nlm.nih.gov/pubmed/22398970</v>
      </c>
      <c r="D7665" s="250" t="str">
        <f>IF(AND(A7665&lt;&gt;"",ISNUMBER(A7665)),VLOOKUP(A7665,Studies!A:BR,4,FALSE),"")</f>
        <v>Day 1</v>
      </c>
      <c r="E7665" s="250" t="str">
        <f>IF(AND(A7665&lt;&gt;"",ISNUMBER(A7665)),VLOOKUP(A7665,Studies!A:BR,5,FALSE),"")</f>
        <v>Efavirenz</v>
      </c>
      <c r="F7665" s="251" t="str">
        <f>IF(AND(A7665&lt;&gt;"",ISNUMBER(A7665)),VLOOKUP(A7665,Studies!A:BR,6,FALSE),"")</f>
        <v>Plasma</v>
      </c>
      <c r="G7665" s="194">
        <v>1</v>
      </c>
      <c r="H7665" s="194" t="s">
        <v>60</v>
      </c>
      <c r="I7665" s="187">
        <v>1356.5889999999999</v>
      </c>
      <c r="J7665" s="187" t="s">
        <v>941</v>
      </c>
      <c r="K7665" s="187" t="s">
        <v>116</v>
      </c>
      <c r="M7665" s="195"/>
      <c r="N7665" s="195"/>
      <c r="O7665" s="199"/>
      <c r="P7665" s="188"/>
      <c r="Q7665" s="183"/>
    </row>
    <row r="7666" spans="1:17" x14ac:dyDescent="0.2">
      <c r="A7666" s="183">
        <v>804</v>
      </c>
      <c r="B7666" s="249" t="str">
        <f>IF(AND(A7666&lt;&gt;"",ISNUMBER(A7666)),VLOOKUP(A7666,Studies!A:BR,2,FALSE),"")</f>
        <v>Kharasch 2012</v>
      </c>
      <c r="C7666" s="250" t="str">
        <f>IF(AND(A7666&lt;&gt;"",ISNUMBER(A7666)),VLOOKUP(A7666,Studies!A:BR,3,FALSE),"")</f>
        <v>https://www.ncbi.nlm.nih.gov/pubmed/22398970</v>
      </c>
      <c r="D7666" s="250" t="str">
        <f>IF(AND(A7666&lt;&gt;"",ISNUMBER(A7666)),VLOOKUP(A7666,Studies!A:BR,4,FALSE),"")</f>
        <v>Day 1</v>
      </c>
      <c r="E7666" s="250" t="str">
        <f>IF(AND(A7666&lt;&gt;"",ISNUMBER(A7666)),VLOOKUP(A7666,Studies!A:BR,5,FALSE),"")</f>
        <v>Efavirenz</v>
      </c>
      <c r="F7666" s="251" t="str">
        <f>IF(AND(A7666&lt;&gt;"",ISNUMBER(A7666)),VLOOKUP(A7666,Studies!A:BR,6,FALSE),"")</f>
        <v>Plasma</v>
      </c>
      <c r="G7666" s="194">
        <v>2</v>
      </c>
      <c r="H7666" s="194" t="s">
        <v>60</v>
      </c>
      <c r="I7666" s="187">
        <v>1366.279</v>
      </c>
      <c r="J7666" s="187" t="s">
        <v>941</v>
      </c>
      <c r="K7666" s="187" t="s">
        <v>116</v>
      </c>
      <c r="L7666" s="195">
        <v>1317.829</v>
      </c>
      <c r="M7666" s="195" t="s">
        <v>941</v>
      </c>
      <c r="N7666" s="195" t="s">
        <v>117</v>
      </c>
      <c r="O7666" s="199"/>
      <c r="P7666" s="188"/>
      <c r="Q7666" s="183"/>
    </row>
    <row r="7667" spans="1:17" x14ac:dyDescent="0.2">
      <c r="A7667" s="183">
        <v>804</v>
      </c>
      <c r="B7667" s="249" t="str">
        <f>IF(AND(A7667&lt;&gt;"",ISNUMBER(A7667)),VLOOKUP(A7667,Studies!A:BR,2,FALSE),"")</f>
        <v>Kharasch 2012</v>
      </c>
      <c r="C7667" s="250" t="str">
        <f>IF(AND(A7667&lt;&gt;"",ISNUMBER(A7667)),VLOOKUP(A7667,Studies!A:BR,3,FALSE),"")</f>
        <v>https://www.ncbi.nlm.nih.gov/pubmed/22398970</v>
      </c>
      <c r="D7667" s="250" t="str">
        <f>IF(AND(A7667&lt;&gt;"",ISNUMBER(A7667)),VLOOKUP(A7667,Studies!A:BR,4,FALSE),"")</f>
        <v>Day 1</v>
      </c>
      <c r="E7667" s="250" t="str">
        <f>IF(AND(A7667&lt;&gt;"",ISNUMBER(A7667)),VLOOKUP(A7667,Studies!A:BR,5,FALSE),"")</f>
        <v>Efavirenz</v>
      </c>
      <c r="F7667" s="251" t="str">
        <f>IF(AND(A7667&lt;&gt;"",ISNUMBER(A7667)),VLOOKUP(A7667,Studies!A:BR,6,FALSE),"")</f>
        <v>Plasma</v>
      </c>
      <c r="G7667" s="194">
        <v>3</v>
      </c>
      <c r="H7667" s="194" t="s">
        <v>60</v>
      </c>
      <c r="I7667" s="187">
        <v>2112.4029999999998</v>
      </c>
      <c r="J7667" s="187" t="s">
        <v>941</v>
      </c>
      <c r="K7667" s="187" t="s">
        <v>116</v>
      </c>
      <c r="L7667" s="195">
        <v>813.95349999999996</v>
      </c>
      <c r="M7667" s="195" t="s">
        <v>941</v>
      </c>
      <c r="N7667" s="195" t="s">
        <v>117</v>
      </c>
      <c r="O7667" s="199"/>
      <c r="P7667" s="188"/>
      <c r="Q7667" s="183"/>
    </row>
    <row r="7668" spans="1:17" x14ac:dyDescent="0.2">
      <c r="A7668" s="183">
        <v>804</v>
      </c>
      <c r="B7668" s="249" t="str">
        <f>IF(AND(A7668&lt;&gt;"",ISNUMBER(A7668)),VLOOKUP(A7668,Studies!A:BR,2,FALSE),"")</f>
        <v>Kharasch 2012</v>
      </c>
      <c r="C7668" s="250" t="str">
        <f>IF(AND(A7668&lt;&gt;"",ISNUMBER(A7668)),VLOOKUP(A7668,Studies!A:BR,3,FALSE),"")</f>
        <v>https://www.ncbi.nlm.nih.gov/pubmed/22398970</v>
      </c>
      <c r="D7668" s="250" t="str">
        <f>IF(AND(A7668&lt;&gt;"",ISNUMBER(A7668)),VLOOKUP(A7668,Studies!A:BR,4,FALSE),"")</f>
        <v>Day 1</v>
      </c>
      <c r="E7668" s="250" t="str">
        <f>IF(AND(A7668&lt;&gt;"",ISNUMBER(A7668)),VLOOKUP(A7668,Studies!A:BR,5,FALSE),"")</f>
        <v>Efavirenz</v>
      </c>
      <c r="F7668" s="251" t="str">
        <f>IF(AND(A7668&lt;&gt;"",ISNUMBER(A7668)),VLOOKUP(A7668,Studies!A:BR,6,FALSE),"")</f>
        <v>Plasma</v>
      </c>
      <c r="G7668" s="194">
        <v>4</v>
      </c>
      <c r="H7668" s="194" t="s">
        <v>60</v>
      </c>
      <c r="I7668" s="187">
        <v>1715.116</v>
      </c>
      <c r="J7668" s="187" t="s">
        <v>941</v>
      </c>
      <c r="K7668" s="187" t="s">
        <v>116</v>
      </c>
      <c r="L7668" s="195">
        <v>591.08500000000004</v>
      </c>
      <c r="M7668" s="195" t="s">
        <v>941</v>
      </c>
      <c r="N7668" s="195" t="s">
        <v>117</v>
      </c>
      <c r="O7668" s="199"/>
      <c r="P7668" s="188"/>
      <c r="Q7668" s="183"/>
    </row>
    <row r="7669" spans="1:17" x14ac:dyDescent="0.2">
      <c r="A7669" s="183">
        <v>804</v>
      </c>
      <c r="B7669" s="249" t="str">
        <f>IF(AND(A7669&lt;&gt;"",ISNUMBER(A7669)),VLOOKUP(A7669,Studies!A:BR,2,FALSE),"")</f>
        <v>Kharasch 2012</v>
      </c>
      <c r="C7669" s="250" t="str">
        <f>IF(AND(A7669&lt;&gt;"",ISNUMBER(A7669)),VLOOKUP(A7669,Studies!A:BR,3,FALSE),"")</f>
        <v>https://www.ncbi.nlm.nih.gov/pubmed/22398970</v>
      </c>
      <c r="D7669" s="250" t="str">
        <f>IF(AND(A7669&lt;&gt;"",ISNUMBER(A7669)),VLOOKUP(A7669,Studies!A:BR,4,FALSE),"")</f>
        <v>Day 1</v>
      </c>
      <c r="E7669" s="250" t="str">
        <f>IF(AND(A7669&lt;&gt;"",ISNUMBER(A7669)),VLOOKUP(A7669,Studies!A:BR,5,FALSE),"")</f>
        <v>Efavirenz</v>
      </c>
      <c r="F7669" s="251" t="str">
        <f>IF(AND(A7669&lt;&gt;"",ISNUMBER(A7669)),VLOOKUP(A7669,Studies!A:BR,6,FALSE),"")</f>
        <v>Plasma</v>
      </c>
      <c r="G7669" s="194">
        <v>5</v>
      </c>
      <c r="H7669" s="194" t="s">
        <v>60</v>
      </c>
      <c r="I7669" s="187">
        <v>1472.8679999999999</v>
      </c>
      <c r="J7669" s="187" t="s">
        <v>941</v>
      </c>
      <c r="K7669" s="187" t="s">
        <v>116</v>
      </c>
      <c r="L7669" s="195">
        <v>455.42619999999999</v>
      </c>
      <c r="M7669" s="195" t="s">
        <v>941</v>
      </c>
      <c r="N7669" s="195" t="s">
        <v>117</v>
      </c>
      <c r="O7669" s="199"/>
      <c r="P7669" s="188"/>
      <c r="Q7669" s="183"/>
    </row>
    <row r="7670" spans="1:17" x14ac:dyDescent="0.2">
      <c r="A7670" s="183">
        <v>804</v>
      </c>
      <c r="B7670" s="249" t="str">
        <f>IF(AND(A7670&lt;&gt;"",ISNUMBER(A7670)),VLOOKUP(A7670,Studies!A:BR,2,FALSE),"")</f>
        <v>Kharasch 2012</v>
      </c>
      <c r="C7670" s="250" t="str">
        <f>IF(AND(A7670&lt;&gt;"",ISNUMBER(A7670)),VLOOKUP(A7670,Studies!A:BR,3,FALSE),"")</f>
        <v>https://www.ncbi.nlm.nih.gov/pubmed/22398970</v>
      </c>
      <c r="D7670" s="250" t="str">
        <f>IF(AND(A7670&lt;&gt;"",ISNUMBER(A7670)),VLOOKUP(A7670,Studies!A:BR,4,FALSE),"")</f>
        <v>Day 1</v>
      </c>
      <c r="E7670" s="250" t="str">
        <f>IF(AND(A7670&lt;&gt;"",ISNUMBER(A7670)),VLOOKUP(A7670,Studies!A:BR,5,FALSE),"")</f>
        <v>Efavirenz</v>
      </c>
      <c r="F7670" s="251" t="str">
        <f>IF(AND(A7670&lt;&gt;"",ISNUMBER(A7670)),VLOOKUP(A7670,Studies!A:BR,6,FALSE),"")</f>
        <v>Plasma</v>
      </c>
      <c r="G7670" s="194">
        <v>6</v>
      </c>
      <c r="H7670" s="194" t="s">
        <v>60</v>
      </c>
      <c r="I7670" s="187">
        <v>1211.24</v>
      </c>
      <c r="J7670" s="187" t="s">
        <v>941</v>
      </c>
      <c r="K7670" s="187" t="s">
        <v>116</v>
      </c>
      <c r="L7670" s="195">
        <v>436.0462</v>
      </c>
      <c r="M7670" s="195" t="s">
        <v>941</v>
      </c>
      <c r="N7670" s="195" t="s">
        <v>117</v>
      </c>
      <c r="O7670" s="199"/>
      <c r="P7670" s="188"/>
      <c r="Q7670" s="183"/>
    </row>
    <row r="7671" spans="1:17" x14ac:dyDescent="0.2">
      <c r="A7671" s="183">
        <v>804</v>
      </c>
      <c r="B7671" s="249" t="str">
        <f>IF(AND(A7671&lt;&gt;"",ISNUMBER(A7671)),VLOOKUP(A7671,Studies!A:BR,2,FALSE),"")</f>
        <v>Kharasch 2012</v>
      </c>
      <c r="C7671" s="250" t="str">
        <f>IF(AND(A7671&lt;&gt;"",ISNUMBER(A7671)),VLOOKUP(A7671,Studies!A:BR,3,FALSE),"")</f>
        <v>https://www.ncbi.nlm.nih.gov/pubmed/22398970</v>
      </c>
      <c r="D7671" s="250" t="str">
        <f>IF(AND(A7671&lt;&gt;"",ISNUMBER(A7671)),VLOOKUP(A7671,Studies!A:BR,4,FALSE),"")</f>
        <v>Day 1</v>
      </c>
      <c r="E7671" s="250" t="str">
        <f>IF(AND(A7671&lt;&gt;"",ISNUMBER(A7671)),VLOOKUP(A7671,Studies!A:BR,5,FALSE),"")</f>
        <v>Efavirenz</v>
      </c>
      <c r="F7671" s="251" t="str">
        <f>IF(AND(A7671&lt;&gt;"",ISNUMBER(A7671)),VLOOKUP(A7671,Studies!A:BR,6,FALSE),"")</f>
        <v>Plasma</v>
      </c>
      <c r="G7671" s="194">
        <v>8</v>
      </c>
      <c r="H7671" s="194" t="s">
        <v>60</v>
      </c>
      <c r="I7671" s="187">
        <v>1017.442</v>
      </c>
      <c r="J7671" s="187" t="s">
        <v>941</v>
      </c>
      <c r="K7671" s="187" t="s">
        <v>116</v>
      </c>
      <c r="L7671" s="195">
        <v>281.00790000000001</v>
      </c>
      <c r="M7671" s="195" t="s">
        <v>941</v>
      </c>
      <c r="N7671" s="195" t="s">
        <v>117</v>
      </c>
      <c r="O7671" s="199"/>
      <c r="P7671" s="188"/>
      <c r="Q7671" s="183"/>
    </row>
    <row r="7672" spans="1:17" x14ac:dyDescent="0.2">
      <c r="A7672" s="183">
        <v>804</v>
      </c>
      <c r="B7672" s="249" t="str">
        <f>IF(AND(A7672&lt;&gt;"",ISNUMBER(A7672)),VLOOKUP(A7672,Studies!A:BR,2,FALSE),"")</f>
        <v>Kharasch 2012</v>
      </c>
      <c r="C7672" s="250" t="str">
        <f>IF(AND(A7672&lt;&gt;"",ISNUMBER(A7672)),VLOOKUP(A7672,Studies!A:BR,3,FALSE),"")</f>
        <v>https://www.ncbi.nlm.nih.gov/pubmed/22398970</v>
      </c>
      <c r="D7672" s="250" t="str">
        <f>IF(AND(A7672&lt;&gt;"",ISNUMBER(A7672)),VLOOKUP(A7672,Studies!A:BR,4,FALSE),"")</f>
        <v>Day 1</v>
      </c>
      <c r="E7672" s="250" t="str">
        <f>IF(AND(A7672&lt;&gt;"",ISNUMBER(A7672)),VLOOKUP(A7672,Studies!A:BR,5,FALSE),"")</f>
        <v>Efavirenz</v>
      </c>
      <c r="F7672" s="251" t="str">
        <f>IF(AND(A7672&lt;&gt;"",ISNUMBER(A7672)),VLOOKUP(A7672,Studies!A:BR,6,FALSE),"")</f>
        <v>Plasma</v>
      </c>
      <c r="G7672" s="194">
        <v>12</v>
      </c>
      <c r="H7672" s="194" t="s">
        <v>60</v>
      </c>
      <c r="I7672" s="187">
        <v>794.57370000000003</v>
      </c>
      <c r="J7672" s="187" t="s">
        <v>941</v>
      </c>
      <c r="K7672" s="187" t="s">
        <v>116</v>
      </c>
      <c r="L7672" s="195">
        <v>251.93799999999999</v>
      </c>
      <c r="M7672" s="195" t="s">
        <v>941</v>
      </c>
      <c r="N7672" s="195" t="s">
        <v>117</v>
      </c>
      <c r="O7672" s="199"/>
      <c r="P7672" s="188"/>
      <c r="Q7672" s="183"/>
    </row>
    <row r="7673" spans="1:17" x14ac:dyDescent="0.2">
      <c r="A7673" s="183">
        <v>804</v>
      </c>
      <c r="B7673" s="249" t="str">
        <f>IF(AND(A7673&lt;&gt;"",ISNUMBER(A7673)),VLOOKUP(A7673,Studies!A:BR,2,FALSE),"")</f>
        <v>Kharasch 2012</v>
      </c>
      <c r="C7673" s="250" t="str">
        <f>IF(AND(A7673&lt;&gt;"",ISNUMBER(A7673)),VLOOKUP(A7673,Studies!A:BR,3,FALSE),"")</f>
        <v>https://www.ncbi.nlm.nih.gov/pubmed/22398970</v>
      </c>
      <c r="D7673" s="250" t="str">
        <f>IF(AND(A7673&lt;&gt;"",ISNUMBER(A7673)),VLOOKUP(A7673,Studies!A:BR,4,FALSE),"")</f>
        <v>Day 1</v>
      </c>
      <c r="E7673" s="250" t="str">
        <f>IF(AND(A7673&lt;&gt;"",ISNUMBER(A7673)),VLOOKUP(A7673,Studies!A:BR,5,FALSE),"")</f>
        <v>Efavirenz</v>
      </c>
      <c r="F7673" s="251" t="str">
        <f>IF(AND(A7673&lt;&gt;"",ISNUMBER(A7673)),VLOOKUP(A7673,Studies!A:BR,6,FALSE),"")</f>
        <v>Plasma</v>
      </c>
      <c r="G7673" s="194">
        <v>24</v>
      </c>
      <c r="H7673" s="194" t="s">
        <v>60</v>
      </c>
      <c r="I7673" s="187">
        <v>726.74419999999998</v>
      </c>
      <c r="J7673" s="187" t="s">
        <v>941</v>
      </c>
      <c r="K7673" s="187" t="s">
        <v>116</v>
      </c>
      <c r="L7673" s="195">
        <v>251.93799999999999</v>
      </c>
      <c r="M7673" s="195" t="s">
        <v>941</v>
      </c>
      <c r="N7673" s="195" t="s">
        <v>117</v>
      </c>
      <c r="O7673" s="199"/>
      <c r="P7673" s="188"/>
      <c r="Q7673" s="183"/>
    </row>
    <row r="7674" spans="1:17" x14ac:dyDescent="0.2">
      <c r="A7674" s="183">
        <v>805</v>
      </c>
      <c r="B7674" s="249" t="str">
        <f>IF(AND(A7674&lt;&gt;"",ISNUMBER(A7674)),VLOOKUP(A7674,Studies!A:BR,2,FALSE),"")</f>
        <v>Kharasch 2012</v>
      </c>
      <c r="C7674" s="250" t="str">
        <f>IF(AND(A7674&lt;&gt;"",ISNUMBER(A7674)),VLOOKUP(A7674,Studies!A:BR,3,FALSE),"")</f>
        <v>https://www.ncbi.nlm.nih.gov/pubmed/22398970</v>
      </c>
      <c r="D7674" s="250" t="str">
        <f>IF(AND(A7674&lt;&gt;"",ISNUMBER(A7674)),VLOOKUP(A7674,Studies!A:BR,4,FALSE),"")</f>
        <v>Day 14</v>
      </c>
      <c r="E7674" s="250" t="str">
        <f>IF(AND(A7674&lt;&gt;"",ISNUMBER(A7674)),VLOOKUP(A7674,Studies!A:BR,5,FALSE),"")</f>
        <v>Efavirenz</v>
      </c>
      <c r="F7674" s="251" t="str">
        <f>IF(AND(A7674&lt;&gt;"",ISNUMBER(A7674)),VLOOKUP(A7674,Studies!A:BR,6,FALSE),"")</f>
        <v>Plasma</v>
      </c>
      <c r="G7674" s="194">
        <v>312</v>
      </c>
      <c r="H7674" s="194" t="s">
        <v>60</v>
      </c>
      <c r="I7674" s="187">
        <v>1259.69</v>
      </c>
      <c r="J7674" s="187" t="s">
        <v>941</v>
      </c>
      <c r="K7674" s="187" t="s">
        <v>116</v>
      </c>
      <c r="L7674" s="195">
        <v>1327.519</v>
      </c>
      <c r="M7674" s="195" t="s">
        <v>941</v>
      </c>
      <c r="N7674" s="195" t="s">
        <v>117</v>
      </c>
      <c r="O7674" s="199"/>
      <c r="P7674" s="188"/>
      <c r="Q7674" s="183"/>
    </row>
    <row r="7675" spans="1:17" x14ac:dyDescent="0.2">
      <c r="A7675" s="183">
        <v>805</v>
      </c>
      <c r="B7675" s="249" t="str">
        <f>IF(AND(A7675&lt;&gt;"",ISNUMBER(A7675)),VLOOKUP(A7675,Studies!A:BR,2,FALSE),"")</f>
        <v>Kharasch 2012</v>
      </c>
      <c r="C7675" s="250" t="str">
        <f>IF(AND(A7675&lt;&gt;"",ISNUMBER(A7675)),VLOOKUP(A7675,Studies!A:BR,3,FALSE),"")</f>
        <v>https://www.ncbi.nlm.nih.gov/pubmed/22398970</v>
      </c>
      <c r="D7675" s="250" t="str">
        <f>IF(AND(A7675&lt;&gt;"",ISNUMBER(A7675)),VLOOKUP(A7675,Studies!A:BR,4,FALSE),"")</f>
        <v>Day 14</v>
      </c>
      <c r="E7675" s="250" t="str">
        <f>IF(AND(A7675&lt;&gt;"",ISNUMBER(A7675)),VLOOKUP(A7675,Studies!A:BR,5,FALSE),"")</f>
        <v>Efavirenz</v>
      </c>
      <c r="F7675" s="251" t="str">
        <f>IF(AND(A7675&lt;&gt;"",ISNUMBER(A7675)),VLOOKUP(A7675,Studies!A:BR,6,FALSE),"")</f>
        <v>Plasma</v>
      </c>
      <c r="G7675" s="194">
        <v>313</v>
      </c>
      <c r="H7675" s="194" t="s">
        <v>60</v>
      </c>
      <c r="I7675" s="187">
        <v>1705.4259999999999</v>
      </c>
      <c r="J7675" s="187" t="s">
        <v>941</v>
      </c>
      <c r="K7675" s="187" t="s">
        <v>116</v>
      </c>
      <c r="L7675" s="195">
        <v>1647.287</v>
      </c>
      <c r="M7675" s="195" t="s">
        <v>941</v>
      </c>
      <c r="N7675" s="195" t="s">
        <v>117</v>
      </c>
      <c r="O7675" s="199"/>
      <c r="P7675" s="188"/>
      <c r="Q7675" s="183"/>
    </row>
    <row r="7676" spans="1:17" x14ac:dyDescent="0.2">
      <c r="A7676" s="183">
        <v>805</v>
      </c>
      <c r="B7676" s="249" t="str">
        <f>IF(AND(A7676&lt;&gt;"",ISNUMBER(A7676)),VLOOKUP(A7676,Studies!A:BR,2,FALSE),"")</f>
        <v>Kharasch 2012</v>
      </c>
      <c r="C7676" s="250" t="str">
        <f>IF(AND(A7676&lt;&gt;"",ISNUMBER(A7676)),VLOOKUP(A7676,Studies!A:BR,3,FALSE),"")</f>
        <v>https://www.ncbi.nlm.nih.gov/pubmed/22398970</v>
      </c>
      <c r="D7676" s="250" t="str">
        <f>IF(AND(A7676&lt;&gt;"",ISNUMBER(A7676)),VLOOKUP(A7676,Studies!A:BR,4,FALSE),"")</f>
        <v>Day 14</v>
      </c>
      <c r="E7676" s="250" t="str">
        <f>IF(AND(A7676&lt;&gt;"",ISNUMBER(A7676)),VLOOKUP(A7676,Studies!A:BR,5,FALSE),"")</f>
        <v>Efavirenz</v>
      </c>
      <c r="F7676" s="251" t="str">
        <f>IF(AND(A7676&lt;&gt;"",ISNUMBER(A7676)),VLOOKUP(A7676,Studies!A:BR,6,FALSE),"")</f>
        <v>Plasma</v>
      </c>
      <c r="G7676" s="194">
        <v>314</v>
      </c>
      <c r="H7676" s="194" t="s">
        <v>60</v>
      </c>
      <c r="I7676" s="187">
        <v>2926.357</v>
      </c>
      <c r="J7676" s="187" t="s">
        <v>941</v>
      </c>
      <c r="K7676" s="187" t="s">
        <v>116</v>
      </c>
      <c r="L7676" s="195">
        <v>1928.2940000000001</v>
      </c>
      <c r="M7676" s="195" t="s">
        <v>941</v>
      </c>
      <c r="N7676" s="195" t="s">
        <v>117</v>
      </c>
      <c r="O7676" s="199"/>
      <c r="P7676" s="188"/>
      <c r="Q7676" s="183"/>
    </row>
    <row r="7677" spans="1:17" x14ac:dyDescent="0.2">
      <c r="A7677" s="183">
        <v>805</v>
      </c>
      <c r="B7677" s="249" t="str">
        <f>IF(AND(A7677&lt;&gt;"",ISNUMBER(A7677)),VLOOKUP(A7677,Studies!A:BR,2,FALSE),"")</f>
        <v>Kharasch 2012</v>
      </c>
      <c r="C7677" s="250" t="str">
        <f>IF(AND(A7677&lt;&gt;"",ISNUMBER(A7677)),VLOOKUP(A7677,Studies!A:BR,3,FALSE),"")</f>
        <v>https://www.ncbi.nlm.nih.gov/pubmed/22398970</v>
      </c>
      <c r="D7677" s="250" t="str">
        <f>IF(AND(A7677&lt;&gt;"",ISNUMBER(A7677)),VLOOKUP(A7677,Studies!A:BR,4,FALSE),"")</f>
        <v>Day 14</v>
      </c>
      <c r="E7677" s="250" t="str">
        <f>IF(AND(A7677&lt;&gt;"",ISNUMBER(A7677)),VLOOKUP(A7677,Studies!A:BR,5,FALSE),"")</f>
        <v>Efavirenz</v>
      </c>
      <c r="F7677" s="251" t="str">
        <f>IF(AND(A7677&lt;&gt;"",ISNUMBER(A7677)),VLOOKUP(A7677,Studies!A:BR,6,FALSE),"")</f>
        <v>Plasma</v>
      </c>
      <c r="G7677" s="194">
        <v>315</v>
      </c>
      <c r="H7677" s="194" t="s">
        <v>60</v>
      </c>
      <c r="I7677" s="187">
        <v>2500</v>
      </c>
      <c r="J7677" s="187" t="s">
        <v>941</v>
      </c>
      <c r="K7677" s="187" t="s">
        <v>116</v>
      </c>
      <c r="L7677" s="195">
        <v>1405.039</v>
      </c>
      <c r="M7677" s="195" t="s">
        <v>941</v>
      </c>
      <c r="N7677" s="195" t="s">
        <v>117</v>
      </c>
      <c r="O7677" s="199"/>
      <c r="P7677" s="188"/>
      <c r="Q7677" s="183"/>
    </row>
    <row r="7678" spans="1:17" x14ac:dyDescent="0.2">
      <c r="A7678" s="183">
        <v>805</v>
      </c>
      <c r="B7678" s="249" t="str">
        <f>IF(AND(A7678&lt;&gt;"",ISNUMBER(A7678)),VLOOKUP(A7678,Studies!A:BR,2,FALSE),"")</f>
        <v>Kharasch 2012</v>
      </c>
      <c r="C7678" s="250" t="str">
        <f>IF(AND(A7678&lt;&gt;"",ISNUMBER(A7678)),VLOOKUP(A7678,Studies!A:BR,3,FALSE),"")</f>
        <v>https://www.ncbi.nlm.nih.gov/pubmed/22398970</v>
      </c>
      <c r="D7678" s="250" t="str">
        <f>IF(AND(A7678&lt;&gt;"",ISNUMBER(A7678)),VLOOKUP(A7678,Studies!A:BR,4,FALSE),"")</f>
        <v>Day 14</v>
      </c>
      <c r="E7678" s="250" t="str">
        <f>IF(AND(A7678&lt;&gt;"",ISNUMBER(A7678)),VLOOKUP(A7678,Studies!A:BR,5,FALSE),"")</f>
        <v>Efavirenz</v>
      </c>
      <c r="F7678" s="251" t="str">
        <f>IF(AND(A7678&lt;&gt;"",ISNUMBER(A7678)),VLOOKUP(A7678,Studies!A:BR,6,FALSE),"")</f>
        <v>Plasma</v>
      </c>
      <c r="G7678" s="194">
        <v>316</v>
      </c>
      <c r="H7678" s="194" t="s">
        <v>60</v>
      </c>
      <c r="I7678" s="187">
        <v>2325.5810000000001</v>
      </c>
      <c r="J7678" s="187" t="s">
        <v>941</v>
      </c>
      <c r="K7678" s="187" t="s">
        <v>116</v>
      </c>
      <c r="L7678" s="195">
        <v>1705.4269999999999</v>
      </c>
      <c r="M7678" s="195" t="s">
        <v>941</v>
      </c>
      <c r="N7678" s="195" t="s">
        <v>117</v>
      </c>
      <c r="O7678" s="199"/>
      <c r="P7678" s="188"/>
      <c r="Q7678" s="183"/>
    </row>
    <row r="7679" spans="1:17" x14ac:dyDescent="0.2">
      <c r="A7679" s="183">
        <v>805</v>
      </c>
      <c r="B7679" s="249" t="str">
        <f>IF(AND(A7679&lt;&gt;"",ISNUMBER(A7679)),VLOOKUP(A7679,Studies!A:BR,2,FALSE),"")</f>
        <v>Kharasch 2012</v>
      </c>
      <c r="C7679" s="250" t="str">
        <f>IF(AND(A7679&lt;&gt;"",ISNUMBER(A7679)),VLOOKUP(A7679,Studies!A:BR,3,FALSE),"")</f>
        <v>https://www.ncbi.nlm.nih.gov/pubmed/22398970</v>
      </c>
      <c r="D7679" s="250" t="str">
        <f>IF(AND(A7679&lt;&gt;"",ISNUMBER(A7679)),VLOOKUP(A7679,Studies!A:BR,4,FALSE),"")</f>
        <v>Day 14</v>
      </c>
      <c r="E7679" s="250" t="str">
        <f>IF(AND(A7679&lt;&gt;"",ISNUMBER(A7679)),VLOOKUP(A7679,Studies!A:BR,5,FALSE),"")</f>
        <v>Efavirenz</v>
      </c>
      <c r="F7679" s="251" t="str">
        <f>IF(AND(A7679&lt;&gt;"",ISNUMBER(A7679)),VLOOKUP(A7679,Studies!A:BR,6,FALSE),"")</f>
        <v>Plasma</v>
      </c>
      <c r="G7679" s="194">
        <v>317</v>
      </c>
      <c r="H7679" s="194" t="s">
        <v>60</v>
      </c>
      <c r="I7679" s="187">
        <v>2093.0230000000001</v>
      </c>
      <c r="J7679" s="187" t="s">
        <v>941</v>
      </c>
      <c r="K7679" s="187" t="s">
        <v>116</v>
      </c>
      <c r="L7679" s="195">
        <v>1327.52</v>
      </c>
      <c r="M7679" s="195" t="s">
        <v>941</v>
      </c>
      <c r="N7679" s="195" t="s">
        <v>117</v>
      </c>
      <c r="O7679" s="199"/>
      <c r="P7679" s="188"/>
      <c r="Q7679" s="183"/>
    </row>
    <row r="7680" spans="1:17" x14ac:dyDescent="0.2">
      <c r="A7680" s="183">
        <v>805</v>
      </c>
      <c r="B7680" s="249" t="str">
        <f>IF(AND(A7680&lt;&gt;"",ISNUMBER(A7680)),VLOOKUP(A7680,Studies!A:BR,2,FALSE),"")</f>
        <v>Kharasch 2012</v>
      </c>
      <c r="C7680" s="250" t="str">
        <f>IF(AND(A7680&lt;&gt;"",ISNUMBER(A7680)),VLOOKUP(A7680,Studies!A:BR,3,FALSE),"")</f>
        <v>https://www.ncbi.nlm.nih.gov/pubmed/22398970</v>
      </c>
      <c r="D7680" s="250" t="str">
        <f>IF(AND(A7680&lt;&gt;"",ISNUMBER(A7680)),VLOOKUP(A7680,Studies!A:BR,4,FALSE),"")</f>
        <v>Day 14</v>
      </c>
      <c r="E7680" s="250" t="str">
        <f>IF(AND(A7680&lt;&gt;"",ISNUMBER(A7680)),VLOOKUP(A7680,Studies!A:BR,5,FALSE),"")</f>
        <v>Efavirenz</v>
      </c>
      <c r="F7680" s="251" t="str">
        <f>IF(AND(A7680&lt;&gt;"",ISNUMBER(A7680)),VLOOKUP(A7680,Studies!A:BR,6,FALSE),"")</f>
        <v>Plasma</v>
      </c>
      <c r="G7680" s="194">
        <v>318</v>
      </c>
      <c r="H7680" s="194" t="s">
        <v>60</v>
      </c>
      <c r="I7680" s="187">
        <v>2073.643</v>
      </c>
      <c r="J7680" s="187" t="s">
        <v>941</v>
      </c>
      <c r="K7680" s="187" t="s">
        <v>116</v>
      </c>
      <c r="L7680" s="195">
        <v>1317.83</v>
      </c>
      <c r="M7680" s="195" t="s">
        <v>941</v>
      </c>
      <c r="N7680" s="195" t="s">
        <v>117</v>
      </c>
      <c r="O7680" s="199"/>
      <c r="P7680" s="188"/>
      <c r="Q7680" s="183"/>
    </row>
    <row r="7681" spans="1:17" x14ac:dyDescent="0.2">
      <c r="A7681" s="183">
        <v>805</v>
      </c>
      <c r="B7681" s="249" t="str">
        <f>IF(AND(A7681&lt;&gt;"",ISNUMBER(A7681)),VLOOKUP(A7681,Studies!A:BR,2,FALSE),"")</f>
        <v>Kharasch 2012</v>
      </c>
      <c r="C7681" s="250" t="str">
        <f>IF(AND(A7681&lt;&gt;"",ISNUMBER(A7681)),VLOOKUP(A7681,Studies!A:BR,3,FALSE),"")</f>
        <v>https://www.ncbi.nlm.nih.gov/pubmed/22398970</v>
      </c>
      <c r="D7681" s="250" t="str">
        <f>IF(AND(A7681&lt;&gt;"",ISNUMBER(A7681)),VLOOKUP(A7681,Studies!A:BR,4,FALSE),"")</f>
        <v>Day 14</v>
      </c>
      <c r="E7681" s="250" t="str">
        <f>IF(AND(A7681&lt;&gt;"",ISNUMBER(A7681)),VLOOKUP(A7681,Studies!A:BR,5,FALSE),"")</f>
        <v>Efavirenz</v>
      </c>
      <c r="F7681" s="251" t="str">
        <f>IF(AND(A7681&lt;&gt;"",ISNUMBER(A7681)),VLOOKUP(A7681,Studies!A:BR,6,FALSE),"")</f>
        <v>Plasma</v>
      </c>
      <c r="G7681" s="194">
        <v>320</v>
      </c>
      <c r="H7681" s="194" t="s">
        <v>60</v>
      </c>
      <c r="I7681" s="187">
        <v>1889.5350000000001</v>
      </c>
      <c r="J7681" s="187" t="s">
        <v>941</v>
      </c>
      <c r="K7681" s="187" t="s">
        <v>116</v>
      </c>
      <c r="L7681" s="195">
        <v>1182.17</v>
      </c>
      <c r="M7681" s="195" t="s">
        <v>941</v>
      </c>
      <c r="N7681" s="195" t="s">
        <v>117</v>
      </c>
      <c r="O7681" s="199"/>
      <c r="P7681" s="188"/>
      <c r="Q7681" s="183"/>
    </row>
    <row r="7682" spans="1:17" x14ac:dyDescent="0.2">
      <c r="A7682" s="183">
        <v>805</v>
      </c>
      <c r="B7682" s="249" t="str">
        <f>IF(AND(A7682&lt;&gt;"",ISNUMBER(A7682)),VLOOKUP(A7682,Studies!A:BR,2,FALSE),"")</f>
        <v>Kharasch 2012</v>
      </c>
      <c r="C7682" s="250" t="str">
        <f>IF(AND(A7682&lt;&gt;"",ISNUMBER(A7682)),VLOOKUP(A7682,Studies!A:BR,3,FALSE),"")</f>
        <v>https://www.ncbi.nlm.nih.gov/pubmed/22398970</v>
      </c>
      <c r="D7682" s="250" t="str">
        <f>IF(AND(A7682&lt;&gt;"",ISNUMBER(A7682)),VLOOKUP(A7682,Studies!A:BR,4,FALSE),"")</f>
        <v>Day 14</v>
      </c>
      <c r="E7682" s="250" t="str">
        <f>IF(AND(A7682&lt;&gt;"",ISNUMBER(A7682)),VLOOKUP(A7682,Studies!A:BR,5,FALSE),"")</f>
        <v>Efavirenz</v>
      </c>
      <c r="F7682" s="251" t="str">
        <f>IF(AND(A7682&lt;&gt;"",ISNUMBER(A7682)),VLOOKUP(A7682,Studies!A:BR,6,FALSE),"")</f>
        <v>Plasma</v>
      </c>
      <c r="G7682" s="194">
        <v>324</v>
      </c>
      <c r="H7682" s="194" t="s">
        <v>60</v>
      </c>
      <c r="I7682" s="187">
        <v>1792.636</v>
      </c>
      <c r="J7682" s="187" t="s">
        <v>941</v>
      </c>
      <c r="K7682" s="187" t="s">
        <v>116</v>
      </c>
      <c r="L7682" s="195">
        <v>1327.519</v>
      </c>
      <c r="M7682" s="195" t="s">
        <v>941</v>
      </c>
      <c r="N7682" s="195" t="s">
        <v>117</v>
      </c>
      <c r="O7682" s="199"/>
      <c r="P7682" s="188"/>
      <c r="Q7682" s="183"/>
    </row>
    <row r="7683" spans="1:17" x14ac:dyDescent="0.2">
      <c r="A7683" s="183">
        <v>805</v>
      </c>
      <c r="B7683" s="249" t="str">
        <f>IF(AND(A7683&lt;&gt;"",ISNUMBER(A7683)),VLOOKUP(A7683,Studies!A:BR,2,FALSE),"")</f>
        <v>Kharasch 2012</v>
      </c>
      <c r="C7683" s="250" t="str">
        <f>IF(AND(A7683&lt;&gt;"",ISNUMBER(A7683)),VLOOKUP(A7683,Studies!A:BR,3,FALSE),"")</f>
        <v>https://www.ncbi.nlm.nih.gov/pubmed/22398970</v>
      </c>
      <c r="D7683" s="250" t="str">
        <f>IF(AND(A7683&lt;&gt;"",ISNUMBER(A7683)),VLOOKUP(A7683,Studies!A:BR,4,FALSE),"")</f>
        <v>Day 14</v>
      </c>
      <c r="E7683" s="250" t="str">
        <f>IF(AND(A7683&lt;&gt;"",ISNUMBER(A7683)),VLOOKUP(A7683,Studies!A:BR,5,FALSE),"")</f>
        <v>Efavirenz</v>
      </c>
      <c r="F7683" s="251" t="str">
        <f>IF(AND(A7683&lt;&gt;"",ISNUMBER(A7683)),VLOOKUP(A7683,Studies!A:BR,6,FALSE),"")</f>
        <v>Plasma</v>
      </c>
      <c r="G7683" s="194">
        <v>336</v>
      </c>
      <c r="H7683" s="194" t="s">
        <v>60</v>
      </c>
      <c r="I7683" s="187">
        <v>1075.5809999999999</v>
      </c>
      <c r="J7683" s="187" t="s">
        <v>941</v>
      </c>
      <c r="K7683" s="187" t="s">
        <v>116</v>
      </c>
      <c r="L7683" s="195">
        <v>552.32590000000005</v>
      </c>
      <c r="M7683" s="195" t="s">
        <v>941</v>
      </c>
      <c r="N7683" s="195" t="s">
        <v>117</v>
      </c>
      <c r="O7683" s="199"/>
      <c r="P7683" s="188"/>
      <c r="Q7683" s="183"/>
    </row>
    <row r="7684" spans="1:17" x14ac:dyDescent="0.2">
      <c r="A7684" s="183">
        <v>1001</v>
      </c>
      <c r="B7684" s="249" t="str">
        <f>IF(AND(A7684&lt;&gt;"",ISNUMBER(A7684)),VLOOKUP(A7684,Studies!A:BR,2,FALSE),"")</f>
        <v>Schmider 1999</v>
      </c>
      <c r="C7684" s="250" t="str">
        <f>IF(AND(A7684&lt;&gt;"",ISNUMBER(A7684)),VLOOKUP(A7684,Studies!A:BR,3,FALSE),"")</f>
        <v>https://www.ncbi.nlm.nih.gov/pubmed/10634135</v>
      </c>
      <c r="D7684" s="250" t="str">
        <f>IF(AND(A7684&lt;&gt;"",ISNUMBER(A7684)),VLOOKUP(A7684,Studies!A:BR,4,FALSE),"")</f>
        <v>Alprazolam + Rifampin</v>
      </c>
      <c r="E7684" s="250" t="str">
        <f>IF(AND(A7684&lt;&gt;"",ISNUMBER(A7684)),VLOOKUP(A7684,Studies!A:BR,5,FALSE),"")</f>
        <v>Alprazolam</v>
      </c>
      <c r="F7684" s="251" t="str">
        <f>IF(AND(A7684&lt;&gt;"",ISNUMBER(A7684)),VLOOKUP(A7684,Studies!A:BR,6,FALSE),"")</f>
        <v>Plasma</v>
      </c>
      <c r="G7684" s="194">
        <v>96.5</v>
      </c>
      <c r="H7684" s="194" t="s">
        <v>60</v>
      </c>
      <c r="I7684" s="187">
        <v>8.1501579999999993</v>
      </c>
      <c r="J7684" s="187" t="s">
        <v>968</v>
      </c>
      <c r="K7684" s="187" t="s">
        <v>335</v>
      </c>
      <c r="M7684" s="195"/>
      <c r="N7684" s="195"/>
      <c r="O7684" s="199">
        <v>0.5</v>
      </c>
      <c r="P7684" s="188"/>
      <c r="Q7684" s="183"/>
    </row>
    <row r="7685" spans="1:17" x14ac:dyDescent="0.2">
      <c r="A7685" s="183">
        <v>1001</v>
      </c>
      <c r="B7685" s="249" t="str">
        <f>IF(AND(A7685&lt;&gt;"",ISNUMBER(A7685)),VLOOKUP(A7685,Studies!A:BR,2,FALSE),"")</f>
        <v>Schmider 1999</v>
      </c>
      <c r="C7685" s="250" t="str">
        <f>IF(AND(A7685&lt;&gt;"",ISNUMBER(A7685)),VLOOKUP(A7685,Studies!A:BR,3,FALSE),"")</f>
        <v>https://www.ncbi.nlm.nih.gov/pubmed/10634135</v>
      </c>
      <c r="D7685" s="250" t="str">
        <f>IF(AND(A7685&lt;&gt;"",ISNUMBER(A7685)),VLOOKUP(A7685,Studies!A:BR,4,FALSE),"")</f>
        <v>Alprazolam + Rifampin</v>
      </c>
      <c r="E7685" s="250" t="str">
        <f>IF(AND(A7685&lt;&gt;"",ISNUMBER(A7685)),VLOOKUP(A7685,Studies!A:BR,5,FALSE),"")</f>
        <v>Alprazolam</v>
      </c>
      <c r="F7685" s="251" t="str">
        <f>IF(AND(A7685&lt;&gt;"",ISNUMBER(A7685)),VLOOKUP(A7685,Studies!A:BR,6,FALSE),"")</f>
        <v>Plasma</v>
      </c>
      <c r="G7685" s="194">
        <v>97</v>
      </c>
      <c r="H7685" s="194" t="s">
        <v>60</v>
      </c>
      <c r="I7685" s="187">
        <v>6.9595700000000003</v>
      </c>
      <c r="J7685" s="187" t="s">
        <v>968</v>
      </c>
      <c r="K7685" s="187" t="s">
        <v>335</v>
      </c>
      <c r="M7685" s="195"/>
      <c r="N7685" s="195"/>
      <c r="O7685" s="199">
        <v>0.5</v>
      </c>
      <c r="P7685" s="188"/>
      <c r="Q7685" s="183"/>
    </row>
    <row r="7686" spans="1:17" x14ac:dyDescent="0.2">
      <c r="A7686" s="183">
        <v>1001</v>
      </c>
      <c r="B7686" s="249" t="str">
        <f>IF(AND(A7686&lt;&gt;"",ISNUMBER(A7686)),VLOOKUP(A7686,Studies!A:BR,2,FALSE),"")</f>
        <v>Schmider 1999</v>
      </c>
      <c r="C7686" s="250" t="str">
        <f>IF(AND(A7686&lt;&gt;"",ISNUMBER(A7686)),VLOOKUP(A7686,Studies!A:BR,3,FALSE),"")</f>
        <v>https://www.ncbi.nlm.nih.gov/pubmed/10634135</v>
      </c>
      <c r="D7686" s="250" t="str">
        <f>IF(AND(A7686&lt;&gt;"",ISNUMBER(A7686)),VLOOKUP(A7686,Studies!A:BR,4,FALSE),"")</f>
        <v>Alprazolam + Rifampin</v>
      </c>
      <c r="E7686" s="250" t="str">
        <f>IF(AND(A7686&lt;&gt;"",ISNUMBER(A7686)),VLOOKUP(A7686,Studies!A:BR,5,FALSE),"")</f>
        <v>Alprazolam</v>
      </c>
      <c r="F7686" s="251" t="str">
        <f>IF(AND(A7686&lt;&gt;"",ISNUMBER(A7686)),VLOOKUP(A7686,Studies!A:BR,6,FALSE),"")</f>
        <v>Plasma</v>
      </c>
      <c r="G7686" s="194">
        <v>98</v>
      </c>
      <c r="H7686" s="194" t="s">
        <v>60</v>
      </c>
      <c r="I7686" s="187">
        <v>4.1238950000000001</v>
      </c>
      <c r="J7686" s="187" t="s">
        <v>968</v>
      </c>
      <c r="K7686" s="187" t="s">
        <v>335</v>
      </c>
      <c r="M7686" s="195"/>
      <c r="N7686" s="195"/>
      <c r="O7686" s="199">
        <v>0.5</v>
      </c>
      <c r="P7686" s="188"/>
      <c r="Q7686" s="183"/>
    </row>
    <row r="7687" spans="1:17" x14ac:dyDescent="0.2">
      <c r="A7687" s="183">
        <v>1001</v>
      </c>
      <c r="B7687" s="249" t="str">
        <f>IF(AND(A7687&lt;&gt;"",ISNUMBER(A7687)),VLOOKUP(A7687,Studies!A:BR,2,FALSE),"")</f>
        <v>Schmider 1999</v>
      </c>
      <c r="C7687" s="250" t="str">
        <f>IF(AND(A7687&lt;&gt;"",ISNUMBER(A7687)),VLOOKUP(A7687,Studies!A:BR,3,FALSE),"")</f>
        <v>https://www.ncbi.nlm.nih.gov/pubmed/10634135</v>
      </c>
      <c r="D7687" s="250" t="str">
        <f>IF(AND(A7687&lt;&gt;"",ISNUMBER(A7687)),VLOOKUP(A7687,Studies!A:BR,4,FALSE),"")</f>
        <v>Alprazolam + Rifampin</v>
      </c>
      <c r="E7687" s="250" t="str">
        <f>IF(AND(A7687&lt;&gt;"",ISNUMBER(A7687)),VLOOKUP(A7687,Studies!A:BR,5,FALSE),"")</f>
        <v>Alprazolam</v>
      </c>
      <c r="F7687" s="251" t="str">
        <f>IF(AND(A7687&lt;&gt;"",ISNUMBER(A7687)),VLOOKUP(A7687,Studies!A:BR,6,FALSE),"")</f>
        <v>Plasma</v>
      </c>
      <c r="G7687" s="194">
        <v>99</v>
      </c>
      <c r="H7687" s="194" t="s">
        <v>60</v>
      </c>
      <c r="I7687" s="187">
        <v>3.4458709999999999</v>
      </c>
      <c r="J7687" s="187" t="s">
        <v>968</v>
      </c>
      <c r="K7687" s="187" t="s">
        <v>335</v>
      </c>
      <c r="M7687" s="195"/>
      <c r="N7687" s="195"/>
      <c r="O7687" s="199">
        <v>0.5</v>
      </c>
      <c r="P7687" s="188"/>
      <c r="Q7687" s="183"/>
    </row>
    <row r="7688" spans="1:17" x14ac:dyDescent="0.2">
      <c r="A7688" s="183">
        <v>1001</v>
      </c>
      <c r="B7688" s="249" t="str">
        <f>IF(AND(A7688&lt;&gt;"",ISNUMBER(A7688)),VLOOKUP(A7688,Studies!A:BR,2,FALSE),"")</f>
        <v>Schmider 1999</v>
      </c>
      <c r="C7688" s="250" t="str">
        <f>IF(AND(A7688&lt;&gt;"",ISNUMBER(A7688)),VLOOKUP(A7688,Studies!A:BR,3,FALSE),"")</f>
        <v>https://www.ncbi.nlm.nih.gov/pubmed/10634135</v>
      </c>
      <c r="D7688" s="250" t="str">
        <f>IF(AND(A7688&lt;&gt;"",ISNUMBER(A7688)),VLOOKUP(A7688,Studies!A:BR,4,FALSE),"")</f>
        <v>Alprazolam + Rifampin</v>
      </c>
      <c r="E7688" s="250" t="str">
        <f>IF(AND(A7688&lt;&gt;"",ISNUMBER(A7688)),VLOOKUP(A7688,Studies!A:BR,5,FALSE),"")</f>
        <v>Alprazolam</v>
      </c>
      <c r="F7688" s="251" t="str">
        <f>IF(AND(A7688&lt;&gt;"",ISNUMBER(A7688)),VLOOKUP(A7688,Studies!A:BR,6,FALSE),"")</f>
        <v>Plasma</v>
      </c>
      <c r="G7688" s="194">
        <v>100</v>
      </c>
      <c r="H7688" s="194" t="s">
        <v>60</v>
      </c>
      <c r="I7688" s="187">
        <v>2.654544</v>
      </c>
      <c r="J7688" s="187" t="s">
        <v>968</v>
      </c>
      <c r="K7688" s="187" t="s">
        <v>335</v>
      </c>
      <c r="M7688" s="195"/>
      <c r="N7688" s="195"/>
      <c r="O7688" s="199">
        <v>0.5</v>
      </c>
      <c r="P7688" s="188"/>
      <c r="Q7688" s="183"/>
    </row>
    <row r="7689" spans="1:17" x14ac:dyDescent="0.2">
      <c r="A7689" s="183">
        <v>1001</v>
      </c>
      <c r="B7689" s="249" t="str">
        <f>IF(AND(A7689&lt;&gt;"",ISNUMBER(A7689)),VLOOKUP(A7689,Studies!A:BR,2,FALSE),"")</f>
        <v>Schmider 1999</v>
      </c>
      <c r="C7689" s="250" t="str">
        <f>IF(AND(A7689&lt;&gt;"",ISNUMBER(A7689)),VLOOKUP(A7689,Studies!A:BR,3,FALSE),"")</f>
        <v>https://www.ncbi.nlm.nih.gov/pubmed/10634135</v>
      </c>
      <c r="D7689" s="250" t="str">
        <f>IF(AND(A7689&lt;&gt;"",ISNUMBER(A7689)),VLOOKUP(A7689,Studies!A:BR,4,FALSE),"")</f>
        <v>Alprazolam + Rifampin</v>
      </c>
      <c r="E7689" s="250" t="str">
        <f>IF(AND(A7689&lt;&gt;"",ISNUMBER(A7689)),VLOOKUP(A7689,Studies!A:BR,5,FALSE),"")</f>
        <v>Alprazolam</v>
      </c>
      <c r="F7689" s="251" t="str">
        <f>IF(AND(A7689&lt;&gt;"",ISNUMBER(A7689)),VLOOKUP(A7689,Studies!A:BR,6,FALSE),"")</f>
        <v>Plasma</v>
      </c>
      <c r="G7689" s="194">
        <v>102</v>
      </c>
      <c r="H7689" s="194" t="s">
        <v>60</v>
      </c>
      <c r="I7689" s="187">
        <v>1.4690939999999999</v>
      </c>
      <c r="J7689" s="187" t="s">
        <v>968</v>
      </c>
      <c r="K7689" s="187" t="s">
        <v>335</v>
      </c>
      <c r="M7689" s="195"/>
      <c r="N7689" s="195"/>
      <c r="O7689" s="199">
        <v>0.5</v>
      </c>
      <c r="P7689" s="188"/>
      <c r="Q7689" s="183"/>
    </row>
    <row r="7690" spans="1:17" x14ac:dyDescent="0.2">
      <c r="A7690" s="183">
        <v>1001</v>
      </c>
      <c r="B7690" s="249" t="str">
        <f>IF(AND(A7690&lt;&gt;"",ISNUMBER(A7690)),VLOOKUP(A7690,Studies!A:BR,2,FALSE),"")</f>
        <v>Schmider 1999</v>
      </c>
      <c r="C7690" s="250" t="str">
        <f>IF(AND(A7690&lt;&gt;"",ISNUMBER(A7690)),VLOOKUP(A7690,Studies!A:BR,3,FALSE),"")</f>
        <v>https://www.ncbi.nlm.nih.gov/pubmed/10634135</v>
      </c>
      <c r="D7690" s="250" t="str">
        <f>IF(AND(A7690&lt;&gt;"",ISNUMBER(A7690)),VLOOKUP(A7690,Studies!A:BR,4,FALSE),"")</f>
        <v>Alprazolam + Rifampin</v>
      </c>
      <c r="E7690" s="250" t="str">
        <f>IF(AND(A7690&lt;&gt;"",ISNUMBER(A7690)),VLOOKUP(A7690,Studies!A:BR,5,FALSE),"")</f>
        <v>Alprazolam</v>
      </c>
      <c r="F7690" s="251" t="str">
        <f>IF(AND(A7690&lt;&gt;"",ISNUMBER(A7690)),VLOOKUP(A7690,Studies!A:BR,6,FALSE),"")</f>
        <v>Plasma</v>
      </c>
      <c r="G7690" s="194">
        <v>104</v>
      </c>
      <c r="H7690" s="194" t="s">
        <v>60</v>
      </c>
      <c r="I7690" s="187">
        <v>0.93687509999999996</v>
      </c>
      <c r="J7690" s="187" t="s">
        <v>968</v>
      </c>
      <c r="K7690" s="187" t="s">
        <v>335</v>
      </c>
      <c r="M7690" s="195"/>
      <c r="N7690" s="195"/>
      <c r="O7690" s="199">
        <v>0.5</v>
      </c>
      <c r="P7690" s="188"/>
      <c r="Q7690" s="183"/>
    </row>
    <row r="7691" spans="1:17" x14ac:dyDescent="0.2">
      <c r="A7691" s="183">
        <v>1001</v>
      </c>
      <c r="B7691" s="249" t="str">
        <f>IF(AND(A7691&lt;&gt;"",ISNUMBER(A7691)),VLOOKUP(A7691,Studies!A:BR,2,FALSE),"")</f>
        <v>Schmider 1999</v>
      </c>
      <c r="C7691" s="250" t="str">
        <f>IF(AND(A7691&lt;&gt;"",ISNUMBER(A7691)),VLOOKUP(A7691,Studies!A:BR,3,FALSE),"")</f>
        <v>https://www.ncbi.nlm.nih.gov/pubmed/10634135</v>
      </c>
      <c r="D7691" s="250" t="str">
        <f>IF(AND(A7691&lt;&gt;"",ISNUMBER(A7691)),VLOOKUP(A7691,Studies!A:BR,4,FALSE),"")</f>
        <v>Alprazolam + Rifampin</v>
      </c>
      <c r="E7691" s="250" t="str">
        <f>IF(AND(A7691&lt;&gt;"",ISNUMBER(A7691)),VLOOKUP(A7691,Studies!A:BR,5,FALSE),"")</f>
        <v>Alprazolam</v>
      </c>
      <c r="F7691" s="251" t="str">
        <f>IF(AND(A7691&lt;&gt;"",ISNUMBER(A7691)),VLOOKUP(A7691,Studies!A:BR,6,FALSE),"")</f>
        <v>Plasma</v>
      </c>
      <c r="G7691" s="194">
        <v>106</v>
      </c>
      <c r="H7691" s="194" t="s">
        <v>60</v>
      </c>
      <c r="I7691" s="187">
        <v>0.54660679999999995</v>
      </c>
      <c r="J7691" s="187" t="s">
        <v>968</v>
      </c>
      <c r="K7691" s="187" t="s">
        <v>335</v>
      </c>
      <c r="M7691" s="195"/>
      <c r="N7691" s="195"/>
      <c r="O7691" s="199">
        <v>0.5</v>
      </c>
      <c r="P7691" s="188"/>
      <c r="Q7691" s="183"/>
    </row>
    <row r="7692" spans="1:17" x14ac:dyDescent="0.2">
      <c r="A7692" s="183">
        <v>1001</v>
      </c>
      <c r="B7692" s="249" t="str">
        <f>IF(AND(A7692&lt;&gt;"",ISNUMBER(A7692)),VLOOKUP(A7692,Studies!A:BR,2,FALSE),"")</f>
        <v>Schmider 1999</v>
      </c>
      <c r="C7692" s="250" t="str">
        <f>IF(AND(A7692&lt;&gt;"",ISNUMBER(A7692)),VLOOKUP(A7692,Studies!A:BR,3,FALSE),"")</f>
        <v>https://www.ncbi.nlm.nih.gov/pubmed/10634135</v>
      </c>
      <c r="D7692" s="250" t="str">
        <f>IF(AND(A7692&lt;&gt;"",ISNUMBER(A7692)),VLOOKUP(A7692,Studies!A:BR,4,FALSE),"")</f>
        <v>Alprazolam + Rifampin</v>
      </c>
      <c r="E7692" s="250" t="str">
        <f>IF(AND(A7692&lt;&gt;"",ISNUMBER(A7692)),VLOOKUP(A7692,Studies!A:BR,5,FALSE),"")</f>
        <v>Alprazolam</v>
      </c>
      <c r="F7692" s="251" t="str">
        <f>IF(AND(A7692&lt;&gt;"",ISNUMBER(A7692)),VLOOKUP(A7692,Studies!A:BR,6,FALSE),"")</f>
        <v>Plasma</v>
      </c>
      <c r="G7692" s="194">
        <v>120</v>
      </c>
      <c r="H7692" s="194" t="s">
        <v>60</v>
      </c>
      <c r="I7692" s="187">
        <v>2.8390149999999999E-2</v>
      </c>
      <c r="J7692" s="187" t="s">
        <v>968</v>
      </c>
      <c r="K7692" s="187" t="s">
        <v>335</v>
      </c>
      <c r="M7692" s="195"/>
      <c r="N7692" s="195"/>
      <c r="O7692" s="199">
        <v>0.5</v>
      </c>
      <c r="P7692" s="188"/>
      <c r="Q7692" s="183"/>
    </row>
    <row r="7693" spans="1:17" x14ac:dyDescent="0.2">
      <c r="A7693" s="183">
        <v>1002</v>
      </c>
      <c r="B7693" s="249" t="str">
        <f>IF(AND(A7693&lt;&gt;"",ISNUMBER(A7693)),VLOOKUP(A7693,Studies!A:BR,2,FALSE),"")</f>
        <v>Schmider 1999</v>
      </c>
      <c r="C7693" s="250" t="str">
        <f>IF(AND(A7693&lt;&gt;"",ISNUMBER(A7693)),VLOOKUP(A7693,Studies!A:BR,3,FALSE),"")</f>
        <v>https://www.ncbi.nlm.nih.gov/pubmed/10634135</v>
      </c>
      <c r="D7693" s="250" t="str">
        <f>IF(AND(A7693&lt;&gt;"",ISNUMBER(A7693)),VLOOKUP(A7693,Studies!A:BR,4,FALSE),"")</f>
        <v>Alprazolam + Ketoconazole</v>
      </c>
      <c r="E7693" s="250" t="str">
        <f>IF(AND(A7693&lt;&gt;"",ISNUMBER(A7693)),VLOOKUP(A7693,Studies!A:BR,5,FALSE),"")</f>
        <v>Alprazolam</v>
      </c>
      <c r="F7693" s="251" t="str">
        <f>IF(AND(A7693&lt;&gt;"",ISNUMBER(A7693)),VLOOKUP(A7693,Studies!A:BR,6,FALSE),"")</f>
        <v>Plasma</v>
      </c>
      <c r="G7693" s="194">
        <v>48.5</v>
      </c>
      <c r="H7693" s="194" t="s">
        <v>60</v>
      </c>
      <c r="I7693" s="187">
        <v>13.601330000000001</v>
      </c>
      <c r="J7693" s="187" t="s">
        <v>968</v>
      </c>
      <c r="K7693" s="187" t="s">
        <v>335</v>
      </c>
      <c r="M7693" s="195"/>
      <c r="N7693" s="195"/>
      <c r="O7693" s="199">
        <v>0.5</v>
      </c>
      <c r="P7693" s="188"/>
      <c r="Q7693" s="183"/>
    </row>
    <row r="7694" spans="1:17" x14ac:dyDescent="0.2">
      <c r="A7694" s="183">
        <v>1002</v>
      </c>
      <c r="B7694" s="249" t="str">
        <f>IF(AND(A7694&lt;&gt;"",ISNUMBER(A7694)),VLOOKUP(A7694,Studies!A:BR,2,FALSE),"")</f>
        <v>Schmider 1999</v>
      </c>
      <c r="C7694" s="250" t="str">
        <f>IF(AND(A7694&lt;&gt;"",ISNUMBER(A7694)),VLOOKUP(A7694,Studies!A:BR,3,FALSE),"")</f>
        <v>https://www.ncbi.nlm.nih.gov/pubmed/10634135</v>
      </c>
      <c r="D7694" s="250" t="str">
        <f>IF(AND(A7694&lt;&gt;"",ISNUMBER(A7694)),VLOOKUP(A7694,Studies!A:BR,4,FALSE),"")</f>
        <v>Alprazolam + Ketoconazole</v>
      </c>
      <c r="E7694" s="250" t="str">
        <f>IF(AND(A7694&lt;&gt;"",ISNUMBER(A7694)),VLOOKUP(A7694,Studies!A:BR,5,FALSE),"")</f>
        <v>Alprazolam</v>
      </c>
      <c r="F7694" s="251" t="str">
        <f>IF(AND(A7694&lt;&gt;"",ISNUMBER(A7694)),VLOOKUP(A7694,Studies!A:BR,6,FALSE),"")</f>
        <v>Plasma</v>
      </c>
      <c r="G7694" s="194">
        <v>49</v>
      </c>
      <c r="H7694" s="194" t="s">
        <v>60</v>
      </c>
      <c r="I7694" s="187">
        <v>13.830120000000001</v>
      </c>
      <c r="J7694" s="187" t="s">
        <v>968</v>
      </c>
      <c r="K7694" s="187" t="s">
        <v>335</v>
      </c>
      <c r="M7694" s="195"/>
      <c r="N7694" s="195"/>
      <c r="O7694" s="199">
        <v>0.5</v>
      </c>
      <c r="P7694" s="188"/>
      <c r="Q7694" s="183"/>
    </row>
    <row r="7695" spans="1:17" x14ac:dyDescent="0.2">
      <c r="A7695" s="183">
        <v>1002</v>
      </c>
      <c r="B7695" s="249" t="str">
        <f>IF(AND(A7695&lt;&gt;"",ISNUMBER(A7695)),VLOOKUP(A7695,Studies!A:BR,2,FALSE),"")</f>
        <v>Schmider 1999</v>
      </c>
      <c r="C7695" s="250" t="str">
        <f>IF(AND(A7695&lt;&gt;"",ISNUMBER(A7695)),VLOOKUP(A7695,Studies!A:BR,3,FALSE),"")</f>
        <v>https://www.ncbi.nlm.nih.gov/pubmed/10634135</v>
      </c>
      <c r="D7695" s="250" t="str">
        <f>IF(AND(A7695&lt;&gt;"",ISNUMBER(A7695)),VLOOKUP(A7695,Studies!A:BR,4,FALSE),"")</f>
        <v>Alprazolam + Ketoconazole</v>
      </c>
      <c r="E7695" s="250" t="str">
        <f>IF(AND(A7695&lt;&gt;"",ISNUMBER(A7695)),VLOOKUP(A7695,Studies!A:BR,5,FALSE),"")</f>
        <v>Alprazolam</v>
      </c>
      <c r="F7695" s="251" t="str">
        <f>IF(AND(A7695&lt;&gt;"",ISNUMBER(A7695)),VLOOKUP(A7695,Studies!A:BR,6,FALSE),"")</f>
        <v>Plasma</v>
      </c>
      <c r="G7695" s="194">
        <v>50</v>
      </c>
      <c r="H7695" s="194" t="s">
        <v>60</v>
      </c>
      <c r="I7695" s="187">
        <v>12.15869</v>
      </c>
      <c r="J7695" s="187" t="s">
        <v>968</v>
      </c>
      <c r="K7695" s="187" t="s">
        <v>335</v>
      </c>
      <c r="M7695" s="195"/>
      <c r="N7695" s="195"/>
      <c r="O7695" s="199">
        <v>0.5</v>
      </c>
      <c r="P7695" s="188"/>
      <c r="Q7695" s="183"/>
    </row>
    <row r="7696" spans="1:17" x14ac:dyDescent="0.2">
      <c r="A7696" s="183">
        <v>1002</v>
      </c>
      <c r="B7696" s="249" t="str">
        <f>IF(AND(A7696&lt;&gt;"",ISNUMBER(A7696)),VLOOKUP(A7696,Studies!A:BR,2,FALSE),"")</f>
        <v>Schmider 1999</v>
      </c>
      <c r="C7696" s="250" t="str">
        <f>IF(AND(A7696&lt;&gt;"",ISNUMBER(A7696)),VLOOKUP(A7696,Studies!A:BR,3,FALSE),"")</f>
        <v>https://www.ncbi.nlm.nih.gov/pubmed/10634135</v>
      </c>
      <c r="D7696" s="250" t="str">
        <f>IF(AND(A7696&lt;&gt;"",ISNUMBER(A7696)),VLOOKUP(A7696,Studies!A:BR,4,FALSE),"")</f>
        <v>Alprazolam + Ketoconazole</v>
      </c>
      <c r="E7696" s="250" t="str">
        <f>IF(AND(A7696&lt;&gt;"",ISNUMBER(A7696)),VLOOKUP(A7696,Studies!A:BR,5,FALSE),"")</f>
        <v>Alprazolam</v>
      </c>
      <c r="F7696" s="251" t="str">
        <f>IF(AND(A7696&lt;&gt;"",ISNUMBER(A7696)),VLOOKUP(A7696,Studies!A:BR,6,FALSE),"")</f>
        <v>Plasma</v>
      </c>
      <c r="G7696" s="194">
        <v>51</v>
      </c>
      <c r="H7696" s="194" t="s">
        <v>60</v>
      </c>
      <c r="I7696" s="187">
        <v>12.19042</v>
      </c>
      <c r="J7696" s="187" t="s">
        <v>968</v>
      </c>
      <c r="K7696" s="187" t="s">
        <v>335</v>
      </c>
      <c r="O7696" s="59">
        <v>0.5</v>
      </c>
      <c r="P7696" s="188"/>
    </row>
    <row r="7697" spans="1:16" x14ac:dyDescent="0.2">
      <c r="A7697" s="183">
        <v>1002</v>
      </c>
      <c r="B7697" s="249" t="str">
        <f>IF(AND(A7697&lt;&gt;"",ISNUMBER(A7697)),VLOOKUP(A7697,Studies!A:BR,2,FALSE),"")</f>
        <v>Schmider 1999</v>
      </c>
      <c r="C7697" s="250" t="str">
        <f>IF(AND(A7697&lt;&gt;"",ISNUMBER(A7697)),VLOOKUP(A7697,Studies!A:BR,3,FALSE),"")</f>
        <v>https://www.ncbi.nlm.nih.gov/pubmed/10634135</v>
      </c>
      <c r="D7697" s="250" t="str">
        <f>IF(AND(A7697&lt;&gt;"",ISNUMBER(A7697)),VLOOKUP(A7697,Studies!A:BR,4,FALSE),"")</f>
        <v>Alprazolam + Ketoconazole</v>
      </c>
      <c r="E7697" s="250" t="str">
        <f>IF(AND(A7697&lt;&gt;"",ISNUMBER(A7697)),VLOOKUP(A7697,Studies!A:BR,5,FALSE),"")</f>
        <v>Alprazolam</v>
      </c>
      <c r="F7697" s="251" t="str">
        <f>IF(AND(A7697&lt;&gt;"",ISNUMBER(A7697)),VLOOKUP(A7697,Studies!A:BR,6,FALSE),"")</f>
        <v>Plasma</v>
      </c>
      <c r="G7697" s="194">
        <v>52</v>
      </c>
      <c r="H7697" s="194" t="s">
        <v>60</v>
      </c>
      <c r="I7697" s="187">
        <v>12.477790000000001</v>
      </c>
      <c r="J7697" s="187" t="s">
        <v>968</v>
      </c>
      <c r="K7697" s="187" t="s">
        <v>335</v>
      </c>
      <c r="O7697" s="59">
        <v>0.5</v>
      </c>
      <c r="P7697" s="188"/>
    </row>
    <row r="7698" spans="1:16" x14ac:dyDescent="0.2">
      <c r="A7698" s="183">
        <v>1002</v>
      </c>
      <c r="B7698" s="249" t="str">
        <f>IF(AND(A7698&lt;&gt;"",ISNUMBER(A7698)),VLOOKUP(A7698,Studies!A:BR,2,FALSE),"")</f>
        <v>Schmider 1999</v>
      </c>
      <c r="C7698" s="250" t="str">
        <f>IF(AND(A7698&lt;&gt;"",ISNUMBER(A7698)),VLOOKUP(A7698,Studies!A:BR,3,FALSE),"")</f>
        <v>https://www.ncbi.nlm.nih.gov/pubmed/10634135</v>
      </c>
      <c r="D7698" s="250" t="str">
        <f>IF(AND(A7698&lt;&gt;"",ISNUMBER(A7698)),VLOOKUP(A7698,Studies!A:BR,4,FALSE),"")</f>
        <v>Alprazolam + Ketoconazole</v>
      </c>
      <c r="E7698" s="250" t="str">
        <f>IF(AND(A7698&lt;&gt;"",ISNUMBER(A7698)),VLOOKUP(A7698,Studies!A:BR,5,FALSE),"")</f>
        <v>Alprazolam</v>
      </c>
      <c r="F7698" s="251" t="str">
        <f>IF(AND(A7698&lt;&gt;"",ISNUMBER(A7698)),VLOOKUP(A7698,Studies!A:BR,6,FALSE),"")</f>
        <v>Plasma</v>
      </c>
      <c r="G7698" s="194">
        <v>54</v>
      </c>
      <c r="H7698" s="194" t="s">
        <v>60</v>
      </c>
      <c r="I7698" s="187">
        <v>11.23569</v>
      </c>
      <c r="J7698" s="187" t="s">
        <v>968</v>
      </c>
      <c r="K7698" s="187" t="s">
        <v>335</v>
      </c>
      <c r="O7698" s="59">
        <v>0.5</v>
      </c>
      <c r="P7698" s="188"/>
    </row>
    <row r="7699" spans="1:16" x14ac:dyDescent="0.2">
      <c r="A7699" s="183">
        <v>1002</v>
      </c>
      <c r="B7699" s="249" t="str">
        <f>IF(AND(A7699&lt;&gt;"",ISNUMBER(A7699)),VLOOKUP(A7699,Studies!A:BR,2,FALSE),"")</f>
        <v>Schmider 1999</v>
      </c>
      <c r="C7699" s="250" t="str">
        <f>IF(AND(A7699&lt;&gt;"",ISNUMBER(A7699)),VLOOKUP(A7699,Studies!A:BR,3,FALSE),"")</f>
        <v>https://www.ncbi.nlm.nih.gov/pubmed/10634135</v>
      </c>
      <c r="D7699" s="250" t="str">
        <f>IF(AND(A7699&lt;&gt;"",ISNUMBER(A7699)),VLOOKUP(A7699,Studies!A:BR,4,FALSE),"")</f>
        <v>Alprazolam + Ketoconazole</v>
      </c>
      <c r="E7699" s="250" t="str">
        <f>IF(AND(A7699&lt;&gt;"",ISNUMBER(A7699)),VLOOKUP(A7699,Studies!A:BR,5,FALSE),"")</f>
        <v>Alprazolam</v>
      </c>
      <c r="F7699" s="251" t="str">
        <f>IF(AND(A7699&lt;&gt;"",ISNUMBER(A7699)),VLOOKUP(A7699,Studies!A:BR,6,FALSE),"")</f>
        <v>Plasma</v>
      </c>
      <c r="G7699" s="194">
        <v>56</v>
      </c>
      <c r="H7699" s="194" t="s">
        <v>60</v>
      </c>
      <c r="I7699" s="187">
        <v>10.845549999999999</v>
      </c>
      <c r="J7699" s="187" t="s">
        <v>968</v>
      </c>
      <c r="K7699" s="187" t="s">
        <v>335</v>
      </c>
      <c r="O7699" s="59">
        <v>0.5</v>
      </c>
      <c r="P7699" s="188"/>
    </row>
    <row r="7700" spans="1:16" x14ac:dyDescent="0.2">
      <c r="A7700" s="183">
        <v>1002</v>
      </c>
      <c r="B7700" s="249" t="str">
        <f>IF(AND(A7700&lt;&gt;"",ISNUMBER(A7700)),VLOOKUP(A7700,Studies!A:BR,2,FALSE),"")</f>
        <v>Schmider 1999</v>
      </c>
      <c r="C7700" s="250" t="str">
        <f>IF(AND(A7700&lt;&gt;"",ISNUMBER(A7700)),VLOOKUP(A7700,Studies!A:BR,3,FALSE),"")</f>
        <v>https://www.ncbi.nlm.nih.gov/pubmed/10634135</v>
      </c>
      <c r="D7700" s="250" t="str">
        <f>IF(AND(A7700&lt;&gt;"",ISNUMBER(A7700)),VLOOKUP(A7700,Studies!A:BR,4,FALSE),"")</f>
        <v>Alprazolam + Ketoconazole</v>
      </c>
      <c r="E7700" s="250" t="str">
        <f>IF(AND(A7700&lt;&gt;"",ISNUMBER(A7700)),VLOOKUP(A7700,Studies!A:BR,5,FALSE),"")</f>
        <v>Alprazolam</v>
      </c>
      <c r="F7700" s="251" t="str">
        <f>IF(AND(A7700&lt;&gt;"",ISNUMBER(A7700)),VLOOKUP(A7700,Studies!A:BR,6,FALSE),"")</f>
        <v>Plasma</v>
      </c>
      <c r="G7700" s="194">
        <v>58</v>
      </c>
      <c r="H7700" s="194" t="s">
        <v>60</v>
      </c>
      <c r="I7700" s="187">
        <v>10.597110000000001</v>
      </c>
      <c r="J7700" s="187" t="s">
        <v>968</v>
      </c>
      <c r="K7700" s="187" t="s">
        <v>335</v>
      </c>
      <c r="O7700" s="59">
        <v>0.5</v>
      </c>
      <c r="P7700" s="188"/>
    </row>
    <row r="7701" spans="1:16" x14ac:dyDescent="0.2">
      <c r="A7701" s="183">
        <v>1002</v>
      </c>
      <c r="B7701" s="249" t="str">
        <f>IF(AND(A7701&lt;&gt;"",ISNUMBER(A7701)),VLOOKUP(A7701,Studies!A:BR,2,FALSE),"")</f>
        <v>Schmider 1999</v>
      </c>
      <c r="C7701" s="250" t="str">
        <f>IF(AND(A7701&lt;&gt;"",ISNUMBER(A7701)),VLOOKUP(A7701,Studies!A:BR,3,FALSE),"")</f>
        <v>https://www.ncbi.nlm.nih.gov/pubmed/10634135</v>
      </c>
      <c r="D7701" s="250" t="str">
        <f>IF(AND(A7701&lt;&gt;"",ISNUMBER(A7701)),VLOOKUP(A7701,Studies!A:BR,4,FALSE),"")</f>
        <v>Alprazolam + Ketoconazole</v>
      </c>
      <c r="E7701" s="250" t="str">
        <f>IF(AND(A7701&lt;&gt;"",ISNUMBER(A7701)),VLOOKUP(A7701,Studies!A:BR,5,FALSE),"")</f>
        <v>Alprazolam</v>
      </c>
      <c r="F7701" s="251" t="str">
        <f>IF(AND(A7701&lt;&gt;"",ISNUMBER(A7701)),VLOOKUP(A7701,Studies!A:BR,6,FALSE),"")</f>
        <v>Plasma</v>
      </c>
      <c r="G7701" s="194">
        <v>72</v>
      </c>
      <c r="H7701" s="194" t="s">
        <v>60</v>
      </c>
      <c r="I7701" s="187">
        <v>6.3596519999999996</v>
      </c>
      <c r="J7701" s="187" t="s">
        <v>968</v>
      </c>
      <c r="K7701" s="187" t="s">
        <v>335</v>
      </c>
      <c r="O7701" s="59">
        <v>0.5</v>
      </c>
      <c r="P7701" s="188"/>
    </row>
    <row r="7702" spans="1:16" x14ac:dyDescent="0.2">
      <c r="A7702" s="183">
        <v>1004</v>
      </c>
      <c r="B7702" s="249" t="str">
        <f>IF(AND(A7702&lt;&gt;"",ISNUMBER(A7702)),VLOOKUP(A7702,Studies!A:BR,2,FALSE),"")</f>
        <v>Villikka 1997</v>
      </c>
      <c r="C7702" s="250" t="str">
        <f>IF(AND(A7702&lt;&gt;"",ISNUMBER(A7702)),VLOOKUP(A7702,Studies!A:BR,3,FALSE),"")</f>
        <v>https://www.ncbi.nlm.nih.gov/pubmed/9024169</v>
      </c>
      <c r="D7702" s="250" t="str">
        <f>IF(AND(A7702&lt;&gt;"",ISNUMBER(A7702)),VLOOKUP(A7702,Studies!A:BR,4,FALSE),"")</f>
        <v>Treatment arm (pretreatment with rifampin; 600 mg; 5 days)</v>
      </c>
      <c r="E7702" s="250" t="str">
        <f>IF(AND(A7702&lt;&gt;"",ISNUMBER(A7702)),VLOOKUP(A7702,Studies!A:BR,5,FALSE),"")</f>
        <v>Triazolam</v>
      </c>
      <c r="F7702" s="251" t="str">
        <f>IF(AND(A7702&lt;&gt;"",ISNUMBER(A7702)),VLOOKUP(A7702,Studies!A:BR,6,FALSE),"")</f>
        <v>Plasma</v>
      </c>
      <c r="G7702" s="194">
        <v>113.5</v>
      </c>
      <c r="H7702" s="194" t="s">
        <v>60</v>
      </c>
      <c r="I7702" s="187">
        <v>0.1082591</v>
      </c>
      <c r="J7702" s="187" t="s">
        <v>941</v>
      </c>
      <c r="K7702" s="187" t="s">
        <v>335</v>
      </c>
      <c r="O7702" s="59">
        <v>0.05</v>
      </c>
      <c r="P7702" s="188" t="s">
        <v>2858</v>
      </c>
    </row>
    <row r="7703" spans="1:16" x14ac:dyDescent="0.2">
      <c r="A7703" s="183">
        <v>1004</v>
      </c>
      <c r="B7703" s="249" t="str">
        <f>IF(AND(A7703&lt;&gt;"",ISNUMBER(A7703)),VLOOKUP(A7703,Studies!A:BR,2,FALSE),"")</f>
        <v>Villikka 1997</v>
      </c>
      <c r="C7703" s="250" t="str">
        <f>IF(AND(A7703&lt;&gt;"",ISNUMBER(A7703)),VLOOKUP(A7703,Studies!A:BR,3,FALSE),"")</f>
        <v>https://www.ncbi.nlm.nih.gov/pubmed/9024169</v>
      </c>
      <c r="D7703" s="250" t="str">
        <f>IF(AND(A7703&lt;&gt;"",ISNUMBER(A7703)),VLOOKUP(A7703,Studies!A:BR,4,FALSE),"")</f>
        <v>Treatment arm (pretreatment with rifampin; 600 mg; 5 days)</v>
      </c>
      <c r="E7703" s="250" t="str">
        <f>IF(AND(A7703&lt;&gt;"",ISNUMBER(A7703)),VLOOKUP(A7703,Studies!A:BR,5,FALSE),"")</f>
        <v>Triazolam</v>
      </c>
      <c r="F7703" s="251" t="str">
        <f>IF(AND(A7703&lt;&gt;"",ISNUMBER(A7703)),VLOOKUP(A7703,Studies!A:BR,6,FALSE),"")</f>
        <v>Plasma</v>
      </c>
      <c r="G7703" s="194">
        <v>114</v>
      </c>
      <c r="H7703" s="194" t="s">
        <v>60</v>
      </c>
      <c r="I7703" s="187">
        <v>0.2365623</v>
      </c>
      <c r="J7703" s="187" t="s">
        <v>941</v>
      </c>
      <c r="K7703" s="187" t="s">
        <v>335</v>
      </c>
      <c r="O7703" s="59">
        <v>0.05</v>
      </c>
      <c r="P7703" s="188" t="s">
        <v>2858</v>
      </c>
    </row>
    <row r="7704" spans="1:16" x14ac:dyDescent="0.2">
      <c r="A7704" s="183">
        <v>1004</v>
      </c>
      <c r="B7704" s="249" t="str">
        <f>IF(AND(A7704&lt;&gt;"",ISNUMBER(A7704)),VLOOKUP(A7704,Studies!A:BR,2,FALSE),"")</f>
        <v>Villikka 1997</v>
      </c>
      <c r="C7704" s="250" t="str">
        <f>IF(AND(A7704&lt;&gt;"",ISNUMBER(A7704)),VLOOKUP(A7704,Studies!A:BR,3,FALSE),"")</f>
        <v>https://www.ncbi.nlm.nih.gov/pubmed/9024169</v>
      </c>
      <c r="D7704" s="250" t="str">
        <f>IF(AND(A7704&lt;&gt;"",ISNUMBER(A7704)),VLOOKUP(A7704,Studies!A:BR,4,FALSE),"")</f>
        <v>Treatment arm (pretreatment with rifampin; 600 mg; 5 days)</v>
      </c>
      <c r="E7704" s="250" t="str">
        <f>IF(AND(A7704&lt;&gt;"",ISNUMBER(A7704)),VLOOKUP(A7704,Studies!A:BR,5,FALSE),"")</f>
        <v>Triazolam</v>
      </c>
      <c r="F7704" s="251" t="str">
        <f>IF(AND(A7704&lt;&gt;"",ISNUMBER(A7704)),VLOOKUP(A7704,Studies!A:BR,6,FALSE),"")</f>
        <v>Plasma</v>
      </c>
      <c r="G7704" s="194">
        <v>114.5</v>
      </c>
      <c r="H7704" s="194" t="s">
        <v>60</v>
      </c>
      <c r="I7704" s="187">
        <v>0.26464470000000001</v>
      </c>
      <c r="J7704" s="187" t="s">
        <v>941</v>
      </c>
      <c r="K7704" s="187" t="s">
        <v>335</v>
      </c>
      <c r="O7704" s="59">
        <v>0.05</v>
      </c>
      <c r="P7704" s="188" t="s">
        <v>2858</v>
      </c>
    </row>
    <row r="7705" spans="1:16" x14ac:dyDescent="0.2">
      <c r="A7705" s="183">
        <v>1004</v>
      </c>
      <c r="B7705" s="249" t="str">
        <f>IF(AND(A7705&lt;&gt;"",ISNUMBER(A7705)),VLOOKUP(A7705,Studies!A:BR,2,FALSE),"")</f>
        <v>Villikka 1997</v>
      </c>
      <c r="C7705" s="250" t="str">
        <f>IF(AND(A7705&lt;&gt;"",ISNUMBER(A7705)),VLOOKUP(A7705,Studies!A:BR,3,FALSE),"")</f>
        <v>https://www.ncbi.nlm.nih.gov/pubmed/9024169</v>
      </c>
      <c r="D7705" s="250" t="str">
        <f>IF(AND(A7705&lt;&gt;"",ISNUMBER(A7705)),VLOOKUP(A7705,Studies!A:BR,4,FALSE),"")</f>
        <v>Treatment arm (pretreatment with rifampin; 600 mg; 5 days)</v>
      </c>
      <c r="E7705" s="250" t="str">
        <f>IF(AND(A7705&lt;&gt;"",ISNUMBER(A7705)),VLOOKUP(A7705,Studies!A:BR,5,FALSE),"")</f>
        <v>Triazolam</v>
      </c>
      <c r="F7705" s="251" t="str">
        <f>IF(AND(A7705&lt;&gt;"",ISNUMBER(A7705)),VLOOKUP(A7705,Studies!A:BR,6,FALSE),"")</f>
        <v>Plasma</v>
      </c>
      <c r="G7705" s="194">
        <v>115</v>
      </c>
      <c r="H7705" s="194" t="s">
        <v>60</v>
      </c>
      <c r="I7705" s="187">
        <v>0.2459575</v>
      </c>
      <c r="J7705" s="187" t="s">
        <v>941</v>
      </c>
      <c r="K7705" s="187" t="s">
        <v>335</v>
      </c>
      <c r="O7705" s="59">
        <v>0.05</v>
      </c>
      <c r="P7705" s="188" t="s">
        <v>2858</v>
      </c>
    </row>
    <row r="7706" spans="1:16" x14ac:dyDescent="0.2">
      <c r="A7706" s="183">
        <v>1004</v>
      </c>
      <c r="B7706" s="249" t="str">
        <f>IF(AND(A7706&lt;&gt;"",ISNUMBER(A7706)),VLOOKUP(A7706,Studies!A:BR,2,FALSE),"")</f>
        <v>Villikka 1997</v>
      </c>
      <c r="C7706" s="250" t="str">
        <f>IF(AND(A7706&lt;&gt;"",ISNUMBER(A7706)),VLOOKUP(A7706,Studies!A:BR,3,FALSE),"")</f>
        <v>https://www.ncbi.nlm.nih.gov/pubmed/9024169</v>
      </c>
      <c r="D7706" s="250" t="str">
        <f>IF(AND(A7706&lt;&gt;"",ISNUMBER(A7706)),VLOOKUP(A7706,Studies!A:BR,4,FALSE),"")</f>
        <v>Treatment arm (pretreatment with rifampin; 600 mg; 5 days)</v>
      </c>
      <c r="E7706" s="250" t="str">
        <f>IF(AND(A7706&lt;&gt;"",ISNUMBER(A7706)),VLOOKUP(A7706,Studies!A:BR,5,FALSE),"")</f>
        <v>Triazolam</v>
      </c>
      <c r="F7706" s="251" t="str">
        <f>IF(AND(A7706&lt;&gt;"",ISNUMBER(A7706)),VLOOKUP(A7706,Studies!A:BR,6,FALSE),"")</f>
        <v>Plasma</v>
      </c>
      <c r="G7706" s="194">
        <v>116</v>
      </c>
      <c r="H7706" s="194" t="s">
        <v>60</v>
      </c>
      <c r="I7706" s="187">
        <v>0.15507299999999999</v>
      </c>
      <c r="J7706" s="187" t="s">
        <v>941</v>
      </c>
      <c r="K7706" s="187" t="s">
        <v>335</v>
      </c>
      <c r="O7706" s="59">
        <v>0.05</v>
      </c>
      <c r="P7706" s="188" t="s">
        <v>2858</v>
      </c>
    </row>
    <row r="7707" spans="1:16" x14ac:dyDescent="0.2">
      <c r="A7707" s="183">
        <v>1004</v>
      </c>
      <c r="B7707" s="249" t="str">
        <f>IF(AND(A7707&lt;&gt;"",ISNUMBER(A7707)),VLOOKUP(A7707,Studies!A:BR,2,FALSE),"")</f>
        <v>Villikka 1997</v>
      </c>
      <c r="C7707" s="250" t="str">
        <f>IF(AND(A7707&lt;&gt;"",ISNUMBER(A7707)),VLOOKUP(A7707,Studies!A:BR,3,FALSE),"")</f>
        <v>https://www.ncbi.nlm.nih.gov/pubmed/9024169</v>
      </c>
      <c r="D7707" s="250" t="str">
        <f>IF(AND(A7707&lt;&gt;"",ISNUMBER(A7707)),VLOOKUP(A7707,Studies!A:BR,4,FALSE),"")</f>
        <v>Treatment arm (pretreatment with rifampin; 600 mg; 5 days)</v>
      </c>
      <c r="E7707" s="250" t="str">
        <f>IF(AND(A7707&lt;&gt;"",ISNUMBER(A7707)),VLOOKUP(A7707,Studies!A:BR,5,FALSE),"")</f>
        <v>Triazolam</v>
      </c>
      <c r="F7707" s="251" t="str">
        <f>IF(AND(A7707&lt;&gt;"",ISNUMBER(A7707)),VLOOKUP(A7707,Studies!A:BR,6,FALSE),"")</f>
        <v>Plasma</v>
      </c>
      <c r="G7707" s="194">
        <v>117</v>
      </c>
      <c r="H7707" s="194" t="s">
        <v>60</v>
      </c>
      <c r="I7707" s="187">
        <v>7.7551239999999994E-2</v>
      </c>
      <c r="J7707" s="187" t="s">
        <v>941</v>
      </c>
      <c r="K7707" s="187" t="s">
        <v>335</v>
      </c>
      <c r="O7707" s="59">
        <v>0.05</v>
      </c>
      <c r="P7707" s="188" t="s">
        <v>2858</v>
      </c>
    </row>
    <row r="7708" spans="1:16" x14ac:dyDescent="0.2">
      <c r="A7708" s="183">
        <v>1004</v>
      </c>
      <c r="B7708" s="249" t="str">
        <f>IF(AND(A7708&lt;&gt;"",ISNUMBER(A7708)),VLOOKUP(A7708,Studies!A:BR,2,FALSE),"")</f>
        <v>Villikka 1997</v>
      </c>
      <c r="C7708" s="250" t="str">
        <f>IF(AND(A7708&lt;&gt;"",ISNUMBER(A7708)),VLOOKUP(A7708,Studies!A:BR,3,FALSE),"")</f>
        <v>https://www.ncbi.nlm.nih.gov/pubmed/9024169</v>
      </c>
      <c r="D7708" s="250" t="str">
        <f>IF(AND(A7708&lt;&gt;"",ISNUMBER(A7708)),VLOOKUP(A7708,Studies!A:BR,4,FALSE),"")</f>
        <v>Treatment arm (pretreatment with rifampin; 600 mg; 5 days)</v>
      </c>
      <c r="E7708" s="250" t="str">
        <f>IF(AND(A7708&lt;&gt;"",ISNUMBER(A7708)),VLOOKUP(A7708,Studies!A:BR,5,FALSE),"")</f>
        <v>Triazolam</v>
      </c>
      <c r="F7708" s="251" t="str">
        <f>IF(AND(A7708&lt;&gt;"",ISNUMBER(A7708)),VLOOKUP(A7708,Studies!A:BR,6,FALSE),"")</f>
        <v>Plasma</v>
      </c>
      <c r="G7708" s="194">
        <v>118</v>
      </c>
      <c r="H7708" s="194" t="s">
        <v>60</v>
      </c>
      <c r="I7708" s="187">
        <v>5.3421570000000002E-2</v>
      </c>
      <c r="J7708" s="187" t="s">
        <v>941</v>
      </c>
      <c r="K7708" s="187" t="s">
        <v>335</v>
      </c>
      <c r="O7708" s="59">
        <v>0.05</v>
      </c>
      <c r="P7708" s="188" t="s">
        <v>2858</v>
      </c>
    </row>
    <row r="7709" spans="1:16" x14ac:dyDescent="0.2">
      <c r="A7709" s="183">
        <v>1005</v>
      </c>
      <c r="B7709" s="249" t="str">
        <f>IF(AND(A7709&lt;&gt;"",ISNUMBER(A7709)),VLOOKUP(A7709,Studies!A:BR,2,FALSE),"")</f>
        <v>Villikka 1997</v>
      </c>
      <c r="C7709" s="250" t="str">
        <f>IF(AND(A7709&lt;&gt;"",ISNUMBER(A7709)),VLOOKUP(A7709,Studies!A:BR,3,FALSE),"")</f>
        <v>https://www.ncbi.nlm.nih.gov/pubmed/9024169</v>
      </c>
      <c r="D7709" s="250" t="str">
        <f>IF(AND(A7709&lt;&gt;"",ISNUMBER(A7709)),VLOOKUP(A7709,Studies!A:BR,4,FALSE),"")</f>
        <v>Control arm (pretreatment with placebo for 5 days); Subject 1</v>
      </c>
      <c r="E7709" s="250" t="str">
        <f>IF(AND(A7709&lt;&gt;"",ISNUMBER(A7709)),VLOOKUP(A7709,Studies!A:BR,5,FALSE),"")</f>
        <v>Triazolam</v>
      </c>
      <c r="F7709" s="251" t="str">
        <f>IF(AND(A7709&lt;&gt;"",ISNUMBER(A7709)),VLOOKUP(A7709,Studies!A:BR,6,FALSE),"")</f>
        <v>Plasma</v>
      </c>
      <c r="G7709" s="194">
        <v>0.5</v>
      </c>
      <c r="H7709" s="194" t="s">
        <v>60</v>
      </c>
      <c r="I7709" s="187">
        <v>1.2508280000000001</v>
      </c>
      <c r="J7709" s="187" t="s">
        <v>941</v>
      </c>
      <c r="K7709" s="187" t="s">
        <v>239</v>
      </c>
      <c r="O7709" s="59">
        <v>0.05</v>
      </c>
      <c r="P7709" s="188" t="s">
        <v>2612</v>
      </c>
    </row>
    <row r="7710" spans="1:16" x14ac:dyDescent="0.2">
      <c r="A7710" s="183">
        <v>1005</v>
      </c>
      <c r="B7710" s="249" t="str">
        <f>IF(AND(A7710&lt;&gt;"",ISNUMBER(A7710)),VLOOKUP(A7710,Studies!A:BR,2,FALSE),"")</f>
        <v>Villikka 1997</v>
      </c>
      <c r="C7710" s="250" t="str">
        <f>IF(AND(A7710&lt;&gt;"",ISNUMBER(A7710)),VLOOKUP(A7710,Studies!A:BR,3,FALSE),"")</f>
        <v>https://www.ncbi.nlm.nih.gov/pubmed/9024169</v>
      </c>
      <c r="D7710" s="250" t="str">
        <f>IF(AND(A7710&lt;&gt;"",ISNUMBER(A7710)),VLOOKUP(A7710,Studies!A:BR,4,FALSE),"")</f>
        <v>Control arm (pretreatment with placebo for 5 days); Subject 1</v>
      </c>
      <c r="E7710" s="250" t="str">
        <f>IF(AND(A7710&lt;&gt;"",ISNUMBER(A7710)),VLOOKUP(A7710,Studies!A:BR,5,FALSE),"")</f>
        <v>Triazolam</v>
      </c>
      <c r="F7710" s="251" t="str">
        <f>IF(AND(A7710&lt;&gt;"",ISNUMBER(A7710)),VLOOKUP(A7710,Studies!A:BR,6,FALSE),"")</f>
        <v>Plasma</v>
      </c>
      <c r="G7710" s="194">
        <v>1</v>
      </c>
      <c r="H7710" s="194" t="s">
        <v>60</v>
      </c>
      <c r="I7710" s="187">
        <v>2.9329529999999999</v>
      </c>
      <c r="J7710" s="187" t="s">
        <v>941</v>
      </c>
      <c r="K7710" s="187" t="s">
        <v>239</v>
      </c>
      <c r="O7710" s="59">
        <v>0.05</v>
      </c>
      <c r="P7710" s="188"/>
    </row>
    <row r="7711" spans="1:16" x14ac:dyDescent="0.2">
      <c r="A7711" s="183">
        <v>1005</v>
      </c>
      <c r="B7711" s="249" t="str">
        <f>IF(AND(A7711&lt;&gt;"",ISNUMBER(A7711)),VLOOKUP(A7711,Studies!A:BR,2,FALSE),"")</f>
        <v>Villikka 1997</v>
      </c>
      <c r="C7711" s="250" t="str">
        <f>IF(AND(A7711&lt;&gt;"",ISNUMBER(A7711)),VLOOKUP(A7711,Studies!A:BR,3,FALSE),"")</f>
        <v>https://www.ncbi.nlm.nih.gov/pubmed/9024169</v>
      </c>
      <c r="D7711" s="250" t="str">
        <f>IF(AND(A7711&lt;&gt;"",ISNUMBER(A7711)),VLOOKUP(A7711,Studies!A:BR,4,FALSE),"")</f>
        <v>Control arm (pretreatment with placebo for 5 days); Subject 1</v>
      </c>
      <c r="E7711" s="250" t="str">
        <f>IF(AND(A7711&lt;&gt;"",ISNUMBER(A7711)),VLOOKUP(A7711,Studies!A:BR,5,FALSE),"")</f>
        <v>Triazolam</v>
      </c>
      <c r="F7711" s="251" t="str">
        <f>IF(AND(A7711&lt;&gt;"",ISNUMBER(A7711)),VLOOKUP(A7711,Studies!A:BR,6,FALSE),"")</f>
        <v>Plasma</v>
      </c>
      <c r="G7711" s="194">
        <v>1.5</v>
      </c>
      <c r="H7711" s="194" t="s">
        <v>60</v>
      </c>
      <c r="I7711" s="187">
        <v>2.5474700000000001</v>
      </c>
      <c r="J7711" s="187" t="s">
        <v>941</v>
      </c>
      <c r="K7711" s="187" t="s">
        <v>239</v>
      </c>
      <c r="O7711" s="59">
        <v>0.05</v>
      </c>
      <c r="P7711" s="188"/>
    </row>
    <row r="7712" spans="1:16" x14ac:dyDescent="0.2">
      <c r="A7712" s="183">
        <v>1005</v>
      </c>
      <c r="B7712" s="249" t="str">
        <f>IF(AND(A7712&lt;&gt;"",ISNUMBER(A7712)),VLOOKUP(A7712,Studies!A:BR,2,FALSE),"")</f>
        <v>Villikka 1997</v>
      </c>
      <c r="C7712" s="250" t="str">
        <f>IF(AND(A7712&lt;&gt;"",ISNUMBER(A7712)),VLOOKUP(A7712,Studies!A:BR,3,FALSE),"")</f>
        <v>https://www.ncbi.nlm.nih.gov/pubmed/9024169</v>
      </c>
      <c r="D7712" s="250" t="str">
        <f>IF(AND(A7712&lt;&gt;"",ISNUMBER(A7712)),VLOOKUP(A7712,Studies!A:BR,4,FALSE),"")</f>
        <v>Control arm (pretreatment with placebo for 5 days); Subject 1</v>
      </c>
      <c r="E7712" s="250" t="str">
        <f>IF(AND(A7712&lt;&gt;"",ISNUMBER(A7712)),VLOOKUP(A7712,Studies!A:BR,5,FALSE),"")</f>
        <v>Triazolam</v>
      </c>
      <c r="F7712" s="251" t="str">
        <f>IF(AND(A7712&lt;&gt;"",ISNUMBER(A7712)),VLOOKUP(A7712,Studies!A:BR,6,FALSE),"")</f>
        <v>Plasma</v>
      </c>
      <c r="G7712" s="194">
        <v>2</v>
      </c>
      <c r="H7712" s="194" t="s">
        <v>60</v>
      </c>
      <c r="I7712" s="187">
        <v>2.5986349999999998</v>
      </c>
      <c r="J7712" s="187" t="s">
        <v>941</v>
      </c>
      <c r="K7712" s="187" t="s">
        <v>239</v>
      </c>
      <c r="O7712" s="59">
        <v>0.05</v>
      </c>
      <c r="P7712" s="188"/>
    </row>
    <row r="7713" spans="1:16" x14ac:dyDescent="0.2">
      <c r="A7713" s="183">
        <v>1005</v>
      </c>
      <c r="B7713" s="249" t="str">
        <f>IF(AND(A7713&lt;&gt;"",ISNUMBER(A7713)),VLOOKUP(A7713,Studies!A:BR,2,FALSE),"")</f>
        <v>Villikka 1997</v>
      </c>
      <c r="C7713" s="250" t="str">
        <f>IF(AND(A7713&lt;&gt;"",ISNUMBER(A7713)),VLOOKUP(A7713,Studies!A:BR,3,FALSE),"")</f>
        <v>https://www.ncbi.nlm.nih.gov/pubmed/9024169</v>
      </c>
      <c r="D7713" s="250" t="str">
        <f>IF(AND(A7713&lt;&gt;"",ISNUMBER(A7713)),VLOOKUP(A7713,Studies!A:BR,4,FALSE),"")</f>
        <v>Control arm (pretreatment with placebo for 5 days); Subject 1</v>
      </c>
      <c r="E7713" s="250" t="str">
        <f>IF(AND(A7713&lt;&gt;"",ISNUMBER(A7713)),VLOOKUP(A7713,Studies!A:BR,5,FALSE),"")</f>
        <v>Triazolam</v>
      </c>
      <c r="F7713" s="251" t="str">
        <f>IF(AND(A7713&lt;&gt;"",ISNUMBER(A7713)),VLOOKUP(A7713,Studies!A:BR,6,FALSE),"")</f>
        <v>Plasma</v>
      </c>
      <c r="G7713" s="194">
        <v>3</v>
      </c>
      <c r="H7713" s="194" t="s">
        <v>60</v>
      </c>
      <c r="I7713" s="187">
        <v>2.1752669999999998</v>
      </c>
      <c r="J7713" s="187" t="s">
        <v>941</v>
      </c>
      <c r="K7713" s="187" t="s">
        <v>239</v>
      </c>
      <c r="O7713" s="59">
        <v>0.05</v>
      </c>
      <c r="P7713" s="188"/>
    </row>
    <row r="7714" spans="1:16" x14ac:dyDescent="0.2">
      <c r="A7714" s="183">
        <v>1005</v>
      </c>
      <c r="B7714" s="249" t="str">
        <f>IF(AND(A7714&lt;&gt;"",ISNUMBER(A7714)),VLOOKUP(A7714,Studies!A:BR,2,FALSE),"")</f>
        <v>Villikka 1997</v>
      </c>
      <c r="C7714" s="250" t="str">
        <f>IF(AND(A7714&lt;&gt;"",ISNUMBER(A7714)),VLOOKUP(A7714,Studies!A:BR,3,FALSE),"")</f>
        <v>https://www.ncbi.nlm.nih.gov/pubmed/9024169</v>
      </c>
      <c r="D7714" s="250" t="str">
        <f>IF(AND(A7714&lt;&gt;"",ISNUMBER(A7714)),VLOOKUP(A7714,Studies!A:BR,4,FALSE),"")</f>
        <v>Control arm (pretreatment with placebo for 5 days); Subject 1</v>
      </c>
      <c r="E7714" s="250" t="str">
        <f>IF(AND(A7714&lt;&gt;"",ISNUMBER(A7714)),VLOOKUP(A7714,Studies!A:BR,5,FALSE),"")</f>
        <v>Triazolam</v>
      </c>
      <c r="F7714" s="251" t="str">
        <f>IF(AND(A7714&lt;&gt;"",ISNUMBER(A7714)),VLOOKUP(A7714,Studies!A:BR,6,FALSE),"")</f>
        <v>Plasma</v>
      </c>
      <c r="G7714" s="194">
        <v>4</v>
      </c>
      <c r="H7714" s="194" t="s">
        <v>60</v>
      </c>
      <c r="I7714" s="187">
        <v>1.4929410000000001</v>
      </c>
      <c r="J7714" s="187" t="s">
        <v>941</v>
      </c>
      <c r="K7714" s="187" t="s">
        <v>239</v>
      </c>
      <c r="O7714" s="59">
        <v>0.05</v>
      </c>
      <c r="P7714" s="188"/>
    </row>
    <row r="7715" spans="1:16" x14ac:dyDescent="0.2">
      <c r="A7715" s="183">
        <v>1005</v>
      </c>
      <c r="B7715" s="249" t="str">
        <f>IF(AND(A7715&lt;&gt;"",ISNUMBER(A7715)),VLOOKUP(A7715,Studies!A:BR,2,FALSE),"")</f>
        <v>Villikka 1997</v>
      </c>
      <c r="C7715" s="250" t="str">
        <f>IF(AND(A7715&lt;&gt;"",ISNUMBER(A7715)),VLOOKUP(A7715,Studies!A:BR,3,FALSE),"")</f>
        <v>https://www.ncbi.nlm.nih.gov/pubmed/9024169</v>
      </c>
      <c r="D7715" s="250" t="str">
        <f>IF(AND(A7715&lt;&gt;"",ISNUMBER(A7715)),VLOOKUP(A7715,Studies!A:BR,4,FALSE),"")</f>
        <v>Control arm (pretreatment with placebo for 5 days); Subject 1</v>
      </c>
      <c r="E7715" s="250" t="str">
        <f>IF(AND(A7715&lt;&gt;"",ISNUMBER(A7715)),VLOOKUP(A7715,Studies!A:BR,5,FALSE),"")</f>
        <v>Triazolam</v>
      </c>
      <c r="F7715" s="251" t="str">
        <f>IF(AND(A7715&lt;&gt;"",ISNUMBER(A7715)),VLOOKUP(A7715,Studies!A:BR,6,FALSE),"")</f>
        <v>Plasma</v>
      </c>
      <c r="G7715" s="194">
        <v>5</v>
      </c>
      <c r="H7715" s="194" t="s">
        <v>60</v>
      </c>
      <c r="I7715" s="187">
        <v>1.226256</v>
      </c>
      <c r="J7715" s="187" t="s">
        <v>941</v>
      </c>
      <c r="K7715" s="187" t="s">
        <v>239</v>
      </c>
      <c r="O7715" s="59">
        <v>0.05</v>
      </c>
      <c r="P7715" s="188"/>
    </row>
    <row r="7716" spans="1:16" x14ac:dyDescent="0.2">
      <c r="A7716" s="183">
        <v>1005</v>
      </c>
      <c r="B7716" s="249" t="str">
        <f>IF(AND(A7716&lt;&gt;"",ISNUMBER(A7716)),VLOOKUP(A7716,Studies!A:BR,2,FALSE),"")</f>
        <v>Villikka 1997</v>
      </c>
      <c r="C7716" s="250" t="str">
        <f>IF(AND(A7716&lt;&gt;"",ISNUMBER(A7716)),VLOOKUP(A7716,Studies!A:BR,3,FALSE),"")</f>
        <v>https://www.ncbi.nlm.nih.gov/pubmed/9024169</v>
      </c>
      <c r="D7716" s="250" t="str">
        <f>IF(AND(A7716&lt;&gt;"",ISNUMBER(A7716)),VLOOKUP(A7716,Studies!A:BR,4,FALSE),"")</f>
        <v>Control arm (pretreatment with placebo for 5 days); Subject 1</v>
      </c>
      <c r="E7716" s="250" t="str">
        <f>IF(AND(A7716&lt;&gt;"",ISNUMBER(A7716)),VLOOKUP(A7716,Studies!A:BR,5,FALSE),"")</f>
        <v>Triazolam</v>
      </c>
      <c r="F7716" s="251" t="str">
        <f>IF(AND(A7716&lt;&gt;"",ISNUMBER(A7716)),VLOOKUP(A7716,Studies!A:BR,6,FALSE),"")</f>
        <v>Plasma</v>
      </c>
      <c r="G7716" s="194">
        <v>6</v>
      </c>
      <c r="H7716" s="194" t="s">
        <v>60</v>
      </c>
      <c r="I7716" s="187">
        <v>0.9699314</v>
      </c>
      <c r="J7716" s="187" t="s">
        <v>941</v>
      </c>
      <c r="K7716" s="187" t="s">
        <v>239</v>
      </c>
      <c r="O7716" s="59">
        <v>0.05</v>
      </c>
      <c r="P7716" s="188"/>
    </row>
    <row r="7717" spans="1:16" x14ac:dyDescent="0.2">
      <c r="A7717" s="183">
        <v>1005</v>
      </c>
      <c r="B7717" s="249" t="str">
        <f>IF(AND(A7717&lt;&gt;"",ISNUMBER(A7717)),VLOOKUP(A7717,Studies!A:BR,2,FALSE),"")</f>
        <v>Villikka 1997</v>
      </c>
      <c r="C7717" s="250" t="str">
        <f>IF(AND(A7717&lt;&gt;"",ISNUMBER(A7717)),VLOOKUP(A7717,Studies!A:BR,3,FALSE),"")</f>
        <v>https://www.ncbi.nlm.nih.gov/pubmed/9024169</v>
      </c>
      <c r="D7717" s="250" t="str">
        <f>IF(AND(A7717&lt;&gt;"",ISNUMBER(A7717)),VLOOKUP(A7717,Studies!A:BR,4,FALSE),"")</f>
        <v>Control arm (pretreatment with placebo for 5 days); Subject 1</v>
      </c>
      <c r="E7717" s="250" t="str">
        <f>IF(AND(A7717&lt;&gt;"",ISNUMBER(A7717)),VLOOKUP(A7717,Studies!A:BR,5,FALSE),"")</f>
        <v>Triazolam</v>
      </c>
      <c r="F7717" s="251" t="str">
        <f>IF(AND(A7717&lt;&gt;"",ISNUMBER(A7717)),VLOOKUP(A7717,Studies!A:BR,6,FALSE),"")</f>
        <v>Plasma</v>
      </c>
      <c r="G7717" s="194">
        <v>8</v>
      </c>
      <c r="H7717" s="194" t="s">
        <v>60</v>
      </c>
      <c r="I7717" s="187">
        <v>0.79065439999999998</v>
      </c>
      <c r="J7717" s="187" t="s">
        <v>941</v>
      </c>
      <c r="K7717" s="187" t="s">
        <v>239</v>
      </c>
      <c r="O7717" s="59">
        <v>0.05</v>
      </c>
      <c r="P7717" s="188"/>
    </row>
    <row r="7718" spans="1:16" x14ac:dyDescent="0.2">
      <c r="A7718" s="183">
        <v>1005</v>
      </c>
      <c r="B7718" s="249" t="str">
        <f>IF(AND(A7718&lt;&gt;"",ISNUMBER(A7718)),VLOOKUP(A7718,Studies!A:BR,2,FALSE),"")</f>
        <v>Villikka 1997</v>
      </c>
      <c r="C7718" s="250" t="str">
        <f>IF(AND(A7718&lt;&gt;"",ISNUMBER(A7718)),VLOOKUP(A7718,Studies!A:BR,3,FALSE),"")</f>
        <v>https://www.ncbi.nlm.nih.gov/pubmed/9024169</v>
      </c>
      <c r="D7718" s="250" t="str">
        <f>IF(AND(A7718&lt;&gt;"",ISNUMBER(A7718)),VLOOKUP(A7718,Studies!A:BR,4,FALSE),"")</f>
        <v>Control arm (pretreatment with placebo for 5 days); Subject 1</v>
      </c>
      <c r="E7718" s="250" t="str">
        <f>IF(AND(A7718&lt;&gt;"",ISNUMBER(A7718)),VLOOKUP(A7718,Studies!A:BR,5,FALSE),"")</f>
        <v>Triazolam</v>
      </c>
      <c r="F7718" s="251" t="str">
        <f>IF(AND(A7718&lt;&gt;"",ISNUMBER(A7718)),VLOOKUP(A7718,Studies!A:BR,6,FALSE),"")</f>
        <v>Plasma</v>
      </c>
      <c r="G7718" s="194">
        <v>10</v>
      </c>
      <c r="H7718" s="194" t="s">
        <v>60</v>
      </c>
      <c r="I7718" s="187">
        <v>0.34198830000000002</v>
      </c>
      <c r="J7718" s="187" t="s">
        <v>941</v>
      </c>
      <c r="K7718" s="187" t="s">
        <v>239</v>
      </c>
      <c r="O7718" s="59">
        <v>0.05</v>
      </c>
      <c r="P7718" s="188"/>
    </row>
    <row r="7719" spans="1:16" x14ac:dyDescent="0.2">
      <c r="A7719" s="183">
        <v>1006</v>
      </c>
      <c r="B7719" s="249" t="str">
        <f>IF(AND(A7719&lt;&gt;"",ISNUMBER(A7719)),VLOOKUP(A7719,Studies!A:BR,2,FALSE),"")</f>
        <v>Villikka 1997</v>
      </c>
      <c r="C7719" s="250" t="str">
        <f>IF(AND(A7719&lt;&gt;"",ISNUMBER(A7719)),VLOOKUP(A7719,Studies!A:BR,3,FALSE),"")</f>
        <v>https://www.ncbi.nlm.nih.gov/pubmed/9024169</v>
      </c>
      <c r="D7719" s="250" t="str">
        <f>IF(AND(A7719&lt;&gt;"",ISNUMBER(A7719)),VLOOKUP(A7719,Studies!A:BR,4,FALSE),"")</f>
        <v>Control arm (pretreatment with placebo for 5 days); Subject 2</v>
      </c>
      <c r="E7719" s="250" t="str">
        <f>IF(AND(A7719&lt;&gt;"",ISNUMBER(A7719)),VLOOKUP(A7719,Studies!A:BR,5,FALSE),"")</f>
        <v>Triazolam</v>
      </c>
      <c r="F7719" s="251" t="str">
        <f>IF(AND(A7719&lt;&gt;"",ISNUMBER(A7719)),VLOOKUP(A7719,Studies!A:BR,6,FALSE),"")</f>
        <v>Plasma</v>
      </c>
      <c r="G7719" s="194">
        <v>0.5</v>
      </c>
      <c r="H7719" s="194" t="s">
        <v>60</v>
      </c>
      <c r="I7719" s="187">
        <v>1.2115610000000001</v>
      </c>
      <c r="J7719" s="187" t="s">
        <v>941</v>
      </c>
      <c r="K7719" s="187" t="s">
        <v>239</v>
      </c>
      <c r="O7719" s="59">
        <v>0.05</v>
      </c>
      <c r="P7719" s="188" t="s">
        <v>2612</v>
      </c>
    </row>
    <row r="7720" spans="1:16" x14ac:dyDescent="0.2">
      <c r="A7720" s="183">
        <v>1006</v>
      </c>
      <c r="B7720" s="249" t="str">
        <f>IF(AND(A7720&lt;&gt;"",ISNUMBER(A7720)),VLOOKUP(A7720,Studies!A:BR,2,FALSE),"")</f>
        <v>Villikka 1997</v>
      </c>
      <c r="C7720" s="250" t="str">
        <f>IF(AND(A7720&lt;&gt;"",ISNUMBER(A7720)),VLOOKUP(A7720,Studies!A:BR,3,FALSE),"")</f>
        <v>https://www.ncbi.nlm.nih.gov/pubmed/9024169</v>
      </c>
      <c r="D7720" s="250" t="str">
        <f>IF(AND(A7720&lt;&gt;"",ISNUMBER(A7720)),VLOOKUP(A7720,Studies!A:BR,4,FALSE),"")</f>
        <v>Control arm (pretreatment with placebo for 5 days); Subject 2</v>
      </c>
      <c r="E7720" s="250" t="str">
        <f>IF(AND(A7720&lt;&gt;"",ISNUMBER(A7720)),VLOOKUP(A7720,Studies!A:BR,5,FALSE),"")</f>
        <v>Triazolam</v>
      </c>
      <c r="F7720" s="251" t="str">
        <f>IF(AND(A7720&lt;&gt;"",ISNUMBER(A7720)),VLOOKUP(A7720,Studies!A:BR,6,FALSE),"")</f>
        <v>Plasma</v>
      </c>
      <c r="G7720" s="194">
        <v>1</v>
      </c>
      <c r="H7720" s="194" t="s">
        <v>60</v>
      </c>
      <c r="I7720" s="187">
        <v>2.7923490000000002</v>
      </c>
      <c r="J7720" s="187" t="s">
        <v>941</v>
      </c>
      <c r="K7720" s="187" t="s">
        <v>239</v>
      </c>
      <c r="O7720" s="59">
        <v>0.05</v>
      </c>
      <c r="P7720" s="188"/>
    </row>
    <row r="7721" spans="1:16" x14ac:dyDescent="0.2">
      <c r="A7721" s="183">
        <v>1006</v>
      </c>
      <c r="B7721" s="249" t="str">
        <f>IF(AND(A7721&lt;&gt;"",ISNUMBER(A7721)),VLOOKUP(A7721,Studies!A:BR,2,FALSE),"")</f>
        <v>Villikka 1997</v>
      </c>
      <c r="C7721" s="250" t="str">
        <f>IF(AND(A7721&lt;&gt;"",ISNUMBER(A7721)),VLOOKUP(A7721,Studies!A:BR,3,FALSE),"")</f>
        <v>https://www.ncbi.nlm.nih.gov/pubmed/9024169</v>
      </c>
      <c r="D7721" s="250" t="str">
        <f>IF(AND(A7721&lt;&gt;"",ISNUMBER(A7721)),VLOOKUP(A7721,Studies!A:BR,4,FALSE),"")</f>
        <v>Control arm (pretreatment with placebo for 5 days); Subject 2</v>
      </c>
      <c r="E7721" s="250" t="str">
        <f>IF(AND(A7721&lt;&gt;"",ISNUMBER(A7721)),VLOOKUP(A7721,Studies!A:BR,5,FALSE),"")</f>
        <v>Triazolam</v>
      </c>
      <c r="F7721" s="251" t="str">
        <f>IF(AND(A7721&lt;&gt;"",ISNUMBER(A7721)),VLOOKUP(A7721,Studies!A:BR,6,FALSE),"")</f>
        <v>Plasma</v>
      </c>
      <c r="G7721" s="194">
        <v>1.5</v>
      </c>
      <c r="H7721" s="194" t="s">
        <v>60</v>
      </c>
      <c r="I7721" s="187">
        <v>2.9854500000000002</v>
      </c>
      <c r="J7721" s="187" t="s">
        <v>941</v>
      </c>
      <c r="K7721" s="187" t="s">
        <v>239</v>
      </c>
      <c r="O7721" s="59">
        <v>0.05</v>
      </c>
      <c r="P7721" s="188"/>
    </row>
    <row r="7722" spans="1:16" x14ac:dyDescent="0.2">
      <c r="A7722" s="183">
        <v>1006</v>
      </c>
      <c r="B7722" s="249" t="str">
        <f>IF(AND(A7722&lt;&gt;"",ISNUMBER(A7722)),VLOOKUP(A7722,Studies!A:BR,2,FALSE),"")</f>
        <v>Villikka 1997</v>
      </c>
      <c r="C7722" s="250" t="str">
        <f>IF(AND(A7722&lt;&gt;"",ISNUMBER(A7722)),VLOOKUP(A7722,Studies!A:BR,3,FALSE),"")</f>
        <v>https://www.ncbi.nlm.nih.gov/pubmed/9024169</v>
      </c>
      <c r="D7722" s="250" t="str">
        <f>IF(AND(A7722&lt;&gt;"",ISNUMBER(A7722)),VLOOKUP(A7722,Studies!A:BR,4,FALSE),"")</f>
        <v>Control arm (pretreatment with placebo for 5 days); Subject 2</v>
      </c>
      <c r="E7722" s="250" t="str">
        <f>IF(AND(A7722&lt;&gt;"",ISNUMBER(A7722)),VLOOKUP(A7722,Studies!A:BR,5,FALSE),"")</f>
        <v>Triazolam</v>
      </c>
      <c r="F7722" s="251" t="str">
        <f>IF(AND(A7722&lt;&gt;"",ISNUMBER(A7722)),VLOOKUP(A7722,Studies!A:BR,6,FALSE),"")</f>
        <v>Plasma</v>
      </c>
      <c r="G7722" s="194">
        <v>2</v>
      </c>
      <c r="H7722" s="194" t="s">
        <v>60</v>
      </c>
      <c r="I7722" s="187">
        <v>2.7165469999999998</v>
      </c>
      <c r="J7722" s="187" t="s">
        <v>941</v>
      </c>
      <c r="K7722" s="187" t="s">
        <v>239</v>
      </c>
      <c r="O7722" s="59">
        <v>0.05</v>
      </c>
      <c r="P7722" s="188"/>
    </row>
    <row r="7723" spans="1:16" x14ac:dyDescent="0.2">
      <c r="A7723" s="183">
        <v>1006</v>
      </c>
      <c r="B7723" s="249" t="str">
        <f>IF(AND(A7723&lt;&gt;"",ISNUMBER(A7723)),VLOOKUP(A7723,Studies!A:BR,2,FALSE),"")</f>
        <v>Villikka 1997</v>
      </c>
      <c r="C7723" s="250" t="str">
        <f>IF(AND(A7723&lt;&gt;"",ISNUMBER(A7723)),VLOOKUP(A7723,Studies!A:BR,3,FALSE),"")</f>
        <v>https://www.ncbi.nlm.nih.gov/pubmed/9024169</v>
      </c>
      <c r="D7723" s="250" t="str">
        <f>IF(AND(A7723&lt;&gt;"",ISNUMBER(A7723)),VLOOKUP(A7723,Studies!A:BR,4,FALSE),"")</f>
        <v>Control arm (pretreatment with placebo for 5 days); Subject 2</v>
      </c>
      <c r="E7723" s="250" t="str">
        <f>IF(AND(A7723&lt;&gt;"",ISNUMBER(A7723)),VLOOKUP(A7723,Studies!A:BR,5,FALSE),"")</f>
        <v>Triazolam</v>
      </c>
      <c r="F7723" s="251" t="str">
        <f>IF(AND(A7723&lt;&gt;"",ISNUMBER(A7723)),VLOOKUP(A7723,Studies!A:BR,6,FALSE),"")</f>
        <v>Plasma</v>
      </c>
      <c r="G7723" s="194">
        <v>3</v>
      </c>
      <c r="H7723" s="194" t="s">
        <v>60</v>
      </c>
      <c r="I7723" s="187">
        <v>2.1863320000000002</v>
      </c>
      <c r="J7723" s="187" t="s">
        <v>941</v>
      </c>
      <c r="K7723" s="187" t="s">
        <v>239</v>
      </c>
      <c r="O7723" s="59">
        <v>0.05</v>
      </c>
      <c r="P7723" s="188"/>
    </row>
    <row r="7724" spans="1:16" x14ac:dyDescent="0.2">
      <c r="A7724" s="183">
        <v>1006</v>
      </c>
      <c r="B7724" s="249" t="str">
        <f>IF(AND(A7724&lt;&gt;"",ISNUMBER(A7724)),VLOOKUP(A7724,Studies!A:BR,2,FALSE),"")</f>
        <v>Villikka 1997</v>
      </c>
      <c r="C7724" s="250" t="str">
        <f>IF(AND(A7724&lt;&gt;"",ISNUMBER(A7724)),VLOOKUP(A7724,Studies!A:BR,3,FALSE),"")</f>
        <v>https://www.ncbi.nlm.nih.gov/pubmed/9024169</v>
      </c>
      <c r="D7724" s="250" t="str">
        <f>IF(AND(A7724&lt;&gt;"",ISNUMBER(A7724)),VLOOKUP(A7724,Studies!A:BR,4,FALSE),"")</f>
        <v>Control arm (pretreatment with placebo for 5 days); Subject 2</v>
      </c>
      <c r="E7724" s="250" t="str">
        <f>IF(AND(A7724&lt;&gt;"",ISNUMBER(A7724)),VLOOKUP(A7724,Studies!A:BR,5,FALSE),"")</f>
        <v>Triazolam</v>
      </c>
      <c r="F7724" s="251" t="str">
        <f>IF(AND(A7724&lt;&gt;"",ISNUMBER(A7724)),VLOOKUP(A7724,Studies!A:BR,6,FALSE),"")</f>
        <v>Plasma</v>
      </c>
      <c r="G7724" s="194">
        <v>4</v>
      </c>
      <c r="H7724" s="194" t="s">
        <v>60</v>
      </c>
      <c r="I7724" s="187">
        <v>1.694059</v>
      </c>
      <c r="J7724" s="187" t="s">
        <v>941</v>
      </c>
      <c r="K7724" s="187" t="s">
        <v>239</v>
      </c>
      <c r="O7724" s="59">
        <v>0.05</v>
      </c>
      <c r="P7724" s="188"/>
    </row>
    <row r="7725" spans="1:16" x14ac:dyDescent="0.2">
      <c r="A7725" s="183">
        <v>1006</v>
      </c>
      <c r="B7725" s="249" t="str">
        <f>IF(AND(A7725&lt;&gt;"",ISNUMBER(A7725)),VLOOKUP(A7725,Studies!A:BR,2,FALSE),"")</f>
        <v>Villikka 1997</v>
      </c>
      <c r="C7725" s="250" t="str">
        <f>IF(AND(A7725&lt;&gt;"",ISNUMBER(A7725)),VLOOKUP(A7725,Studies!A:BR,3,FALSE),"")</f>
        <v>https://www.ncbi.nlm.nih.gov/pubmed/9024169</v>
      </c>
      <c r="D7725" s="250" t="str">
        <f>IF(AND(A7725&lt;&gt;"",ISNUMBER(A7725)),VLOOKUP(A7725,Studies!A:BR,4,FALSE),"")</f>
        <v>Control arm (pretreatment with placebo for 5 days); Subject 2</v>
      </c>
      <c r="E7725" s="250" t="str">
        <f>IF(AND(A7725&lt;&gt;"",ISNUMBER(A7725)),VLOOKUP(A7725,Studies!A:BR,5,FALSE),"")</f>
        <v>Triazolam</v>
      </c>
      <c r="F7725" s="251" t="str">
        <f>IF(AND(A7725&lt;&gt;"",ISNUMBER(A7725)),VLOOKUP(A7725,Studies!A:BR,6,FALSE),"")</f>
        <v>Plasma</v>
      </c>
      <c r="G7725" s="194">
        <v>5</v>
      </c>
      <c r="H7725" s="194" t="s">
        <v>60</v>
      </c>
      <c r="I7725" s="187">
        <v>1.2879449999999999</v>
      </c>
      <c r="J7725" s="187" t="s">
        <v>941</v>
      </c>
      <c r="K7725" s="187" t="s">
        <v>239</v>
      </c>
      <c r="O7725" s="59">
        <v>0.05</v>
      </c>
      <c r="P7725" s="188"/>
    </row>
    <row r="7726" spans="1:16" x14ac:dyDescent="0.2">
      <c r="A7726" s="183">
        <v>1006</v>
      </c>
      <c r="B7726" s="249" t="str">
        <f>IF(AND(A7726&lt;&gt;"",ISNUMBER(A7726)),VLOOKUP(A7726,Studies!A:BR,2,FALSE),"")</f>
        <v>Villikka 1997</v>
      </c>
      <c r="C7726" s="250" t="str">
        <f>IF(AND(A7726&lt;&gt;"",ISNUMBER(A7726)),VLOOKUP(A7726,Studies!A:BR,3,FALSE),"")</f>
        <v>https://www.ncbi.nlm.nih.gov/pubmed/9024169</v>
      </c>
      <c r="D7726" s="250" t="str">
        <f>IF(AND(A7726&lt;&gt;"",ISNUMBER(A7726)),VLOOKUP(A7726,Studies!A:BR,4,FALSE),"")</f>
        <v>Control arm (pretreatment with placebo for 5 days); Subject 2</v>
      </c>
      <c r="E7726" s="250" t="str">
        <f>IF(AND(A7726&lt;&gt;"",ISNUMBER(A7726)),VLOOKUP(A7726,Studies!A:BR,5,FALSE),"")</f>
        <v>Triazolam</v>
      </c>
      <c r="F7726" s="251" t="str">
        <f>IF(AND(A7726&lt;&gt;"",ISNUMBER(A7726)),VLOOKUP(A7726,Studies!A:BR,6,FALSE),"")</f>
        <v>Plasma</v>
      </c>
      <c r="G7726" s="194">
        <v>6</v>
      </c>
      <c r="H7726" s="194" t="s">
        <v>60</v>
      </c>
      <c r="I7726" s="187">
        <v>1.0365489999999999</v>
      </c>
      <c r="J7726" s="187" t="s">
        <v>941</v>
      </c>
      <c r="K7726" s="187" t="s">
        <v>239</v>
      </c>
      <c r="O7726" s="59">
        <v>0.05</v>
      </c>
      <c r="P7726" s="188"/>
    </row>
    <row r="7727" spans="1:16" x14ac:dyDescent="0.2">
      <c r="A7727" s="183">
        <v>1006</v>
      </c>
      <c r="B7727" s="249" t="str">
        <f>IF(AND(A7727&lt;&gt;"",ISNUMBER(A7727)),VLOOKUP(A7727,Studies!A:BR,2,FALSE),"")</f>
        <v>Villikka 1997</v>
      </c>
      <c r="C7727" s="250" t="str">
        <f>IF(AND(A7727&lt;&gt;"",ISNUMBER(A7727)),VLOOKUP(A7727,Studies!A:BR,3,FALSE),"")</f>
        <v>https://www.ncbi.nlm.nih.gov/pubmed/9024169</v>
      </c>
      <c r="D7727" s="250" t="str">
        <f>IF(AND(A7727&lt;&gt;"",ISNUMBER(A7727)),VLOOKUP(A7727,Studies!A:BR,4,FALSE),"")</f>
        <v>Control arm (pretreatment with placebo for 5 days); Subject 2</v>
      </c>
      <c r="E7727" s="250" t="str">
        <f>IF(AND(A7727&lt;&gt;"",ISNUMBER(A7727)),VLOOKUP(A7727,Studies!A:BR,5,FALSE),"")</f>
        <v>Triazolam</v>
      </c>
      <c r="F7727" s="251" t="str">
        <f>IF(AND(A7727&lt;&gt;"",ISNUMBER(A7727)),VLOOKUP(A7727,Studies!A:BR,6,FALSE),"")</f>
        <v>Plasma</v>
      </c>
      <c r="G7727" s="194">
        <v>8</v>
      </c>
      <c r="H7727" s="194" t="s">
        <v>60</v>
      </c>
      <c r="I7727" s="187">
        <v>0.58236060000000001</v>
      </c>
      <c r="J7727" s="187" t="s">
        <v>941</v>
      </c>
      <c r="K7727" s="187" t="s">
        <v>239</v>
      </c>
      <c r="O7727" s="59">
        <v>0.05</v>
      </c>
      <c r="P7727" s="188"/>
    </row>
    <row r="7728" spans="1:16" x14ac:dyDescent="0.2">
      <c r="A7728" s="183">
        <v>1006</v>
      </c>
      <c r="B7728" s="249" t="str">
        <f>IF(AND(A7728&lt;&gt;"",ISNUMBER(A7728)),VLOOKUP(A7728,Studies!A:BR,2,FALSE),"")</f>
        <v>Villikka 1997</v>
      </c>
      <c r="C7728" s="250" t="str">
        <f>IF(AND(A7728&lt;&gt;"",ISNUMBER(A7728)),VLOOKUP(A7728,Studies!A:BR,3,FALSE),"")</f>
        <v>https://www.ncbi.nlm.nih.gov/pubmed/9024169</v>
      </c>
      <c r="D7728" s="250" t="str">
        <f>IF(AND(A7728&lt;&gt;"",ISNUMBER(A7728)),VLOOKUP(A7728,Studies!A:BR,4,FALSE),"")</f>
        <v>Control arm (pretreatment with placebo for 5 days); Subject 2</v>
      </c>
      <c r="E7728" s="250" t="str">
        <f>IF(AND(A7728&lt;&gt;"",ISNUMBER(A7728)),VLOOKUP(A7728,Studies!A:BR,5,FALSE),"")</f>
        <v>Triazolam</v>
      </c>
      <c r="F7728" s="251" t="str">
        <f>IF(AND(A7728&lt;&gt;"",ISNUMBER(A7728)),VLOOKUP(A7728,Studies!A:BR,6,FALSE),"")</f>
        <v>Plasma</v>
      </c>
      <c r="G7728" s="194">
        <v>10</v>
      </c>
      <c r="H7728" s="194" t="s">
        <v>60</v>
      </c>
      <c r="I7728" s="187">
        <v>0.33663759999999998</v>
      </c>
      <c r="J7728" s="187" t="s">
        <v>941</v>
      </c>
      <c r="K7728" s="187" t="s">
        <v>239</v>
      </c>
      <c r="O7728" s="59">
        <v>0.05</v>
      </c>
      <c r="P7728" s="188"/>
    </row>
    <row r="7729" spans="1:16" x14ac:dyDescent="0.2">
      <c r="A7729" s="183">
        <v>1007</v>
      </c>
      <c r="B7729" s="249" t="str">
        <f>IF(AND(A7729&lt;&gt;"",ISNUMBER(A7729)),VLOOKUP(A7729,Studies!A:BR,2,FALSE),"")</f>
        <v>Villikka 1997</v>
      </c>
      <c r="C7729" s="250" t="str">
        <f>IF(AND(A7729&lt;&gt;"",ISNUMBER(A7729)),VLOOKUP(A7729,Studies!A:BR,3,FALSE),"")</f>
        <v>https://www.ncbi.nlm.nih.gov/pubmed/9024169</v>
      </c>
      <c r="D7729" s="250" t="str">
        <f>IF(AND(A7729&lt;&gt;"",ISNUMBER(A7729)),VLOOKUP(A7729,Studies!A:BR,4,FALSE),"")</f>
        <v>Control arm (pretreatment with placebo for 5 days); Subject 3</v>
      </c>
      <c r="E7729" s="250" t="str">
        <f>IF(AND(A7729&lt;&gt;"",ISNUMBER(A7729)),VLOOKUP(A7729,Studies!A:BR,5,FALSE),"")</f>
        <v>Triazolam</v>
      </c>
      <c r="F7729" s="251" t="str">
        <f>IF(AND(A7729&lt;&gt;"",ISNUMBER(A7729)),VLOOKUP(A7729,Studies!A:BR,6,FALSE),"")</f>
        <v>Plasma</v>
      </c>
      <c r="G7729" s="194">
        <v>0.5</v>
      </c>
      <c r="H7729" s="194" t="s">
        <v>60</v>
      </c>
      <c r="I7729" s="187">
        <v>0.1000969</v>
      </c>
      <c r="J7729" s="187" t="s">
        <v>941</v>
      </c>
      <c r="K7729" s="187" t="s">
        <v>239</v>
      </c>
      <c r="O7729" s="59">
        <v>0.05</v>
      </c>
      <c r="P7729" s="188" t="s">
        <v>2612</v>
      </c>
    </row>
    <row r="7730" spans="1:16" x14ac:dyDescent="0.2">
      <c r="A7730" s="183">
        <v>1007</v>
      </c>
      <c r="B7730" s="249" t="str">
        <f>IF(AND(A7730&lt;&gt;"",ISNUMBER(A7730)),VLOOKUP(A7730,Studies!A:BR,2,FALSE),"")</f>
        <v>Villikka 1997</v>
      </c>
      <c r="C7730" s="250" t="str">
        <f>IF(AND(A7730&lt;&gt;"",ISNUMBER(A7730)),VLOOKUP(A7730,Studies!A:BR,3,FALSE),"")</f>
        <v>https://www.ncbi.nlm.nih.gov/pubmed/9024169</v>
      </c>
      <c r="D7730" s="250" t="str">
        <f>IF(AND(A7730&lt;&gt;"",ISNUMBER(A7730)),VLOOKUP(A7730,Studies!A:BR,4,FALSE),"")</f>
        <v>Control arm (pretreatment with placebo for 5 days); Subject 3</v>
      </c>
      <c r="E7730" s="250" t="str">
        <f>IF(AND(A7730&lt;&gt;"",ISNUMBER(A7730)),VLOOKUP(A7730,Studies!A:BR,5,FALSE),"")</f>
        <v>Triazolam</v>
      </c>
      <c r="F7730" s="251" t="str">
        <f>IF(AND(A7730&lt;&gt;"",ISNUMBER(A7730)),VLOOKUP(A7730,Studies!A:BR,6,FALSE),"")</f>
        <v>Plasma</v>
      </c>
      <c r="G7730" s="194">
        <v>1</v>
      </c>
      <c r="H7730" s="194" t="s">
        <v>60</v>
      </c>
      <c r="I7730" s="187">
        <v>1.1829160000000001</v>
      </c>
      <c r="J7730" s="187" t="s">
        <v>941</v>
      </c>
      <c r="K7730" s="187" t="s">
        <v>239</v>
      </c>
      <c r="O7730" s="59">
        <v>0.05</v>
      </c>
      <c r="P7730" s="188"/>
    </row>
    <row r="7731" spans="1:16" x14ac:dyDescent="0.2">
      <c r="A7731" s="183">
        <v>1007</v>
      </c>
      <c r="B7731" s="249" t="str">
        <f>IF(AND(A7731&lt;&gt;"",ISNUMBER(A7731)),VLOOKUP(A7731,Studies!A:BR,2,FALSE),"")</f>
        <v>Villikka 1997</v>
      </c>
      <c r="C7731" s="250" t="str">
        <f>IF(AND(A7731&lt;&gt;"",ISNUMBER(A7731)),VLOOKUP(A7731,Studies!A:BR,3,FALSE),"")</f>
        <v>https://www.ncbi.nlm.nih.gov/pubmed/9024169</v>
      </c>
      <c r="D7731" s="250" t="str">
        <f>IF(AND(A7731&lt;&gt;"",ISNUMBER(A7731)),VLOOKUP(A7731,Studies!A:BR,4,FALSE),"")</f>
        <v>Control arm (pretreatment with placebo for 5 days); Subject 3</v>
      </c>
      <c r="E7731" s="250" t="str">
        <f>IF(AND(A7731&lt;&gt;"",ISNUMBER(A7731)),VLOOKUP(A7731,Studies!A:BR,5,FALSE),"")</f>
        <v>Triazolam</v>
      </c>
      <c r="F7731" s="251" t="str">
        <f>IF(AND(A7731&lt;&gt;"",ISNUMBER(A7731)),VLOOKUP(A7731,Studies!A:BR,6,FALSE),"")</f>
        <v>Plasma</v>
      </c>
      <c r="G7731" s="194">
        <v>1.5</v>
      </c>
      <c r="H7731" s="194" t="s">
        <v>60</v>
      </c>
      <c r="I7731" s="187">
        <v>3.2578109999999998</v>
      </c>
      <c r="J7731" s="187" t="s">
        <v>941</v>
      </c>
      <c r="K7731" s="187" t="s">
        <v>239</v>
      </c>
      <c r="O7731" s="59">
        <v>0.05</v>
      </c>
      <c r="P7731" s="188"/>
    </row>
    <row r="7732" spans="1:16" x14ac:dyDescent="0.2">
      <c r="A7732" s="183">
        <v>1007</v>
      </c>
      <c r="B7732" s="249" t="str">
        <f>IF(AND(A7732&lt;&gt;"",ISNUMBER(A7732)),VLOOKUP(A7732,Studies!A:BR,2,FALSE),"")</f>
        <v>Villikka 1997</v>
      </c>
      <c r="C7732" s="250" t="str">
        <f>IF(AND(A7732&lt;&gt;"",ISNUMBER(A7732)),VLOOKUP(A7732,Studies!A:BR,3,FALSE),"")</f>
        <v>https://www.ncbi.nlm.nih.gov/pubmed/9024169</v>
      </c>
      <c r="D7732" s="250" t="str">
        <f>IF(AND(A7732&lt;&gt;"",ISNUMBER(A7732)),VLOOKUP(A7732,Studies!A:BR,4,FALSE),"")</f>
        <v>Control arm (pretreatment with placebo for 5 days); Subject 3</v>
      </c>
      <c r="E7732" s="250" t="str">
        <f>IF(AND(A7732&lt;&gt;"",ISNUMBER(A7732)),VLOOKUP(A7732,Studies!A:BR,5,FALSE),"")</f>
        <v>Triazolam</v>
      </c>
      <c r="F7732" s="251" t="str">
        <f>IF(AND(A7732&lt;&gt;"",ISNUMBER(A7732)),VLOOKUP(A7732,Studies!A:BR,6,FALSE),"")</f>
        <v>Plasma</v>
      </c>
      <c r="G7732" s="194">
        <v>2</v>
      </c>
      <c r="H7732" s="194" t="s">
        <v>60</v>
      </c>
      <c r="I7732" s="187">
        <v>2.9386549999999998</v>
      </c>
      <c r="J7732" s="187" t="s">
        <v>941</v>
      </c>
      <c r="K7732" s="187" t="s">
        <v>239</v>
      </c>
      <c r="O7732" s="59">
        <v>0.05</v>
      </c>
      <c r="P7732" s="188"/>
    </row>
    <row r="7733" spans="1:16" x14ac:dyDescent="0.2">
      <c r="A7733" s="183">
        <v>1007</v>
      </c>
      <c r="B7733" s="249" t="str">
        <f>IF(AND(A7733&lt;&gt;"",ISNUMBER(A7733)),VLOOKUP(A7733,Studies!A:BR,2,FALSE),"")</f>
        <v>Villikka 1997</v>
      </c>
      <c r="C7733" s="250" t="str">
        <f>IF(AND(A7733&lt;&gt;"",ISNUMBER(A7733)),VLOOKUP(A7733,Studies!A:BR,3,FALSE),"")</f>
        <v>https://www.ncbi.nlm.nih.gov/pubmed/9024169</v>
      </c>
      <c r="D7733" s="250" t="str">
        <f>IF(AND(A7733&lt;&gt;"",ISNUMBER(A7733)),VLOOKUP(A7733,Studies!A:BR,4,FALSE),"")</f>
        <v>Control arm (pretreatment with placebo for 5 days); Subject 3</v>
      </c>
      <c r="E7733" s="250" t="str">
        <f>IF(AND(A7733&lt;&gt;"",ISNUMBER(A7733)),VLOOKUP(A7733,Studies!A:BR,5,FALSE),"")</f>
        <v>Triazolam</v>
      </c>
      <c r="F7733" s="251" t="str">
        <f>IF(AND(A7733&lt;&gt;"",ISNUMBER(A7733)),VLOOKUP(A7733,Studies!A:BR,6,FALSE),"")</f>
        <v>Plasma</v>
      </c>
      <c r="G7733" s="194">
        <v>3</v>
      </c>
      <c r="H7733" s="194" t="s">
        <v>60</v>
      </c>
      <c r="I7733" s="187">
        <v>2.3911509999999998</v>
      </c>
      <c r="J7733" s="187" t="s">
        <v>941</v>
      </c>
      <c r="K7733" s="187" t="s">
        <v>239</v>
      </c>
      <c r="O7733" s="59">
        <v>0.05</v>
      </c>
      <c r="P7733" s="188"/>
    </row>
    <row r="7734" spans="1:16" x14ac:dyDescent="0.2">
      <c r="A7734" s="183">
        <v>1007</v>
      </c>
      <c r="B7734" s="249" t="str">
        <f>IF(AND(A7734&lt;&gt;"",ISNUMBER(A7734)),VLOOKUP(A7734,Studies!A:BR,2,FALSE),"")</f>
        <v>Villikka 1997</v>
      </c>
      <c r="C7734" s="250" t="str">
        <f>IF(AND(A7734&lt;&gt;"",ISNUMBER(A7734)),VLOOKUP(A7734,Studies!A:BR,3,FALSE),"")</f>
        <v>https://www.ncbi.nlm.nih.gov/pubmed/9024169</v>
      </c>
      <c r="D7734" s="250" t="str">
        <f>IF(AND(A7734&lt;&gt;"",ISNUMBER(A7734)),VLOOKUP(A7734,Studies!A:BR,4,FALSE),"")</f>
        <v>Control arm (pretreatment with placebo for 5 days); Subject 3</v>
      </c>
      <c r="E7734" s="250" t="str">
        <f>IF(AND(A7734&lt;&gt;"",ISNUMBER(A7734)),VLOOKUP(A7734,Studies!A:BR,5,FALSE),"")</f>
        <v>Triazolam</v>
      </c>
      <c r="F7734" s="251" t="str">
        <f>IF(AND(A7734&lt;&gt;"",ISNUMBER(A7734)),VLOOKUP(A7734,Studies!A:BR,6,FALSE),"")</f>
        <v>Plasma</v>
      </c>
      <c r="G7734" s="194">
        <v>4</v>
      </c>
      <c r="H7734" s="194" t="s">
        <v>60</v>
      </c>
      <c r="I7734" s="187">
        <v>1.945654</v>
      </c>
      <c r="J7734" s="187" t="s">
        <v>941</v>
      </c>
      <c r="K7734" s="187" t="s">
        <v>239</v>
      </c>
      <c r="O7734" s="59">
        <v>0.05</v>
      </c>
      <c r="P7734" s="188"/>
    </row>
    <row r="7735" spans="1:16" x14ac:dyDescent="0.2">
      <c r="A7735" s="183">
        <v>1007</v>
      </c>
      <c r="B7735" s="249" t="str">
        <f>IF(AND(A7735&lt;&gt;"",ISNUMBER(A7735)),VLOOKUP(A7735,Studies!A:BR,2,FALSE),"")</f>
        <v>Villikka 1997</v>
      </c>
      <c r="C7735" s="250" t="str">
        <f>IF(AND(A7735&lt;&gt;"",ISNUMBER(A7735)),VLOOKUP(A7735,Studies!A:BR,3,FALSE),"")</f>
        <v>https://www.ncbi.nlm.nih.gov/pubmed/9024169</v>
      </c>
      <c r="D7735" s="250" t="str">
        <f>IF(AND(A7735&lt;&gt;"",ISNUMBER(A7735)),VLOOKUP(A7735,Studies!A:BR,4,FALSE),"")</f>
        <v>Control arm (pretreatment with placebo for 5 days); Subject 3</v>
      </c>
      <c r="E7735" s="250" t="str">
        <f>IF(AND(A7735&lt;&gt;"",ISNUMBER(A7735)),VLOOKUP(A7735,Studies!A:BR,5,FALSE),"")</f>
        <v>Triazolam</v>
      </c>
      <c r="F7735" s="251" t="str">
        <f>IF(AND(A7735&lt;&gt;"",ISNUMBER(A7735)),VLOOKUP(A7735,Studies!A:BR,6,FALSE),"")</f>
        <v>Plasma</v>
      </c>
      <c r="G7735" s="194">
        <v>5</v>
      </c>
      <c r="H7735" s="194" t="s">
        <v>60</v>
      </c>
      <c r="I7735" s="187">
        <v>1.5388660000000001</v>
      </c>
      <c r="J7735" s="187" t="s">
        <v>941</v>
      </c>
      <c r="K7735" s="187" t="s">
        <v>239</v>
      </c>
      <c r="O7735" s="59">
        <v>0.05</v>
      </c>
      <c r="P7735" s="188"/>
    </row>
    <row r="7736" spans="1:16" x14ac:dyDescent="0.2">
      <c r="A7736" s="183">
        <v>1007</v>
      </c>
      <c r="B7736" s="249" t="str">
        <f>IF(AND(A7736&lt;&gt;"",ISNUMBER(A7736)),VLOOKUP(A7736,Studies!A:BR,2,FALSE),"")</f>
        <v>Villikka 1997</v>
      </c>
      <c r="C7736" s="250" t="str">
        <f>IF(AND(A7736&lt;&gt;"",ISNUMBER(A7736)),VLOOKUP(A7736,Studies!A:BR,3,FALSE),"")</f>
        <v>https://www.ncbi.nlm.nih.gov/pubmed/9024169</v>
      </c>
      <c r="D7736" s="250" t="str">
        <f>IF(AND(A7736&lt;&gt;"",ISNUMBER(A7736)),VLOOKUP(A7736,Studies!A:BR,4,FALSE),"")</f>
        <v>Control arm (pretreatment with placebo for 5 days); Subject 3</v>
      </c>
      <c r="E7736" s="250" t="str">
        <f>IF(AND(A7736&lt;&gt;"",ISNUMBER(A7736)),VLOOKUP(A7736,Studies!A:BR,5,FALSE),"")</f>
        <v>Triazolam</v>
      </c>
      <c r="F7736" s="251" t="str">
        <f>IF(AND(A7736&lt;&gt;"",ISNUMBER(A7736)),VLOOKUP(A7736,Studies!A:BR,6,FALSE),"")</f>
        <v>Plasma</v>
      </c>
      <c r="G7736" s="194">
        <v>6</v>
      </c>
      <c r="H7736" s="194" t="s">
        <v>60</v>
      </c>
      <c r="I7736" s="187">
        <v>1.2640199999999999</v>
      </c>
      <c r="J7736" s="187" t="s">
        <v>941</v>
      </c>
      <c r="K7736" s="187" t="s">
        <v>239</v>
      </c>
      <c r="O7736" s="59">
        <v>0.05</v>
      </c>
      <c r="P7736" s="188"/>
    </row>
    <row r="7737" spans="1:16" x14ac:dyDescent="0.2">
      <c r="A7737" s="183">
        <v>1007</v>
      </c>
      <c r="B7737" s="249" t="str">
        <f>IF(AND(A7737&lt;&gt;"",ISNUMBER(A7737)),VLOOKUP(A7737,Studies!A:BR,2,FALSE),"")</f>
        <v>Villikka 1997</v>
      </c>
      <c r="C7737" s="250" t="str">
        <f>IF(AND(A7737&lt;&gt;"",ISNUMBER(A7737)),VLOOKUP(A7737,Studies!A:BR,3,FALSE),"")</f>
        <v>https://www.ncbi.nlm.nih.gov/pubmed/9024169</v>
      </c>
      <c r="D7737" s="250" t="str">
        <f>IF(AND(A7737&lt;&gt;"",ISNUMBER(A7737)),VLOOKUP(A7737,Studies!A:BR,4,FALSE),"")</f>
        <v>Control arm (pretreatment with placebo for 5 days); Subject 3</v>
      </c>
      <c r="E7737" s="250" t="str">
        <f>IF(AND(A7737&lt;&gt;"",ISNUMBER(A7737)),VLOOKUP(A7737,Studies!A:BR,5,FALSE),"")</f>
        <v>Triazolam</v>
      </c>
      <c r="F7737" s="251" t="str">
        <f>IF(AND(A7737&lt;&gt;"",ISNUMBER(A7737)),VLOOKUP(A7737,Studies!A:BR,6,FALSE),"")</f>
        <v>Plasma</v>
      </c>
      <c r="G7737" s="194">
        <v>8</v>
      </c>
      <c r="H7737" s="194" t="s">
        <v>60</v>
      </c>
      <c r="I7737" s="187">
        <v>0.72615419999999997</v>
      </c>
      <c r="J7737" s="187" t="s">
        <v>941</v>
      </c>
      <c r="K7737" s="187" t="s">
        <v>239</v>
      </c>
      <c r="O7737" s="59">
        <v>0.05</v>
      </c>
      <c r="P7737" s="188"/>
    </row>
    <row r="7738" spans="1:16" x14ac:dyDescent="0.2">
      <c r="A7738" s="183">
        <v>1007</v>
      </c>
      <c r="B7738" s="249" t="str">
        <f>IF(AND(A7738&lt;&gt;"",ISNUMBER(A7738)),VLOOKUP(A7738,Studies!A:BR,2,FALSE),"")</f>
        <v>Villikka 1997</v>
      </c>
      <c r="C7738" s="250" t="str">
        <f>IF(AND(A7738&lt;&gt;"",ISNUMBER(A7738)),VLOOKUP(A7738,Studies!A:BR,3,FALSE),"")</f>
        <v>https://www.ncbi.nlm.nih.gov/pubmed/9024169</v>
      </c>
      <c r="D7738" s="250" t="str">
        <f>IF(AND(A7738&lt;&gt;"",ISNUMBER(A7738)),VLOOKUP(A7738,Studies!A:BR,4,FALSE),"")</f>
        <v>Control arm (pretreatment with placebo for 5 days); Subject 3</v>
      </c>
      <c r="E7738" s="250" t="str">
        <f>IF(AND(A7738&lt;&gt;"",ISNUMBER(A7738)),VLOOKUP(A7738,Studies!A:BR,5,FALSE),"")</f>
        <v>Triazolam</v>
      </c>
      <c r="F7738" s="251" t="str">
        <f>IF(AND(A7738&lt;&gt;"",ISNUMBER(A7738)),VLOOKUP(A7738,Studies!A:BR,6,FALSE),"")</f>
        <v>Plasma</v>
      </c>
      <c r="G7738" s="194">
        <v>10</v>
      </c>
      <c r="H7738" s="194" t="s">
        <v>60</v>
      </c>
      <c r="I7738" s="187">
        <v>0.41323409999999999</v>
      </c>
      <c r="J7738" s="187" t="s">
        <v>941</v>
      </c>
      <c r="K7738" s="187" t="s">
        <v>239</v>
      </c>
      <c r="O7738" s="59">
        <v>0.05</v>
      </c>
      <c r="P7738" s="188"/>
    </row>
    <row r="7739" spans="1:16" x14ac:dyDescent="0.2">
      <c r="A7739" s="183">
        <v>1008</v>
      </c>
      <c r="B7739" s="249" t="str">
        <f>IF(AND(A7739&lt;&gt;"",ISNUMBER(A7739)),VLOOKUP(A7739,Studies!A:BR,2,FALSE),"")</f>
        <v>Villikka 1997</v>
      </c>
      <c r="C7739" s="250" t="str">
        <f>IF(AND(A7739&lt;&gt;"",ISNUMBER(A7739)),VLOOKUP(A7739,Studies!A:BR,3,FALSE),"")</f>
        <v>https://www.ncbi.nlm.nih.gov/pubmed/9024169</v>
      </c>
      <c r="D7739" s="250" t="str">
        <f>IF(AND(A7739&lt;&gt;"",ISNUMBER(A7739)),VLOOKUP(A7739,Studies!A:BR,4,FALSE),"")</f>
        <v>Control arm (pretreatment with placebo for 5 days); Subject 4</v>
      </c>
      <c r="E7739" s="250" t="str">
        <f>IF(AND(A7739&lt;&gt;"",ISNUMBER(A7739)),VLOOKUP(A7739,Studies!A:BR,5,FALSE),"")</f>
        <v>Triazolam</v>
      </c>
      <c r="F7739" s="251" t="str">
        <f>IF(AND(A7739&lt;&gt;"",ISNUMBER(A7739)),VLOOKUP(A7739,Studies!A:BR,6,FALSE),"")</f>
        <v>Plasma</v>
      </c>
      <c r="G7739" s="194">
        <v>0.5</v>
      </c>
      <c r="H7739" s="194" t="s">
        <v>60</v>
      </c>
      <c r="I7739" s="187">
        <v>0.39665640000000002</v>
      </c>
      <c r="J7739" s="187" t="s">
        <v>941</v>
      </c>
      <c r="K7739" s="187" t="s">
        <v>239</v>
      </c>
      <c r="O7739" s="59">
        <v>0.05</v>
      </c>
      <c r="P7739" s="188" t="s">
        <v>2612</v>
      </c>
    </row>
    <row r="7740" spans="1:16" x14ac:dyDescent="0.2">
      <c r="A7740" s="183">
        <v>1008</v>
      </c>
      <c r="B7740" s="249" t="str">
        <f>IF(AND(A7740&lt;&gt;"",ISNUMBER(A7740)),VLOOKUP(A7740,Studies!A:BR,2,FALSE),"")</f>
        <v>Villikka 1997</v>
      </c>
      <c r="C7740" s="250" t="str">
        <f>IF(AND(A7740&lt;&gt;"",ISNUMBER(A7740)),VLOOKUP(A7740,Studies!A:BR,3,FALSE),"")</f>
        <v>https://www.ncbi.nlm.nih.gov/pubmed/9024169</v>
      </c>
      <c r="D7740" s="250" t="str">
        <f>IF(AND(A7740&lt;&gt;"",ISNUMBER(A7740)),VLOOKUP(A7740,Studies!A:BR,4,FALSE),"")</f>
        <v>Control arm (pretreatment with placebo for 5 days); Subject 4</v>
      </c>
      <c r="E7740" s="250" t="str">
        <f>IF(AND(A7740&lt;&gt;"",ISNUMBER(A7740)),VLOOKUP(A7740,Studies!A:BR,5,FALSE),"")</f>
        <v>Triazolam</v>
      </c>
      <c r="F7740" s="251" t="str">
        <f>IF(AND(A7740&lt;&gt;"",ISNUMBER(A7740)),VLOOKUP(A7740,Studies!A:BR,6,FALSE),"")</f>
        <v>Plasma</v>
      </c>
      <c r="G7740" s="194">
        <v>1</v>
      </c>
      <c r="H7740" s="194" t="s">
        <v>60</v>
      </c>
      <c r="I7740" s="187">
        <v>1.3401959999999999</v>
      </c>
      <c r="J7740" s="187" t="s">
        <v>941</v>
      </c>
      <c r="K7740" s="187" t="s">
        <v>239</v>
      </c>
      <c r="O7740" s="59">
        <v>0.05</v>
      </c>
      <c r="P7740" s="188"/>
    </row>
    <row r="7741" spans="1:16" x14ac:dyDescent="0.2">
      <c r="A7741" s="183">
        <v>1008</v>
      </c>
      <c r="B7741" s="249" t="str">
        <f>IF(AND(A7741&lt;&gt;"",ISNUMBER(A7741)),VLOOKUP(A7741,Studies!A:BR,2,FALSE),"")</f>
        <v>Villikka 1997</v>
      </c>
      <c r="C7741" s="250" t="str">
        <f>IF(AND(A7741&lt;&gt;"",ISNUMBER(A7741)),VLOOKUP(A7741,Studies!A:BR,3,FALSE),"")</f>
        <v>https://www.ncbi.nlm.nih.gov/pubmed/9024169</v>
      </c>
      <c r="D7741" s="250" t="str">
        <f>IF(AND(A7741&lt;&gt;"",ISNUMBER(A7741)),VLOOKUP(A7741,Studies!A:BR,4,FALSE),"")</f>
        <v>Control arm (pretreatment with placebo for 5 days); Subject 4</v>
      </c>
      <c r="E7741" s="250" t="str">
        <f>IF(AND(A7741&lt;&gt;"",ISNUMBER(A7741)),VLOOKUP(A7741,Studies!A:BR,5,FALSE),"")</f>
        <v>Triazolam</v>
      </c>
      <c r="F7741" s="251" t="str">
        <f>IF(AND(A7741&lt;&gt;"",ISNUMBER(A7741)),VLOOKUP(A7741,Studies!A:BR,6,FALSE),"")</f>
        <v>Plasma</v>
      </c>
      <c r="G7741" s="194">
        <v>1.5</v>
      </c>
      <c r="H7741" s="194" t="s">
        <v>60</v>
      </c>
      <c r="I7741" s="187">
        <v>1.9009830000000001</v>
      </c>
      <c r="J7741" s="187" t="s">
        <v>941</v>
      </c>
      <c r="K7741" s="187" t="s">
        <v>239</v>
      </c>
      <c r="O7741" s="59">
        <v>0.05</v>
      </c>
      <c r="P7741" s="188"/>
    </row>
    <row r="7742" spans="1:16" x14ac:dyDescent="0.2">
      <c r="A7742" s="183">
        <v>1008</v>
      </c>
      <c r="B7742" s="249" t="str">
        <f>IF(AND(A7742&lt;&gt;"",ISNUMBER(A7742)),VLOOKUP(A7742,Studies!A:BR,2,FALSE),"")</f>
        <v>Villikka 1997</v>
      </c>
      <c r="C7742" s="250" t="str">
        <f>IF(AND(A7742&lt;&gt;"",ISNUMBER(A7742)),VLOOKUP(A7742,Studies!A:BR,3,FALSE),"")</f>
        <v>https://www.ncbi.nlm.nih.gov/pubmed/9024169</v>
      </c>
      <c r="D7742" s="250" t="str">
        <f>IF(AND(A7742&lt;&gt;"",ISNUMBER(A7742)),VLOOKUP(A7742,Studies!A:BR,4,FALSE),"")</f>
        <v>Control arm (pretreatment with placebo for 5 days); Subject 4</v>
      </c>
      <c r="E7742" s="250" t="str">
        <f>IF(AND(A7742&lt;&gt;"",ISNUMBER(A7742)),VLOOKUP(A7742,Studies!A:BR,5,FALSE),"")</f>
        <v>Triazolam</v>
      </c>
      <c r="F7742" s="251" t="str">
        <f>IF(AND(A7742&lt;&gt;"",ISNUMBER(A7742)),VLOOKUP(A7742,Studies!A:BR,6,FALSE),"")</f>
        <v>Plasma</v>
      </c>
      <c r="G7742" s="194">
        <v>2</v>
      </c>
      <c r="H7742" s="194" t="s">
        <v>60</v>
      </c>
      <c r="I7742" s="187">
        <v>1.9018740000000001</v>
      </c>
      <c r="J7742" s="187" t="s">
        <v>941</v>
      </c>
      <c r="K7742" s="187" t="s">
        <v>239</v>
      </c>
      <c r="O7742" s="59">
        <v>0.05</v>
      </c>
      <c r="P7742" s="188"/>
    </row>
    <row r="7743" spans="1:16" x14ac:dyDescent="0.2">
      <c r="A7743" s="183">
        <v>1008</v>
      </c>
      <c r="B7743" s="249" t="str">
        <f>IF(AND(A7743&lt;&gt;"",ISNUMBER(A7743)),VLOOKUP(A7743,Studies!A:BR,2,FALSE),"")</f>
        <v>Villikka 1997</v>
      </c>
      <c r="C7743" s="250" t="str">
        <f>IF(AND(A7743&lt;&gt;"",ISNUMBER(A7743)),VLOOKUP(A7743,Studies!A:BR,3,FALSE),"")</f>
        <v>https://www.ncbi.nlm.nih.gov/pubmed/9024169</v>
      </c>
      <c r="D7743" s="250" t="str">
        <f>IF(AND(A7743&lt;&gt;"",ISNUMBER(A7743)),VLOOKUP(A7743,Studies!A:BR,4,FALSE),"")</f>
        <v>Control arm (pretreatment with placebo for 5 days); Subject 4</v>
      </c>
      <c r="E7743" s="250" t="str">
        <f>IF(AND(A7743&lt;&gt;"",ISNUMBER(A7743)),VLOOKUP(A7743,Studies!A:BR,5,FALSE),"")</f>
        <v>Triazolam</v>
      </c>
      <c r="F7743" s="251" t="str">
        <f>IF(AND(A7743&lt;&gt;"",ISNUMBER(A7743)),VLOOKUP(A7743,Studies!A:BR,6,FALSE),"")</f>
        <v>Plasma</v>
      </c>
      <c r="G7743" s="194">
        <v>3</v>
      </c>
      <c r="H7743" s="194" t="s">
        <v>60</v>
      </c>
      <c r="I7743" s="187">
        <v>1.5763149999999999</v>
      </c>
      <c r="J7743" s="187" t="s">
        <v>941</v>
      </c>
      <c r="K7743" s="187" t="s">
        <v>239</v>
      </c>
      <c r="O7743" s="59">
        <v>0.05</v>
      </c>
      <c r="P7743" s="188"/>
    </row>
    <row r="7744" spans="1:16" x14ac:dyDescent="0.2">
      <c r="A7744" s="183">
        <v>1008</v>
      </c>
      <c r="B7744" s="249" t="str">
        <f>IF(AND(A7744&lt;&gt;"",ISNUMBER(A7744)),VLOOKUP(A7744,Studies!A:BR,2,FALSE),"")</f>
        <v>Villikka 1997</v>
      </c>
      <c r="C7744" s="250" t="str">
        <f>IF(AND(A7744&lt;&gt;"",ISNUMBER(A7744)),VLOOKUP(A7744,Studies!A:BR,3,FALSE),"")</f>
        <v>https://www.ncbi.nlm.nih.gov/pubmed/9024169</v>
      </c>
      <c r="D7744" s="250" t="str">
        <f>IF(AND(A7744&lt;&gt;"",ISNUMBER(A7744)),VLOOKUP(A7744,Studies!A:BR,4,FALSE),"")</f>
        <v>Control arm (pretreatment with placebo for 5 days); Subject 4</v>
      </c>
      <c r="E7744" s="250" t="str">
        <f>IF(AND(A7744&lt;&gt;"",ISNUMBER(A7744)),VLOOKUP(A7744,Studies!A:BR,5,FALSE),"")</f>
        <v>Triazolam</v>
      </c>
      <c r="F7744" s="251" t="str">
        <f>IF(AND(A7744&lt;&gt;"",ISNUMBER(A7744)),VLOOKUP(A7744,Studies!A:BR,6,FALSE),"")</f>
        <v>Plasma</v>
      </c>
      <c r="G7744" s="194">
        <v>4</v>
      </c>
      <c r="H7744" s="194" t="s">
        <v>60</v>
      </c>
      <c r="I7744" s="187">
        <v>1.3313699999999999</v>
      </c>
      <c r="J7744" s="187" t="s">
        <v>941</v>
      </c>
      <c r="K7744" s="187" t="s">
        <v>239</v>
      </c>
      <c r="O7744" s="59">
        <v>0.05</v>
      </c>
      <c r="P7744" s="188"/>
    </row>
    <row r="7745" spans="1:16" x14ac:dyDescent="0.2">
      <c r="A7745" s="183">
        <v>1008</v>
      </c>
      <c r="B7745" s="249" t="str">
        <f>IF(AND(A7745&lt;&gt;"",ISNUMBER(A7745)),VLOOKUP(A7745,Studies!A:BR,2,FALSE),"")</f>
        <v>Villikka 1997</v>
      </c>
      <c r="C7745" s="250" t="str">
        <f>IF(AND(A7745&lt;&gt;"",ISNUMBER(A7745)),VLOOKUP(A7745,Studies!A:BR,3,FALSE),"")</f>
        <v>https://www.ncbi.nlm.nih.gov/pubmed/9024169</v>
      </c>
      <c r="D7745" s="250" t="str">
        <f>IF(AND(A7745&lt;&gt;"",ISNUMBER(A7745)),VLOOKUP(A7745,Studies!A:BR,4,FALSE),"")</f>
        <v>Control arm (pretreatment with placebo for 5 days); Subject 4</v>
      </c>
      <c r="E7745" s="250" t="str">
        <f>IF(AND(A7745&lt;&gt;"",ISNUMBER(A7745)),VLOOKUP(A7745,Studies!A:BR,5,FALSE),"")</f>
        <v>Triazolam</v>
      </c>
      <c r="F7745" s="251" t="str">
        <f>IF(AND(A7745&lt;&gt;"",ISNUMBER(A7745)),VLOOKUP(A7745,Studies!A:BR,6,FALSE),"")</f>
        <v>Plasma</v>
      </c>
      <c r="G7745" s="194">
        <v>5</v>
      </c>
      <c r="H7745" s="194" t="s">
        <v>60</v>
      </c>
      <c r="I7745" s="187">
        <v>1.072675</v>
      </c>
      <c r="J7745" s="187" t="s">
        <v>941</v>
      </c>
      <c r="K7745" s="187" t="s">
        <v>239</v>
      </c>
      <c r="O7745" s="59">
        <v>0.05</v>
      </c>
      <c r="P7745" s="188"/>
    </row>
    <row r="7746" spans="1:16" x14ac:dyDescent="0.2">
      <c r="A7746" s="183">
        <v>1008</v>
      </c>
      <c r="B7746" s="249" t="str">
        <f>IF(AND(A7746&lt;&gt;"",ISNUMBER(A7746)),VLOOKUP(A7746,Studies!A:BR,2,FALSE),"")</f>
        <v>Villikka 1997</v>
      </c>
      <c r="C7746" s="250" t="str">
        <f>IF(AND(A7746&lt;&gt;"",ISNUMBER(A7746)),VLOOKUP(A7746,Studies!A:BR,3,FALSE),"")</f>
        <v>https://www.ncbi.nlm.nih.gov/pubmed/9024169</v>
      </c>
      <c r="D7746" s="250" t="str">
        <f>IF(AND(A7746&lt;&gt;"",ISNUMBER(A7746)),VLOOKUP(A7746,Studies!A:BR,4,FALSE),"")</f>
        <v>Control arm (pretreatment with placebo for 5 days); Subject 4</v>
      </c>
      <c r="E7746" s="250" t="str">
        <f>IF(AND(A7746&lt;&gt;"",ISNUMBER(A7746)),VLOOKUP(A7746,Studies!A:BR,5,FALSE),"")</f>
        <v>Triazolam</v>
      </c>
      <c r="F7746" s="251" t="str">
        <f>IF(AND(A7746&lt;&gt;"",ISNUMBER(A7746)),VLOOKUP(A7746,Studies!A:BR,6,FALSE),"")</f>
        <v>Plasma</v>
      </c>
      <c r="G7746" s="194">
        <v>6</v>
      </c>
      <c r="H7746" s="194" t="s">
        <v>60</v>
      </c>
      <c r="I7746" s="187">
        <v>0.95877029999999996</v>
      </c>
      <c r="J7746" s="187" t="s">
        <v>941</v>
      </c>
      <c r="K7746" s="187" t="s">
        <v>239</v>
      </c>
      <c r="O7746" s="59">
        <v>0.05</v>
      </c>
      <c r="P7746" s="188"/>
    </row>
    <row r="7747" spans="1:16" x14ac:dyDescent="0.2">
      <c r="A7747" s="183">
        <v>1008</v>
      </c>
      <c r="B7747" s="249" t="str">
        <f>IF(AND(A7747&lt;&gt;"",ISNUMBER(A7747)),VLOOKUP(A7747,Studies!A:BR,2,FALSE),"")</f>
        <v>Villikka 1997</v>
      </c>
      <c r="C7747" s="250" t="str">
        <f>IF(AND(A7747&lt;&gt;"",ISNUMBER(A7747)),VLOOKUP(A7747,Studies!A:BR,3,FALSE),"")</f>
        <v>https://www.ncbi.nlm.nih.gov/pubmed/9024169</v>
      </c>
      <c r="D7747" s="250" t="str">
        <f>IF(AND(A7747&lt;&gt;"",ISNUMBER(A7747)),VLOOKUP(A7747,Studies!A:BR,4,FALSE),"")</f>
        <v>Control arm (pretreatment with placebo for 5 days); Subject 4</v>
      </c>
      <c r="E7747" s="250" t="str">
        <f>IF(AND(A7747&lt;&gt;"",ISNUMBER(A7747)),VLOOKUP(A7747,Studies!A:BR,5,FALSE),"")</f>
        <v>Triazolam</v>
      </c>
      <c r="F7747" s="251" t="str">
        <f>IF(AND(A7747&lt;&gt;"",ISNUMBER(A7747)),VLOOKUP(A7747,Studies!A:BR,6,FALSE),"")</f>
        <v>Plasma</v>
      </c>
      <c r="G7747" s="194">
        <v>8</v>
      </c>
      <c r="H7747" s="194" t="s">
        <v>60</v>
      </c>
      <c r="I7747" s="187">
        <v>0.60502690000000003</v>
      </c>
      <c r="J7747" s="187" t="s">
        <v>941</v>
      </c>
      <c r="K7747" s="187" t="s">
        <v>239</v>
      </c>
      <c r="O7747" s="59">
        <v>0.05</v>
      </c>
      <c r="P7747" s="188"/>
    </row>
    <row r="7748" spans="1:16" x14ac:dyDescent="0.2">
      <c r="A7748" s="183">
        <v>1008</v>
      </c>
      <c r="B7748" s="249" t="str">
        <f>IF(AND(A7748&lt;&gt;"",ISNUMBER(A7748)),VLOOKUP(A7748,Studies!A:BR,2,FALSE),"")</f>
        <v>Villikka 1997</v>
      </c>
      <c r="C7748" s="250" t="str">
        <f>IF(AND(A7748&lt;&gt;"",ISNUMBER(A7748)),VLOOKUP(A7748,Studies!A:BR,3,FALSE),"")</f>
        <v>https://www.ncbi.nlm.nih.gov/pubmed/9024169</v>
      </c>
      <c r="D7748" s="250" t="str">
        <f>IF(AND(A7748&lt;&gt;"",ISNUMBER(A7748)),VLOOKUP(A7748,Studies!A:BR,4,FALSE),"")</f>
        <v>Control arm (pretreatment with placebo for 5 days); Subject 4</v>
      </c>
      <c r="E7748" s="250" t="str">
        <f>IF(AND(A7748&lt;&gt;"",ISNUMBER(A7748)),VLOOKUP(A7748,Studies!A:BR,5,FALSE),"")</f>
        <v>Triazolam</v>
      </c>
      <c r="F7748" s="251" t="str">
        <f>IF(AND(A7748&lt;&gt;"",ISNUMBER(A7748)),VLOOKUP(A7748,Studies!A:BR,6,FALSE),"")</f>
        <v>Plasma</v>
      </c>
      <c r="G7748" s="194">
        <v>10</v>
      </c>
      <c r="H7748" s="194" t="s">
        <v>60</v>
      </c>
      <c r="I7748" s="187">
        <v>0.4316181</v>
      </c>
      <c r="J7748" s="187" t="s">
        <v>941</v>
      </c>
      <c r="K7748" s="187" t="s">
        <v>239</v>
      </c>
      <c r="O7748" s="59">
        <v>0.05</v>
      </c>
      <c r="P7748" s="188"/>
    </row>
    <row r="7749" spans="1:16" x14ac:dyDescent="0.2">
      <c r="A7749" s="183">
        <v>1009</v>
      </c>
      <c r="B7749" s="249" t="str">
        <f>IF(AND(A7749&lt;&gt;"",ISNUMBER(A7749)),VLOOKUP(A7749,Studies!A:BR,2,FALSE),"")</f>
        <v>Villikka 1997</v>
      </c>
      <c r="C7749" s="250" t="str">
        <f>IF(AND(A7749&lt;&gt;"",ISNUMBER(A7749)),VLOOKUP(A7749,Studies!A:BR,3,FALSE),"")</f>
        <v>https://www.ncbi.nlm.nih.gov/pubmed/9024169</v>
      </c>
      <c r="D7749" s="250" t="str">
        <f>IF(AND(A7749&lt;&gt;"",ISNUMBER(A7749)),VLOOKUP(A7749,Studies!A:BR,4,FALSE),"")</f>
        <v>Control arm (pretreatment with placebo for 5 days); Subject 5</v>
      </c>
      <c r="E7749" s="250" t="str">
        <f>IF(AND(A7749&lt;&gt;"",ISNUMBER(A7749)),VLOOKUP(A7749,Studies!A:BR,5,FALSE),"")</f>
        <v>Triazolam</v>
      </c>
      <c r="F7749" s="251" t="str">
        <f>IF(AND(A7749&lt;&gt;"",ISNUMBER(A7749)),VLOOKUP(A7749,Studies!A:BR,6,FALSE),"")</f>
        <v>Plasma</v>
      </c>
      <c r="G7749" s="194">
        <v>0.5</v>
      </c>
      <c r="H7749" s="194" t="s">
        <v>60</v>
      </c>
      <c r="I7749" s="187">
        <v>2.657591</v>
      </c>
      <c r="J7749" s="187" t="s">
        <v>941</v>
      </c>
      <c r="K7749" s="187" t="s">
        <v>239</v>
      </c>
      <c r="O7749" s="59">
        <v>0.05</v>
      </c>
      <c r="P7749" s="188" t="s">
        <v>2612</v>
      </c>
    </row>
    <row r="7750" spans="1:16" x14ac:dyDescent="0.2">
      <c r="A7750" s="183">
        <v>1009</v>
      </c>
      <c r="B7750" s="249" t="str">
        <f>IF(AND(A7750&lt;&gt;"",ISNUMBER(A7750)),VLOOKUP(A7750,Studies!A:BR,2,FALSE),"")</f>
        <v>Villikka 1997</v>
      </c>
      <c r="C7750" s="250" t="str">
        <f>IF(AND(A7750&lt;&gt;"",ISNUMBER(A7750)),VLOOKUP(A7750,Studies!A:BR,3,FALSE),"")</f>
        <v>https://www.ncbi.nlm.nih.gov/pubmed/9024169</v>
      </c>
      <c r="D7750" s="250" t="str">
        <f>IF(AND(A7750&lt;&gt;"",ISNUMBER(A7750)),VLOOKUP(A7750,Studies!A:BR,4,FALSE),"")</f>
        <v>Control arm (pretreatment with placebo for 5 days); Subject 5</v>
      </c>
      <c r="E7750" s="250" t="str">
        <f>IF(AND(A7750&lt;&gt;"",ISNUMBER(A7750)),VLOOKUP(A7750,Studies!A:BR,5,FALSE),"")</f>
        <v>Triazolam</v>
      </c>
      <c r="F7750" s="251" t="str">
        <f>IF(AND(A7750&lt;&gt;"",ISNUMBER(A7750)),VLOOKUP(A7750,Studies!A:BR,6,FALSE),"")</f>
        <v>Plasma</v>
      </c>
      <c r="G7750" s="194">
        <v>1</v>
      </c>
      <c r="H7750" s="194" t="s">
        <v>60</v>
      </c>
      <c r="I7750" s="187">
        <v>3.5745480000000001</v>
      </c>
      <c r="J7750" s="187" t="s">
        <v>941</v>
      </c>
      <c r="K7750" s="187" t="s">
        <v>239</v>
      </c>
      <c r="O7750" s="59">
        <v>0.05</v>
      </c>
      <c r="P7750" s="188"/>
    </row>
    <row r="7751" spans="1:16" x14ac:dyDescent="0.2">
      <c r="A7751" s="183">
        <v>1009</v>
      </c>
      <c r="B7751" s="249" t="str">
        <f>IF(AND(A7751&lt;&gt;"",ISNUMBER(A7751)),VLOOKUP(A7751,Studies!A:BR,2,FALSE),"")</f>
        <v>Villikka 1997</v>
      </c>
      <c r="C7751" s="250" t="str">
        <f>IF(AND(A7751&lt;&gt;"",ISNUMBER(A7751)),VLOOKUP(A7751,Studies!A:BR,3,FALSE),"")</f>
        <v>https://www.ncbi.nlm.nih.gov/pubmed/9024169</v>
      </c>
      <c r="D7751" s="250" t="str">
        <f>IF(AND(A7751&lt;&gt;"",ISNUMBER(A7751)),VLOOKUP(A7751,Studies!A:BR,4,FALSE),"")</f>
        <v>Control arm (pretreatment with placebo for 5 days); Subject 5</v>
      </c>
      <c r="E7751" s="250" t="str">
        <f>IF(AND(A7751&lt;&gt;"",ISNUMBER(A7751)),VLOOKUP(A7751,Studies!A:BR,5,FALSE),"")</f>
        <v>Triazolam</v>
      </c>
      <c r="F7751" s="251" t="str">
        <f>IF(AND(A7751&lt;&gt;"",ISNUMBER(A7751)),VLOOKUP(A7751,Studies!A:BR,6,FALSE),"")</f>
        <v>Plasma</v>
      </c>
      <c r="G7751" s="194">
        <v>1.5</v>
      </c>
      <c r="H7751" s="194" t="s">
        <v>60</v>
      </c>
      <c r="I7751" s="187">
        <v>3.7526039999999998</v>
      </c>
      <c r="J7751" s="187" t="s">
        <v>941</v>
      </c>
      <c r="K7751" s="187" t="s">
        <v>239</v>
      </c>
      <c r="O7751" s="59">
        <v>0.05</v>
      </c>
      <c r="P7751" s="188"/>
    </row>
    <row r="7752" spans="1:16" x14ac:dyDescent="0.2">
      <c r="A7752" s="183">
        <v>1009</v>
      </c>
      <c r="B7752" s="249" t="str">
        <f>IF(AND(A7752&lt;&gt;"",ISNUMBER(A7752)),VLOOKUP(A7752,Studies!A:BR,2,FALSE),"")</f>
        <v>Villikka 1997</v>
      </c>
      <c r="C7752" s="250" t="str">
        <f>IF(AND(A7752&lt;&gt;"",ISNUMBER(A7752)),VLOOKUP(A7752,Studies!A:BR,3,FALSE),"")</f>
        <v>https://www.ncbi.nlm.nih.gov/pubmed/9024169</v>
      </c>
      <c r="D7752" s="250" t="str">
        <f>IF(AND(A7752&lt;&gt;"",ISNUMBER(A7752)),VLOOKUP(A7752,Studies!A:BR,4,FALSE),"")</f>
        <v>Control arm (pretreatment with placebo for 5 days); Subject 5</v>
      </c>
      <c r="E7752" s="250" t="str">
        <f>IF(AND(A7752&lt;&gt;"",ISNUMBER(A7752)),VLOOKUP(A7752,Studies!A:BR,5,FALSE),"")</f>
        <v>Triazolam</v>
      </c>
      <c r="F7752" s="251" t="str">
        <f>IF(AND(A7752&lt;&gt;"",ISNUMBER(A7752)),VLOOKUP(A7752,Studies!A:BR,6,FALSE),"")</f>
        <v>Plasma</v>
      </c>
      <c r="G7752" s="194">
        <v>2</v>
      </c>
      <c r="H7752" s="194" t="s">
        <v>60</v>
      </c>
      <c r="I7752" s="187">
        <v>3.2559300000000002</v>
      </c>
      <c r="J7752" s="187" t="s">
        <v>941</v>
      </c>
      <c r="K7752" s="187" t="s">
        <v>239</v>
      </c>
      <c r="O7752" s="59">
        <v>0.05</v>
      </c>
      <c r="P7752" s="188"/>
    </row>
    <row r="7753" spans="1:16" x14ac:dyDescent="0.2">
      <c r="A7753" s="183">
        <v>1009</v>
      </c>
      <c r="B7753" s="249" t="str">
        <f>IF(AND(A7753&lt;&gt;"",ISNUMBER(A7753)),VLOOKUP(A7753,Studies!A:BR,2,FALSE),"")</f>
        <v>Villikka 1997</v>
      </c>
      <c r="C7753" s="250" t="str">
        <f>IF(AND(A7753&lt;&gt;"",ISNUMBER(A7753)),VLOOKUP(A7753,Studies!A:BR,3,FALSE),"")</f>
        <v>https://www.ncbi.nlm.nih.gov/pubmed/9024169</v>
      </c>
      <c r="D7753" s="250" t="str">
        <f>IF(AND(A7753&lt;&gt;"",ISNUMBER(A7753)),VLOOKUP(A7753,Studies!A:BR,4,FALSE),"")</f>
        <v>Control arm (pretreatment with placebo for 5 days); Subject 5</v>
      </c>
      <c r="E7753" s="250" t="str">
        <f>IF(AND(A7753&lt;&gt;"",ISNUMBER(A7753)),VLOOKUP(A7753,Studies!A:BR,5,FALSE),"")</f>
        <v>Triazolam</v>
      </c>
      <c r="F7753" s="251" t="str">
        <f>IF(AND(A7753&lt;&gt;"",ISNUMBER(A7753)),VLOOKUP(A7753,Studies!A:BR,6,FALSE),"")</f>
        <v>Plasma</v>
      </c>
      <c r="G7753" s="194">
        <v>3</v>
      </c>
      <c r="H7753" s="194" t="s">
        <v>60</v>
      </c>
      <c r="I7753" s="187">
        <v>2.5705070000000001</v>
      </c>
      <c r="J7753" s="187" t="s">
        <v>941</v>
      </c>
      <c r="K7753" s="187" t="s">
        <v>239</v>
      </c>
      <c r="O7753" s="59">
        <v>0.05</v>
      </c>
      <c r="P7753" s="188"/>
    </row>
    <row r="7754" spans="1:16" x14ac:dyDescent="0.2">
      <c r="A7754" s="183">
        <v>1009</v>
      </c>
      <c r="B7754" s="249" t="str">
        <f>IF(AND(A7754&lt;&gt;"",ISNUMBER(A7754)),VLOOKUP(A7754,Studies!A:BR,2,FALSE),"")</f>
        <v>Villikka 1997</v>
      </c>
      <c r="C7754" s="250" t="str">
        <f>IF(AND(A7754&lt;&gt;"",ISNUMBER(A7754)),VLOOKUP(A7754,Studies!A:BR,3,FALSE),"")</f>
        <v>https://www.ncbi.nlm.nih.gov/pubmed/9024169</v>
      </c>
      <c r="D7754" s="250" t="str">
        <f>IF(AND(A7754&lt;&gt;"",ISNUMBER(A7754)),VLOOKUP(A7754,Studies!A:BR,4,FALSE),"")</f>
        <v>Control arm (pretreatment with placebo for 5 days); Subject 5</v>
      </c>
      <c r="E7754" s="250" t="str">
        <f>IF(AND(A7754&lt;&gt;"",ISNUMBER(A7754)),VLOOKUP(A7754,Studies!A:BR,5,FALSE),"")</f>
        <v>Triazolam</v>
      </c>
      <c r="F7754" s="251" t="str">
        <f>IF(AND(A7754&lt;&gt;"",ISNUMBER(A7754)),VLOOKUP(A7754,Studies!A:BR,6,FALSE),"")</f>
        <v>Plasma</v>
      </c>
      <c r="G7754" s="194">
        <v>4</v>
      </c>
      <c r="H7754" s="194" t="s">
        <v>60</v>
      </c>
      <c r="I7754" s="187">
        <v>1.953395</v>
      </c>
      <c r="J7754" s="187" t="s">
        <v>941</v>
      </c>
      <c r="K7754" s="187" t="s">
        <v>239</v>
      </c>
      <c r="O7754" s="59">
        <v>0.05</v>
      </c>
      <c r="P7754" s="188"/>
    </row>
    <row r="7755" spans="1:16" x14ac:dyDescent="0.2">
      <c r="A7755" s="183">
        <v>1009</v>
      </c>
      <c r="B7755" s="249" t="str">
        <f>IF(AND(A7755&lt;&gt;"",ISNUMBER(A7755)),VLOOKUP(A7755,Studies!A:BR,2,FALSE),"")</f>
        <v>Villikka 1997</v>
      </c>
      <c r="C7755" s="250" t="str">
        <f>IF(AND(A7755&lt;&gt;"",ISNUMBER(A7755)),VLOOKUP(A7755,Studies!A:BR,3,FALSE),"")</f>
        <v>https://www.ncbi.nlm.nih.gov/pubmed/9024169</v>
      </c>
      <c r="D7755" s="250" t="str">
        <f>IF(AND(A7755&lt;&gt;"",ISNUMBER(A7755)),VLOOKUP(A7755,Studies!A:BR,4,FALSE),"")</f>
        <v>Control arm (pretreatment with placebo for 5 days); Subject 5</v>
      </c>
      <c r="E7755" s="250" t="str">
        <f>IF(AND(A7755&lt;&gt;"",ISNUMBER(A7755)),VLOOKUP(A7755,Studies!A:BR,5,FALSE),"")</f>
        <v>Triazolam</v>
      </c>
      <c r="F7755" s="251" t="str">
        <f>IF(AND(A7755&lt;&gt;"",ISNUMBER(A7755)),VLOOKUP(A7755,Studies!A:BR,6,FALSE),"")</f>
        <v>Plasma</v>
      </c>
      <c r="G7755" s="194">
        <v>5</v>
      </c>
      <c r="H7755" s="194" t="s">
        <v>60</v>
      </c>
      <c r="I7755" s="187">
        <v>1.3754869999999999</v>
      </c>
      <c r="J7755" s="187" t="s">
        <v>941</v>
      </c>
      <c r="K7755" s="187" t="s">
        <v>239</v>
      </c>
      <c r="O7755" s="59">
        <v>0.05</v>
      </c>
      <c r="P7755" s="188"/>
    </row>
    <row r="7756" spans="1:16" x14ac:dyDescent="0.2">
      <c r="A7756" s="183">
        <v>1009</v>
      </c>
      <c r="B7756" s="249" t="str">
        <f>IF(AND(A7756&lt;&gt;"",ISNUMBER(A7756)),VLOOKUP(A7756,Studies!A:BR,2,FALSE),"")</f>
        <v>Villikka 1997</v>
      </c>
      <c r="C7756" s="250" t="str">
        <f>IF(AND(A7756&lt;&gt;"",ISNUMBER(A7756)),VLOOKUP(A7756,Studies!A:BR,3,FALSE),"")</f>
        <v>https://www.ncbi.nlm.nih.gov/pubmed/9024169</v>
      </c>
      <c r="D7756" s="250" t="str">
        <f>IF(AND(A7756&lt;&gt;"",ISNUMBER(A7756)),VLOOKUP(A7756,Studies!A:BR,4,FALSE),"")</f>
        <v>Control arm (pretreatment with placebo for 5 days); Subject 5</v>
      </c>
      <c r="E7756" s="250" t="str">
        <f>IF(AND(A7756&lt;&gt;"",ISNUMBER(A7756)),VLOOKUP(A7756,Studies!A:BR,5,FALSE),"")</f>
        <v>Triazolam</v>
      </c>
      <c r="F7756" s="251" t="str">
        <f>IF(AND(A7756&lt;&gt;"",ISNUMBER(A7756)),VLOOKUP(A7756,Studies!A:BR,6,FALSE),"")</f>
        <v>Plasma</v>
      </c>
      <c r="G7756" s="194">
        <v>6</v>
      </c>
      <c r="H7756" s="194" t="s">
        <v>60</v>
      </c>
      <c r="I7756" s="187">
        <v>1.0756570000000001</v>
      </c>
      <c r="J7756" s="187" t="s">
        <v>941</v>
      </c>
      <c r="K7756" s="187" t="s">
        <v>239</v>
      </c>
      <c r="O7756" s="59">
        <v>0.05</v>
      </c>
      <c r="P7756" s="188"/>
    </row>
    <row r="7757" spans="1:16" x14ac:dyDescent="0.2">
      <c r="A7757" s="183">
        <v>1009</v>
      </c>
      <c r="B7757" s="249" t="str">
        <f>IF(AND(A7757&lt;&gt;"",ISNUMBER(A7757)),VLOOKUP(A7757,Studies!A:BR,2,FALSE),"")</f>
        <v>Villikka 1997</v>
      </c>
      <c r="C7757" s="250" t="str">
        <f>IF(AND(A7757&lt;&gt;"",ISNUMBER(A7757)),VLOOKUP(A7757,Studies!A:BR,3,FALSE),"")</f>
        <v>https://www.ncbi.nlm.nih.gov/pubmed/9024169</v>
      </c>
      <c r="D7757" s="250" t="str">
        <f>IF(AND(A7757&lt;&gt;"",ISNUMBER(A7757)),VLOOKUP(A7757,Studies!A:BR,4,FALSE),"")</f>
        <v>Control arm (pretreatment with placebo for 5 days); Subject 5</v>
      </c>
      <c r="E7757" s="250" t="str">
        <f>IF(AND(A7757&lt;&gt;"",ISNUMBER(A7757)),VLOOKUP(A7757,Studies!A:BR,5,FALSE),"")</f>
        <v>Triazolam</v>
      </c>
      <c r="F7757" s="251" t="str">
        <f>IF(AND(A7757&lt;&gt;"",ISNUMBER(A7757)),VLOOKUP(A7757,Studies!A:BR,6,FALSE),"")</f>
        <v>Plasma</v>
      </c>
      <c r="G7757" s="194">
        <v>8</v>
      </c>
      <c r="H7757" s="194" t="s">
        <v>60</v>
      </c>
      <c r="I7757" s="187">
        <v>0.63313439999999999</v>
      </c>
      <c r="J7757" s="187" t="s">
        <v>941</v>
      </c>
      <c r="K7757" s="187" t="s">
        <v>239</v>
      </c>
      <c r="O7757" s="59">
        <v>0.05</v>
      </c>
      <c r="P7757" s="188"/>
    </row>
    <row r="7758" spans="1:16" x14ac:dyDescent="0.2">
      <c r="A7758" s="183">
        <v>1009</v>
      </c>
      <c r="B7758" s="249" t="str">
        <f>IF(AND(A7758&lt;&gt;"",ISNUMBER(A7758)),VLOOKUP(A7758,Studies!A:BR,2,FALSE),"")</f>
        <v>Villikka 1997</v>
      </c>
      <c r="C7758" s="250" t="str">
        <f>IF(AND(A7758&lt;&gt;"",ISNUMBER(A7758)),VLOOKUP(A7758,Studies!A:BR,3,FALSE),"")</f>
        <v>https://www.ncbi.nlm.nih.gov/pubmed/9024169</v>
      </c>
      <c r="D7758" s="250" t="str">
        <f>IF(AND(A7758&lt;&gt;"",ISNUMBER(A7758)),VLOOKUP(A7758,Studies!A:BR,4,FALSE),"")</f>
        <v>Control arm (pretreatment with placebo for 5 days); Subject 5</v>
      </c>
      <c r="E7758" s="250" t="str">
        <f>IF(AND(A7758&lt;&gt;"",ISNUMBER(A7758)),VLOOKUP(A7758,Studies!A:BR,5,FALSE),"")</f>
        <v>Triazolam</v>
      </c>
      <c r="F7758" s="251" t="str">
        <f>IF(AND(A7758&lt;&gt;"",ISNUMBER(A7758)),VLOOKUP(A7758,Studies!A:BR,6,FALSE),"")</f>
        <v>Plasma</v>
      </c>
      <c r="G7758" s="194">
        <v>10</v>
      </c>
      <c r="H7758" s="194" t="s">
        <v>60</v>
      </c>
      <c r="I7758" s="187">
        <v>0.36214740000000001</v>
      </c>
      <c r="J7758" s="187" t="s">
        <v>941</v>
      </c>
      <c r="K7758" s="187" t="s">
        <v>239</v>
      </c>
      <c r="O7758" s="59">
        <v>0.05</v>
      </c>
      <c r="P7758" s="188"/>
    </row>
    <row r="7759" spans="1:16" x14ac:dyDescent="0.2">
      <c r="A7759" s="183">
        <v>1010</v>
      </c>
      <c r="B7759" s="249" t="str">
        <f>IF(AND(A7759&lt;&gt;"",ISNUMBER(A7759)),VLOOKUP(A7759,Studies!A:BR,2,FALSE),"")</f>
        <v>Villikka 1997</v>
      </c>
      <c r="C7759" s="250" t="str">
        <f>IF(AND(A7759&lt;&gt;"",ISNUMBER(A7759)),VLOOKUP(A7759,Studies!A:BR,3,FALSE),"")</f>
        <v>https://www.ncbi.nlm.nih.gov/pubmed/9024169</v>
      </c>
      <c r="D7759" s="250" t="str">
        <f>IF(AND(A7759&lt;&gt;"",ISNUMBER(A7759)),VLOOKUP(A7759,Studies!A:BR,4,FALSE),"")</f>
        <v>Control arm (pretreatment with placebo for 5 days); Subject 6</v>
      </c>
      <c r="E7759" s="250" t="str">
        <f>IF(AND(A7759&lt;&gt;"",ISNUMBER(A7759)),VLOOKUP(A7759,Studies!A:BR,5,FALSE),"")</f>
        <v>Triazolam</v>
      </c>
      <c r="F7759" s="251" t="str">
        <f>IF(AND(A7759&lt;&gt;"",ISNUMBER(A7759)),VLOOKUP(A7759,Studies!A:BR,6,FALSE),"")</f>
        <v>Plasma</v>
      </c>
      <c r="G7759" s="194">
        <v>0.5</v>
      </c>
      <c r="H7759" s="194" t="s">
        <v>60</v>
      </c>
      <c r="I7759" s="187">
        <v>1.2589539999999999</v>
      </c>
      <c r="J7759" s="187" t="s">
        <v>941</v>
      </c>
      <c r="K7759" s="187" t="s">
        <v>239</v>
      </c>
      <c r="O7759" s="59">
        <v>0.05</v>
      </c>
      <c r="P7759" s="188" t="s">
        <v>2612</v>
      </c>
    </row>
    <row r="7760" spans="1:16" x14ac:dyDescent="0.2">
      <c r="A7760" s="183">
        <v>1010</v>
      </c>
      <c r="B7760" s="249" t="str">
        <f>IF(AND(A7760&lt;&gt;"",ISNUMBER(A7760)),VLOOKUP(A7760,Studies!A:BR,2,FALSE),"")</f>
        <v>Villikka 1997</v>
      </c>
      <c r="C7760" s="250" t="str">
        <f>IF(AND(A7760&lt;&gt;"",ISNUMBER(A7760)),VLOOKUP(A7760,Studies!A:BR,3,FALSE),"")</f>
        <v>https://www.ncbi.nlm.nih.gov/pubmed/9024169</v>
      </c>
      <c r="D7760" s="250" t="str">
        <f>IF(AND(A7760&lt;&gt;"",ISNUMBER(A7760)),VLOOKUP(A7760,Studies!A:BR,4,FALSE),"")</f>
        <v>Control arm (pretreatment with placebo for 5 days); Subject 6</v>
      </c>
      <c r="E7760" s="250" t="str">
        <f>IF(AND(A7760&lt;&gt;"",ISNUMBER(A7760)),VLOOKUP(A7760,Studies!A:BR,5,FALSE),"")</f>
        <v>Triazolam</v>
      </c>
      <c r="F7760" s="251" t="str">
        <f>IF(AND(A7760&lt;&gt;"",ISNUMBER(A7760)),VLOOKUP(A7760,Studies!A:BR,6,FALSE),"")</f>
        <v>Plasma</v>
      </c>
      <c r="G7760" s="194">
        <v>1</v>
      </c>
      <c r="H7760" s="194" t="s">
        <v>60</v>
      </c>
      <c r="I7760" s="187">
        <v>3.1615769999999999</v>
      </c>
      <c r="J7760" s="187" t="s">
        <v>941</v>
      </c>
      <c r="K7760" s="187" t="s">
        <v>239</v>
      </c>
      <c r="O7760" s="59">
        <v>0.05</v>
      </c>
      <c r="P7760" s="188"/>
    </row>
    <row r="7761" spans="1:16" x14ac:dyDescent="0.2">
      <c r="A7761" s="183">
        <v>1010</v>
      </c>
      <c r="B7761" s="249" t="str">
        <f>IF(AND(A7761&lt;&gt;"",ISNUMBER(A7761)),VLOOKUP(A7761,Studies!A:BR,2,FALSE),"")</f>
        <v>Villikka 1997</v>
      </c>
      <c r="C7761" s="250" t="str">
        <f>IF(AND(A7761&lt;&gt;"",ISNUMBER(A7761)),VLOOKUP(A7761,Studies!A:BR,3,FALSE),"")</f>
        <v>https://www.ncbi.nlm.nih.gov/pubmed/9024169</v>
      </c>
      <c r="D7761" s="250" t="str">
        <f>IF(AND(A7761&lt;&gt;"",ISNUMBER(A7761)),VLOOKUP(A7761,Studies!A:BR,4,FALSE),"")</f>
        <v>Control arm (pretreatment with placebo for 5 days); Subject 6</v>
      </c>
      <c r="E7761" s="250" t="str">
        <f>IF(AND(A7761&lt;&gt;"",ISNUMBER(A7761)),VLOOKUP(A7761,Studies!A:BR,5,FALSE),"")</f>
        <v>Triazolam</v>
      </c>
      <c r="F7761" s="251" t="str">
        <f>IF(AND(A7761&lt;&gt;"",ISNUMBER(A7761)),VLOOKUP(A7761,Studies!A:BR,6,FALSE),"")</f>
        <v>Plasma</v>
      </c>
      <c r="G7761" s="194">
        <v>1.5</v>
      </c>
      <c r="H7761" s="194" t="s">
        <v>60</v>
      </c>
      <c r="I7761" s="187">
        <v>3.286896</v>
      </c>
      <c r="J7761" s="187" t="s">
        <v>941</v>
      </c>
      <c r="K7761" s="187" t="s">
        <v>239</v>
      </c>
      <c r="O7761" s="59">
        <v>0.05</v>
      </c>
      <c r="P7761" s="188"/>
    </row>
    <row r="7762" spans="1:16" x14ac:dyDescent="0.2">
      <c r="A7762" s="183">
        <v>1010</v>
      </c>
      <c r="B7762" s="249" t="str">
        <f>IF(AND(A7762&lt;&gt;"",ISNUMBER(A7762)),VLOOKUP(A7762,Studies!A:BR,2,FALSE),"")</f>
        <v>Villikka 1997</v>
      </c>
      <c r="C7762" s="250" t="str">
        <f>IF(AND(A7762&lt;&gt;"",ISNUMBER(A7762)),VLOOKUP(A7762,Studies!A:BR,3,FALSE),"")</f>
        <v>https://www.ncbi.nlm.nih.gov/pubmed/9024169</v>
      </c>
      <c r="D7762" s="250" t="str">
        <f>IF(AND(A7762&lt;&gt;"",ISNUMBER(A7762)),VLOOKUP(A7762,Studies!A:BR,4,FALSE),"")</f>
        <v>Control arm (pretreatment with placebo for 5 days); Subject 6</v>
      </c>
      <c r="E7762" s="250" t="str">
        <f>IF(AND(A7762&lt;&gt;"",ISNUMBER(A7762)),VLOOKUP(A7762,Studies!A:BR,5,FALSE),"")</f>
        <v>Triazolam</v>
      </c>
      <c r="F7762" s="251" t="str">
        <f>IF(AND(A7762&lt;&gt;"",ISNUMBER(A7762)),VLOOKUP(A7762,Studies!A:BR,6,FALSE),"")</f>
        <v>Plasma</v>
      </c>
      <c r="G7762" s="194">
        <v>2</v>
      </c>
      <c r="H7762" s="194" t="s">
        <v>60</v>
      </c>
      <c r="I7762" s="187">
        <v>2.853853</v>
      </c>
      <c r="J7762" s="187" t="s">
        <v>941</v>
      </c>
      <c r="K7762" s="187" t="s">
        <v>239</v>
      </c>
      <c r="O7762" s="59">
        <v>0.05</v>
      </c>
      <c r="P7762" s="188"/>
    </row>
    <row r="7763" spans="1:16" x14ac:dyDescent="0.2">
      <c r="A7763" s="183">
        <v>1010</v>
      </c>
      <c r="B7763" s="249" t="str">
        <f>IF(AND(A7763&lt;&gt;"",ISNUMBER(A7763)),VLOOKUP(A7763,Studies!A:BR,2,FALSE),"")</f>
        <v>Villikka 1997</v>
      </c>
      <c r="C7763" s="250" t="str">
        <f>IF(AND(A7763&lt;&gt;"",ISNUMBER(A7763)),VLOOKUP(A7763,Studies!A:BR,3,FALSE),"")</f>
        <v>https://www.ncbi.nlm.nih.gov/pubmed/9024169</v>
      </c>
      <c r="D7763" s="250" t="str">
        <f>IF(AND(A7763&lt;&gt;"",ISNUMBER(A7763)),VLOOKUP(A7763,Studies!A:BR,4,FALSE),"")</f>
        <v>Control arm (pretreatment with placebo for 5 days); Subject 6</v>
      </c>
      <c r="E7763" s="250" t="str">
        <f>IF(AND(A7763&lt;&gt;"",ISNUMBER(A7763)),VLOOKUP(A7763,Studies!A:BR,5,FALSE),"")</f>
        <v>Triazolam</v>
      </c>
      <c r="F7763" s="251" t="str">
        <f>IF(AND(A7763&lt;&gt;"",ISNUMBER(A7763)),VLOOKUP(A7763,Studies!A:BR,6,FALSE),"")</f>
        <v>Plasma</v>
      </c>
      <c r="G7763" s="194">
        <v>3</v>
      </c>
      <c r="H7763" s="194" t="s">
        <v>60</v>
      </c>
      <c r="I7763" s="187">
        <v>2.234515</v>
      </c>
      <c r="J7763" s="187" t="s">
        <v>941</v>
      </c>
      <c r="K7763" s="187" t="s">
        <v>239</v>
      </c>
      <c r="O7763" s="59">
        <v>0.05</v>
      </c>
      <c r="P7763" s="188"/>
    </row>
    <row r="7764" spans="1:16" x14ac:dyDescent="0.2">
      <c r="A7764" s="183">
        <v>1010</v>
      </c>
      <c r="B7764" s="249" t="str">
        <f>IF(AND(A7764&lt;&gt;"",ISNUMBER(A7764)),VLOOKUP(A7764,Studies!A:BR,2,FALSE),"")</f>
        <v>Villikka 1997</v>
      </c>
      <c r="C7764" s="250" t="str">
        <f>IF(AND(A7764&lt;&gt;"",ISNUMBER(A7764)),VLOOKUP(A7764,Studies!A:BR,3,FALSE),"")</f>
        <v>https://www.ncbi.nlm.nih.gov/pubmed/9024169</v>
      </c>
      <c r="D7764" s="250" t="str">
        <f>IF(AND(A7764&lt;&gt;"",ISNUMBER(A7764)),VLOOKUP(A7764,Studies!A:BR,4,FALSE),"")</f>
        <v>Control arm (pretreatment with placebo for 5 days); Subject 6</v>
      </c>
      <c r="E7764" s="250" t="str">
        <f>IF(AND(A7764&lt;&gt;"",ISNUMBER(A7764)),VLOOKUP(A7764,Studies!A:BR,5,FALSE),"")</f>
        <v>Triazolam</v>
      </c>
      <c r="F7764" s="251" t="str">
        <f>IF(AND(A7764&lt;&gt;"",ISNUMBER(A7764)),VLOOKUP(A7764,Studies!A:BR,6,FALSE),"")</f>
        <v>Plasma</v>
      </c>
      <c r="G7764" s="194">
        <v>4</v>
      </c>
      <c r="H7764" s="194" t="s">
        <v>60</v>
      </c>
      <c r="I7764" s="187">
        <v>1.8171139999999999</v>
      </c>
      <c r="J7764" s="187" t="s">
        <v>941</v>
      </c>
      <c r="K7764" s="187" t="s">
        <v>239</v>
      </c>
      <c r="O7764" s="59">
        <v>0.05</v>
      </c>
      <c r="P7764" s="188"/>
    </row>
    <row r="7765" spans="1:16" x14ac:dyDescent="0.2">
      <c r="A7765" s="183">
        <v>1010</v>
      </c>
      <c r="B7765" s="249" t="str">
        <f>IF(AND(A7765&lt;&gt;"",ISNUMBER(A7765)),VLOOKUP(A7765,Studies!A:BR,2,FALSE),"")</f>
        <v>Villikka 1997</v>
      </c>
      <c r="C7765" s="250" t="str">
        <f>IF(AND(A7765&lt;&gt;"",ISNUMBER(A7765)),VLOOKUP(A7765,Studies!A:BR,3,FALSE),"")</f>
        <v>https://www.ncbi.nlm.nih.gov/pubmed/9024169</v>
      </c>
      <c r="D7765" s="250" t="str">
        <f>IF(AND(A7765&lt;&gt;"",ISNUMBER(A7765)),VLOOKUP(A7765,Studies!A:BR,4,FALSE),"")</f>
        <v>Control arm (pretreatment with placebo for 5 days); Subject 6</v>
      </c>
      <c r="E7765" s="250" t="str">
        <f>IF(AND(A7765&lt;&gt;"",ISNUMBER(A7765)),VLOOKUP(A7765,Studies!A:BR,5,FALSE),"")</f>
        <v>Triazolam</v>
      </c>
      <c r="F7765" s="251" t="str">
        <f>IF(AND(A7765&lt;&gt;"",ISNUMBER(A7765)),VLOOKUP(A7765,Studies!A:BR,6,FALSE),"")</f>
        <v>Plasma</v>
      </c>
      <c r="G7765" s="194">
        <v>5</v>
      </c>
      <c r="H7765" s="194" t="s">
        <v>60</v>
      </c>
      <c r="I7765" s="187">
        <v>1.5203709999999999</v>
      </c>
      <c r="J7765" s="187" t="s">
        <v>941</v>
      </c>
      <c r="K7765" s="187" t="s">
        <v>239</v>
      </c>
      <c r="O7765" s="59">
        <v>0.05</v>
      </c>
      <c r="P7765" s="188"/>
    </row>
    <row r="7766" spans="1:16" x14ac:dyDescent="0.2">
      <c r="A7766" s="183">
        <v>1010</v>
      </c>
      <c r="B7766" s="249" t="str">
        <f>IF(AND(A7766&lt;&gt;"",ISNUMBER(A7766)),VLOOKUP(A7766,Studies!A:BR,2,FALSE),"")</f>
        <v>Villikka 1997</v>
      </c>
      <c r="C7766" s="250" t="str">
        <f>IF(AND(A7766&lt;&gt;"",ISNUMBER(A7766)),VLOOKUP(A7766,Studies!A:BR,3,FALSE),"")</f>
        <v>https://www.ncbi.nlm.nih.gov/pubmed/9024169</v>
      </c>
      <c r="D7766" s="250" t="str">
        <f>IF(AND(A7766&lt;&gt;"",ISNUMBER(A7766)),VLOOKUP(A7766,Studies!A:BR,4,FALSE),"")</f>
        <v>Control arm (pretreatment with placebo for 5 days); Subject 6</v>
      </c>
      <c r="E7766" s="250" t="str">
        <f>IF(AND(A7766&lt;&gt;"",ISNUMBER(A7766)),VLOOKUP(A7766,Studies!A:BR,5,FALSE),"")</f>
        <v>Triazolam</v>
      </c>
      <c r="F7766" s="251" t="str">
        <f>IF(AND(A7766&lt;&gt;"",ISNUMBER(A7766)),VLOOKUP(A7766,Studies!A:BR,6,FALSE),"")</f>
        <v>Plasma</v>
      </c>
      <c r="G7766" s="194">
        <v>6</v>
      </c>
      <c r="H7766" s="194" t="s">
        <v>60</v>
      </c>
      <c r="I7766" s="187">
        <v>1.2247380000000001</v>
      </c>
      <c r="J7766" s="187" t="s">
        <v>941</v>
      </c>
      <c r="K7766" s="187" t="s">
        <v>239</v>
      </c>
      <c r="O7766" s="59">
        <v>0.05</v>
      </c>
      <c r="P7766" s="188"/>
    </row>
    <row r="7767" spans="1:16" x14ac:dyDescent="0.2">
      <c r="A7767" s="183">
        <v>1010</v>
      </c>
      <c r="B7767" s="249" t="str">
        <f>IF(AND(A7767&lt;&gt;"",ISNUMBER(A7767)),VLOOKUP(A7767,Studies!A:BR,2,FALSE),"")</f>
        <v>Villikka 1997</v>
      </c>
      <c r="C7767" s="250" t="str">
        <f>IF(AND(A7767&lt;&gt;"",ISNUMBER(A7767)),VLOOKUP(A7767,Studies!A:BR,3,FALSE),"")</f>
        <v>https://www.ncbi.nlm.nih.gov/pubmed/9024169</v>
      </c>
      <c r="D7767" s="250" t="str">
        <f>IF(AND(A7767&lt;&gt;"",ISNUMBER(A7767)),VLOOKUP(A7767,Studies!A:BR,4,FALSE),"")</f>
        <v>Control arm (pretreatment with placebo for 5 days); Subject 6</v>
      </c>
      <c r="E7767" s="250" t="str">
        <f>IF(AND(A7767&lt;&gt;"",ISNUMBER(A7767)),VLOOKUP(A7767,Studies!A:BR,5,FALSE),"")</f>
        <v>Triazolam</v>
      </c>
      <c r="F7767" s="251" t="str">
        <f>IF(AND(A7767&lt;&gt;"",ISNUMBER(A7767)),VLOOKUP(A7767,Studies!A:BR,6,FALSE),"")</f>
        <v>Plasma</v>
      </c>
      <c r="G7767" s="194">
        <v>8</v>
      </c>
      <c r="H7767" s="194" t="s">
        <v>60</v>
      </c>
      <c r="I7767" s="187">
        <v>0.75799300000000003</v>
      </c>
      <c r="J7767" s="187" t="s">
        <v>941</v>
      </c>
      <c r="K7767" s="187" t="s">
        <v>239</v>
      </c>
      <c r="O7767" s="59">
        <v>0.05</v>
      </c>
      <c r="P7767" s="188"/>
    </row>
    <row r="7768" spans="1:16" x14ac:dyDescent="0.2">
      <c r="A7768" s="183">
        <v>1010</v>
      </c>
      <c r="B7768" s="249" t="str">
        <f>IF(AND(A7768&lt;&gt;"",ISNUMBER(A7768)),VLOOKUP(A7768,Studies!A:BR,2,FALSE),"")</f>
        <v>Villikka 1997</v>
      </c>
      <c r="C7768" s="250" t="str">
        <f>IF(AND(A7768&lt;&gt;"",ISNUMBER(A7768)),VLOOKUP(A7768,Studies!A:BR,3,FALSE),"")</f>
        <v>https://www.ncbi.nlm.nih.gov/pubmed/9024169</v>
      </c>
      <c r="D7768" s="250" t="str">
        <f>IF(AND(A7768&lt;&gt;"",ISNUMBER(A7768)),VLOOKUP(A7768,Studies!A:BR,4,FALSE),"")</f>
        <v>Control arm (pretreatment with placebo for 5 days); Subject 6</v>
      </c>
      <c r="E7768" s="250" t="str">
        <f>IF(AND(A7768&lt;&gt;"",ISNUMBER(A7768)),VLOOKUP(A7768,Studies!A:BR,5,FALSE),"")</f>
        <v>Triazolam</v>
      </c>
      <c r="F7768" s="251" t="str">
        <f>IF(AND(A7768&lt;&gt;"",ISNUMBER(A7768)),VLOOKUP(A7768,Studies!A:BR,6,FALSE),"")</f>
        <v>Plasma</v>
      </c>
      <c r="G7768" s="194">
        <v>10</v>
      </c>
      <c r="H7768" s="194" t="s">
        <v>60</v>
      </c>
      <c r="I7768" s="187">
        <v>0.46912330000000002</v>
      </c>
      <c r="J7768" s="187" t="s">
        <v>941</v>
      </c>
      <c r="K7768" s="187" t="s">
        <v>239</v>
      </c>
      <c r="O7768" s="59">
        <v>0.05</v>
      </c>
      <c r="P7768" s="188"/>
    </row>
    <row r="7769" spans="1:16" x14ac:dyDescent="0.2">
      <c r="A7769" s="183">
        <v>1011</v>
      </c>
      <c r="B7769" s="249" t="str">
        <f>IF(AND(A7769&lt;&gt;"",ISNUMBER(A7769)),VLOOKUP(A7769,Studies!A:BR,2,FALSE),"")</f>
        <v>Villikka 1997</v>
      </c>
      <c r="C7769" s="250" t="str">
        <f>IF(AND(A7769&lt;&gt;"",ISNUMBER(A7769)),VLOOKUP(A7769,Studies!A:BR,3,FALSE),"")</f>
        <v>https://www.ncbi.nlm.nih.gov/pubmed/9024169</v>
      </c>
      <c r="D7769" s="250" t="str">
        <f>IF(AND(A7769&lt;&gt;"",ISNUMBER(A7769)),VLOOKUP(A7769,Studies!A:BR,4,FALSE),"")</f>
        <v>Control arm (pretreatment with placebo for 5 days); Subject 7</v>
      </c>
      <c r="E7769" s="250" t="str">
        <f>IF(AND(A7769&lt;&gt;"",ISNUMBER(A7769)),VLOOKUP(A7769,Studies!A:BR,5,FALSE),"")</f>
        <v>Triazolam</v>
      </c>
      <c r="F7769" s="251" t="str">
        <f>IF(AND(A7769&lt;&gt;"",ISNUMBER(A7769)),VLOOKUP(A7769,Studies!A:BR,6,FALSE),"")</f>
        <v>Plasma</v>
      </c>
      <c r="G7769" s="194">
        <v>1</v>
      </c>
      <c r="H7769" s="194" t="s">
        <v>60</v>
      </c>
      <c r="I7769" s="187">
        <v>0.143654</v>
      </c>
      <c r="J7769" s="187" t="s">
        <v>941</v>
      </c>
      <c r="K7769" s="187" t="s">
        <v>239</v>
      </c>
      <c r="O7769" s="59">
        <v>0.05</v>
      </c>
      <c r="P7769" s="188" t="s">
        <v>2613</v>
      </c>
    </row>
    <row r="7770" spans="1:16" x14ac:dyDescent="0.2">
      <c r="A7770" s="183">
        <v>1011</v>
      </c>
      <c r="B7770" s="249" t="str">
        <f>IF(AND(A7770&lt;&gt;"",ISNUMBER(A7770)),VLOOKUP(A7770,Studies!A:BR,2,FALSE),"")</f>
        <v>Villikka 1997</v>
      </c>
      <c r="C7770" s="250" t="str">
        <f>IF(AND(A7770&lt;&gt;"",ISNUMBER(A7770)),VLOOKUP(A7770,Studies!A:BR,3,FALSE),"")</f>
        <v>https://www.ncbi.nlm.nih.gov/pubmed/9024169</v>
      </c>
      <c r="D7770" s="250" t="str">
        <f>IF(AND(A7770&lt;&gt;"",ISNUMBER(A7770)),VLOOKUP(A7770,Studies!A:BR,4,FALSE),"")</f>
        <v>Control arm (pretreatment with placebo for 5 days); Subject 7</v>
      </c>
      <c r="E7770" s="250" t="str">
        <f>IF(AND(A7770&lt;&gt;"",ISNUMBER(A7770)),VLOOKUP(A7770,Studies!A:BR,5,FALSE),"")</f>
        <v>Triazolam</v>
      </c>
      <c r="F7770" s="251" t="str">
        <f>IF(AND(A7770&lt;&gt;"",ISNUMBER(A7770)),VLOOKUP(A7770,Studies!A:BR,6,FALSE),"")</f>
        <v>Plasma</v>
      </c>
      <c r="G7770" s="194">
        <v>1.5</v>
      </c>
      <c r="H7770" s="194" t="s">
        <v>60</v>
      </c>
      <c r="I7770" s="187">
        <v>0.2956223</v>
      </c>
      <c r="J7770" s="187" t="s">
        <v>941</v>
      </c>
      <c r="K7770" s="187" t="s">
        <v>239</v>
      </c>
      <c r="O7770" s="59">
        <v>0.05</v>
      </c>
      <c r="P7770" s="188"/>
    </row>
    <row r="7771" spans="1:16" x14ac:dyDescent="0.2">
      <c r="A7771" s="183">
        <v>1011</v>
      </c>
      <c r="B7771" s="249" t="str">
        <f>IF(AND(A7771&lt;&gt;"",ISNUMBER(A7771)),VLOOKUP(A7771,Studies!A:BR,2,FALSE),"")</f>
        <v>Villikka 1997</v>
      </c>
      <c r="C7771" s="250" t="str">
        <f>IF(AND(A7771&lt;&gt;"",ISNUMBER(A7771)),VLOOKUP(A7771,Studies!A:BR,3,FALSE),"")</f>
        <v>https://www.ncbi.nlm.nih.gov/pubmed/9024169</v>
      </c>
      <c r="D7771" s="250" t="str">
        <f>IF(AND(A7771&lt;&gt;"",ISNUMBER(A7771)),VLOOKUP(A7771,Studies!A:BR,4,FALSE),"")</f>
        <v>Control arm (pretreatment with placebo for 5 days); Subject 7</v>
      </c>
      <c r="E7771" s="250" t="str">
        <f>IF(AND(A7771&lt;&gt;"",ISNUMBER(A7771)),VLOOKUP(A7771,Studies!A:BR,5,FALSE),"")</f>
        <v>Triazolam</v>
      </c>
      <c r="F7771" s="251" t="str">
        <f>IF(AND(A7771&lt;&gt;"",ISNUMBER(A7771)),VLOOKUP(A7771,Studies!A:BR,6,FALSE),"")</f>
        <v>Plasma</v>
      </c>
      <c r="G7771" s="194">
        <v>2</v>
      </c>
      <c r="H7771" s="194" t="s">
        <v>60</v>
      </c>
      <c r="I7771" s="187">
        <v>0.87230410000000003</v>
      </c>
      <c r="J7771" s="187" t="s">
        <v>941</v>
      </c>
      <c r="K7771" s="187" t="s">
        <v>239</v>
      </c>
      <c r="O7771" s="59">
        <v>0.05</v>
      </c>
      <c r="P7771" s="188"/>
    </row>
    <row r="7772" spans="1:16" x14ac:dyDescent="0.2">
      <c r="A7772" s="183">
        <v>1011</v>
      </c>
      <c r="B7772" s="249" t="str">
        <f>IF(AND(A7772&lt;&gt;"",ISNUMBER(A7772)),VLOOKUP(A7772,Studies!A:BR,2,FALSE),"")</f>
        <v>Villikka 1997</v>
      </c>
      <c r="C7772" s="250" t="str">
        <f>IF(AND(A7772&lt;&gt;"",ISNUMBER(A7772)),VLOOKUP(A7772,Studies!A:BR,3,FALSE),"")</f>
        <v>https://www.ncbi.nlm.nih.gov/pubmed/9024169</v>
      </c>
      <c r="D7772" s="250" t="str">
        <f>IF(AND(A7772&lt;&gt;"",ISNUMBER(A7772)),VLOOKUP(A7772,Studies!A:BR,4,FALSE),"")</f>
        <v>Control arm (pretreatment with placebo for 5 days); Subject 7</v>
      </c>
      <c r="E7772" s="250" t="str">
        <f>IF(AND(A7772&lt;&gt;"",ISNUMBER(A7772)),VLOOKUP(A7772,Studies!A:BR,5,FALSE),"")</f>
        <v>Triazolam</v>
      </c>
      <c r="F7772" s="251" t="str">
        <f>IF(AND(A7772&lt;&gt;"",ISNUMBER(A7772)),VLOOKUP(A7772,Studies!A:BR,6,FALSE),"")</f>
        <v>Plasma</v>
      </c>
      <c r="G7772" s="194">
        <v>3</v>
      </c>
      <c r="H7772" s="194" t="s">
        <v>60</v>
      </c>
      <c r="I7772" s="187">
        <v>1.486334</v>
      </c>
      <c r="J7772" s="187" t="s">
        <v>941</v>
      </c>
      <c r="K7772" s="187" t="s">
        <v>239</v>
      </c>
      <c r="O7772" s="59">
        <v>0.05</v>
      </c>
      <c r="P7772" s="188"/>
    </row>
    <row r="7773" spans="1:16" x14ac:dyDescent="0.2">
      <c r="A7773" s="183">
        <v>1011</v>
      </c>
      <c r="B7773" s="249" t="str">
        <f>IF(AND(A7773&lt;&gt;"",ISNUMBER(A7773)),VLOOKUP(A7773,Studies!A:BR,2,FALSE),"")</f>
        <v>Villikka 1997</v>
      </c>
      <c r="C7773" s="250" t="str">
        <f>IF(AND(A7773&lt;&gt;"",ISNUMBER(A7773)),VLOOKUP(A7773,Studies!A:BR,3,FALSE),"")</f>
        <v>https://www.ncbi.nlm.nih.gov/pubmed/9024169</v>
      </c>
      <c r="D7773" s="250" t="str">
        <f>IF(AND(A7773&lt;&gt;"",ISNUMBER(A7773)),VLOOKUP(A7773,Studies!A:BR,4,FALSE),"")</f>
        <v>Control arm (pretreatment with placebo for 5 days); Subject 7</v>
      </c>
      <c r="E7773" s="250" t="str">
        <f>IF(AND(A7773&lt;&gt;"",ISNUMBER(A7773)),VLOOKUP(A7773,Studies!A:BR,5,FALSE),"")</f>
        <v>Triazolam</v>
      </c>
      <c r="F7773" s="251" t="str">
        <f>IF(AND(A7773&lt;&gt;"",ISNUMBER(A7773)),VLOOKUP(A7773,Studies!A:BR,6,FALSE),"")</f>
        <v>Plasma</v>
      </c>
      <c r="G7773" s="194">
        <v>4</v>
      </c>
      <c r="H7773" s="194" t="s">
        <v>60</v>
      </c>
      <c r="I7773" s="187">
        <v>1.3290120000000001</v>
      </c>
      <c r="J7773" s="187" t="s">
        <v>941</v>
      </c>
      <c r="K7773" s="187" t="s">
        <v>239</v>
      </c>
      <c r="O7773" s="59">
        <v>0.05</v>
      </c>
      <c r="P7773" s="188"/>
    </row>
    <row r="7774" spans="1:16" x14ac:dyDescent="0.2">
      <c r="A7774" s="183">
        <v>1011</v>
      </c>
      <c r="B7774" s="249" t="str">
        <f>IF(AND(A7774&lt;&gt;"",ISNUMBER(A7774)),VLOOKUP(A7774,Studies!A:BR,2,FALSE),"")</f>
        <v>Villikka 1997</v>
      </c>
      <c r="C7774" s="250" t="str">
        <f>IF(AND(A7774&lt;&gt;"",ISNUMBER(A7774)),VLOOKUP(A7774,Studies!A:BR,3,FALSE),"")</f>
        <v>https://www.ncbi.nlm.nih.gov/pubmed/9024169</v>
      </c>
      <c r="D7774" s="250" t="str">
        <f>IF(AND(A7774&lt;&gt;"",ISNUMBER(A7774)),VLOOKUP(A7774,Studies!A:BR,4,FALSE),"")</f>
        <v>Control arm (pretreatment with placebo for 5 days); Subject 7</v>
      </c>
      <c r="E7774" s="250" t="str">
        <f>IF(AND(A7774&lt;&gt;"",ISNUMBER(A7774)),VLOOKUP(A7774,Studies!A:BR,5,FALSE),"")</f>
        <v>Triazolam</v>
      </c>
      <c r="F7774" s="251" t="str">
        <f>IF(AND(A7774&lt;&gt;"",ISNUMBER(A7774)),VLOOKUP(A7774,Studies!A:BR,6,FALSE),"")</f>
        <v>Plasma</v>
      </c>
      <c r="G7774" s="194">
        <v>5</v>
      </c>
      <c r="H7774" s="194" t="s">
        <v>60</v>
      </c>
      <c r="I7774" s="187">
        <v>1.070662</v>
      </c>
      <c r="J7774" s="187" t="s">
        <v>941</v>
      </c>
      <c r="K7774" s="187" t="s">
        <v>239</v>
      </c>
      <c r="O7774" s="59">
        <v>0.05</v>
      </c>
      <c r="P7774" s="188"/>
    </row>
    <row r="7775" spans="1:16" x14ac:dyDescent="0.2">
      <c r="A7775" s="183">
        <v>1011</v>
      </c>
      <c r="B7775" s="249" t="str">
        <f>IF(AND(A7775&lt;&gt;"",ISNUMBER(A7775)),VLOOKUP(A7775,Studies!A:BR,2,FALSE),"")</f>
        <v>Villikka 1997</v>
      </c>
      <c r="C7775" s="250" t="str">
        <f>IF(AND(A7775&lt;&gt;"",ISNUMBER(A7775)),VLOOKUP(A7775,Studies!A:BR,3,FALSE),"")</f>
        <v>https://www.ncbi.nlm.nih.gov/pubmed/9024169</v>
      </c>
      <c r="D7775" s="250" t="str">
        <f>IF(AND(A7775&lt;&gt;"",ISNUMBER(A7775)),VLOOKUP(A7775,Studies!A:BR,4,FALSE),"")</f>
        <v>Control arm (pretreatment with placebo for 5 days); Subject 7</v>
      </c>
      <c r="E7775" s="250" t="str">
        <f>IF(AND(A7775&lt;&gt;"",ISNUMBER(A7775)),VLOOKUP(A7775,Studies!A:BR,5,FALSE),"")</f>
        <v>Triazolam</v>
      </c>
      <c r="F7775" s="251" t="str">
        <f>IF(AND(A7775&lt;&gt;"",ISNUMBER(A7775)),VLOOKUP(A7775,Studies!A:BR,6,FALSE),"")</f>
        <v>Plasma</v>
      </c>
      <c r="G7775" s="194">
        <v>6</v>
      </c>
      <c r="H7775" s="194" t="s">
        <v>60</v>
      </c>
      <c r="I7775" s="187">
        <v>0.86245499999999997</v>
      </c>
      <c r="J7775" s="187" t="s">
        <v>941</v>
      </c>
      <c r="K7775" s="187" t="s">
        <v>239</v>
      </c>
      <c r="O7775" s="59">
        <v>0.05</v>
      </c>
      <c r="P7775" s="188"/>
    </row>
    <row r="7776" spans="1:16" x14ac:dyDescent="0.2">
      <c r="A7776" s="183">
        <v>1011</v>
      </c>
      <c r="B7776" s="249" t="str">
        <f>IF(AND(A7776&lt;&gt;"",ISNUMBER(A7776)),VLOOKUP(A7776,Studies!A:BR,2,FALSE),"")</f>
        <v>Villikka 1997</v>
      </c>
      <c r="C7776" s="250" t="str">
        <f>IF(AND(A7776&lt;&gt;"",ISNUMBER(A7776)),VLOOKUP(A7776,Studies!A:BR,3,FALSE),"")</f>
        <v>https://www.ncbi.nlm.nih.gov/pubmed/9024169</v>
      </c>
      <c r="D7776" s="250" t="str">
        <f>IF(AND(A7776&lt;&gt;"",ISNUMBER(A7776)),VLOOKUP(A7776,Studies!A:BR,4,FALSE),"")</f>
        <v>Control arm (pretreatment with placebo for 5 days); Subject 7</v>
      </c>
      <c r="E7776" s="250" t="str">
        <f>IF(AND(A7776&lt;&gt;"",ISNUMBER(A7776)),VLOOKUP(A7776,Studies!A:BR,5,FALSE),"")</f>
        <v>Triazolam</v>
      </c>
      <c r="F7776" s="251" t="str">
        <f>IF(AND(A7776&lt;&gt;"",ISNUMBER(A7776)),VLOOKUP(A7776,Studies!A:BR,6,FALSE),"")</f>
        <v>Plasma</v>
      </c>
      <c r="G7776" s="194">
        <v>8</v>
      </c>
      <c r="H7776" s="194" t="s">
        <v>60</v>
      </c>
      <c r="I7776" s="187">
        <v>0.48544710000000002</v>
      </c>
      <c r="J7776" s="187" t="s">
        <v>941</v>
      </c>
      <c r="K7776" s="187" t="s">
        <v>239</v>
      </c>
      <c r="O7776" s="59">
        <v>0.05</v>
      </c>
      <c r="P7776" s="188"/>
    </row>
    <row r="7777" spans="1:16" x14ac:dyDescent="0.2">
      <c r="A7777" s="183">
        <v>1011</v>
      </c>
      <c r="B7777" s="249" t="str">
        <f>IF(AND(A7777&lt;&gt;"",ISNUMBER(A7777)),VLOOKUP(A7777,Studies!A:BR,2,FALSE),"")</f>
        <v>Villikka 1997</v>
      </c>
      <c r="C7777" s="250" t="str">
        <f>IF(AND(A7777&lt;&gt;"",ISNUMBER(A7777)),VLOOKUP(A7777,Studies!A:BR,3,FALSE),"")</f>
        <v>https://www.ncbi.nlm.nih.gov/pubmed/9024169</v>
      </c>
      <c r="D7777" s="250" t="str">
        <f>IF(AND(A7777&lt;&gt;"",ISNUMBER(A7777)),VLOOKUP(A7777,Studies!A:BR,4,FALSE),"")</f>
        <v>Control arm (pretreatment with placebo for 5 days); Subject 7</v>
      </c>
      <c r="E7777" s="250" t="str">
        <f>IF(AND(A7777&lt;&gt;"",ISNUMBER(A7777)),VLOOKUP(A7777,Studies!A:BR,5,FALSE),"")</f>
        <v>Triazolam</v>
      </c>
      <c r="F7777" s="251" t="str">
        <f>IF(AND(A7777&lt;&gt;"",ISNUMBER(A7777)),VLOOKUP(A7777,Studies!A:BR,6,FALSE),"")</f>
        <v>Plasma</v>
      </c>
      <c r="G7777" s="194">
        <v>10</v>
      </c>
      <c r="H7777" s="194" t="s">
        <v>60</v>
      </c>
      <c r="I7777" s="187">
        <v>0.28381420000000002</v>
      </c>
      <c r="J7777" s="187" t="s">
        <v>941</v>
      </c>
      <c r="K7777" s="187" t="s">
        <v>239</v>
      </c>
      <c r="O7777" s="59">
        <v>0.05</v>
      </c>
      <c r="P7777" s="188"/>
    </row>
    <row r="7778" spans="1:16" x14ac:dyDescent="0.2">
      <c r="A7778" s="183">
        <v>1012</v>
      </c>
      <c r="B7778" s="249" t="str">
        <f>IF(AND(A7778&lt;&gt;"",ISNUMBER(A7778)),VLOOKUP(A7778,Studies!A:BR,2,FALSE),"")</f>
        <v>Villikka 1997</v>
      </c>
      <c r="C7778" s="250" t="str">
        <f>IF(AND(A7778&lt;&gt;"",ISNUMBER(A7778)),VLOOKUP(A7778,Studies!A:BR,3,FALSE),"")</f>
        <v>https://www.ncbi.nlm.nih.gov/pubmed/9024169</v>
      </c>
      <c r="D7778" s="250" t="str">
        <f>IF(AND(A7778&lt;&gt;"",ISNUMBER(A7778)),VLOOKUP(A7778,Studies!A:BR,4,FALSE),"")</f>
        <v>Control arm (pretreatment with placebo for 5 days); Subject 8</v>
      </c>
      <c r="E7778" s="250" t="str">
        <f>IF(AND(A7778&lt;&gt;"",ISNUMBER(A7778)),VLOOKUP(A7778,Studies!A:BR,5,FALSE),"")</f>
        <v>Triazolam</v>
      </c>
      <c r="F7778" s="251" t="str">
        <f>IF(AND(A7778&lt;&gt;"",ISNUMBER(A7778)),VLOOKUP(A7778,Studies!A:BR,6,FALSE),"")</f>
        <v>Plasma</v>
      </c>
      <c r="G7778" s="194">
        <v>0.5</v>
      </c>
      <c r="H7778" s="194" t="s">
        <v>60</v>
      </c>
      <c r="I7778" s="187">
        <v>8.856282E-2</v>
      </c>
      <c r="J7778" s="187" t="s">
        <v>941</v>
      </c>
      <c r="K7778" s="187" t="s">
        <v>239</v>
      </c>
      <c r="O7778" s="59">
        <v>0.05</v>
      </c>
      <c r="P7778" s="188" t="s">
        <v>2612</v>
      </c>
    </row>
    <row r="7779" spans="1:16" x14ac:dyDescent="0.2">
      <c r="A7779" s="183">
        <v>1012</v>
      </c>
      <c r="B7779" s="249" t="str">
        <f>IF(AND(A7779&lt;&gt;"",ISNUMBER(A7779)),VLOOKUP(A7779,Studies!A:BR,2,FALSE),"")</f>
        <v>Villikka 1997</v>
      </c>
      <c r="C7779" s="250" t="str">
        <f>IF(AND(A7779&lt;&gt;"",ISNUMBER(A7779)),VLOOKUP(A7779,Studies!A:BR,3,FALSE),"")</f>
        <v>https://www.ncbi.nlm.nih.gov/pubmed/9024169</v>
      </c>
      <c r="D7779" s="250" t="str">
        <f>IF(AND(A7779&lt;&gt;"",ISNUMBER(A7779)),VLOOKUP(A7779,Studies!A:BR,4,FALSE),"")</f>
        <v>Control arm (pretreatment with placebo for 5 days); Subject 8</v>
      </c>
      <c r="E7779" s="250" t="str">
        <f>IF(AND(A7779&lt;&gt;"",ISNUMBER(A7779)),VLOOKUP(A7779,Studies!A:BR,5,FALSE),"")</f>
        <v>Triazolam</v>
      </c>
      <c r="F7779" s="251" t="str">
        <f>IF(AND(A7779&lt;&gt;"",ISNUMBER(A7779)),VLOOKUP(A7779,Studies!A:BR,6,FALSE),"")</f>
        <v>Plasma</v>
      </c>
      <c r="G7779" s="194">
        <v>1</v>
      </c>
      <c r="H7779" s="194" t="s">
        <v>60</v>
      </c>
      <c r="I7779" s="187">
        <v>1.4012789999999999</v>
      </c>
      <c r="J7779" s="187" t="s">
        <v>941</v>
      </c>
      <c r="K7779" s="187" t="s">
        <v>239</v>
      </c>
      <c r="O7779" s="59">
        <v>0.05</v>
      </c>
      <c r="P7779" s="188"/>
    </row>
    <row r="7780" spans="1:16" x14ac:dyDescent="0.2">
      <c r="A7780" s="183">
        <v>1012</v>
      </c>
      <c r="B7780" s="249" t="str">
        <f>IF(AND(A7780&lt;&gt;"",ISNUMBER(A7780)),VLOOKUP(A7780,Studies!A:BR,2,FALSE),"")</f>
        <v>Villikka 1997</v>
      </c>
      <c r="C7780" s="250" t="str">
        <f>IF(AND(A7780&lt;&gt;"",ISNUMBER(A7780)),VLOOKUP(A7780,Studies!A:BR,3,FALSE),"")</f>
        <v>https://www.ncbi.nlm.nih.gov/pubmed/9024169</v>
      </c>
      <c r="D7780" s="250" t="str">
        <f>IF(AND(A7780&lt;&gt;"",ISNUMBER(A7780)),VLOOKUP(A7780,Studies!A:BR,4,FALSE),"")</f>
        <v>Control arm (pretreatment with placebo for 5 days); Subject 8</v>
      </c>
      <c r="E7780" s="250" t="str">
        <f>IF(AND(A7780&lt;&gt;"",ISNUMBER(A7780)),VLOOKUP(A7780,Studies!A:BR,5,FALSE),"")</f>
        <v>Triazolam</v>
      </c>
      <c r="F7780" s="251" t="str">
        <f>IF(AND(A7780&lt;&gt;"",ISNUMBER(A7780)),VLOOKUP(A7780,Studies!A:BR,6,FALSE),"")</f>
        <v>Plasma</v>
      </c>
      <c r="G7780" s="194">
        <v>1.5</v>
      </c>
      <c r="H7780" s="194" t="s">
        <v>60</v>
      </c>
      <c r="I7780" s="187">
        <v>2.9417369999999998</v>
      </c>
      <c r="J7780" s="187" t="s">
        <v>941</v>
      </c>
      <c r="K7780" s="187" t="s">
        <v>239</v>
      </c>
      <c r="O7780" s="59">
        <v>0.05</v>
      </c>
      <c r="P7780" s="188"/>
    </row>
    <row r="7781" spans="1:16" x14ac:dyDescent="0.2">
      <c r="A7781" s="183">
        <v>1012</v>
      </c>
      <c r="B7781" s="249" t="str">
        <f>IF(AND(A7781&lt;&gt;"",ISNUMBER(A7781)),VLOOKUP(A7781,Studies!A:BR,2,FALSE),"")</f>
        <v>Villikka 1997</v>
      </c>
      <c r="C7781" s="250" t="str">
        <f>IF(AND(A7781&lt;&gt;"",ISNUMBER(A7781)),VLOOKUP(A7781,Studies!A:BR,3,FALSE),"")</f>
        <v>https://www.ncbi.nlm.nih.gov/pubmed/9024169</v>
      </c>
      <c r="D7781" s="250" t="str">
        <f>IF(AND(A7781&lt;&gt;"",ISNUMBER(A7781)),VLOOKUP(A7781,Studies!A:BR,4,FALSE),"")</f>
        <v>Control arm (pretreatment with placebo for 5 days); Subject 8</v>
      </c>
      <c r="E7781" s="250" t="str">
        <f>IF(AND(A7781&lt;&gt;"",ISNUMBER(A7781)),VLOOKUP(A7781,Studies!A:BR,5,FALSE),"")</f>
        <v>Triazolam</v>
      </c>
      <c r="F7781" s="251" t="str">
        <f>IF(AND(A7781&lt;&gt;"",ISNUMBER(A7781)),VLOOKUP(A7781,Studies!A:BR,6,FALSE),"")</f>
        <v>Plasma</v>
      </c>
      <c r="G7781" s="194">
        <v>2</v>
      </c>
      <c r="H7781" s="194" t="s">
        <v>60</v>
      </c>
      <c r="I7781" s="187">
        <v>3.4958459999999998</v>
      </c>
      <c r="J7781" s="187" t="s">
        <v>941</v>
      </c>
      <c r="K7781" s="187" t="s">
        <v>239</v>
      </c>
      <c r="O7781" s="59">
        <v>0.05</v>
      </c>
      <c r="P7781" s="188"/>
    </row>
    <row r="7782" spans="1:16" x14ac:dyDescent="0.2">
      <c r="A7782" s="183">
        <v>1012</v>
      </c>
      <c r="B7782" s="249" t="str">
        <f>IF(AND(A7782&lt;&gt;"",ISNUMBER(A7782)),VLOOKUP(A7782,Studies!A:BR,2,FALSE),"")</f>
        <v>Villikka 1997</v>
      </c>
      <c r="C7782" s="250" t="str">
        <f>IF(AND(A7782&lt;&gt;"",ISNUMBER(A7782)),VLOOKUP(A7782,Studies!A:BR,3,FALSE),"")</f>
        <v>https://www.ncbi.nlm.nih.gov/pubmed/9024169</v>
      </c>
      <c r="D7782" s="250" t="str">
        <f>IF(AND(A7782&lt;&gt;"",ISNUMBER(A7782)),VLOOKUP(A7782,Studies!A:BR,4,FALSE),"")</f>
        <v>Control arm (pretreatment with placebo for 5 days); Subject 8</v>
      </c>
      <c r="E7782" s="250" t="str">
        <f>IF(AND(A7782&lt;&gt;"",ISNUMBER(A7782)),VLOOKUP(A7782,Studies!A:BR,5,FALSE),"")</f>
        <v>Triazolam</v>
      </c>
      <c r="F7782" s="251" t="str">
        <f>IF(AND(A7782&lt;&gt;"",ISNUMBER(A7782)),VLOOKUP(A7782,Studies!A:BR,6,FALSE),"")</f>
        <v>Plasma</v>
      </c>
      <c r="G7782" s="194">
        <v>3</v>
      </c>
      <c r="H7782" s="194" t="s">
        <v>60</v>
      </c>
      <c r="I7782" s="187">
        <v>3.1915559999999998</v>
      </c>
      <c r="J7782" s="187" t="s">
        <v>941</v>
      </c>
      <c r="K7782" s="187" t="s">
        <v>239</v>
      </c>
      <c r="O7782" s="59">
        <v>0.05</v>
      </c>
      <c r="P7782" s="188"/>
    </row>
    <row r="7783" spans="1:16" x14ac:dyDescent="0.2">
      <c r="A7783" s="183">
        <v>1012</v>
      </c>
      <c r="B7783" s="249" t="str">
        <f>IF(AND(A7783&lt;&gt;"",ISNUMBER(A7783)),VLOOKUP(A7783,Studies!A:BR,2,FALSE),"")</f>
        <v>Villikka 1997</v>
      </c>
      <c r="C7783" s="250" t="str">
        <f>IF(AND(A7783&lt;&gt;"",ISNUMBER(A7783)),VLOOKUP(A7783,Studies!A:BR,3,FALSE),"")</f>
        <v>https://www.ncbi.nlm.nih.gov/pubmed/9024169</v>
      </c>
      <c r="D7783" s="250" t="str">
        <f>IF(AND(A7783&lt;&gt;"",ISNUMBER(A7783)),VLOOKUP(A7783,Studies!A:BR,4,FALSE),"")</f>
        <v>Control arm (pretreatment with placebo for 5 days); Subject 8</v>
      </c>
      <c r="E7783" s="250" t="str">
        <f>IF(AND(A7783&lt;&gt;"",ISNUMBER(A7783)),VLOOKUP(A7783,Studies!A:BR,5,FALSE),"")</f>
        <v>Triazolam</v>
      </c>
      <c r="F7783" s="251" t="str">
        <f>IF(AND(A7783&lt;&gt;"",ISNUMBER(A7783)),VLOOKUP(A7783,Studies!A:BR,6,FALSE),"")</f>
        <v>Plasma</v>
      </c>
      <c r="G7783" s="194">
        <v>4</v>
      </c>
      <c r="H7783" s="194" t="s">
        <v>60</v>
      </c>
      <c r="I7783" s="187">
        <v>2.255703</v>
      </c>
      <c r="J7783" s="187" t="s">
        <v>941</v>
      </c>
      <c r="K7783" s="187" t="s">
        <v>239</v>
      </c>
      <c r="O7783" s="59">
        <v>0.05</v>
      </c>
      <c r="P7783" s="188"/>
    </row>
    <row r="7784" spans="1:16" x14ac:dyDescent="0.2">
      <c r="A7784" s="183">
        <v>1012</v>
      </c>
      <c r="B7784" s="249" t="str">
        <f>IF(AND(A7784&lt;&gt;"",ISNUMBER(A7784)),VLOOKUP(A7784,Studies!A:BR,2,FALSE),"")</f>
        <v>Villikka 1997</v>
      </c>
      <c r="C7784" s="250" t="str">
        <f>IF(AND(A7784&lt;&gt;"",ISNUMBER(A7784)),VLOOKUP(A7784,Studies!A:BR,3,FALSE),"")</f>
        <v>https://www.ncbi.nlm.nih.gov/pubmed/9024169</v>
      </c>
      <c r="D7784" s="250" t="str">
        <f>IF(AND(A7784&lt;&gt;"",ISNUMBER(A7784)),VLOOKUP(A7784,Studies!A:BR,4,FALSE),"")</f>
        <v>Control arm (pretreatment with placebo for 5 days); Subject 8</v>
      </c>
      <c r="E7784" s="250" t="str">
        <f>IF(AND(A7784&lt;&gt;"",ISNUMBER(A7784)),VLOOKUP(A7784,Studies!A:BR,5,FALSE),"")</f>
        <v>Triazolam</v>
      </c>
      <c r="F7784" s="251" t="str">
        <f>IF(AND(A7784&lt;&gt;"",ISNUMBER(A7784)),VLOOKUP(A7784,Studies!A:BR,6,FALSE),"")</f>
        <v>Plasma</v>
      </c>
      <c r="G7784" s="194">
        <v>5</v>
      </c>
      <c r="H7784" s="194" t="s">
        <v>60</v>
      </c>
      <c r="I7784" s="187">
        <v>1.769339</v>
      </c>
      <c r="J7784" s="187" t="s">
        <v>941</v>
      </c>
      <c r="K7784" s="187" t="s">
        <v>239</v>
      </c>
      <c r="O7784" s="59">
        <v>0.05</v>
      </c>
      <c r="P7784" s="188"/>
    </row>
    <row r="7785" spans="1:16" x14ac:dyDescent="0.2">
      <c r="A7785" s="183">
        <v>1012</v>
      </c>
      <c r="B7785" s="249" t="str">
        <f>IF(AND(A7785&lt;&gt;"",ISNUMBER(A7785)),VLOOKUP(A7785,Studies!A:BR,2,FALSE),"")</f>
        <v>Villikka 1997</v>
      </c>
      <c r="C7785" s="250" t="str">
        <f>IF(AND(A7785&lt;&gt;"",ISNUMBER(A7785)),VLOOKUP(A7785,Studies!A:BR,3,FALSE),"")</f>
        <v>https://www.ncbi.nlm.nih.gov/pubmed/9024169</v>
      </c>
      <c r="D7785" s="250" t="str">
        <f>IF(AND(A7785&lt;&gt;"",ISNUMBER(A7785)),VLOOKUP(A7785,Studies!A:BR,4,FALSE),"")</f>
        <v>Control arm (pretreatment with placebo for 5 days); Subject 8</v>
      </c>
      <c r="E7785" s="250" t="str">
        <f>IF(AND(A7785&lt;&gt;"",ISNUMBER(A7785)),VLOOKUP(A7785,Studies!A:BR,5,FALSE),"")</f>
        <v>Triazolam</v>
      </c>
      <c r="F7785" s="251" t="str">
        <f>IF(AND(A7785&lt;&gt;"",ISNUMBER(A7785)),VLOOKUP(A7785,Studies!A:BR,6,FALSE),"")</f>
        <v>Plasma</v>
      </c>
      <c r="G7785" s="194">
        <v>6</v>
      </c>
      <c r="H7785" s="194" t="s">
        <v>60</v>
      </c>
      <c r="I7785" s="187">
        <v>1.401152</v>
      </c>
      <c r="J7785" s="187" t="s">
        <v>941</v>
      </c>
      <c r="K7785" s="187" t="s">
        <v>239</v>
      </c>
      <c r="O7785" s="59">
        <v>0.05</v>
      </c>
      <c r="P7785" s="188"/>
    </row>
    <row r="7786" spans="1:16" x14ac:dyDescent="0.2">
      <c r="A7786" s="183">
        <v>1012</v>
      </c>
      <c r="B7786" s="249" t="str">
        <f>IF(AND(A7786&lt;&gt;"",ISNUMBER(A7786)),VLOOKUP(A7786,Studies!A:BR,2,FALSE),"")</f>
        <v>Villikka 1997</v>
      </c>
      <c r="C7786" s="250" t="str">
        <f>IF(AND(A7786&lt;&gt;"",ISNUMBER(A7786)),VLOOKUP(A7786,Studies!A:BR,3,FALSE),"")</f>
        <v>https://www.ncbi.nlm.nih.gov/pubmed/9024169</v>
      </c>
      <c r="D7786" s="250" t="str">
        <f>IF(AND(A7786&lt;&gt;"",ISNUMBER(A7786)),VLOOKUP(A7786,Studies!A:BR,4,FALSE),"")</f>
        <v>Control arm (pretreatment with placebo for 5 days); Subject 8</v>
      </c>
      <c r="E7786" s="250" t="str">
        <f>IF(AND(A7786&lt;&gt;"",ISNUMBER(A7786)),VLOOKUP(A7786,Studies!A:BR,5,FALSE),"")</f>
        <v>Triazolam</v>
      </c>
      <c r="F7786" s="251" t="str">
        <f>IF(AND(A7786&lt;&gt;"",ISNUMBER(A7786)),VLOOKUP(A7786,Studies!A:BR,6,FALSE),"")</f>
        <v>Plasma</v>
      </c>
      <c r="G7786" s="194">
        <v>8</v>
      </c>
      <c r="H7786" s="194" t="s">
        <v>60</v>
      </c>
      <c r="I7786" s="187">
        <v>0.76958159999999998</v>
      </c>
      <c r="J7786" s="187" t="s">
        <v>941</v>
      </c>
      <c r="K7786" s="187" t="s">
        <v>239</v>
      </c>
      <c r="O7786" s="59">
        <v>0.05</v>
      </c>
      <c r="P7786" s="188"/>
    </row>
    <row r="7787" spans="1:16" x14ac:dyDescent="0.2">
      <c r="A7787" s="183">
        <v>1012</v>
      </c>
      <c r="B7787" s="249" t="str">
        <f>IF(AND(A7787&lt;&gt;"",ISNUMBER(A7787)),VLOOKUP(A7787,Studies!A:BR,2,FALSE),"")</f>
        <v>Villikka 1997</v>
      </c>
      <c r="C7787" s="250" t="str">
        <f>IF(AND(A7787&lt;&gt;"",ISNUMBER(A7787)),VLOOKUP(A7787,Studies!A:BR,3,FALSE),"")</f>
        <v>https://www.ncbi.nlm.nih.gov/pubmed/9024169</v>
      </c>
      <c r="D7787" s="250" t="str">
        <f>IF(AND(A7787&lt;&gt;"",ISNUMBER(A7787)),VLOOKUP(A7787,Studies!A:BR,4,FALSE),"")</f>
        <v>Control arm (pretreatment with placebo for 5 days); Subject 8</v>
      </c>
      <c r="E7787" s="250" t="str">
        <f>IF(AND(A7787&lt;&gt;"",ISNUMBER(A7787)),VLOOKUP(A7787,Studies!A:BR,5,FALSE),"")</f>
        <v>Triazolam</v>
      </c>
      <c r="F7787" s="251" t="str">
        <f>IF(AND(A7787&lt;&gt;"",ISNUMBER(A7787)),VLOOKUP(A7787,Studies!A:BR,6,FALSE),"")</f>
        <v>Plasma</v>
      </c>
      <c r="G7787" s="194">
        <v>10</v>
      </c>
      <c r="H7787" s="194" t="s">
        <v>60</v>
      </c>
      <c r="I7787" s="187">
        <v>0.39549640000000003</v>
      </c>
      <c r="J7787" s="187" t="s">
        <v>941</v>
      </c>
      <c r="K7787" s="187" t="s">
        <v>239</v>
      </c>
      <c r="O7787" s="59">
        <v>0.05</v>
      </c>
      <c r="P7787" s="188"/>
    </row>
    <row r="7788" spans="1:16" x14ac:dyDescent="0.2">
      <c r="A7788" s="183">
        <v>1013</v>
      </c>
      <c r="B7788" s="249" t="str">
        <f>IF(AND(A7788&lt;&gt;"",ISNUMBER(A7788)),VLOOKUP(A7788,Studies!A:BR,2,FALSE),"")</f>
        <v>Villikka 1997</v>
      </c>
      <c r="C7788" s="250" t="str">
        <f>IF(AND(A7788&lt;&gt;"",ISNUMBER(A7788)),VLOOKUP(A7788,Studies!A:BR,3,FALSE),"")</f>
        <v>https://www.ncbi.nlm.nih.gov/pubmed/9024169</v>
      </c>
      <c r="D7788" s="250" t="str">
        <f>IF(AND(A7788&lt;&gt;"",ISNUMBER(A7788)),VLOOKUP(A7788,Studies!A:BR,4,FALSE),"")</f>
        <v>Control arm (pretreatment with placebo for 5 days); Subject 9</v>
      </c>
      <c r="E7788" s="250" t="str">
        <f>IF(AND(A7788&lt;&gt;"",ISNUMBER(A7788)),VLOOKUP(A7788,Studies!A:BR,5,FALSE),"")</f>
        <v>Triazolam</v>
      </c>
      <c r="F7788" s="251" t="str">
        <f>IF(AND(A7788&lt;&gt;"",ISNUMBER(A7788)),VLOOKUP(A7788,Studies!A:BR,6,FALSE),"")</f>
        <v>Plasma</v>
      </c>
      <c r="G7788" s="194">
        <v>0.5</v>
      </c>
      <c r="H7788" s="194" t="s">
        <v>60</v>
      </c>
      <c r="I7788" s="187">
        <v>0.1296909</v>
      </c>
      <c r="J7788" s="187" t="s">
        <v>941</v>
      </c>
      <c r="K7788" s="187" t="s">
        <v>239</v>
      </c>
      <c r="O7788" s="59">
        <v>0.05</v>
      </c>
      <c r="P7788" s="188" t="s">
        <v>2612</v>
      </c>
    </row>
    <row r="7789" spans="1:16" x14ac:dyDescent="0.2">
      <c r="A7789" s="183">
        <v>1013</v>
      </c>
      <c r="B7789" s="249" t="str">
        <f>IF(AND(A7789&lt;&gt;"",ISNUMBER(A7789)),VLOOKUP(A7789,Studies!A:BR,2,FALSE),"")</f>
        <v>Villikka 1997</v>
      </c>
      <c r="C7789" s="250" t="str">
        <f>IF(AND(A7789&lt;&gt;"",ISNUMBER(A7789)),VLOOKUP(A7789,Studies!A:BR,3,FALSE),"")</f>
        <v>https://www.ncbi.nlm.nih.gov/pubmed/9024169</v>
      </c>
      <c r="D7789" s="250" t="str">
        <f>IF(AND(A7789&lt;&gt;"",ISNUMBER(A7789)),VLOOKUP(A7789,Studies!A:BR,4,FALSE),"")</f>
        <v>Control arm (pretreatment with placebo for 5 days); Subject 9</v>
      </c>
      <c r="E7789" s="250" t="str">
        <f>IF(AND(A7789&lt;&gt;"",ISNUMBER(A7789)),VLOOKUP(A7789,Studies!A:BR,5,FALSE),"")</f>
        <v>Triazolam</v>
      </c>
      <c r="F7789" s="251" t="str">
        <f>IF(AND(A7789&lt;&gt;"",ISNUMBER(A7789)),VLOOKUP(A7789,Studies!A:BR,6,FALSE),"")</f>
        <v>Plasma</v>
      </c>
      <c r="G7789" s="194">
        <v>1</v>
      </c>
      <c r="H7789" s="194" t="s">
        <v>60</v>
      </c>
      <c r="I7789" s="187">
        <v>0.31003150000000002</v>
      </c>
      <c r="J7789" s="187" t="s">
        <v>941</v>
      </c>
      <c r="K7789" s="187" t="s">
        <v>239</v>
      </c>
      <c r="O7789" s="59">
        <v>0.05</v>
      </c>
      <c r="P7789" s="188"/>
    </row>
    <row r="7790" spans="1:16" x14ac:dyDescent="0.2">
      <c r="A7790" s="183">
        <v>1013</v>
      </c>
      <c r="B7790" s="249" t="str">
        <f>IF(AND(A7790&lt;&gt;"",ISNUMBER(A7790)),VLOOKUP(A7790,Studies!A:BR,2,FALSE),"")</f>
        <v>Villikka 1997</v>
      </c>
      <c r="C7790" s="250" t="str">
        <f>IF(AND(A7790&lt;&gt;"",ISNUMBER(A7790)),VLOOKUP(A7790,Studies!A:BR,3,FALSE),"")</f>
        <v>https://www.ncbi.nlm.nih.gov/pubmed/9024169</v>
      </c>
      <c r="D7790" s="250" t="str">
        <f>IF(AND(A7790&lt;&gt;"",ISNUMBER(A7790)),VLOOKUP(A7790,Studies!A:BR,4,FALSE),"")</f>
        <v>Control arm (pretreatment with placebo for 5 days); Subject 9</v>
      </c>
      <c r="E7790" s="250" t="str">
        <f>IF(AND(A7790&lt;&gt;"",ISNUMBER(A7790)),VLOOKUP(A7790,Studies!A:BR,5,FALSE),"")</f>
        <v>Triazolam</v>
      </c>
      <c r="F7790" s="251" t="str">
        <f>IF(AND(A7790&lt;&gt;"",ISNUMBER(A7790)),VLOOKUP(A7790,Studies!A:BR,6,FALSE),"")</f>
        <v>Plasma</v>
      </c>
      <c r="G7790" s="194">
        <v>1.5</v>
      </c>
      <c r="H7790" s="194" t="s">
        <v>60</v>
      </c>
      <c r="I7790" s="187">
        <v>0.42984670000000003</v>
      </c>
      <c r="J7790" s="187" t="s">
        <v>941</v>
      </c>
      <c r="K7790" s="187" t="s">
        <v>239</v>
      </c>
      <c r="O7790" s="59">
        <v>0.05</v>
      </c>
      <c r="P7790" s="188"/>
    </row>
    <row r="7791" spans="1:16" x14ac:dyDescent="0.2">
      <c r="A7791" s="183">
        <v>1013</v>
      </c>
      <c r="B7791" s="249" t="str">
        <f>IF(AND(A7791&lt;&gt;"",ISNUMBER(A7791)),VLOOKUP(A7791,Studies!A:BR,2,FALSE),"")</f>
        <v>Villikka 1997</v>
      </c>
      <c r="C7791" s="250" t="str">
        <f>IF(AND(A7791&lt;&gt;"",ISNUMBER(A7791)),VLOOKUP(A7791,Studies!A:BR,3,FALSE),"")</f>
        <v>https://www.ncbi.nlm.nih.gov/pubmed/9024169</v>
      </c>
      <c r="D7791" s="250" t="str">
        <f>IF(AND(A7791&lt;&gt;"",ISNUMBER(A7791)),VLOOKUP(A7791,Studies!A:BR,4,FALSE),"")</f>
        <v>Control arm (pretreatment with placebo for 5 days); Subject 9</v>
      </c>
      <c r="E7791" s="250" t="str">
        <f>IF(AND(A7791&lt;&gt;"",ISNUMBER(A7791)),VLOOKUP(A7791,Studies!A:BR,5,FALSE),"")</f>
        <v>Triazolam</v>
      </c>
      <c r="F7791" s="251" t="str">
        <f>IF(AND(A7791&lt;&gt;"",ISNUMBER(A7791)),VLOOKUP(A7791,Studies!A:BR,6,FALSE),"")</f>
        <v>Plasma</v>
      </c>
      <c r="G7791" s="194">
        <v>2</v>
      </c>
      <c r="H7791" s="194" t="s">
        <v>60</v>
      </c>
      <c r="I7791" s="187">
        <v>2.52338</v>
      </c>
      <c r="J7791" s="187" t="s">
        <v>941</v>
      </c>
      <c r="K7791" s="187" t="s">
        <v>239</v>
      </c>
      <c r="O7791" s="59">
        <v>0.05</v>
      </c>
      <c r="P7791" s="188"/>
    </row>
    <row r="7792" spans="1:16" x14ac:dyDescent="0.2">
      <c r="A7792" s="183">
        <v>1013</v>
      </c>
      <c r="B7792" s="249" t="str">
        <f>IF(AND(A7792&lt;&gt;"",ISNUMBER(A7792)),VLOOKUP(A7792,Studies!A:BR,2,FALSE),"")</f>
        <v>Villikka 1997</v>
      </c>
      <c r="C7792" s="250" t="str">
        <f>IF(AND(A7792&lt;&gt;"",ISNUMBER(A7792)),VLOOKUP(A7792,Studies!A:BR,3,FALSE),"")</f>
        <v>https://www.ncbi.nlm.nih.gov/pubmed/9024169</v>
      </c>
      <c r="D7792" s="250" t="str">
        <f>IF(AND(A7792&lt;&gt;"",ISNUMBER(A7792)),VLOOKUP(A7792,Studies!A:BR,4,FALSE),"")</f>
        <v>Control arm (pretreatment with placebo for 5 days); Subject 9</v>
      </c>
      <c r="E7792" s="250" t="str">
        <f>IF(AND(A7792&lt;&gt;"",ISNUMBER(A7792)),VLOOKUP(A7792,Studies!A:BR,5,FALSE),"")</f>
        <v>Triazolam</v>
      </c>
      <c r="F7792" s="251" t="str">
        <f>IF(AND(A7792&lt;&gt;"",ISNUMBER(A7792)),VLOOKUP(A7792,Studies!A:BR,6,FALSE),"")</f>
        <v>Plasma</v>
      </c>
      <c r="G7792" s="194">
        <v>3</v>
      </c>
      <c r="H7792" s="194" t="s">
        <v>60</v>
      </c>
      <c r="I7792" s="187">
        <v>3.7125499999999998</v>
      </c>
      <c r="J7792" s="187" t="s">
        <v>941</v>
      </c>
      <c r="K7792" s="187" t="s">
        <v>239</v>
      </c>
      <c r="O7792" s="59">
        <v>0.05</v>
      </c>
      <c r="P7792" s="188"/>
    </row>
    <row r="7793" spans="1:16" x14ac:dyDescent="0.2">
      <c r="A7793" s="30">
        <v>1013</v>
      </c>
      <c r="B7793" s="249" t="str">
        <f>IF(AND(A7793&lt;&gt;"",ISNUMBER(A7793)),VLOOKUP(A7793,Studies!A:BR,2,FALSE),"")</f>
        <v>Villikka 1997</v>
      </c>
      <c r="C7793" s="250" t="str">
        <f>IF(AND(A7793&lt;&gt;"",ISNUMBER(A7793)),VLOOKUP(A7793,Studies!A:BR,3,FALSE),"")</f>
        <v>https://www.ncbi.nlm.nih.gov/pubmed/9024169</v>
      </c>
      <c r="D7793" s="250" t="str">
        <f>IF(AND(A7793&lt;&gt;"",ISNUMBER(A7793)),VLOOKUP(A7793,Studies!A:BR,4,FALSE),"")</f>
        <v>Control arm (pretreatment with placebo for 5 days); Subject 9</v>
      </c>
      <c r="E7793" s="250" t="str">
        <f>IF(AND(A7793&lt;&gt;"",ISNUMBER(A7793)),VLOOKUP(A7793,Studies!A:BR,5,FALSE),"")</f>
        <v>Triazolam</v>
      </c>
      <c r="F7793" s="251" t="str">
        <f>IF(AND(A7793&lt;&gt;"",ISNUMBER(A7793)),VLOOKUP(A7793,Studies!A:BR,6,FALSE),"")</f>
        <v>Plasma</v>
      </c>
      <c r="G7793" s="194">
        <v>4</v>
      </c>
      <c r="H7793" s="194" t="s">
        <v>60</v>
      </c>
      <c r="I7793" s="187">
        <v>2.8795519999999999</v>
      </c>
      <c r="J7793" s="41" t="s">
        <v>941</v>
      </c>
      <c r="K7793" s="187" t="s">
        <v>239</v>
      </c>
      <c r="O7793" s="59">
        <v>0.05</v>
      </c>
    </row>
    <row r="7794" spans="1:16" x14ac:dyDescent="0.2">
      <c r="A7794" s="30">
        <v>1013</v>
      </c>
      <c r="B7794" s="249" t="str">
        <f>IF(AND(A7794&lt;&gt;"",ISNUMBER(A7794)),VLOOKUP(A7794,Studies!A:BR,2,FALSE),"")</f>
        <v>Villikka 1997</v>
      </c>
      <c r="C7794" s="250" t="str">
        <f>IF(AND(A7794&lt;&gt;"",ISNUMBER(A7794)),VLOOKUP(A7794,Studies!A:BR,3,FALSE),"")</f>
        <v>https://www.ncbi.nlm.nih.gov/pubmed/9024169</v>
      </c>
      <c r="D7794" s="250" t="str">
        <f>IF(AND(A7794&lt;&gt;"",ISNUMBER(A7794)),VLOOKUP(A7794,Studies!A:BR,4,FALSE),"")</f>
        <v>Control arm (pretreatment with placebo for 5 days); Subject 9</v>
      </c>
      <c r="E7794" s="250" t="str">
        <f>IF(AND(A7794&lt;&gt;"",ISNUMBER(A7794)),VLOOKUP(A7794,Studies!A:BR,5,FALSE),"")</f>
        <v>Triazolam</v>
      </c>
      <c r="F7794" s="251" t="str">
        <f>IF(AND(A7794&lt;&gt;"",ISNUMBER(A7794)),VLOOKUP(A7794,Studies!A:BR,6,FALSE),"")</f>
        <v>Plasma</v>
      </c>
      <c r="G7794" s="194">
        <v>5</v>
      </c>
      <c r="H7794" s="194" t="s">
        <v>60</v>
      </c>
      <c r="I7794" s="187">
        <v>1.9913529999999999</v>
      </c>
      <c r="J7794" s="41" t="s">
        <v>941</v>
      </c>
      <c r="K7794" s="187" t="s">
        <v>239</v>
      </c>
      <c r="O7794" s="59">
        <v>0.05</v>
      </c>
    </row>
    <row r="7795" spans="1:16" x14ac:dyDescent="0.2">
      <c r="A7795" s="30">
        <v>1013</v>
      </c>
      <c r="B7795" s="249" t="str">
        <f>IF(AND(A7795&lt;&gt;"",ISNUMBER(A7795)),VLOOKUP(A7795,Studies!A:BR,2,FALSE),"")</f>
        <v>Villikka 1997</v>
      </c>
      <c r="C7795" s="250" t="str">
        <f>IF(AND(A7795&lt;&gt;"",ISNUMBER(A7795)),VLOOKUP(A7795,Studies!A:BR,3,FALSE),"")</f>
        <v>https://www.ncbi.nlm.nih.gov/pubmed/9024169</v>
      </c>
      <c r="D7795" s="250" t="str">
        <f>IF(AND(A7795&lt;&gt;"",ISNUMBER(A7795)),VLOOKUP(A7795,Studies!A:BR,4,FALSE),"")</f>
        <v>Control arm (pretreatment with placebo for 5 days); Subject 9</v>
      </c>
      <c r="E7795" s="250" t="str">
        <f>IF(AND(A7795&lt;&gt;"",ISNUMBER(A7795)),VLOOKUP(A7795,Studies!A:BR,5,FALSE),"")</f>
        <v>Triazolam</v>
      </c>
      <c r="F7795" s="251" t="str">
        <f>IF(AND(A7795&lt;&gt;"",ISNUMBER(A7795)),VLOOKUP(A7795,Studies!A:BR,6,FALSE),"")</f>
        <v>Plasma</v>
      </c>
      <c r="G7795" s="194">
        <v>6</v>
      </c>
      <c r="H7795" s="194" t="s">
        <v>60</v>
      </c>
      <c r="I7795" s="187">
        <v>1.559185</v>
      </c>
      <c r="J7795" s="187" t="s">
        <v>941</v>
      </c>
      <c r="K7795" s="187" t="s">
        <v>239</v>
      </c>
      <c r="O7795" s="59">
        <v>0.05</v>
      </c>
    </row>
    <row r="7796" spans="1:16" x14ac:dyDescent="0.2">
      <c r="A7796" s="183">
        <v>1013</v>
      </c>
      <c r="B7796" s="249" t="str">
        <f>IF(AND(A7796&lt;&gt;"",ISNUMBER(A7796)),VLOOKUP(A7796,Studies!A:BR,2,FALSE),"")</f>
        <v>Villikka 1997</v>
      </c>
      <c r="C7796" s="250" t="str">
        <f>IF(AND(A7796&lt;&gt;"",ISNUMBER(A7796)),VLOOKUP(A7796,Studies!A:BR,3,FALSE),"")</f>
        <v>https://www.ncbi.nlm.nih.gov/pubmed/9024169</v>
      </c>
      <c r="D7796" s="250" t="str">
        <f>IF(AND(A7796&lt;&gt;"",ISNUMBER(A7796)),VLOOKUP(A7796,Studies!A:BR,4,FALSE),"")</f>
        <v>Control arm (pretreatment with placebo for 5 days); Subject 9</v>
      </c>
      <c r="E7796" s="250" t="str">
        <f>IF(AND(A7796&lt;&gt;"",ISNUMBER(A7796)),VLOOKUP(A7796,Studies!A:BR,5,FALSE),"")</f>
        <v>Triazolam</v>
      </c>
      <c r="F7796" s="251" t="str">
        <f>IF(AND(A7796&lt;&gt;"",ISNUMBER(A7796)),VLOOKUP(A7796,Studies!A:BR,6,FALSE),"")</f>
        <v>Plasma</v>
      </c>
      <c r="G7796" s="194">
        <v>8</v>
      </c>
      <c r="H7796" s="194" t="s">
        <v>60</v>
      </c>
      <c r="I7796" s="187">
        <v>0.8124865</v>
      </c>
      <c r="J7796" s="187" t="s">
        <v>941</v>
      </c>
      <c r="K7796" s="187" t="s">
        <v>239</v>
      </c>
      <c r="O7796" s="59">
        <v>0.05</v>
      </c>
    </row>
    <row r="7797" spans="1:16" x14ac:dyDescent="0.2">
      <c r="A7797" s="183">
        <v>1013</v>
      </c>
      <c r="B7797" s="249" t="str">
        <f>IF(AND(A7797&lt;&gt;"",ISNUMBER(A7797)),VLOOKUP(A7797,Studies!A:BR,2,FALSE),"")</f>
        <v>Villikka 1997</v>
      </c>
      <c r="C7797" s="250" t="str">
        <f>IF(AND(A7797&lt;&gt;"",ISNUMBER(A7797)),VLOOKUP(A7797,Studies!A:BR,3,FALSE),"")</f>
        <v>https://www.ncbi.nlm.nih.gov/pubmed/9024169</v>
      </c>
      <c r="D7797" s="250" t="str">
        <f>IF(AND(A7797&lt;&gt;"",ISNUMBER(A7797)),VLOOKUP(A7797,Studies!A:BR,4,FALSE),"")</f>
        <v>Control arm (pretreatment with placebo for 5 days); Subject 9</v>
      </c>
      <c r="E7797" s="250" t="str">
        <f>IF(AND(A7797&lt;&gt;"",ISNUMBER(A7797)),VLOOKUP(A7797,Studies!A:BR,5,FALSE),"")</f>
        <v>Triazolam</v>
      </c>
      <c r="F7797" s="251" t="str">
        <f>IF(AND(A7797&lt;&gt;"",ISNUMBER(A7797)),VLOOKUP(A7797,Studies!A:BR,6,FALSE),"")</f>
        <v>Plasma</v>
      </c>
      <c r="G7797" s="194">
        <v>10</v>
      </c>
      <c r="H7797" s="194" t="s">
        <v>60</v>
      </c>
      <c r="I7797" s="187">
        <v>0.50288080000000002</v>
      </c>
      <c r="J7797" s="187" t="s">
        <v>941</v>
      </c>
      <c r="K7797" s="187" t="s">
        <v>239</v>
      </c>
      <c r="O7797" s="59">
        <v>0.05</v>
      </c>
    </row>
    <row r="7798" spans="1:16" x14ac:dyDescent="0.2">
      <c r="A7798" s="183">
        <v>1014</v>
      </c>
      <c r="B7798" s="249" t="str">
        <f>IF(AND(A7798&lt;&gt;"",ISNUMBER(A7798)),VLOOKUP(A7798,Studies!A:BR,2,FALSE),"")</f>
        <v>Villikka 1997</v>
      </c>
      <c r="C7798" s="250" t="str">
        <f>IF(AND(A7798&lt;&gt;"",ISNUMBER(A7798)),VLOOKUP(A7798,Studies!A:BR,3,FALSE),"")</f>
        <v>https://www.ncbi.nlm.nih.gov/pubmed/9024169</v>
      </c>
      <c r="D7798" s="250" t="str">
        <f>IF(AND(A7798&lt;&gt;"",ISNUMBER(A7798)),VLOOKUP(A7798,Studies!A:BR,4,FALSE),"")</f>
        <v>Control arm (pretreatment with placebo for 5 days); Subject 10</v>
      </c>
      <c r="E7798" s="250" t="str">
        <f>IF(AND(A7798&lt;&gt;"",ISNUMBER(A7798)),VLOOKUP(A7798,Studies!A:BR,5,FALSE),"")</f>
        <v>Triazolam</v>
      </c>
      <c r="F7798" s="251" t="str">
        <f>IF(AND(A7798&lt;&gt;"",ISNUMBER(A7798)),VLOOKUP(A7798,Studies!A:BR,6,FALSE),"")</f>
        <v>Plasma</v>
      </c>
      <c r="G7798" s="194">
        <v>0.5</v>
      </c>
      <c r="H7798" s="194" t="s">
        <v>60</v>
      </c>
      <c r="I7798" s="187">
        <v>1.264764</v>
      </c>
      <c r="J7798" s="187" t="s">
        <v>941</v>
      </c>
      <c r="K7798" s="187" t="s">
        <v>239</v>
      </c>
      <c r="O7798" s="59">
        <v>0.05</v>
      </c>
      <c r="P7798" s="42" t="s">
        <v>2612</v>
      </c>
    </row>
    <row r="7799" spans="1:16" x14ac:dyDescent="0.2">
      <c r="A7799" s="183">
        <v>1014</v>
      </c>
      <c r="B7799" s="249" t="str">
        <f>IF(AND(A7799&lt;&gt;"",ISNUMBER(A7799)),VLOOKUP(A7799,Studies!A:BR,2,FALSE),"")</f>
        <v>Villikka 1997</v>
      </c>
      <c r="C7799" s="250" t="str">
        <f>IF(AND(A7799&lt;&gt;"",ISNUMBER(A7799)),VLOOKUP(A7799,Studies!A:BR,3,FALSE),"")</f>
        <v>https://www.ncbi.nlm.nih.gov/pubmed/9024169</v>
      </c>
      <c r="D7799" s="250" t="str">
        <f>IF(AND(A7799&lt;&gt;"",ISNUMBER(A7799)),VLOOKUP(A7799,Studies!A:BR,4,FALSE),"")</f>
        <v>Control arm (pretreatment with placebo for 5 days); Subject 10</v>
      </c>
      <c r="E7799" s="250" t="str">
        <f>IF(AND(A7799&lt;&gt;"",ISNUMBER(A7799)),VLOOKUP(A7799,Studies!A:BR,5,FALSE),"")</f>
        <v>Triazolam</v>
      </c>
      <c r="F7799" s="251" t="str">
        <f>IF(AND(A7799&lt;&gt;"",ISNUMBER(A7799)),VLOOKUP(A7799,Studies!A:BR,6,FALSE),"")</f>
        <v>Plasma</v>
      </c>
      <c r="G7799" s="194">
        <v>1</v>
      </c>
      <c r="H7799" s="194" t="s">
        <v>60</v>
      </c>
      <c r="I7799" s="187">
        <v>2.332249</v>
      </c>
      <c r="J7799" s="187" t="s">
        <v>941</v>
      </c>
      <c r="K7799" s="187" t="s">
        <v>239</v>
      </c>
      <c r="O7799" s="59">
        <v>0.05</v>
      </c>
    </row>
    <row r="7800" spans="1:16" x14ac:dyDescent="0.2">
      <c r="A7800" s="183">
        <v>1014</v>
      </c>
      <c r="B7800" s="249" t="str">
        <f>IF(AND(A7800&lt;&gt;"",ISNUMBER(A7800)),VLOOKUP(A7800,Studies!A:BR,2,FALSE),"")</f>
        <v>Villikka 1997</v>
      </c>
      <c r="C7800" s="250" t="str">
        <f>IF(AND(A7800&lt;&gt;"",ISNUMBER(A7800)),VLOOKUP(A7800,Studies!A:BR,3,FALSE),"")</f>
        <v>https://www.ncbi.nlm.nih.gov/pubmed/9024169</v>
      </c>
      <c r="D7800" s="250" t="str">
        <f>IF(AND(A7800&lt;&gt;"",ISNUMBER(A7800)),VLOOKUP(A7800,Studies!A:BR,4,FALSE),"")</f>
        <v>Control arm (pretreatment with placebo for 5 days); Subject 10</v>
      </c>
      <c r="E7800" s="250" t="str">
        <f>IF(AND(A7800&lt;&gt;"",ISNUMBER(A7800)),VLOOKUP(A7800,Studies!A:BR,5,FALSE),"")</f>
        <v>Triazolam</v>
      </c>
      <c r="F7800" s="251" t="str">
        <f>IF(AND(A7800&lt;&gt;"",ISNUMBER(A7800)),VLOOKUP(A7800,Studies!A:BR,6,FALSE),"")</f>
        <v>Plasma</v>
      </c>
      <c r="G7800" s="194">
        <v>1.5</v>
      </c>
      <c r="H7800" s="194" t="s">
        <v>60</v>
      </c>
      <c r="I7800" s="187">
        <v>2.2495449999999999</v>
      </c>
      <c r="J7800" s="187" t="s">
        <v>941</v>
      </c>
      <c r="K7800" s="187" t="s">
        <v>239</v>
      </c>
      <c r="O7800" s="59">
        <v>0.05</v>
      </c>
    </row>
    <row r="7801" spans="1:16" x14ac:dyDescent="0.2">
      <c r="A7801" s="183">
        <v>1014</v>
      </c>
      <c r="B7801" s="249" t="str">
        <f>IF(AND(A7801&lt;&gt;"",ISNUMBER(A7801)),VLOOKUP(A7801,Studies!A:BR,2,FALSE),"")</f>
        <v>Villikka 1997</v>
      </c>
      <c r="C7801" s="250" t="str">
        <f>IF(AND(A7801&lt;&gt;"",ISNUMBER(A7801)),VLOOKUP(A7801,Studies!A:BR,3,FALSE),"")</f>
        <v>https://www.ncbi.nlm.nih.gov/pubmed/9024169</v>
      </c>
      <c r="D7801" s="250" t="str">
        <f>IF(AND(A7801&lt;&gt;"",ISNUMBER(A7801)),VLOOKUP(A7801,Studies!A:BR,4,FALSE),"")</f>
        <v>Control arm (pretreatment with placebo for 5 days); Subject 10</v>
      </c>
      <c r="E7801" s="250" t="str">
        <f>IF(AND(A7801&lt;&gt;"",ISNUMBER(A7801)),VLOOKUP(A7801,Studies!A:BR,5,FALSE),"")</f>
        <v>Triazolam</v>
      </c>
      <c r="F7801" s="251" t="str">
        <f>IF(AND(A7801&lt;&gt;"",ISNUMBER(A7801)),VLOOKUP(A7801,Studies!A:BR,6,FALSE),"")</f>
        <v>Plasma</v>
      </c>
      <c r="G7801" s="194">
        <v>2</v>
      </c>
      <c r="H7801" s="194" t="s">
        <v>60</v>
      </c>
      <c r="I7801" s="187">
        <v>1.880352</v>
      </c>
      <c r="J7801" s="187" t="s">
        <v>941</v>
      </c>
      <c r="K7801" s="187" t="s">
        <v>239</v>
      </c>
      <c r="O7801" s="59">
        <v>0.05</v>
      </c>
    </row>
    <row r="7802" spans="1:16" x14ac:dyDescent="0.2">
      <c r="A7802" s="183">
        <v>1014</v>
      </c>
      <c r="B7802" s="249" t="str">
        <f>IF(AND(A7802&lt;&gt;"",ISNUMBER(A7802)),VLOOKUP(A7802,Studies!A:BR,2,FALSE),"")</f>
        <v>Villikka 1997</v>
      </c>
      <c r="C7802" s="250" t="str">
        <f>IF(AND(A7802&lt;&gt;"",ISNUMBER(A7802)),VLOOKUP(A7802,Studies!A:BR,3,FALSE),"")</f>
        <v>https://www.ncbi.nlm.nih.gov/pubmed/9024169</v>
      </c>
      <c r="D7802" s="250" t="str">
        <f>IF(AND(A7802&lt;&gt;"",ISNUMBER(A7802)),VLOOKUP(A7802,Studies!A:BR,4,FALSE),"")</f>
        <v>Control arm (pretreatment with placebo for 5 days); Subject 10</v>
      </c>
      <c r="E7802" s="250" t="str">
        <f>IF(AND(A7802&lt;&gt;"",ISNUMBER(A7802)),VLOOKUP(A7802,Studies!A:BR,5,FALSE),"")</f>
        <v>Triazolam</v>
      </c>
      <c r="F7802" s="251" t="str">
        <f>IF(AND(A7802&lt;&gt;"",ISNUMBER(A7802)),VLOOKUP(A7802,Studies!A:BR,6,FALSE),"")</f>
        <v>Plasma</v>
      </c>
      <c r="G7802" s="194">
        <v>3</v>
      </c>
      <c r="H7802" s="194" t="s">
        <v>60</v>
      </c>
      <c r="I7802" s="187">
        <v>1.473096</v>
      </c>
      <c r="J7802" s="187" t="s">
        <v>941</v>
      </c>
      <c r="K7802" s="187" t="s">
        <v>239</v>
      </c>
      <c r="O7802" s="59">
        <v>0.05</v>
      </c>
    </row>
    <row r="7803" spans="1:16" x14ac:dyDescent="0.2">
      <c r="A7803" s="183">
        <v>1014</v>
      </c>
      <c r="B7803" s="249" t="str">
        <f>IF(AND(A7803&lt;&gt;"",ISNUMBER(A7803)),VLOOKUP(A7803,Studies!A:BR,2,FALSE),"")</f>
        <v>Villikka 1997</v>
      </c>
      <c r="C7803" s="250" t="str">
        <f>IF(AND(A7803&lt;&gt;"",ISNUMBER(A7803)),VLOOKUP(A7803,Studies!A:BR,3,FALSE),"")</f>
        <v>https://www.ncbi.nlm.nih.gov/pubmed/9024169</v>
      </c>
      <c r="D7803" s="250" t="str">
        <f>IF(AND(A7803&lt;&gt;"",ISNUMBER(A7803)),VLOOKUP(A7803,Studies!A:BR,4,FALSE),"")</f>
        <v>Control arm (pretreatment with placebo for 5 days); Subject 10</v>
      </c>
      <c r="E7803" s="250" t="str">
        <f>IF(AND(A7803&lt;&gt;"",ISNUMBER(A7803)),VLOOKUP(A7803,Studies!A:BR,5,FALSE),"")</f>
        <v>Triazolam</v>
      </c>
      <c r="F7803" s="251" t="str">
        <f>IF(AND(A7803&lt;&gt;"",ISNUMBER(A7803)),VLOOKUP(A7803,Studies!A:BR,6,FALSE),"")</f>
        <v>Plasma</v>
      </c>
      <c r="G7803" s="194">
        <v>4</v>
      </c>
      <c r="H7803" s="194" t="s">
        <v>60</v>
      </c>
      <c r="I7803" s="187">
        <v>1.1988970000000001</v>
      </c>
      <c r="J7803" s="187" t="s">
        <v>941</v>
      </c>
      <c r="K7803" s="187" t="s">
        <v>239</v>
      </c>
      <c r="O7803" s="59">
        <v>0.05</v>
      </c>
    </row>
    <row r="7804" spans="1:16" x14ac:dyDescent="0.2">
      <c r="A7804" s="183">
        <v>1014</v>
      </c>
      <c r="B7804" s="249" t="str">
        <f>IF(AND(A7804&lt;&gt;"",ISNUMBER(A7804)),VLOOKUP(A7804,Studies!A:BR,2,FALSE),"")</f>
        <v>Villikka 1997</v>
      </c>
      <c r="C7804" s="250" t="str">
        <f>IF(AND(A7804&lt;&gt;"",ISNUMBER(A7804)),VLOOKUP(A7804,Studies!A:BR,3,FALSE),"")</f>
        <v>https://www.ncbi.nlm.nih.gov/pubmed/9024169</v>
      </c>
      <c r="D7804" s="250" t="str">
        <f>IF(AND(A7804&lt;&gt;"",ISNUMBER(A7804)),VLOOKUP(A7804,Studies!A:BR,4,FALSE),"")</f>
        <v>Control arm (pretreatment with placebo for 5 days); Subject 10</v>
      </c>
      <c r="E7804" s="250" t="str">
        <f>IF(AND(A7804&lt;&gt;"",ISNUMBER(A7804)),VLOOKUP(A7804,Studies!A:BR,5,FALSE),"")</f>
        <v>Triazolam</v>
      </c>
      <c r="F7804" s="251" t="str">
        <f>IF(AND(A7804&lt;&gt;"",ISNUMBER(A7804)),VLOOKUP(A7804,Studies!A:BR,6,FALSE),"")</f>
        <v>Plasma</v>
      </c>
      <c r="G7804" s="194">
        <v>5</v>
      </c>
      <c r="H7804" s="194" t="s">
        <v>60</v>
      </c>
      <c r="I7804" s="187">
        <v>0.91281219999999996</v>
      </c>
      <c r="J7804" s="187" t="s">
        <v>941</v>
      </c>
      <c r="K7804" s="187" t="s">
        <v>239</v>
      </c>
      <c r="O7804" s="59">
        <v>0.05</v>
      </c>
    </row>
    <row r="7805" spans="1:16" x14ac:dyDescent="0.2">
      <c r="A7805" s="30">
        <v>1014</v>
      </c>
      <c r="B7805" s="249" t="str">
        <f>IF(AND(A7805&lt;&gt;"",ISNUMBER(A7805)),VLOOKUP(A7805,Studies!A:BR,2,FALSE),"")</f>
        <v>Villikka 1997</v>
      </c>
      <c r="C7805" s="250" t="str">
        <f>IF(AND(A7805&lt;&gt;"",ISNUMBER(A7805)),VLOOKUP(A7805,Studies!A:BR,3,FALSE),"")</f>
        <v>https://www.ncbi.nlm.nih.gov/pubmed/9024169</v>
      </c>
      <c r="D7805" s="250" t="str">
        <f>IF(AND(A7805&lt;&gt;"",ISNUMBER(A7805)),VLOOKUP(A7805,Studies!A:BR,4,FALSE),"")</f>
        <v>Control arm (pretreatment with placebo for 5 days); Subject 10</v>
      </c>
      <c r="E7805" s="250" t="str">
        <f>IF(AND(A7805&lt;&gt;"",ISNUMBER(A7805)),VLOOKUP(A7805,Studies!A:BR,5,FALSE),"")</f>
        <v>Triazolam</v>
      </c>
      <c r="F7805" s="251" t="str">
        <f>IF(AND(A7805&lt;&gt;"",ISNUMBER(A7805)),VLOOKUP(A7805,Studies!A:BR,6,FALSE),"")</f>
        <v>Plasma</v>
      </c>
      <c r="G7805" s="194">
        <v>6</v>
      </c>
      <c r="H7805" s="194" t="s">
        <v>60</v>
      </c>
      <c r="I7805" s="187">
        <v>0.77191730000000003</v>
      </c>
      <c r="J7805" s="187" t="s">
        <v>941</v>
      </c>
      <c r="K7805" s="187" t="s">
        <v>239</v>
      </c>
      <c r="O7805" s="59">
        <v>0.05</v>
      </c>
    </row>
    <row r="7806" spans="1:16" x14ac:dyDescent="0.2">
      <c r="A7806" s="30">
        <v>1014</v>
      </c>
      <c r="B7806" s="249" t="str">
        <f>IF(AND(A7806&lt;&gt;"",ISNUMBER(A7806)),VLOOKUP(A7806,Studies!A:BR,2,FALSE),"")</f>
        <v>Villikka 1997</v>
      </c>
      <c r="C7806" s="250" t="str">
        <f>IF(AND(A7806&lt;&gt;"",ISNUMBER(A7806)),VLOOKUP(A7806,Studies!A:BR,3,FALSE),"")</f>
        <v>https://www.ncbi.nlm.nih.gov/pubmed/9024169</v>
      </c>
      <c r="D7806" s="250" t="str">
        <f>IF(AND(A7806&lt;&gt;"",ISNUMBER(A7806)),VLOOKUP(A7806,Studies!A:BR,4,FALSE),"")</f>
        <v>Control arm (pretreatment with placebo for 5 days); Subject 10</v>
      </c>
      <c r="E7806" s="250" t="str">
        <f>IF(AND(A7806&lt;&gt;"",ISNUMBER(A7806)),VLOOKUP(A7806,Studies!A:BR,5,FALSE),"")</f>
        <v>Triazolam</v>
      </c>
      <c r="F7806" s="251" t="str">
        <f>IF(AND(A7806&lt;&gt;"",ISNUMBER(A7806)),VLOOKUP(A7806,Studies!A:BR,6,FALSE),"")</f>
        <v>Plasma</v>
      </c>
      <c r="G7806" s="194">
        <v>8</v>
      </c>
      <c r="H7806" s="194" t="s">
        <v>60</v>
      </c>
      <c r="I7806" s="187">
        <v>0.44747609999999999</v>
      </c>
      <c r="J7806" s="187" t="s">
        <v>941</v>
      </c>
      <c r="K7806" s="187" t="s">
        <v>239</v>
      </c>
      <c r="O7806" s="59">
        <v>0.05</v>
      </c>
    </row>
    <row r="7807" spans="1:16" x14ac:dyDescent="0.2">
      <c r="A7807" s="30">
        <v>1014</v>
      </c>
      <c r="B7807" s="249" t="str">
        <f>IF(AND(A7807&lt;&gt;"",ISNUMBER(A7807)),VLOOKUP(A7807,Studies!A:BR,2,FALSE),"")</f>
        <v>Villikka 1997</v>
      </c>
      <c r="C7807" s="250" t="str">
        <f>IF(AND(A7807&lt;&gt;"",ISNUMBER(A7807)),VLOOKUP(A7807,Studies!A:BR,3,FALSE),"")</f>
        <v>https://www.ncbi.nlm.nih.gov/pubmed/9024169</v>
      </c>
      <c r="D7807" s="250" t="str">
        <f>IF(AND(A7807&lt;&gt;"",ISNUMBER(A7807)),VLOOKUP(A7807,Studies!A:BR,4,FALSE),"")</f>
        <v>Control arm (pretreatment with placebo for 5 days); Subject 10</v>
      </c>
      <c r="E7807" s="250" t="str">
        <f>IF(AND(A7807&lt;&gt;"",ISNUMBER(A7807)),VLOOKUP(A7807,Studies!A:BR,5,FALSE),"")</f>
        <v>Triazolam</v>
      </c>
      <c r="F7807" s="251" t="str">
        <f>IF(AND(A7807&lt;&gt;"",ISNUMBER(A7807)),VLOOKUP(A7807,Studies!A:BR,6,FALSE),"")</f>
        <v>Plasma</v>
      </c>
      <c r="G7807" s="194">
        <v>10</v>
      </c>
      <c r="H7807" s="194" t="s">
        <v>60</v>
      </c>
      <c r="I7807" s="187">
        <v>0.25943119999999997</v>
      </c>
      <c r="J7807" s="187" t="s">
        <v>941</v>
      </c>
      <c r="K7807" s="187" t="s">
        <v>239</v>
      </c>
      <c r="O7807" s="59">
        <v>0.05</v>
      </c>
    </row>
    <row r="7808" spans="1:16" x14ac:dyDescent="0.2">
      <c r="A7808" s="183">
        <v>1015</v>
      </c>
      <c r="B7808" s="249" t="str">
        <f>IF(AND(A7808&lt;&gt;"",ISNUMBER(A7808)),VLOOKUP(A7808,Studies!A:BR,2,FALSE),"")</f>
        <v>Villikka 1997</v>
      </c>
      <c r="C7808" s="250" t="str">
        <f>IF(AND(A7808&lt;&gt;"",ISNUMBER(A7808)),VLOOKUP(A7808,Studies!A:BR,3,FALSE),"")</f>
        <v>https://www.ncbi.nlm.nih.gov/pubmed/9024169</v>
      </c>
      <c r="D7808" s="250" t="str">
        <f>IF(AND(A7808&lt;&gt;"",ISNUMBER(A7808)),VLOOKUP(A7808,Studies!A:BR,4,FALSE),"")</f>
        <v>Treatment arm (pretreatment with rifampin; 600 mg; 5 days); Subject 1</v>
      </c>
      <c r="E7808" s="250" t="str">
        <f>IF(AND(A7808&lt;&gt;"",ISNUMBER(A7808)),VLOOKUP(A7808,Studies!A:BR,5,FALSE),"")</f>
        <v>Triazolam</v>
      </c>
      <c r="F7808" s="251" t="str">
        <f>IF(AND(A7808&lt;&gt;"",ISNUMBER(A7808)),VLOOKUP(A7808,Studies!A:BR,6,FALSE),"")</f>
        <v>Plasma</v>
      </c>
      <c r="G7808" s="194">
        <v>114</v>
      </c>
      <c r="H7808" s="194" t="s">
        <v>60</v>
      </c>
      <c r="I7808" s="187">
        <v>9.0287870000000006E-2</v>
      </c>
      <c r="J7808" s="187" t="s">
        <v>941</v>
      </c>
      <c r="K7808" s="187" t="s">
        <v>239</v>
      </c>
      <c r="O7808" s="59">
        <v>0.05</v>
      </c>
      <c r="P7808" s="42" t="s">
        <v>2614</v>
      </c>
    </row>
    <row r="7809" spans="1:16" x14ac:dyDescent="0.2">
      <c r="A7809" s="183">
        <v>1015</v>
      </c>
      <c r="B7809" s="249" t="str">
        <f>IF(AND(A7809&lt;&gt;"",ISNUMBER(A7809)),VLOOKUP(A7809,Studies!A:BR,2,FALSE),"")</f>
        <v>Villikka 1997</v>
      </c>
      <c r="C7809" s="250" t="str">
        <f>IF(AND(A7809&lt;&gt;"",ISNUMBER(A7809)),VLOOKUP(A7809,Studies!A:BR,3,FALSE),"")</f>
        <v>https://www.ncbi.nlm.nih.gov/pubmed/9024169</v>
      </c>
      <c r="D7809" s="250" t="str">
        <f>IF(AND(A7809&lt;&gt;"",ISNUMBER(A7809)),VLOOKUP(A7809,Studies!A:BR,4,FALSE),"")</f>
        <v>Treatment arm (pretreatment with rifampin; 600 mg; 5 days); Subject 1</v>
      </c>
      <c r="E7809" s="250" t="str">
        <f>IF(AND(A7809&lt;&gt;"",ISNUMBER(A7809)),VLOOKUP(A7809,Studies!A:BR,5,FALSE),"")</f>
        <v>Triazolam</v>
      </c>
      <c r="F7809" s="251" t="str">
        <f>IF(AND(A7809&lt;&gt;"",ISNUMBER(A7809)),VLOOKUP(A7809,Studies!A:BR,6,FALSE),"")</f>
        <v>Plasma</v>
      </c>
      <c r="G7809" s="194">
        <v>114.5</v>
      </c>
      <c r="H7809" s="194" t="s">
        <v>60</v>
      </c>
      <c r="I7809" s="187">
        <v>0.12945909999999999</v>
      </c>
      <c r="J7809" s="187" t="s">
        <v>941</v>
      </c>
      <c r="K7809" s="187" t="s">
        <v>239</v>
      </c>
      <c r="O7809" s="59">
        <v>0.05</v>
      </c>
    </row>
    <row r="7810" spans="1:16" x14ac:dyDescent="0.2">
      <c r="A7810" s="183">
        <v>1015</v>
      </c>
      <c r="B7810" s="249" t="str">
        <f>IF(AND(A7810&lt;&gt;"",ISNUMBER(A7810)),VLOOKUP(A7810,Studies!A:BR,2,FALSE),"")</f>
        <v>Villikka 1997</v>
      </c>
      <c r="C7810" s="250" t="str">
        <f>IF(AND(A7810&lt;&gt;"",ISNUMBER(A7810)),VLOOKUP(A7810,Studies!A:BR,3,FALSE),"")</f>
        <v>https://www.ncbi.nlm.nih.gov/pubmed/9024169</v>
      </c>
      <c r="D7810" s="250" t="str">
        <f>IF(AND(A7810&lt;&gt;"",ISNUMBER(A7810)),VLOOKUP(A7810,Studies!A:BR,4,FALSE),"")</f>
        <v>Treatment arm (pretreatment with rifampin; 600 mg; 5 days); Subject 1</v>
      </c>
      <c r="E7810" s="250" t="str">
        <f>IF(AND(A7810&lt;&gt;"",ISNUMBER(A7810)),VLOOKUP(A7810,Studies!A:BR,5,FALSE),"")</f>
        <v>Triazolam</v>
      </c>
      <c r="F7810" s="251" t="str">
        <f>IF(AND(A7810&lt;&gt;"",ISNUMBER(A7810)),VLOOKUP(A7810,Studies!A:BR,6,FALSE),"")</f>
        <v>Plasma</v>
      </c>
      <c r="G7810" s="194">
        <v>115</v>
      </c>
      <c r="H7810" s="194" t="s">
        <v>60</v>
      </c>
      <c r="I7810" s="187">
        <v>0.2584765</v>
      </c>
      <c r="J7810" s="187" t="s">
        <v>941</v>
      </c>
      <c r="K7810" s="187" t="s">
        <v>239</v>
      </c>
      <c r="O7810" s="59">
        <v>0.05</v>
      </c>
    </row>
    <row r="7811" spans="1:16" x14ac:dyDescent="0.2">
      <c r="A7811" s="183">
        <v>1015</v>
      </c>
      <c r="B7811" s="249" t="str">
        <f>IF(AND(A7811&lt;&gt;"",ISNUMBER(A7811)),VLOOKUP(A7811,Studies!A:BR,2,FALSE),"")</f>
        <v>Villikka 1997</v>
      </c>
      <c r="C7811" s="250" t="str">
        <f>IF(AND(A7811&lt;&gt;"",ISNUMBER(A7811)),VLOOKUP(A7811,Studies!A:BR,3,FALSE),"")</f>
        <v>https://www.ncbi.nlm.nih.gov/pubmed/9024169</v>
      </c>
      <c r="D7811" s="250" t="str">
        <f>IF(AND(A7811&lt;&gt;"",ISNUMBER(A7811)),VLOOKUP(A7811,Studies!A:BR,4,FALSE),"")</f>
        <v>Treatment arm (pretreatment with rifampin; 600 mg; 5 days); Subject 1</v>
      </c>
      <c r="E7811" s="250" t="str">
        <f>IF(AND(A7811&lt;&gt;"",ISNUMBER(A7811)),VLOOKUP(A7811,Studies!A:BR,5,FALSE),"")</f>
        <v>Triazolam</v>
      </c>
      <c r="F7811" s="251" t="str">
        <f>IF(AND(A7811&lt;&gt;"",ISNUMBER(A7811)),VLOOKUP(A7811,Studies!A:BR,6,FALSE),"")</f>
        <v>Plasma</v>
      </c>
      <c r="G7811" s="194">
        <v>116</v>
      </c>
      <c r="H7811" s="194" t="s">
        <v>60</v>
      </c>
      <c r="I7811" s="187">
        <v>0.1203702</v>
      </c>
      <c r="J7811" s="187" t="s">
        <v>941</v>
      </c>
      <c r="K7811" s="187" t="s">
        <v>239</v>
      </c>
      <c r="O7811" s="59">
        <v>0.05</v>
      </c>
    </row>
    <row r="7812" spans="1:16" x14ac:dyDescent="0.2">
      <c r="A7812" s="183">
        <v>1015</v>
      </c>
      <c r="B7812" s="249" t="str">
        <f>IF(AND(A7812&lt;&gt;"",ISNUMBER(A7812)),VLOOKUP(A7812,Studies!A:BR,2,FALSE),"")</f>
        <v>Villikka 1997</v>
      </c>
      <c r="C7812" s="250" t="str">
        <f>IF(AND(A7812&lt;&gt;"",ISNUMBER(A7812)),VLOOKUP(A7812,Studies!A:BR,3,FALSE),"")</f>
        <v>https://www.ncbi.nlm.nih.gov/pubmed/9024169</v>
      </c>
      <c r="D7812" s="250" t="str">
        <f>IF(AND(A7812&lt;&gt;"",ISNUMBER(A7812)),VLOOKUP(A7812,Studies!A:BR,4,FALSE),"")</f>
        <v>Treatment arm (pretreatment with rifampin; 600 mg; 5 days); Subject 1</v>
      </c>
      <c r="E7812" s="250" t="str">
        <f>IF(AND(A7812&lt;&gt;"",ISNUMBER(A7812)),VLOOKUP(A7812,Studies!A:BR,5,FALSE),"")</f>
        <v>Triazolam</v>
      </c>
      <c r="F7812" s="251" t="str">
        <f>IF(AND(A7812&lt;&gt;"",ISNUMBER(A7812)),VLOOKUP(A7812,Studies!A:BR,6,FALSE),"")</f>
        <v>Plasma</v>
      </c>
      <c r="G7812" s="194">
        <v>117</v>
      </c>
      <c r="H7812" s="194" t="s">
        <v>60</v>
      </c>
      <c r="I7812" s="187">
        <v>7.1008699999999994E-2</v>
      </c>
      <c r="J7812" s="187" t="s">
        <v>941</v>
      </c>
      <c r="K7812" s="187" t="s">
        <v>239</v>
      </c>
      <c r="O7812" s="59">
        <v>0.05</v>
      </c>
    </row>
    <row r="7813" spans="1:16" x14ac:dyDescent="0.2">
      <c r="A7813" s="183">
        <v>1016</v>
      </c>
      <c r="B7813" s="249" t="str">
        <f>IF(AND(A7813&lt;&gt;"",ISNUMBER(A7813)),VLOOKUP(A7813,Studies!A:BR,2,FALSE),"")</f>
        <v>Villikka 1997</v>
      </c>
      <c r="C7813" s="250" t="str">
        <f>IF(AND(A7813&lt;&gt;"",ISNUMBER(A7813)),VLOOKUP(A7813,Studies!A:BR,3,FALSE),"")</f>
        <v>https://www.ncbi.nlm.nih.gov/pubmed/9024169</v>
      </c>
      <c r="D7813" s="250" t="str">
        <f>IF(AND(A7813&lt;&gt;"",ISNUMBER(A7813)),VLOOKUP(A7813,Studies!A:BR,4,FALSE),"")</f>
        <v>Treatment arm (pretreatment with rifampin; 600 mg; 5 days); Subject 2</v>
      </c>
      <c r="E7813" s="250" t="str">
        <f>IF(AND(A7813&lt;&gt;"",ISNUMBER(A7813)),VLOOKUP(A7813,Studies!A:BR,5,FALSE),"")</f>
        <v>Triazolam</v>
      </c>
      <c r="F7813" s="251" t="str">
        <f>IF(AND(A7813&lt;&gt;"",ISNUMBER(A7813)),VLOOKUP(A7813,Studies!A:BR,6,FALSE),"")</f>
        <v>Plasma</v>
      </c>
      <c r="G7813" s="194">
        <v>113.5</v>
      </c>
      <c r="H7813" s="194" t="s">
        <v>60</v>
      </c>
      <c r="I7813" s="187">
        <v>8.844204E-2</v>
      </c>
      <c r="J7813" s="187" t="s">
        <v>941</v>
      </c>
      <c r="K7813" s="187" t="s">
        <v>239</v>
      </c>
      <c r="O7813" s="59">
        <v>0.05</v>
      </c>
      <c r="P7813" s="42" t="s">
        <v>2615</v>
      </c>
    </row>
    <row r="7814" spans="1:16" x14ac:dyDescent="0.2">
      <c r="A7814" s="183">
        <v>1016</v>
      </c>
      <c r="B7814" s="249" t="str">
        <f>IF(AND(A7814&lt;&gt;"",ISNUMBER(A7814)),VLOOKUP(A7814,Studies!A:BR,2,FALSE),"")</f>
        <v>Villikka 1997</v>
      </c>
      <c r="C7814" s="250" t="str">
        <f>IF(AND(A7814&lt;&gt;"",ISNUMBER(A7814)),VLOOKUP(A7814,Studies!A:BR,3,FALSE),"")</f>
        <v>https://www.ncbi.nlm.nih.gov/pubmed/9024169</v>
      </c>
      <c r="D7814" s="250" t="str">
        <f>IF(AND(A7814&lt;&gt;"",ISNUMBER(A7814)),VLOOKUP(A7814,Studies!A:BR,4,FALSE),"")</f>
        <v>Treatment arm (pretreatment with rifampin; 600 mg; 5 days); Subject 2</v>
      </c>
      <c r="E7814" s="250" t="str">
        <f>IF(AND(A7814&lt;&gt;"",ISNUMBER(A7814)),VLOOKUP(A7814,Studies!A:BR,5,FALSE),"")</f>
        <v>Triazolam</v>
      </c>
      <c r="F7814" s="251" t="str">
        <f>IF(AND(A7814&lt;&gt;"",ISNUMBER(A7814)),VLOOKUP(A7814,Studies!A:BR,6,FALSE),"")</f>
        <v>Plasma</v>
      </c>
      <c r="G7814" s="194">
        <v>114</v>
      </c>
      <c r="H7814" s="194" t="s">
        <v>60</v>
      </c>
      <c r="I7814" s="187">
        <v>0.2157712</v>
      </c>
      <c r="J7814" s="187" t="s">
        <v>941</v>
      </c>
      <c r="K7814" s="187" t="s">
        <v>239</v>
      </c>
      <c r="O7814" s="59">
        <v>0.05</v>
      </c>
    </row>
    <row r="7815" spans="1:16" x14ac:dyDescent="0.2">
      <c r="A7815" s="183">
        <v>1016</v>
      </c>
      <c r="B7815" s="249" t="str">
        <f>IF(AND(A7815&lt;&gt;"",ISNUMBER(A7815)),VLOOKUP(A7815,Studies!A:BR,2,FALSE),"")</f>
        <v>Villikka 1997</v>
      </c>
      <c r="C7815" s="250" t="str">
        <f>IF(AND(A7815&lt;&gt;"",ISNUMBER(A7815)),VLOOKUP(A7815,Studies!A:BR,3,FALSE),"")</f>
        <v>https://www.ncbi.nlm.nih.gov/pubmed/9024169</v>
      </c>
      <c r="D7815" s="250" t="str">
        <f>IF(AND(A7815&lt;&gt;"",ISNUMBER(A7815)),VLOOKUP(A7815,Studies!A:BR,4,FALSE),"")</f>
        <v>Treatment arm (pretreatment with rifampin; 600 mg; 5 days); Subject 2</v>
      </c>
      <c r="E7815" s="250" t="str">
        <f>IF(AND(A7815&lt;&gt;"",ISNUMBER(A7815)),VLOOKUP(A7815,Studies!A:BR,5,FALSE),"")</f>
        <v>Triazolam</v>
      </c>
      <c r="F7815" s="251" t="str">
        <f>IF(AND(A7815&lt;&gt;"",ISNUMBER(A7815)),VLOOKUP(A7815,Studies!A:BR,6,FALSE),"")</f>
        <v>Plasma</v>
      </c>
      <c r="G7815" s="194">
        <v>114.5</v>
      </c>
      <c r="H7815" s="194" t="s">
        <v>60</v>
      </c>
      <c r="I7815" s="187">
        <v>0.24652579999999999</v>
      </c>
      <c r="J7815" s="187" t="s">
        <v>941</v>
      </c>
      <c r="K7815" s="187" t="s">
        <v>239</v>
      </c>
      <c r="O7815" s="59">
        <v>0.05</v>
      </c>
    </row>
    <row r="7816" spans="1:16" x14ac:dyDescent="0.2">
      <c r="A7816" s="183">
        <v>1016</v>
      </c>
      <c r="B7816" s="249" t="str">
        <f>IF(AND(A7816&lt;&gt;"",ISNUMBER(A7816)),VLOOKUP(A7816,Studies!A:BR,2,FALSE),"")</f>
        <v>Villikka 1997</v>
      </c>
      <c r="C7816" s="250" t="str">
        <f>IF(AND(A7816&lt;&gt;"",ISNUMBER(A7816)),VLOOKUP(A7816,Studies!A:BR,3,FALSE),"")</f>
        <v>https://www.ncbi.nlm.nih.gov/pubmed/9024169</v>
      </c>
      <c r="D7816" s="250" t="str">
        <f>IF(AND(A7816&lt;&gt;"",ISNUMBER(A7816)),VLOOKUP(A7816,Studies!A:BR,4,FALSE),"")</f>
        <v>Treatment arm (pretreatment with rifampin; 600 mg; 5 days); Subject 2</v>
      </c>
      <c r="E7816" s="250" t="str">
        <f>IF(AND(A7816&lt;&gt;"",ISNUMBER(A7816)),VLOOKUP(A7816,Studies!A:BR,5,FALSE),"")</f>
        <v>Triazolam</v>
      </c>
      <c r="F7816" s="251" t="str">
        <f>IF(AND(A7816&lt;&gt;"",ISNUMBER(A7816)),VLOOKUP(A7816,Studies!A:BR,6,FALSE),"")</f>
        <v>Plasma</v>
      </c>
      <c r="G7816" s="194">
        <v>115</v>
      </c>
      <c r="H7816" s="194" t="s">
        <v>60</v>
      </c>
      <c r="I7816" s="187">
        <v>0.2139395</v>
      </c>
      <c r="J7816" s="187" t="s">
        <v>941</v>
      </c>
      <c r="K7816" s="187" t="s">
        <v>239</v>
      </c>
      <c r="O7816" s="59">
        <v>0.05</v>
      </c>
    </row>
    <row r="7817" spans="1:16" x14ac:dyDescent="0.2">
      <c r="A7817" s="30">
        <v>1016</v>
      </c>
      <c r="B7817" s="249" t="str">
        <f>IF(AND(A7817&lt;&gt;"",ISNUMBER(A7817)),VLOOKUP(A7817,Studies!A:BR,2,FALSE),"")</f>
        <v>Villikka 1997</v>
      </c>
      <c r="C7817" s="250" t="str">
        <f>IF(AND(A7817&lt;&gt;"",ISNUMBER(A7817)),VLOOKUP(A7817,Studies!A:BR,3,FALSE),"")</f>
        <v>https://www.ncbi.nlm.nih.gov/pubmed/9024169</v>
      </c>
      <c r="D7817" s="250" t="str">
        <f>IF(AND(A7817&lt;&gt;"",ISNUMBER(A7817)),VLOOKUP(A7817,Studies!A:BR,4,FALSE),"")</f>
        <v>Treatment arm (pretreatment with rifampin; 600 mg; 5 days); Subject 2</v>
      </c>
      <c r="E7817" s="250" t="str">
        <f>IF(AND(A7817&lt;&gt;"",ISNUMBER(A7817)),VLOOKUP(A7817,Studies!A:BR,5,FALSE),"")</f>
        <v>Triazolam</v>
      </c>
      <c r="F7817" s="251" t="str">
        <f>IF(AND(A7817&lt;&gt;"",ISNUMBER(A7817)),VLOOKUP(A7817,Studies!A:BR,6,FALSE),"")</f>
        <v>Plasma</v>
      </c>
      <c r="G7817" s="194">
        <v>116</v>
      </c>
      <c r="H7817" s="194" t="s">
        <v>60</v>
      </c>
      <c r="I7817" s="187">
        <v>0.14793890000000001</v>
      </c>
      <c r="J7817" s="187" t="s">
        <v>941</v>
      </c>
      <c r="K7817" s="187" t="s">
        <v>239</v>
      </c>
      <c r="O7817" s="59">
        <v>0.05</v>
      </c>
    </row>
    <row r="7818" spans="1:16" x14ac:dyDescent="0.2">
      <c r="A7818" s="30">
        <v>1016</v>
      </c>
      <c r="B7818" s="249" t="str">
        <f>IF(AND(A7818&lt;&gt;"",ISNUMBER(A7818)),VLOOKUP(A7818,Studies!A:BR,2,FALSE),"")</f>
        <v>Villikka 1997</v>
      </c>
      <c r="C7818" s="250" t="str">
        <f>IF(AND(A7818&lt;&gt;"",ISNUMBER(A7818)),VLOOKUP(A7818,Studies!A:BR,3,FALSE),"")</f>
        <v>https://www.ncbi.nlm.nih.gov/pubmed/9024169</v>
      </c>
      <c r="D7818" s="250" t="str">
        <f>IF(AND(A7818&lt;&gt;"",ISNUMBER(A7818)),VLOOKUP(A7818,Studies!A:BR,4,FALSE),"")</f>
        <v>Treatment arm (pretreatment with rifampin; 600 mg; 5 days); Subject 2</v>
      </c>
      <c r="E7818" s="250" t="str">
        <f>IF(AND(A7818&lt;&gt;"",ISNUMBER(A7818)),VLOOKUP(A7818,Studies!A:BR,5,FALSE),"")</f>
        <v>Triazolam</v>
      </c>
      <c r="F7818" s="251" t="str">
        <f>IF(AND(A7818&lt;&gt;"",ISNUMBER(A7818)),VLOOKUP(A7818,Studies!A:BR,6,FALSE),"")</f>
        <v>Plasma</v>
      </c>
      <c r="G7818" s="194">
        <v>117</v>
      </c>
      <c r="H7818" s="194" t="s">
        <v>60</v>
      </c>
      <c r="I7818" s="187">
        <v>0.1093224</v>
      </c>
      <c r="J7818" s="187" t="s">
        <v>941</v>
      </c>
      <c r="K7818" s="187" t="s">
        <v>239</v>
      </c>
      <c r="O7818" s="59">
        <v>0.05</v>
      </c>
    </row>
    <row r="7819" spans="1:16" x14ac:dyDescent="0.2">
      <c r="A7819" s="30">
        <v>1016</v>
      </c>
      <c r="B7819" s="249" t="str">
        <f>IF(AND(A7819&lt;&gt;"",ISNUMBER(A7819)),VLOOKUP(A7819,Studies!A:BR,2,FALSE),"")</f>
        <v>Villikka 1997</v>
      </c>
      <c r="C7819" s="250" t="str">
        <f>IF(AND(A7819&lt;&gt;"",ISNUMBER(A7819)),VLOOKUP(A7819,Studies!A:BR,3,FALSE),"")</f>
        <v>https://www.ncbi.nlm.nih.gov/pubmed/9024169</v>
      </c>
      <c r="D7819" s="250" t="str">
        <f>IF(AND(A7819&lt;&gt;"",ISNUMBER(A7819)),VLOOKUP(A7819,Studies!A:BR,4,FALSE),"")</f>
        <v>Treatment arm (pretreatment with rifampin; 600 mg; 5 days); Subject 2</v>
      </c>
      <c r="E7819" s="250" t="str">
        <f>IF(AND(A7819&lt;&gt;"",ISNUMBER(A7819)),VLOOKUP(A7819,Studies!A:BR,5,FALSE),"")</f>
        <v>Triazolam</v>
      </c>
      <c r="F7819" s="251" t="str">
        <f>IF(AND(A7819&lt;&gt;"",ISNUMBER(A7819)),VLOOKUP(A7819,Studies!A:BR,6,FALSE),"")</f>
        <v>Plasma</v>
      </c>
      <c r="G7819" s="194">
        <v>118</v>
      </c>
      <c r="H7819" s="194" t="s">
        <v>60</v>
      </c>
      <c r="I7819" s="187">
        <v>6.0208619999999997E-2</v>
      </c>
      <c r="J7819" s="187" t="s">
        <v>941</v>
      </c>
      <c r="K7819" s="187" t="s">
        <v>239</v>
      </c>
      <c r="O7819" s="59">
        <v>0.05</v>
      </c>
    </row>
    <row r="7820" spans="1:16" x14ac:dyDescent="0.2">
      <c r="A7820" s="183">
        <v>1017</v>
      </c>
      <c r="B7820" s="249" t="str">
        <f>IF(AND(A7820&lt;&gt;"",ISNUMBER(A7820)),VLOOKUP(A7820,Studies!A:BR,2,FALSE),"")</f>
        <v>Villikka 1997</v>
      </c>
      <c r="C7820" s="250" t="str">
        <f>IF(AND(A7820&lt;&gt;"",ISNUMBER(A7820)),VLOOKUP(A7820,Studies!A:BR,3,FALSE),"")</f>
        <v>https://www.ncbi.nlm.nih.gov/pubmed/9024169</v>
      </c>
      <c r="D7820" s="250" t="str">
        <f>IF(AND(A7820&lt;&gt;"",ISNUMBER(A7820)),VLOOKUP(A7820,Studies!A:BR,4,FALSE),"")</f>
        <v>Treatment arm (pretreatment with rifampin; 600 mg; 5 days); Subject 3</v>
      </c>
      <c r="E7820" s="250" t="str">
        <f>IF(AND(A7820&lt;&gt;"",ISNUMBER(A7820)),VLOOKUP(A7820,Studies!A:BR,5,FALSE),"")</f>
        <v>Triazolam</v>
      </c>
      <c r="F7820" s="251" t="str">
        <f>IF(AND(A7820&lt;&gt;"",ISNUMBER(A7820)),VLOOKUP(A7820,Studies!A:BR,6,FALSE),"")</f>
        <v>Plasma</v>
      </c>
      <c r="G7820" s="194">
        <v>113.5</v>
      </c>
      <c r="H7820" s="194" t="s">
        <v>60</v>
      </c>
      <c r="I7820" s="187">
        <v>0.1186786</v>
      </c>
      <c r="J7820" s="187" t="s">
        <v>941</v>
      </c>
      <c r="K7820" s="187" t="s">
        <v>239</v>
      </c>
      <c r="O7820" s="59">
        <v>0.05</v>
      </c>
      <c r="P7820" s="42" t="s">
        <v>2616</v>
      </c>
    </row>
    <row r="7821" spans="1:16" x14ac:dyDescent="0.2">
      <c r="A7821" s="183">
        <v>1017</v>
      </c>
      <c r="B7821" s="249" t="str">
        <f>IF(AND(A7821&lt;&gt;"",ISNUMBER(A7821)),VLOOKUP(A7821,Studies!A:BR,2,FALSE),"")</f>
        <v>Villikka 1997</v>
      </c>
      <c r="C7821" s="250" t="str">
        <f>IF(AND(A7821&lt;&gt;"",ISNUMBER(A7821)),VLOOKUP(A7821,Studies!A:BR,3,FALSE),"")</f>
        <v>https://www.ncbi.nlm.nih.gov/pubmed/9024169</v>
      </c>
      <c r="D7821" s="250" t="str">
        <f>IF(AND(A7821&lt;&gt;"",ISNUMBER(A7821)),VLOOKUP(A7821,Studies!A:BR,4,FALSE),"")</f>
        <v>Treatment arm (pretreatment with rifampin; 600 mg; 5 days); Subject 3</v>
      </c>
      <c r="E7821" s="250" t="str">
        <f>IF(AND(A7821&lt;&gt;"",ISNUMBER(A7821)),VLOOKUP(A7821,Studies!A:BR,5,FALSE),"")</f>
        <v>Triazolam</v>
      </c>
      <c r="F7821" s="251" t="str">
        <f>IF(AND(A7821&lt;&gt;"",ISNUMBER(A7821)),VLOOKUP(A7821,Studies!A:BR,6,FALSE),"")</f>
        <v>Plasma</v>
      </c>
      <c r="G7821" s="194">
        <v>114</v>
      </c>
      <c r="H7821" s="194" t="s">
        <v>60</v>
      </c>
      <c r="I7821" s="187">
        <v>0.2604474</v>
      </c>
      <c r="J7821" s="187" t="s">
        <v>941</v>
      </c>
      <c r="K7821" s="187" t="s">
        <v>239</v>
      </c>
      <c r="O7821" s="59">
        <v>0.05</v>
      </c>
    </row>
    <row r="7822" spans="1:16" x14ac:dyDescent="0.2">
      <c r="A7822" s="183">
        <v>1017</v>
      </c>
      <c r="B7822" s="249" t="str">
        <f>IF(AND(A7822&lt;&gt;"",ISNUMBER(A7822)),VLOOKUP(A7822,Studies!A:BR,2,FALSE),"")</f>
        <v>Villikka 1997</v>
      </c>
      <c r="C7822" s="250" t="str">
        <f>IF(AND(A7822&lt;&gt;"",ISNUMBER(A7822)),VLOOKUP(A7822,Studies!A:BR,3,FALSE),"")</f>
        <v>https://www.ncbi.nlm.nih.gov/pubmed/9024169</v>
      </c>
      <c r="D7822" s="250" t="str">
        <f>IF(AND(A7822&lt;&gt;"",ISNUMBER(A7822)),VLOOKUP(A7822,Studies!A:BR,4,FALSE),"")</f>
        <v>Treatment arm (pretreatment with rifampin; 600 mg; 5 days); Subject 3</v>
      </c>
      <c r="E7822" s="250" t="str">
        <f>IF(AND(A7822&lt;&gt;"",ISNUMBER(A7822)),VLOOKUP(A7822,Studies!A:BR,5,FALSE),"")</f>
        <v>Triazolam</v>
      </c>
      <c r="F7822" s="251" t="str">
        <f>IF(AND(A7822&lt;&gt;"",ISNUMBER(A7822)),VLOOKUP(A7822,Studies!A:BR,6,FALSE),"")</f>
        <v>Plasma</v>
      </c>
      <c r="G7822" s="194">
        <v>114.5</v>
      </c>
      <c r="H7822" s="194" t="s">
        <v>60</v>
      </c>
      <c r="I7822" s="187">
        <v>0.51028700000000005</v>
      </c>
      <c r="J7822" s="187" t="s">
        <v>941</v>
      </c>
      <c r="K7822" s="187" t="s">
        <v>239</v>
      </c>
      <c r="O7822" s="59">
        <v>0.05</v>
      </c>
    </row>
    <row r="7823" spans="1:16" x14ac:dyDescent="0.2">
      <c r="A7823" s="183">
        <v>1017</v>
      </c>
      <c r="B7823" s="249" t="str">
        <f>IF(AND(A7823&lt;&gt;"",ISNUMBER(A7823)),VLOOKUP(A7823,Studies!A:BR,2,FALSE),"")</f>
        <v>Villikka 1997</v>
      </c>
      <c r="C7823" s="250" t="str">
        <f>IF(AND(A7823&lt;&gt;"",ISNUMBER(A7823)),VLOOKUP(A7823,Studies!A:BR,3,FALSE),"")</f>
        <v>https://www.ncbi.nlm.nih.gov/pubmed/9024169</v>
      </c>
      <c r="D7823" s="250" t="str">
        <f>IF(AND(A7823&lt;&gt;"",ISNUMBER(A7823)),VLOOKUP(A7823,Studies!A:BR,4,FALSE),"")</f>
        <v>Treatment arm (pretreatment with rifampin; 600 mg; 5 days); Subject 3</v>
      </c>
      <c r="E7823" s="250" t="str">
        <f>IF(AND(A7823&lt;&gt;"",ISNUMBER(A7823)),VLOOKUP(A7823,Studies!A:BR,5,FALSE),"")</f>
        <v>Triazolam</v>
      </c>
      <c r="F7823" s="251" t="str">
        <f>IF(AND(A7823&lt;&gt;"",ISNUMBER(A7823)),VLOOKUP(A7823,Studies!A:BR,6,FALSE),"")</f>
        <v>Plasma</v>
      </c>
      <c r="G7823" s="194">
        <v>115</v>
      </c>
      <c r="H7823" s="194" t="s">
        <v>60</v>
      </c>
      <c r="I7823" s="187">
        <v>0.71793720000000005</v>
      </c>
      <c r="J7823" s="187" t="s">
        <v>941</v>
      </c>
      <c r="K7823" s="187" t="s">
        <v>239</v>
      </c>
      <c r="O7823" s="59">
        <v>0.05</v>
      </c>
    </row>
    <row r="7824" spans="1:16" x14ac:dyDescent="0.2">
      <c r="A7824" s="183">
        <v>1017</v>
      </c>
      <c r="B7824" s="249" t="str">
        <f>IF(AND(A7824&lt;&gt;"",ISNUMBER(A7824)),VLOOKUP(A7824,Studies!A:BR,2,FALSE),"")</f>
        <v>Villikka 1997</v>
      </c>
      <c r="C7824" s="250" t="str">
        <f>IF(AND(A7824&lt;&gt;"",ISNUMBER(A7824)),VLOOKUP(A7824,Studies!A:BR,3,FALSE),"")</f>
        <v>https://www.ncbi.nlm.nih.gov/pubmed/9024169</v>
      </c>
      <c r="D7824" s="250" t="str">
        <f>IF(AND(A7824&lt;&gt;"",ISNUMBER(A7824)),VLOOKUP(A7824,Studies!A:BR,4,FALSE),"")</f>
        <v>Treatment arm (pretreatment with rifampin; 600 mg; 5 days); Subject 3</v>
      </c>
      <c r="E7824" s="250" t="str">
        <f>IF(AND(A7824&lt;&gt;"",ISNUMBER(A7824)),VLOOKUP(A7824,Studies!A:BR,5,FALSE),"")</f>
        <v>Triazolam</v>
      </c>
      <c r="F7824" s="251" t="str">
        <f>IF(AND(A7824&lt;&gt;"",ISNUMBER(A7824)),VLOOKUP(A7824,Studies!A:BR,6,FALSE),"")</f>
        <v>Plasma</v>
      </c>
      <c r="G7824" s="194">
        <v>116</v>
      </c>
      <c r="H7824" s="194" t="s">
        <v>60</v>
      </c>
      <c r="I7824" s="187">
        <v>0.44403920000000002</v>
      </c>
      <c r="J7824" s="187" t="s">
        <v>941</v>
      </c>
      <c r="K7824" s="187" t="s">
        <v>239</v>
      </c>
      <c r="O7824" s="59">
        <v>0.05</v>
      </c>
    </row>
    <row r="7825" spans="1:16" x14ac:dyDescent="0.2">
      <c r="A7825" s="183">
        <v>1017</v>
      </c>
      <c r="B7825" s="249" t="str">
        <f>IF(AND(A7825&lt;&gt;"",ISNUMBER(A7825)),VLOOKUP(A7825,Studies!A:BR,2,FALSE),"")</f>
        <v>Villikka 1997</v>
      </c>
      <c r="C7825" s="250" t="str">
        <f>IF(AND(A7825&lt;&gt;"",ISNUMBER(A7825)),VLOOKUP(A7825,Studies!A:BR,3,FALSE),"")</f>
        <v>https://www.ncbi.nlm.nih.gov/pubmed/9024169</v>
      </c>
      <c r="D7825" s="250" t="str">
        <f>IF(AND(A7825&lt;&gt;"",ISNUMBER(A7825)),VLOOKUP(A7825,Studies!A:BR,4,FALSE),"")</f>
        <v>Treatment arm (pretreatment with rifampin; 600 mg; 5 days); Subject 3</v>
      </c>
      <c r="E7825" s="250" t="str">
        <f>IF(AND(A7825&lt;&gt;"",ISNUMBER(A7825)),VLOOKUP(A7825,Studies!A:BR,5,FALSE),"")</f>
        <v>Triazolam</v>
      </c>
      <c r="F7825" s="251" t="str">
        <f>IF(AND(A7825&lt;&gt;"",ISNUMBER(A7825)),VLOOKUP(A7825,Studies!A:BR,6,FALSE),"")</f>
        <v>Plasma</v>
      </c>
      <c r="G7825" s="194">
        <v>117</v>
      </c>
      <c r="H7825" s="194" t="s">
        <v>60</v>
      </c>
      <c r="I7825" s="187">
        <v>0.22946140000000001</v>
      </c>
      <c r="J7825" s="187" t="s">
        <v>941</v>
      </c>
      <c r="K7825" s="187" t="s">
        <v>239</v>
      </c>
      <c r="O7825" s="59">
        <v>0.05</v>
      </c>
    </row>
    <row r="7826" spans="1:16" x14ac:dyDescent="0.2">
      <c r="A7826" s="183">
        <v>1017</v>
      </c>
      <c r="B7826" s="249" t="str">
        <f>IF(AND(A7826&lt;&gt;"",ISNUMBER(A7826)),VLOOKUP(A7826,Studies!A:BR,2,FALSE),"")</f>
        <v>Villikka 1997</v>
      </c>
      <c r="C7826" s="250" t="str">
        <f>IF(AND(A7826&lt;&gt;"",ISNUMBER(A7826)),VLOOKUP(A7826,Studies!A:BR,3,FALSE),"")</f>
        <v>https://www.ncbi.nlm.nih.gov/pubmed/9024169</v>
      </c>
      <c r="D7826" s="250" t="str">
        <f>IF(AND(A7826&lt;&gt;"",ISNUMBER(A7826)),VLOOKUP(A7826,Studies!A:BR,4,FALSE),"")</f>
        <v>Treatment arm (pretreatment with rifampin; 600 mg; 5 days); Subject 3</v>
      </c>
      <c r="E7826" s="250" t="str">
        <f>IF(AND(A7826&lt;&gt;"",ISNUMBER(A7826)),VLOOKUP(A7826,Studies!A:BR,5,FALSE),"")</f>
        <v>Triazolam</v>
      </c>
      <c r="F7826" s="251" t="str">
        <f>IF(AND(A7826&lt;&gt;"",ISNUMBER(A7826)),VLOOKUP(A7826,Studies!A:BR,6,FALSE),"")</f>
        <v>Plasma</v>
      </c>
      <c r="G7826" s="194">
        <v>118</v>
      </c>
      <c r="H7826" s="194" t="s">
        <v>60</v>
      </c>
      <c r="I7826" s="187">
        <v>0.1208371</v>
      </c>
      <c r="J7826" s="187" t="s">
        <v>941</v>
      </c>
      <c r="K7826" s="187" t="s">
        <v>239</v>
      </c>
      <c r="O7826" s="59">
        <v>0.05</v>
      </c>
    </row>
    <row r="7827" spans="1:16" x14ac:dyDescent="0.2">
      <c r="A7827" s="183">
        <v>1017</v>
      </c>
      <c r="B7827" s="249" t="str">
        <f>IF(AND(A7827&lt;&gt;"",ISNUMBER(A7827)),VLOOKUP(A7827,Studies!A:BR,2,FALSE),"")</f>
        <v>Villikka 1997</v>
      </c>
      <c r="C7827" s="250" t="str">
        <f>IF(AND(A7827&lt;&gt;"",ISNUMBER(A7827)),VLOOKUP(A7827,Studies!A:BR,3,FALSE),"")</f>
        <v>https://www.ncbi.nlm.nih.gov/pubmed/9024169</v>
      </c>
      <c r="D7827" s="250" t="str">
        <f>IF(AND(A7827&lt;&gt;"",ISNUMBER(A7827)),VLOOKUP(A7827,Studies!A:BR,4,FALSE),"")</f>
        <v>Treatment arm (pretreatment with rifampin; 600 mg; 5 days); Subject 3</v>
      </c>
      <c r="E7827" s="250" t="str">
        <f>IF(AND(A7827&lt;&gt;"",ISNUMBER(A7827)),VLOOKUP(A7827,Studies!A:BR,5,FALSE),"")</f>
        <v>Triazolam</v>
      </c>
      <c r="F7827" s="251" t="str">
        <f>IF(AND(A7827&lt;&gt;"",ISNUMBER(A7827)),VLOOKUP(A7827,Studies!A:BR,6,FALSE),"")</f>
        <v>Plasma</v>
      </c>
      <c r="G7827" s="194">
        <v>119</v>
      </c>
      <c r="H7827" s="194" t="s">
        <v>60</v>
      </c>
      <c r="I7827" s="187">
        <v>6.0127180000000002E-2</v>
      </c>
      <c r="J7827" s="187" t="s">
        <v>941</v>
      </c>
      <c r="K7827" s="187" t="s">
        <v>239</v>
      </c>
      <c r="O7827" s="59">
        <v>0.05</v>
      </c>
    </row>
    <row r="7828" spans="1:16" x14ac:dyDescent="0.2">
      <c r="A7828" s="183">
        <v>1018</v>
      </c>
      <c r="B7828" s="249" t="str">
        <f>IF(AND(A7828&lt;&gt;"",ISNUMBER(A7828)),VLOOKUP(A7828,Studies!A:BR,2,FALSE),"")</f>
        <v>Villikka 1997</v>
      </c>
      <c r="C7828" s="250" t="str">
        <f>IF(AND(A7828&lt;&gt;"",ISNUMBER(A7828)),VLOOKUP(A7828,Studies!A:BR,3,FALSE),"")</f>
        <v>https://www.ncbi.nlm.nih.gov/pubmed/9024169</v>
      </c>
      <c r="D7828" s="250" t="str">
        <f>IF(AND(A7828&lt;&gt;"",ISNUMBER(A7828)),VLOOKUP(A7828,Studies!A:BR,4,FALSE),"")</f>
        <v>Treatment arm (pretreatment with rifampin; 600 mg; 5 days); Subject 4</v>
      </c>
      <c r="E7828" s="250" t="str">
        <f>IF(AND(A7828&lt;&gt;"",ISNUMBER(A7828)),VLOOKUP(A7828,Studies!A:BR,5,FALSE),"")</f>
        <v>Triazolam</v>
      </c>
      <c r="F7828" s="251" t="str">
        <f>IF(AND(A7828&lt;&gt;"",ISNUMBER(A7828)),VLOOKUP(A7828,Studies!A:BR,6,FALSE),"")</f>
        <v>Plasma</v>
      </c>
      <c r="G7828" s="194">
        <v>113.5</v>
      </c>
      <c r="H7828" s="194" t="s">
        <v>60</v>
      </c>
      <c r="I7828" s="187">
        <v>6.9904729999999998E-2</v>
      </c>
      <c r="J7828" s="187" t="s">
        <v>941</v>
      </c>
      <c r="K7828" s="187" t="s">
        <v>239</v>
      </c>
      <c r="O7828" s="59">
        <v>0.05</v>
      </c>
      <c r="P7828" s="42" t="s">
        <v>2617</v>
      </c>
    </row>
    <row r="7829" spans="1:16" x14ac:dyDescent="0.2">
      <c r="A7829" s="183">
        <v>1018</v>
      </c>
      <c r="B7829" s="249" t="str">
        <f>IF(AND(A7829&lt;&gt;"",ISNUMBER(A7829)),VLOOKUP(A7829,Studies!A:BR,2,FALSE),"")</f>
        <v>Villikka 1997</v>
      </c>
      <c r="C7829" s="250" t="str">
        <f>IF(AND(A7829&lt;&gt;"",ISNUMBER(A7829)),VLOOKUP(A7829,Studies!A:BR,3,FALSE),"")</f>
        <v>https://www.ncbi.nlm.nih.gov/pubmed/9024169</v>
      </c>
      <c r="D7829" s="250" t="str">
        <f>IF(AND(A7829&lt;&gt;"",ISNUMBER(A7829)),VLOOKUP(A7829,Studies!A:BR,4,FALSE),"")</f>
        <v>Treatment arm (pretreatment with rifampin; 600 mg; 5 days); Subject 4</v>
      </c>
      <c r="E7829" s="250" t="str">
        <f>IF(AND(A7829&lt;&gt;"",ISNUMBER(A7829)),VLOOKUP(A7829,Studies!A:BR,5,FALSE),"")</f>
        <v>Triazolam</v>
      </c>
      <c r="F7829" s="251" t="str">
        <f>IF(AND(A7829&lt;&gt;"",ISNUMBER(A7829)),VLOOKUP(A7829,Studies!A:BR,6,FALSE),"")</f>
        <v>Plasma</v>
      </c>
      <c r="G7829" s="194">
        <v>114</v>
      </c>
      <c r="H7829" s="194" t="s">
        <v>60</v>
      </c>
      <c r="I7829" s="187">
        <v>0.32860349999999999</v>
      </c>
      <c r="J7829" s="187" t="s">
        <v>941</v>
      </c>
      <c r="K7829" s="187" t="s">
        <v>239</v>
      </c>
      <c r="N7829" s="195"/>
      <c r="O7829" s="59">
        <v>0.05</v>
      </c>
    </row>
    <row r="7830" spans="1:16" x14ac:dyDescent="0.2">
      <c r="A7830" s="183">
        <v>1018</v>
      </c>
      <c r="B7830" s="249" t="str">
        <f>IF(AND(A7830&lt;&gt;"",ISNUMBER(A7830)),VLOOKUP(A7830,Studies!A:BR,2,FALSE),"")</f>
        <v>Villikka 1997</v>
      </c>
      <c r="C7830" s="250" t="str">
        <f>IF(AND(A7830&lt;&gt;"",ISNUMBER(A7830)),VLOOKUP(A7830,Studies!A:BR,3,FALSE),"")</f>
        <v>https://www.ncbi.nlm.nih.gov/pubmed/9024169</v>
      </c>
      <c r="D7830" s="250" t="str">
        <f>IF(AND(A7830&lt;&gt;"",ISNUMBER(A7830)),VLOOKUP(A7830,Studies!A:BR,4,FALSE),"")</f>
        <v>Treatment arm (pretreatment with rifampin; 600 mg; 5 days); Subject 4</v>
      </c>
      <c r="E7830" s="250" t="str">
        <f>IF(AND(A7830&lt;&gt;"",ISNUMBER(A7830)),VLOOKUP(A7830,Studies!A:BR,5,FALSE),"")</f>
        <v>Triazolam</v>
      </c>
      <c r="F7830" s="251" t="str">
        <f>IF(AND(A7830&lt;&gt;"",ISNUMBER(A7830)),VLOOKUP(A7830,Studies!A:BR,6,FALSE),"")</f>
        <v>Plasma</v>
      </c>
      <c r="G7830" s="194">
        <v>114.5</v>
      </c>
      <c r="H7830" s="194" t="s">
        <v>60</v>
      </c>
      <c r="I7830" s="187">
        <v>0.22755239999999999</v>
      </c>
      <c r="J7830" s="187" t="s">
        <v>941</v>
      </c>
      <c r="K7830" s="187" t="s">
        <v>239</v>
      </c>
      <c r="N7830" s="195"/>
      <c r="O7830" s="59">
        <v>0.05</v>
      </c>
    </row>
    <row r="7831" spans="1:16" x14ac:dyDescent="0.2">
      <c r="A7831" s="183">
        <v>1018</v>
      </c>
      <c r="B7831" s="249" t="str">
        <f>IF(AND(A7831&lt;&gt;"",ISNUMBER(A7831)),VLOOKUP(A7831,Studies!A:BR,2,FALSE),"")</f>
        <v>Villikka 1997</v>
      </c>
      <c r="C7831" s="250" t="str">
        <f>IF(AND(A7831&lt;&gt;"",ISNUMBER(A7831)),VLOOKUP(A7831,Studies!A:BR,3,FALSE),"")</f>
        <v>https://www.ncbi.nlm.nih.gov/pubmed/9024169</v>
      </c>
      <c r="D7831" s="250" t="str">
        <f>IF(AND(A7831&lt;&gt;"",ISNUMBER(A7831)),VLOOKUP(A7831,Studies!A:BR,4,FALSE),"")</f>
        <v>Treatment arm (pretreatment with rifampin; 600 mg; 5 days); Subject 4</v>
      </c>
      <c r="E7831" s="250" t="str">
        <f>IF(AND(A7831&lt;&gt;"",ISNUMBER(A7831)),VLOOKUP(A7831,Studies!A:BR,5,FALSE),"")</f>
        <v>Triazolam</v>
      </c>
      <c r="F7831" s="251" t="str">
        <f>IF(AND(A7831&lt;&gt;"",ISNUMBER(A7831)),VLOOKUP(A7831,Studies!A:BR,6,FALSE),"")</f>
        <v>Plasma</v>
      </c>
      <c r="G7831" s="194">
        <v>115</v>
      </c>
      <c r="H7831" s="194" t="s">
        <v>60</v>
      </c>
      <c r="I7831" s="187">
        <v>0.1605801</v>
      </c>
      <c r="J7831" s="187" t="s">
        <v>941</v>
      </c>
      <c r="K7831" s="187" t="s">
        <v>239</v>
      </c>
      <c r="N7831" s="195"/>
      <c r="O7831" s="59">
        <v>0.05</v>
      </c>
    </row>
    <row r="7832" spans="1:16" x14ac:dyDescent="0.2">
      <c r="A7832" s="183">
        <v>1018</v>
      </c>
      <c r="B7832" s="249" t="str">
        <f>IF(AND(A7832&lt;&gt;"",ISNUMBER(A7832)),VLOOKUP(A7832,Studies!A:BR,2,FALSE),"")</f>
        <v>Villikka 1997</v>
      </c>
      <c r="C7832" s="250" t="str">
        <f>IF(AND(A7832&lt;&gt;"",ISNUMBER(A7832)),VLOOKUP(A7832,Studies!A:BR,3,FALSE),"")</f>
        <v>https://www.ncbi.nlm.nih.gov/pubmed/9024169</v>
      </c>
      <c r="D7832" s="250" t="str">
        <f>IF(AND(A7832&lt;&gt;"",ISNUMBER(A7832)),VLOOKUP(A7832,Studies!A:BR,4,FALSE),"")</f>
        <v>Treatment arm (pretreatment with rifampin; 600 mg; 5 days); Subject 4</v>
      </c>
      <c r="E7832" s="250" t="str">
        <f>IF(AND(A7832&lt;&gt;"",ISNUMBER(A7832)),VLOOKUP(A7832,Studies!A:BR,5,FALSE),"")</f>
        <v>Triazolam</v>
      </c>
      <c r="F7832" s="251" t="str">
        <f>IF(AND(A7832&lt;&gt;"",ISNUMBER(A7832)),VLOOKUP(A7832,Studies!A:BR,6,FALSE),"")</f>
        <v>Plasma</v>
      </c>
      <c r="G7832" s="194">
        <v>116</v>
      </c>
      <c r="H7832" s="194" t="s">
        <v>60</v>
      </c>
      <c r="I7832" s="187">
        <v>0.1091717</v>
      </c>
      <c r="J7832" s="187" t="s">
        <v>941</v>
      </c>
      <c r="K7832" s="187" t="s">
        <v>239</v>
      </c>
      <c r="N7832" s="195"/>
      <c r="O7832" s="59">
        <v>0.05</v>
      </c>
    </row>
    <row r="7833" spans="1:16" x14ac:dyDescent="0.2">
      <c r="A7833" s="183">
        <v>1018</v>
      </c>
      <c r="B7833" s="249" t="str">
        <f>IF(AND(A7833&lt;&gt;"",ISNUMBER(A7833)),VLOOKUP(A7833,Studies!A:BR,2,FALSE),"")</f>
        <v>Villikka 1997</v>
      </c>
      <c r="C7833" s="250" t="str">
        <f>IF(AND(A7833&lt;&gt;"",ISNUMBER(A7833)),VLOOKUP(A7833,Studies!A:BR,3,FALSE),"")</f>
        <v>https://www.ncbi.nlm.nih.gov/pubmed/9024169</v>
      </c>
      <c r="D7833" s="250" t="str">
        <f>IF(AND(A7833&lt;&gt;"",ISNUMBER(A7833)),VLOOKUP(A7833,Studies!A:BR,4,FALSE),"")</f>
        <v>Treatment arm (pretreatment with rifampin; 600 mg; 5 days); Subject 4</v>
      </c>
      <c r="E7833" s="250" t="str">
        <f>IF(AND(A7833&lt;&gt;"",ISNUMBER(A7833)),VLOOKUP(A7833,Studies!A:BR,5,FALSE),"")</f>
        <v>Triazolam</v>
      </c>
      <c r="F7833" s="251" t="str">
        <f>IF(AND(A7833&lt;&gt;"",ISNUMBER(A7833)),VLOOKUP(A7833,Studies!A:BR,6,FALSE),"")</f>
        <v>Plasma</v>
      </c>
      <c r="G7833" s="194">
        <v>117</v>
      </c>
      <c r="H7833" s="194" t="s">
        <v>60</v>
      </c>
      <c r="I7833" s="187">
        <v>7.08014E-2</v>
      </c>
      <c r="J7833" s="187" t="s">
        <v>941</v>
      </c>
      <c r="K7833" s="187" t="s">
        <v>239</v>
      </c>
      <c r="N7833" s="195"/>
      <c r="O7833" s="59">
        <v>0.05</v>
      </c>
    </row>
    <row r="7834" spans="1:16" x14ac:dyDescent="0.2">
      <c r="A7834" s="183">
        <v>1019</v>
      </c>
      <c r="B7834" s="249" t="str">
        <f>IF(AND(A7834&lt;&gt;"",ISNUMBER(A7834)),VLOOKUP(A7834,Studies!A:BR,2,FALSE),"")</f>
        <v>Villikka 1997</v>
      </c>
      <c r="C7834" s="250" t="str">
        <f>IF(AND(A7834&lt;&gt;"",ISNUMBER(A7834)),VLOOKUP(A7834,Studies!A:BR,3,FALSE),"")</f>
        <v>https://www.ncbi.nlm.nih.gov/pubmed/9024169</v>
      </c>
      <c r="D7834" s="250" t="str">
        <f>IF(AND(A7834&lt;&gt;"",ISNUMBER(A7834)),VLOOKUP(A7834,Studies!A:BR,4,FALSE),"")</f>
        <v>Treatment arm (pretreatment with rifampin; 600 mg; 5 days); Subject 5</v>
      </c>
      <c r="E7834" s="250" t="str">
        <f>IF(AND(A7834&lt;&gt;"",ISNUMBER(A7834)),VLOOKUP(A7834,Studies!A:BR,5,FALSE),"")</f>
        <v>Triazolam</v>
      </c>
      <c r="F7834" s="251" t="str">
        <f>IF(AND(A7834&lt;&gt;"",ISNUMBER(A7834)),VLOOKUP(A7834,Studies!A:BR,6,FALSE),"")</f>
        <v>Plasma</v>
      </c>
      <c r="G7834" s="194">
        <v>114</v>
      </c>
      <c r="H7834" s="194" t="s">
        <v>60</v>
      </c>
      <c r="I7834" s="187">
        <v>0.42259150000000001</v>
      </c>
      <c r="J7834" s="187" t="s">
        <v>941</v>
      </c>
      <c r="K7834" s="187" t="s">
        <v>239</v>
      </c>
      <c r="N7834" s="195"/>
      <c r="O7834" s="59">
        <v>0.05</v>
      </c>
      <c r="P7834" s="42" t="s">
        <v>2618</v>
      </c>
    </row>
    <row r="7835" spans="1:16" x14ac:dyDescent="0.2">
      <c r="A7835" s="183">
        <v>1019</v>
      </c>
      <c r="B7835" s="249" t="str">
        <f>IF(AND(A7835&lt;&gt;"",ISNUMBER(A7835)),VLOOKUP(A7835,Studies!A:BR,2,FALSE),"")</f>
        <v>Villikka 1997</v>
      </c>
      <c r="C7835" s="250" t="str">
        <f>IF(AND(A7835&lt;&gt;"",ISNUMBER(A7835)),VLOOKUP(A7835,Studies!A:BR,3,FALSE),"")</f>
        <v>https://www.ncbi.nlm.nih.gov/pubmed/9024169</v>
      </c>
      <c r="D7835" s="250" t="str">
        <f>IF(AND(A7835&lt;&gt;"",ISNUMBER(A7835)),VLOOKUP(A7835,Studies!A:BR,4,FALSE),"")</f>
        <v>Treatment arm (pretreatment with rifampin; 600 mg; 5 days); Subject 5</v>
      </c>
      <c r="E7835" s="250" t="str">
        <f>IF(AND(A7835&lt;&gt;"",ISNUMBER(A7835)),VLOOKUP(A7835,Studies!A:BR,5,FALSE),"")</f>
        <v>Triazolam</v>
      </c>
      <c r="F7835" s="251" t="str">
        <f>IF(AND(A7835&lt;&gt;"",ISNUMBER(A7835)),VLOOKUP(A7835,Studies!A:BR,6,FALSE),"")</f>
        <v>Plasma</v>
      </c>
      <c r="G7835" s="194">
        <v>114.5</v>
      </c>
      <c r="H7835" s="194" t="s">
        <v>60</v>
      </c>
      <c r="I7835" s="187">
        <v>0.27026499999999998</v>
      </c>
      <c r="J7835" s="187" t="s">
        <v>941</v>
      </c>
      <c r="K7835" s="187" t="s">
        <v>239</v>
      </c>
      <c r="N7835" s="195"/>
      <c r="O7835" s="59">
        <v>0.05</v>
      </c>
    </row>
    <row r="7836" spans="1:16" x14ac:dyDescent="0.2">
      <c r="A7836" s="183">
        <v>1019</v>
      </c>
      <c r="B7836" s="249" t="str">
        <f>IF(AND(A7836&lt;&gt;"",ISNUMBER(A7836)),VLOOKUP(A7836,Studies!A:BR,2,FALSE),"")</f>
        <v>Villikka 1997</v>
      </c>
      <c r="C7836" s="250" t="str">
        <f>IF(AND(A7836&lt;&gt;"",ISNUMBER(A7836)),VLOOKUP(A7836,Studies!A:BR,3,FALSE),"")</f>
        <v>https://www.ncbi.nlm.nih.gov/pubmed/9024169</v>
      </c>
      <c r="D7836" s="250" t="str">
        <f>IF(AND(A7836&lt;&gt;"",ISNUMBER(A7836)),VLOOKUP(A7836,Studies!A:BR,4,FALSE),"")</f>
        <v>Treatment arm (pretreatment with rifampin; 600 mg; 5 days); Subject 5</v>
      </c>
      <c r="E7836" s="250" t="str">
        <f>IF(AND(A7836&lt;&gt;"",ISNUMBER(A7836)),VLOOKUP(A7836,Studies!A:BR,5,FALSE),"")</f>
        <v>Triazolam</v>
      </c>
      <c r="F7836" s="251" t="str">
        <f>IF(AND(A7836&lt;&gt;"",ISNUMBER(A7836)),VLOOKUP(A7836,Studies!A:BR,6,FALSE),"")</f>
        <v>Plasma</v>
      </c>
      <c r="G7836" s="194">
        <v>115</v>
      </c>
      <c r="H7836" s="194" t="s">
        <v>60</v>
      </c>
      <c r="I7836" s="187">
        <v>0.16167899999999999</v>
      </c>
      <c r="J7836" s="187" t="s">
        <v>941</v>
      </c>
      <c r="K7836" s="187" t="s">
        <v>239</v>
      </c>
      <c r="N7836" s="195"/>
      <c r="O7836" s="59">
        <v>0.05</v>
      </c>
    </row>
    <row r="7837" spans="1:16" x14ac:dyDescent="0.2">
      <c r="A7837" s="183">
        <v>1019</v>
      </c>
      <c r="B7837" s="249" t="str">
        <f>IF(AND(A7837&lt;&gt;"",ISNUMBER(A7837)),VLOOKUP(A7837,Studies!A:BR,2,FALSE),"")</f>
        <v>Villikka 1997</v>
      </c>
      <c r="C7837" s="250" t="str">
        <f>IF(AND(A7837&lt;&gt;"",ISNUMBER(A7837)),VLOOKUP(A7837,Studies!A:BR,3,FALSE),"")</f>
        <v>https://www.ncbi.nlm.nih.gov/pubmed/9024169</v>
      </c>
      <c r="D7837" s="250" t="str">
        <f>IF(AND(A7837&lt;&gt;"",ISNUMBER(A7837)),VLOOKUP(A7837,Studies!A:BR,4,FALSE),"")</f>
        <v>Treatment arm (pretreatment with rifampin; 600 mg; 5 days); Subject 5</v>
      </c>
      <c r="E7837" s="250" t="str">
        <f>IF(AND(A7837&lt;&gt;"",ISNUMBER(A7837)),VLOOKUP(A7837,Studies!A:BR,5,FALSE),"")</f>
        <v>Triazolam</v>
      </c>
      <c r="F7837" s="251" t="str">
        <f>IF(AND(A7837&lt;&gt;"",ISNUMBER(A7837)),VLOOKUP(A7837,Studies!A:BR,6,FALSE),"")</f>
        <v>Plasma</v>
      </c>
      <c r="G7837" s="194">
        <v>116</v>
      </c>
      <c r="H7837" s="194" t="s">
        <v>60</v>
      </c>
      <c r="I7837" s="187">
        <v>9.9623710000000004E-2</v>
      </c>
      <c r="J7837" s="187" t="s">
        <v>941</v>
      </c>
      <c r="K7837" s="187" t="s">
        <v>239</v>
      </c>
      <c r="N7837" s="195"/>
      <c r="O7837" s="59">
        <v>0.05</v>
      </c>
    </row>
    <row r="7838" spans="1:16" x14ac:dyDescent="0.2">
      <c r="A7838" s="183">
        <v>1020</v>
      </c>
      <c r="B7838" s="249" t="str">
        <f>IF(AND(A7838&lt;&gt;"",ISNUMBER(A7838)),VLOOKUP(A7838,Studies!A:BR,2,FALSE),"")</f>
        <v>Villikka 1997</v>
      </c>
      <c r="C7838" s="250" t="str">
        <f>IF(AND(A7838&lt;&gt;"",ISNUMBER(A7838)),VLOOKUP(A7838,Studies!A:BR,3,FALSE),"")</f>
        <v>https://www.ncbi.nlm.nih.gov/pubmed/9024169</v>
      </c>
      <c r="D7838" s="250" t="str">
        <f>IF(AND(A7838&lt;&gt;"",ISNUMBER(A7838)),VLOOKUP(A7838,Studies!A:BR,4,FALSE),"")</f>
        <v>Treatment arm (pretreatment with rifampin; 600 mg; 5 days); Subject 6</v>
      </c>
      <c r="E7838" s="250" t="str">
        <f>IF(AND(A7838&lt;&gt;"",ISNUMBER(A7838)),VLOOKUP(A7838,Studies!A:BR,5,FALSE),"")</f>
        <v>Triazolam</v>
      </c>
      <c r="F7838" s="251" t="str">
        <f>IF(AND(A7838&lt;&gt;"",ISNUMBER(A7838)),VLOOKUP(A7838,Studies!A:BR,6,FALSE),"")</f>
        <v>Plasma</v>
      </c>
      <c r="G7838" s="194">
        <v>113.5</v>
      </c>
      <c r="H7838" s="194" t="s">
        <v>60</v>
      </c>
      <c r="I7838" s="187">
        <v>0.17185320000000001</v>
      </c>
      <c r="J7838" s="187" t="s">
        <v>941</v>
      </c>
      <c r="K7838" s="187" t="s">
        <v>239</v>
      </c>
      <c r="N7838" s="195"/>
      <c r="O7838" s="59">
        <v>0.05</v>
      </c>
      <c r="P7838" s="42" t="s">
        <v>2619</v>
      </c>
    </row>
    <row r="7839" spans="1:16" x14ac:dyDescent="0.2">
      <c r="A7839" s="183">
        <v>1020</v>
      </c>
      <c r="B7839" s="249" t="str">
        <f>IF(AND(A7839&lt;&gt;"",ISNUMBER(A7839)),VLOOKUP(A7839,Studies!A:BR,2,FALSE),"")</f>
        <v>Villikka 1997</v>
      </c>
      <c r="C7839" s="250" t="str">
        <f>IF(AND(A7839&lt;&gt;"",ISNUMBER(A7839)),VLOOKUP(A7839,Studies!A:BR,3,FALSE),"")</f>
        <v>https://www.ncbi.nlm.nih.gov/pubmed/9024169</v>
      </c>
      <c r="D7839" s="250" t="str">
        <f>IF(AND(A7839&lt;&gt;"",ISNUMBER(A7839)),VLOOKUP(A7839,Studies!A:BR,4,FALSE),"")</f>
        <v>Treatment arm (pretreatment with rifampin; 600 mg; 5 days); Subject 6</v>
      </c>
      <c r="E7839" s="250" t="str">
        <f>IF(AND(A7839&lt;&gt;"",ISNUMBER(A7839)),VLOOKUP(A7839,Studies!A:BR,5,FALSE),"")</f>
        <v>Triazolam</v>
      </c>
      <c r="F7839" s="251" t="str">
        <f>IF(AND(A7839&lt;&gt;"",ISNUMBER(A7839)),VLOOKUP(A7839,Studies!A:BR,6,FALSE),"")</f>
        <v>Plasma</v>
      </c>
      <c r="G7839" s="194">
        <v>114</v>
      </c>
      <c r="H7839" s="194" t="s">
        <v>60</v>
      </c>
      <c r="I7839" s="187">
        <v>0.14095469999999999</v>
      </c>
      <c r="J7839" s="187" t="s">
        <v>941</v>
      </c>
      <c r="K7839" s="187" t="s">
        <v>239</v>
      </c>
      <c r="N7839" s="195"/>
      <c r="O7839" s="59">
        <v>0.05</v>
      </c>
    </row>
    <row r="7840" spans="1:16" x14ac:dyDescent="0.2">
      <c r="A7840" s="183">
        <v>1020</v>
      </c>
      <c r="B7840" s="249" t="str">
        <f>IF(AND(A7840&lt;&gt;"",ISNUMBER(A7840)),VLOOKUP(A7840,Studies!A:BR,2,FALSE),"")</f>
        <v>Villikka 1997</v>
      </c>
      <c r="C7840" s="250" t="str">
        <f>IF(AND(A7840&lt;&gt;"",ISNUMBER(A7840)),VLOOKUP(A7840,Studies!A:BR,3,FALSE),"")</f>
        <v>https://www.ncbi.nlm.nih.gov/pubmed/9024169</v>
      </c>
      <c r="D7840" s="250" t="str">
        <f>IF(AND(A7840&lt;&gt;"",ISNUMBER(A7840)),VLOOKUP(A7840,Studies!A:BR,4,FALSE),"")</f>
        <v>Treatment arm (pretreatment with rifampin; 600 mg; 5 days); Subject 6</v>
      </c>
      <c r="E7840" s="250" t="str">
        <f>IF(AND(A7840&lt;&gt;"",ISNUMBER(A7840)),VLOOKUP(A7840,Studies!A:BR,5,FALSE),"")</f>
        <v>Triazolam</v>
      </c>
      <c r="F7840" s="251" t="str">
        <f>IF(AND(A7840&lt;&gt;"",ISNUMBER(A7840)),VLOOKUP(A7840,Studies!A:BR,6,FALSE),"")</f>
        <v>Plasma</v>
      </c>
      <c r="G7840" s="194">
        <v>114.5</v>
      </c>
      <c r="H7840" s="194" t="s">
        <v>60</v>
      </c>
      <c r="I7840" s="187">
        <v>8.8648859999999996E-2</v>
      </c>
      <c r="J7840" s="187" t="s">
        <v>941</v>
      </c>
      <c r="K7840" s="187" t="s">
        <v>239</v>
      </c>
      <c r="N7840" s="195"/>
      <c r="O7840" s="59">
        <v>0.05</v>
      </c>
    </row>
    <row r="7841" spans="1:16" x14ac:dyDescent="0.2">
      <c r="A7841" s="30">
        <v>1020</v>
      </c>
      <c r="B7841" s="249" t="str">
        <f>IF(AND(A7841&lt;&gt;"",ISNUMBER(A7841)),VLOOKUP(A7841,Studies!A:BR,2,FALSE),"")</f>
        <v>Villikka 1997</v>
      </c>
      <c r="C7841" s="250" t="str">
        <f>IF(AND(A7841&lt;&gt;"",ISNUMBER(A7841)),VLOOKUP(A7841,Studies!A:BR,3,FALSE),"")</f>
        <v>https://www.ncbi.nlm.nih.gov/pubmed/9024169</v>
      </c>
      <c r="D7841" s="250" t="str">
        <f>IF(AND(A7841&lt;&gt;"",ISNUMBER(A7841)),VLOOKUP(A7841,Studies!A:BR,4,FALSE),"")</f>
        <v>Treatment arm (pretreatment with rifampin; 600 mg; 5 days); Subject 6</v>
      </c>
      <c r="E7841" s="250" t="str">
        <f>IF(AND(A7841&lt;&gt;"",ISNUMBER(A7841)),VLOOKUP(A7841,Studies!A:BR,5,FALSE),"")</f>
        <v>Triazolam</v>
      </c>
      <c r="F7841" s="251" t="str">
        <f>IF(AND(A7841&lt;&gt;"",ISNUMBER(A7841)),VLOOKUP(A7841,Studies!A:BR,6,FALSE),"")</f>
        <v>Plasma</v>
      </c>
      <c r="G7841" s="194">
        <v>115</v>
      </c>
      <c r="H7841" s="194" t="s">
        <v>60</v>
      </c>
      <c r="I7841" s="187">
        <v>6.0146989999999997E-2</v>
      </c>
      <c r="J7841" s="187" t="s">
        <v>941</v>
      </c>
      <c r="K7841" s="187" t="s">
        <v>239</v>
      </c>
      <c r="O7841" s="59">
        <v>0.05</v>
      </c>
    </row>
    <row r="7842" spans="1:16" x14ac:dyDescent="0.2">
      <c r="A7842" s="30">
        <v>1021</v>
      </c>
      <c r="B7842" s="249" t="str">
        <f>IF(AND(A7842&lt;&gt;"",ISNUMBER(A7842)),VLOOKUP(A7842,Studies!A:BR,2,FALSE),"")</f>
        <v>Villikka 1997</v>
      </c>
      <c r="C7842" s="250" t="str">
        <f>IF(AND(A7842&lt;&gt;"",ISNUMBER(A7842)),VLOOKUP(A7842,Studies!A:BR,3,FALSE),"")</f>
        <v>https://www.ncbi.nlm.nih.gov/pubmed/9024169</v>
      </c>
      <c r="D7842" s="250" t="str">
        <f>IF(AND(A7842&lt;&gt;"",ISNUMBER(A7842)),VLOOKUP(A7842,Studies!A:BR,4,FALSE),"")</f>
        <v>Treatment arm (pretreatment with rifampin; 600 mg; 5 days); Subject 7</v>
      </c>
      <c r="E7842" s="250" t="str">
        <f>IF(AND(A7842&lt;&gt;"",ISNUMBER(A7842)),VLOOKUP(A7842,Studies!A:BR,5,FALSE),"")</f>
        <v>Triazolam</v>
      </c>
      <c r="F7842" s="251" t="str">
        <f>IF(AND(A7842&lt;&gt;"",ISNUMBER(A7842)),VLOOKUP(A7842,Studies!A:BR,6,FALSE),"")</f>
        <v>Plasma</v>
      </c>
      <c r="G7842" s="194">
        <v>114</v>
      </c>
      <c r="H7842" s="194" t="s">
        <v>60</v>
      </c>
      <c r="I7842" s="187">
        <v>0.12942429999999999</v>
      </c>
      <c r="J7842" s="187" t="s">
        <v>941</v>
      </c>
      <c r="K7842" s="187" t="s">
        <v>239</v>
      </c>
      <c r="O7842" s="59">
        <v>0.05</v>
      </c>
      <c r="P7842" s="42" t="s">
        <v>2614</v>
      </c>
    </row>
    <row r="7843" spans="1:16" x14ac:dyDescent="0.2">
      <c r="A7843" s="183">
        <v>1021</v>
      </c>
      <c r="B7843" s="249" t="str">
        <f>IF(AND(A7843&lt;&gt;"",ISNUMBER(A7843)),VLOOKUP(A7843,Studies!A:BR,2,FALSE),"")</f>
        <v>Villikka 1997</v>
      </c>
      <c r="C7843" s="250" t="str">
        <f>IF(AND(A7843&lt;&gt;"",ISNUMBER(A7843)),VLOOKUP(A7843,Studies!A:BR,3,FALSE),"")</f>
        <v>https://www.ncbi.nlm.nih.gov/pubmed/9024169</v>
      </c>
      <c r="D7843" s="250" t="str">
        <f>IF(AND(A7843&lt;&gt;"",ISNUMBER(A7843)),VLOOKUP(A7843,Studies!A:BR,4,FALSE),"")</f>
        <v>Treatment arm (pretreatment with rifampin; 600 mg; 5 days); Subject 7</v>
      </c>
      <c r="E7843" s="250" t="str">
        <f>IF(AND(A7843&lt;&gt;"",ISNUMBER(A7843)),VLOOKUP(A7843,Studies!A:BR,5,FALSE),"")</f>
        <v>Triazolam</v>
      </c>
      <c r="F7843" s="251" t="str">
        <f>IF(AND(A7843&lt;&gt;"",ISNUMBER(A7843)),VLOOKUP(A7843,Studies!A:BR,6,FALSE),"")</f>
        <v>Plasma</v>
      </c>
      <c r="G7843" s="194">
        <v>114.5</v>
      </c>
      <c r="H7843" s="194" t="s">
        <v>60</v>
      </c>
      <c r="I7843" s="187">
        <v>0.1705526</v>
      </c>
      <c r="J7843" s="187" t="s">
        <v>941</v>
      </c>
      <c r="K7843" s="187" t="s">
        <v>239</v>
      </c>
      <c r="O7843" s="59">
        <v>0.05</v>
      </c>
    </row>
    <row r="7844" spans="1:16" x14ac:dyDescent="0.2">
      <c r="A7844" s="183">
        <v>1021</v>
      </c>
      <c r="B7844" s="249" t="str">
        <f>IF(AND(A7844&lt;&gt;"",ISNUMBER(A7844)),VLOOKUP(A7844,Studies!A:BR,2,FALSE),"")</f>
        <v>Villikka 1997</v>
      </c>
      <c r="C7844" s="250" t="str">
        <f>IF(AND(A7844&lt;&gt;"",ISNUMBER(A7844)),VLOOKUP(A7844,Studies!A:BR,3,FALSE),"")</f>
        <v>https://www.ncbi.nlm.nih.gov/pubmed/9024169</v>
      </c>
      <c r="D7844" s="250" t="str">
        <f>IF(AND(A7844&lt;&gt;"",ISNUMBER(A7844)),VLOOKUP(A7844,Studies!A:BR,4,FALSE),"")</f>
        <v>Treatment arm (pretreatment with rifampin; 600 mg; 5 days); Subject 7</v>
      </c>
      <c r="E7844" s="250" t="str">
        <f>IF(AND(A7844&lt;&gt;"",ISNUMBER(A7844)),VLOOKUP(A7844,Studies!A:BR,5,FALSE),"")</f>
        <v>Triazolam</v>
      </c>
      <c r="F7844" s="251" t="str">
        <f>IF(AND(A7844&lt;&gt;"",ISNUMBER(A7844)),VLOOKUP(A7844,Studies!A:BR,6,FALSE),"")</f>
        <v>Plasma</v>
      </c>
      <c r="G7844" s="194">
        <v>115</v>
      </c>
      <c r="H7844" s="194" t="s">
        <v>60</v>
      </c>
      <c r="I7844" s="187">
        <v>0.1691076</v>
      </c>
      <c r="J7844" s="187" t="s">
        <v>941</v>
      </c>
      <c r="K7844" s="187" t="s">
        <v>239</v>
      </c>
      <c r="O7844" s="59">
        <v>0.05</v>
      </c>
    </row>
    <row r="7845" spans="1:16" x14ac:dyDescent="0.2">
      <c r="A7845" s="183">
        <v>1021</v>
      </c>
      <c r="B7845" s="249" t="str">
        <f>IF(AND(A7845&lt;&gt;"",ISNUMBER(A7845)),VLOOKUP(A7845,Studies!A:BR,2,FALSE),"")</f>
        <v>Villikka 1997</v>
      </c>
      <c r="C7845" s="250" t="str">
        <f>IF(AND(A7845&lt;&gt;"",ISNUMBER(A7845)),VLOOKUP(A7845,Studies!A:BR,3,FALSE),"")</f>
        <v>https://www.ncbi.nlm.nih.gov/pubmed/9024169</v>
      </c>
      <c r="D7845" s="250" t="str">
        <f>IF(AND(A7845&lt;&gt;"",ISNUMBER(A7845)),VLOOKUP(A7845,Studies!A:BR,4,FALSE),"")</f>
        <v>Treatment arm (pretreatment with rifampin; 600 mg; 5 days); Subject 7</v>
      </c>
      <c r="E7845" s="250" t="str">
        <f>IF(AND(A7845&lt;&gt;"",ISNUMBER(A7845)),VLOOKUP(A7845,Studies!A:BR,5,FALSE),"")</f>
        <v>Triazolam</v>
      </c>
      <c r="F7845" s="251" t="str">
        <f>IF(AND(A7845&lt;&gt;"",ISNUMBER(A7845)),VLOOKUP(A7845,Studies!A:BR,6,FALSE),"")</f>
        <v>Plasma</v>
      </c>
      <c r="G7845" s="194">
        <v>116</v>
      </c>
      <c r="H7845" s="194" t="s">
        <v>60</v>
      </c>
      <c r="I7845" s="187">
        <v>0.1005709</v>
      </c>
      <c r="J7845" s="187" t="s">
        <v>941</v>
      </c>
      <c r="K7845" s="187" t="s">
        <v>239</v>
      </c>
      <c r="O7845" s="59">
        <v>0.05</v>
      </c>
    </row>
    <row r="7846" spans="1:16" x14ac:dyDescent="0.2">
      <c r="A7846" s="183">
        <v>1021</v>
      </c>
      <c r="B7846" s="249" t="str">
        <f>IF(AND(A7846&lt;&gt;"",ISNUMBER(A7846)),VLOOKUP(A7846,Studies!A:BR,2,FALSE),"")</f>
        <v>Villikka 1997</v>
      </c>
      <c r="C7846" s="250" t="str">
        <f>IF(AND(A7846&lt;&gt;"",ISNUMBER(A7846)),VLOOKUP(A7846,Studies!A:BR,3,FALSE),"")</f>
        <v>https://www.ncbi.nlm.nih.gov/pubmed/9024169</v>
      </c>
      <c r="D7846" s="250" t="str">
        <f>IF(AND(A7846&lt;&gt;"",ISNUMBER(A7846)),VLOOKUP(A7846,Studies!A:BR,4,FALSE),"")</f>
        <v>Treatment arm (pretreatment with rifampin; 600 mg; 5 days); Subject 7</v>
      </c>
      <c r="E7846" s="250" t="str">
        <f>IF(AND(A7846&lt;&gt;"",ISNUMBER(A7846)),VLOOKUP(A7846,Studies!A:BR,5,FALSE),"")</f>
        <v>Triazolam</v>
      </c>
      <c r="F7846" s="251" t="str">
        <f>IF(AND(A7846&lt;&gt;"",ISNUMBER(A7846)),VLOOKUP(A7846,Studies!A:BR,6,FALSE),"")</f>
        <v>Plasma</v>
      </c>
      <c r="G7846" s="194">
        <v>117</v>
      </c>
      <c r="H7846" s="194" t="s">
        <v>60</v>
      </c>
      <c r="I7846" s="187">
        <v>5.0428649999999998E-2</v>
      </c>
      <c r="J7846" s="187" t="s">
        <v>941</v>
      </c>
      <c r="K7846" s="187" t="s">
        <v>239</v>
      </c>
      <c r="O7846" s="59">
        <v>0.05</v>
      </c>
    </row>
    <row r="7847" spans="1:16" x14ac:dyDescent="0.2">
      <c r="A7847" s="183">
        <v>1022</v>
      </c>
      <c r="B7847" s="249" t="str">
        <f>IF(AND(A7847&lt;&gt;"",ISNUMBER(A7847)),VLOOKUP(A7847,Studies!A:BR,2,FALSE),"")</f>
        <v>Villikka 1997</v>
      </c>
      <c r="C7847" s="250" t="str">
        <f>IF(AND(A7847&lt;&gt;"",ISNUMBER(A7847)),VLOOKUP(A7847,Studies!A:BR,3,FALSE),"")</f>
        <v>https://www.ncbi.nlm.nih.gov/pubmed/9024169</v>
      </c>
      <c r="D7847" s="250" t="str">
        <f>IF(AND(A7847&lt;&gt;"",ISNUMBER(A7847)),VLOOKUP(A7847,Studies!A:BR,4,FALSE),"")</f>
        <v>Treatment arm (pretreatment with rifampin; 600 mg; 5 days); Subject 8</v>
      </c>
      <c r="E7847" s="250" t="str">
        <f>IF(AND(A7847&lt;&gt;"",ISNUMBER(A7847)),VLOOKUP(A7847,Studies!A:BR,5,FALSE),"")</f>
        <v>Triazolam</v>
      </c>
      <c r="F7847" s="251" t="str">
        <f>IF(AND(A7847&lt;&gt;"",ISNUMBER(A7847)),VLOOKUP(A7847,Studies!A:BR,6,FALSE),"")</f>
        <v>Plasma</v>
      </c>
      <c r="G7847" s="194">
        <v>114</v>
      </c>
      <c r="H7847" s="194" t="s">
        <v>60</v>
      </c>
      <c r="I7847" s="187">
        <v>0.19680719999999999</v>
      </c>
      <c r="J7847" s="187" t="s">
        <v>941</v>
      </c>
      <c r="K7847" s="187" t="s">
        <v>239</v>
      </c>
      <c r="O7847" s="59">
        <v>0.05</v>
      </c>
      <c r="P7847" s="42" t="s">
        <v>2620</v>
      </c>
    </row>
    <row r="7848" spans="1:16" x14ac:dyDescent="0.2">
      <c r="A7848" s="183">
        <v>1022</v>
      </c>
      <c r="B7848" s="249" t="str">
        <f>IF(AND(A7848&lt;&gt;"",ISNUMBER(A7848)),VLOOKUP(A7848,Studies!A:BR,2,FALSE),"")</f>
        <v>Villikka 1997</v>
      </c>
      <c r="C7848" s="250" t="str">
        <f>IF(AND(A7848&lt;&gt;"",ISNUMBER(A7848)),VLOOKUP(A7848,Studies!A:BR,3,FALSE),"")</f>
        <v>https://www.ncbi.nlm.nih.gov/pubmed/9024169</v>
      </c>
      <c r="D7848" s="250" t="str">
        <f>IF(AND(A7848&lt;&gt;"",ISNUMBER(A7848)),VLOOKUP(A7848,Studies!A:BR,4,FALSE),"")</f>
        <v>Treatment arm (pretreatment with rifampin; 600 mg; 5 days); Subject 8</v>
      </c>
      <c r="E7848" s="250" t="str">
        <f>IF(AND(A7848&lt;&gt;"",ISNUMBER(A7848)),VLOOKUP(A7848,Studies!A:BR,5,FALSE),"")</f>
        <v>Triazolam</v>
      </c>
      <c r="F7848" s="251" t="str">
        <f>IF(AND(A7848&lt;&gt;"",ISNUMBER(A7848)),VLOOKUP(A7848,Studies!A:BR,6,FALSE),"")</f>
        <v>Plasma</v>
      </c>
      <c r="G7848" s="194">
        <v>114.5</v>
      </c>
      <c r="H7848" s="194" t="s">
        <v>60</v>
      </c>
      <c r="I7848" s="187">
        <v>0.24757109999999999</v>
      </c>
      <c r="J7848" s="187" t="s">
        <v>941</v>
      </c>
      <c r="K7848" s="187" t="s">
        <v>239</v>
      </c>
      <c r="O7848" s="59">
        <v>0.05</v>
      </c>
    </row>
    <row r="7849" spans="1:16" x14ac:dyDescent="0.2">
      <c r="A7849" s="183">
        <v>1022</v>
      </c>
      <c r="B7849" s="249" t="str">
        <f>IF(AND(A7849&lt;&gt;"",ISNUMBER(A7849)),VLOOKUP(A7849,Studies!A:BR,2,FALSE),"")</f>
        <v>Villikka 1997</v>
      </c>
      <c r="C7849" s="250" t="str">
        <f>IF(AND(A7849&lt;&gt;"",ISNUMBER(A7849)),VLOOKUP(A7849,Studies!A:BR,3,FALSE),"")</f>
        <v>https://www.ncbi.nlm.nih.gov/pubmed/9024169</v>
      </c>
      <c r="D7849" s="250" t="str">
        <f>IF(AND(A7849&lt;&gt;"",ISNUMBER(A7849)),VLOOKUP(A7849,Studies!A:BR,4,FALSE),"")</f>
        <v>Treatment arm (pretreatment with rifampin; 600 mg; 5 days); Subject 8</v>
      </c>
      <c r="E7849" s="250" t="str">
        <f>IF(AND(A7849&lt;&gt;"",ISNUMBER(A7849)),VLOOKUP(A7849,Studies!A:BR,5,FALSE),"")</f>
        <v>Triazolam</v>
      </c>
      <c r="F7849" s="251" t="str">
        <f>IF(AND(A7849&lt;&gt;"",ISNUMBER(A7849)),VLOOKUP(A7849,Studies!A:BR,6,FALSE),"")</f>
        <v>Plasma</v>
      </c>
      <c r="G7849" s="194">
        <v>115</v>
      </c>
      <c r="H7849" s="194" t="s">
        <v>60</v>
      </c>
      <c r="I7849" s="187">
        <v>0.22561049999999999</v>
      </c>
      <c r="J7849" s="187" t="s">
        <v>941</v>
      </c>
      <c r="K7849" s="187" t="s">
        <v>239</v>
      </c>
      <c r="O7849" s="59">
        <v>0.05</v>
      </c>
    </row>
    <row r="7850" spans="1:16" x14ac:dyDescent="0.2">
      <c r="A7850" s="183">
        <v>1022</v>
      </c>
      <c r="B7850" s="249" t="str">
        <f>IF(AND(A7850&lt;&gt;"",ISNUMBER(A7850)),VLOOKUP(A7850,Studies!A:BR,2,FALSE),"")</f>
        <v>Villikka 1997</v>
      </c>
      <c r="C7850" s="250" t="str">
        <f>IF(AND(A7850&lt;&gt;"",ISNUMBER(A7850)),VLOOKUP(A7850,Studies!A:BR,3,FALSE),"")</f>
        <v>https://www.ncbi.nlm.nih.gov/pubmed/9024169</v>
      </c>
      <c r="D7850" s="250" t="str">
        <f>IF(AND(A7850&lt;&gt;"",ISNUMBER(A7850)),VLOOKUP(A7850,Studies!A:BR,4,FALSE),"")</f>
        <v>Treatment arm (pretreatment with rifampin; 600 mg; 5 days); Subject 8</v>
      </c>
      <c r="E7850" s="250" t="str">
        <f>IF(AND(A7850&lt;&gt;"",ISNUMBER(A7850)),VLOOKUP(A7850,Studies!A:BR,5,FALSE),"")</f>
        <v>Triazolam</v>
      </c>
      <c r="F7850" s="251" t="str">
        <f>IF(AND(A7850&lt;&gt;"",ISNUMBER(A7850)),VLOOKUP(A7850,Studies!A:BR,6,FALSE),"")</f>
        <v>Plasma</v>
      </c>
      <c r="G7850" s="194">
        <v>116</v>
      </c>
      <c r="H7850" s="194" t="s">
        <v>60</v>
      </c>
      <c r="I7850" s="187">
        <v>0.14779680000000001</v>
      </c>
      <c r="J7850" s="187" t="s">
        <v>941</v>
      </c>
      <c r="K7850" s="187" t="s">
        <v>239</v>
      </c>
      <c r="O7850" s="59">
        <v>0.05</v>
      </c>
    </row>
    <row r="7851" spans="1:16" x14ac:dyDescent="0.2">
      <c r="A7851" s="30">
        <v>1022</v>
      </c>
      <c r="B7851" s="249" t="str">
        <f>IF(AND(A7851&lt;&gt;"",ISNUMBER(A7851)),VLOOKUP(A7851,Studies!A:BR,2,FALSE),"")</f>
        <v>Villikka 1997</v>
      </c>
      <c r="C7851" s="250" t="str">
        <f>IF(AND(A7851&lt;&gt;"",ISNUMBER(A7851)),VLOOKUP(A7851,Studies!A:BR,3,FALSE),"")</f>
        <v>https://www.ncbi.nlm.nih.gov/pubmed/9024169</v>
      </c>
      <c r="D7851" s="250" t="str">
        <f>IF(AND(A7851&lt;&gt;"",ISNUMBER(A7851)),VLOOKUP(A7851,Studies!A:BR,4,FALSE),"")</f>
        <v>Treatment arm (pretreatment with rifampin; 600 mg; 5 days); Subject 8</v>
      </c>
      <c r="E7851" s="250" t="str">
        <f>IF(AND(A7851&lt;&gt;"",ISNUMBER(A7851)),VLOOKUP(A7851,Studies!A:BR,5,FALSE),"")</f>
        <v>Triazolam</v>
      </c>
      <c r="F7851" s="251" t="str">
        <f>IF(AND(A7851&lt;&gt;"",ISNUMBER(A7851)),VLOOKUP(A7851,Studies!A:BR,6,FALSE),"")</f>
        <v>Plasma</v>
      </c>
      <c r="G7851" s="194">
        <v>117</v>
      </c>
      <c r="H7851" s="194" t="s">
        <v>60</v>
      </c>
      <c r="I7851" s="187">
        <v>7.9338599999999995E-2</v>
      </c>
      <c r="J7851" s="187" t="s">
        <v>941</v>
      </c>
      <c r="K7851" s="187" t="s">
        <v>239</v>
      </c>
      <c r="O7851" s="59">
        <v>0.05</v>
      </c>
    </row>
    <row r="7852" spans="1:16" x14ac:dyDescent="0.2">
      <c r="A7852" s="30">
        <v>1022</v>
      </c>
      <c r="B7852" s="249" t="str">
        <f>IF(AND(A7852&lt;&gt;"",ISNUMBER(A7852)),VLOOKUP(A7852,Studies!A:BR,2,FALSE),"")</f>
        <v>Villikka 1997</v>
      </c>
      <c r="C7852" s="250" t="str">
        <f>IF(AND(A7852&lt;&gt;"",ISNUMBER(A7852)),VLOOKUP(A7852,Studies!A:BR,3,FALSE),"")</f>
        <v>https://www.ncbi.nlm.nih.gov/pubmed/9024169</v>
      </c>
      <c r="D7852" s="250" t="str">
        <f>IF(AND(A7852&lt;&gt;"",ISNUMBER(A7852)),VLOOKUP(A7852,Studies!A:BR,4,FALSE),"")</f>
        <v>Treatment arm (pretreatment with rifampin; 600 mg; 5 days); Subject 8</v>
      </c>
      <c r="E7852" s="250" t="str">
        <f>IF(AND(A7852&lt;&gt;"",ISNUMBER(A7852)),VLOOKUP(A7852,Studies!A:BR,5,FALSE),"")</f>
        <v>Triazolam</v>
      </c>
      <c r="F7852" s="251" t="str">
        <f>IF(AND(A7852&lt;&gt;"",ISNUMBER(A7852)),VLOOKUP(A7852,Studies!A:BR,6,FALSE),"")</f>
        <v>Plasma</v>
      </c>
      <c r="G7852" s="194">
        <v>118</v>
      </c>
      <c r="H7852" s="194" t="s">
        <v>60</v>
      </c>
      <c r="I7852" s="187">
        <v>6.9732409999999995E-2</v>
      </c>
      <c r="J7852" s="187" t="s">
        <v>941</v>
      </c>
      <c r="K7852" s="187" t="s">
        <v>239</v>
      </c>
      <c r="O7852" s="59">
        <v>0.05</v>
      </c>
    </row>
    <row r="7853" spans="1:16" x14ac:dyDescent="0.2">
      <c r="A7853" s="183">
        <v>1022</v>
      </c>
      <c r="B7853" s="249" t="str">
        <f>IF(AND(A7853&lt;&gt;"",ISNUMBER(A7853)),VLOOKUP(A7853,Studies!A:BR,2,FALSE),"")</f>
        <v>Villikka 1997</v>
      </c>
      <c r="C7853" s="250" t="str">
        <f>IF(AND(A7853&lt;&gt;"",ISNUMBER(A7853)),VLOOKUP(A7853,Studies!A:BR,3,FALSE),"")</f>
        <v>https://www.ncbi.nlm.nih.gov/pubmed/9024169</v>
      </c>
      <c r="D7853" s="250" t="str">
        <f>IF(AND(A7853&lt;&gt;"",ISNUMBER(A7853)),VLOOKUP(A7853,Studies!A:BR,4,FALSE),"")</f>
        <v>Treatment arm (pretreatment with rifampin; 600 mg; 5 days); Subject 8</v>
      </c>
      <c r="E7853" s="250" t="str">
        <f>IF(AND(A7853&lt;&gt;"",ISNUMBER(A7853)),VLOOKUP(A7853,Studies!A:BR,5,FALSE),"")</f>
        <v>Triazolam</v>
      </c>
      <c r="F7853" s="251" t="str">
        <f>IF(AND(A7853&lt;&gt;"",ISNUMBER(A7853)),VLOOKUP(A7853,Studies!A:BR,6,FALSE),"")</f>
        <v>Plasma</v>
      </c>
      <c r="G7853" s="194">
        <v>119</v>
      </c>
      <c r="H7853" s="194" t="s">
        <v>60</v>
      </c>
      <c r="I7853" s="187">
        <v>5.957751E-2</v>
      </c>
      <c r="J7853" s="187" t="s">
        <v>941</v>
      </c>
      <c r="K7853" s="187" t="s">
        <v>239</v>
      </c>
      <c r="O7853" s="59">
        <v>0.05</v>
      </c>
    </row>
    <row r="7854" spans="1:16" x14ac:dyDescent="0.2">
      <c r="A7854" s="183">
        <v>1023</v>
      </c>
      <c r="B7854" s="249" t="str">
        <f>IF(AND(A7854&lt;&gt;"",ISNUMBER(A7854)),VLOOKUP(A7854,Studies!A:BR,2,FALSE),"")</f>
        <v>Villikka 1997</v>
      </c>
      <c r="C7854" s="250" t="str">
        <f>IF(AND(A7854&lt;&gt;"",ISNUMBER(A7854)),VLOOKUP(A7854,Studies!A:BR,3,FALSE),"")</f>
        <v>https://www.ncbi.nlm.nih.gov/pubmed/9024169</v>
      </c>
      <c r="D7854" s="250" t="str">
        <f>IF(AND(A7854&lt;&gt;"",ISNUMBER(A7854)),VLOOKUP(A7854,Studies!A:BR,4,FALSE),"")</f>
        <v>Treatment arm (pretreatment with rifampin; 600 mg; 5 days); Subject 9</v>
      </c>
      <c r="E7854" s="250" t="str">
        <f>IF(AND(A7854&lt;&gt;"",ISNUMBER(A7854)),VLOOKUP(A7854,Studies!A:BR,5,FALSE),"")</f>
        <v>Triazolam</v>
      </c>
      <c r="F7854" s="251" t="str">
        <f>IF(AND(A7854&lt;&gt;"",ISNUMBER(A7854)),VLOOKUP(A7854,Studies!A:BR,6,FALSE),"")</f>
        <v>Plasma</v>
      </c>
      <c r="G7854" s="194">
        <v>113.5</v>
      </c>
      <c r="H7854" s="194" t="s">
        <v>60</v>
      </c>
      <c r="I7854" s="187">
        <v>0.58696970000000004</v>
      </c>
      <c r="J7854" s="187" t="s">
        <v>941</v>
      </c>
      <c r="K7854" s="187" t="s">
        <v>239</v>
      </c>
      <c r="O7854" s="59">
        <v>0.05</v>
      </c>
      <c r="P7854" s="42" t="s">
        <v>2621</v>
      </c>
    </row>
    <row r="7855" spans="1:16" x14ac:dyDescent="0.2">
      <c r="A7855" s="183">
        <v>1023</v>
      </c>
      <c r="B7855" s="249" t="str">
        <f>IF(AND(A7855&lt;&gt;"",ISNUMBER(A7855)),VLOOKUP(A7855,Studies!A:BR,2,FALSE),"")</f>
        <v>Villikka 1997</v>
      </c>
      <c r="C7855" s="250" t="str">
        <f>IF(AND(A7855&lt;&gt;"",ISNUMBER(A7855)),VLOOKUP(A7855,Studies!A:BR,3,FALSE),"")</f>
        <v>https://www.ncbi.nlm.nih.gov/pubmed/9024169</v>
      </c>
      <c r="D7855" s="250" t="str">
        <f>IF(AND(A7855&lt;&gt;"",ISNUMBER(A7855)),VLOOKUP(A7855,Studies!A:BR,4,FALSE),"")</f>
        <v>Treatment arm (pretreatment with rifampin; 600 mg; 5 days); Subject 9</v>
      </c>
      <c r="E7855" s="250" t="str">
        <f>IF(AND(A7855&lt;&gt;"",ISNUMBER(A7855)),VLOOKUP(A7855,Studies!A:BR,5,FALSE),"")</f>
        <v>Triazolam</v>
      </c>
      <c r="F7855" s="251" t="str">
        <f>IF(AND(A7855&lt;&gt;"",ISNUMBER(A7855)),VLOOKUP(A7855,Studies!A:BR,6,FALSE),"")</f>
        <v>Plasma</v>
      </c>
      <c r="G7855" s="194">
        <v>114</v>
      </c>
      <c r="H7855" s="194" t="s">
        <v>60</v>
      </c>
      <c r="I7855" s="187">
        <v>0.38626670000000002</v>
      </c>
      <c r="J7855" s="187" t="s">
        <v>941</v>
      </c>
      <c r="K7855" s="187" t="s">
        <v>239</v>
      </c>
      <c r="O7855" s="59">
        <v>0.05</v>
      </c>
    </row>
    <row r="7856" spans="1:16" x14ac:dyDescent="0.2">
      <c r="A7856" s="183">
        <v>1023</v>
      </c>
      <c r="B7856" s="249" t="str">
        <f>IF(AND(A7856&lt;&gt;"",ISNUMBER(A7856)),VLOOKUP(A7856,Studies!A:BR,2,FALSE),"")</f>
        <v>Villikka 1997</v>
      </c>
      <c r="C7856" s="250" t="str">
        <f>IF(AND(A7856&lt;&gt;"",ISNUMBER(A7856)),VLOOKUP(A7856,Studies!A:BR,3,FALSE),"")</f>
        <v>https://www.ncbi.nlm.nih.gov/pubmed/9024169</v>
      </c>
      <c r="D7856" s="250" t="str">
        <f>IF(AND(A7856&lt;&gt;"",ISNUMBER(A7856)),VLOOKUP(A7856,Studies!A:BR,4,FALSE),"")</f>
        <v>Treatment arm (pretreatment with rifampin; 600 mg; 5 days); Subject 9</v>
      </c>
      <c r="E7856" s="250" t="str">
        <f>IF(AND(A7856&lt;&gt;"",ISNUMBER(A7856)),VLOOKUP(A7856,Studies!A:BR,5,FALSE),"")</f>
        <v>Triazolam</v>
      </c>
      <c r="F7856" s="251" t="str">
        <f>IF(AND(A7856&lt;&gt;"",ISNUMBER(A7856)),VLOOKUP(A7856,Studies!A:BR,6,FALSE),"")</f>
        <v>Plasma</v>
      </c>
      <c r="G7856" s="194">
        <v>114.5</v>
      </c>
      <c r="H7856" s="194" t="s">
        <v>60</v>
      </c>
      <c r="I7856" s="187">
        <v>0.25174180000000002</v>
      </c>
      <c r="J7856" s="187" t="s">
        <v>941</v>
      </c>
      <c r="K7856" s="187" t="s">
        <v>239</v>
      </c>
      <c r="O7856" s="59">
        <v>0.05</v>
      </c>
    </row>
    <row r="7857" spans="1:16" x14ac:dyDescent="0.2">
      <c r="A7857" s="183">
        <v>1023</v>
      </c>
      <c r="B7857" s="249" t="str">
        <f>IF(AND(A7857&lt;&gt;"",ISNUMBER(A7857)),VLOOKUP(A7857,Studies!A:BR,2,FALSE),"")</f>
        <v>Villikka 1997</v>
      </c>
      <c r="C7857" s="250" t="str">
        <f>IF(AND(A7857&lt;&gt;"",ISNUMBER(A7857)),VLOOKUP(A7857,Studies!A:BR,3,FALSE),"")</f>
        <v>https://www.ncbi.nlm.nih.gov/pubmed/9024169</v>
      </c>
      <c r="D7857" s="250" t="str">
        <f>IF(AND(A7857&lt;&gt;"",ISNUMBER(A7857)),VLOOKUP(A7857,Studies!A:BR,4,FALSE),"")</f>
        <v>Treatment arm (pretreatment with rifampin; 600 mg; 5 days); Subject 9</v>
      </c>
      <c r="E7857" s="250" t="str">
        <f>IF(AND(A7857&lt;&gt;"",ISNUMBER(A7857)),VLOOKUP(A7857,Studies!A:BR,5,FALSE),"")</f>
        <v>Triazolam</v>
      </c>
      <c r="F7857" s="251" t="str">
        <f>IF(AND(A7857&lt;&gt;"",ISNUMBER(A7857)),VLOOKUP(A7857,Studies!A:BR,6,FALSE),"")</f>
        <v>Plasma</v>
      </c>
      <c r="G7857" s="194">
        <v>115</v>
      </c>
      <c r="H7857" s="194" t="s">
        <v>60</v>
      </c>
      <c r="I7857" s="187">
        <v>0.1986221</v>
      </c>
      <c r="J7857" s="187" t="s">
        <v>941</v>
      </c>
      <c r="K7857" s="187" t="s">
        <v>239</v>
      </c>
      <c r="O7857" s="59">
        <v>0.05</v>
      </c>
    </row>
    <row r="7858" spans="1:16" x14ac:dyDescent="0.2">
      <c r="A7858" s="183">
        <v>1023</v>
      </c>
      <c r="B7858" s="249" t="str">
        <f>IF(AND(A7858&lt;&gt;"",ISNUMBER(A7858)),VLOOKUP(A7858,Studies!A:BR,2,FALSE),"")</f>
        <v>Villikka 1997</v>
      </c>
      <c r="C7858" s="250" t="str">
        <f>IF(AND(A7858&lt;&gt;"",ISNUMBER(A7858)),VLOOKUP(A7858,Studies!A:BR,3,FALSE),"")</f>
        <v>https://www.ncbi.nlm.nih.gov/pubmed/9024169</v>
      </c>
      <c r="D7858" s="250" t="str">
        <f>IF(AND(A7858&lt;&gt;"",ISNUMBER(A7858)),VLOOKUP(A7858,Studies!A:BR,4,FALSE),"")</f>
        <v>Treatment arm (pretreatment with rifampin; 600 mg; 5 days); Subject 9</v>
      </c>
      <c r="E7858" s="250" t="str">
        <f>IF(AND(A7858&lt;&gt;"",ISNUMBER(A7858)),VLOOKUP(A7858,Studies!A:BR,5,FALSE),"")</f>
        <v>Triazolam</v>
      </c>
      <c r="F7858" s="251" t="str">
        <f>IF(AND(A7858&lt;&gt;"",ISNUMBER(A7858)),VLOOKUP(A7858,Studies!A:BR,6,FALSE),"")</f>
        <v>Plasma</v>
      </c>
      <c r="G7858" s="194">
        <v>116</v>
      </c>
      <c r="H7858" s="194" t="s">
        <v>60</v>
      </c>
      <c r="I7858" s="187">
        <v>0.1201419</v>
      </c>
      <c r="J7858" s="187" t="s">
        <v>941</v>
      </c>
      <c r="K7858" s="187" t="s">
        <v>239</v>
      </c>
      <c r="O7858" s="59">
        <v>0.05</v>
      </c>
    </row>
    <row r="7859" spans="1:16" x14ac:dyDescent="0.2">
      <c r="A7859" s="183">
        <v>1024</v>
      </c>
      <c r="B7859" s="249" t="str">
        <f>IF(AND(A7859&lt;&gt;"",ISNUMBER(A7859)),VLOOKUP(A7859,Studies!A:BR,2,FALSE),"")</f>
        <v>Villikka 1997</v>
      </c>
      <c r="C7859" s="250" t="str">
        <f>IF(AND(A7859&lt;&gt;"",ISNUMBER(A7859)),VLOOKUP(A7859,Studies!A:BR,3,FALSE),"")</f>
        <v>https://www.ncbi.nlm.nih.gov/pubmed/9024169</v>
      </c>
      <c r="D7859" s="250" t="str">
        <f>IF(AND(A7859&lt;&gt;"",ISNUMBER(A7859)),VLOOKUP(A7859,Studies!A:BR,4,FALSE),"")</f>
        <v>Treatment arm (pretreatment with rifampin; 600 mg; 5 days); Subject 10</v>
      </c>
      <c r="E7859" s="250" t="str">
        <f>IF(AND(A7859&lt;&gt;"",ISNUMBER(A7859)),VLOOKUP(A7859,Studies!A:BR,5,FALSE),"")</f>
        <v>Triazolam</v>
      </c>
      <c r="F7859" s="251" t="str">
        <f>IF(AND(A7859&lt;&gt;"",ISNUMBER(A7859)),VLOOKUP(A7859,Studies!A:BR,6,FALSE),"")</f>
        <v>Plasma</v>
      </c>
      <c r="G7859" s="194">
        <v>114</v>
      </c>
      <c r="H7859" s="194" t="s">
        <v>60</v>
      </c>
      <c r="I7859" s="187">
        <v>8.8687260000000004E-2</v>
      </c>
      <c r="J7859" s="187" t="s">
        <v>941</v>
      </c>
      <c r="K7859" s="187" t="s">
        <v>239</v>
      </c>
      <c r="O7859" s="59">
        <v>0.05</v>
      </c>
      <c r="P7859" s="42" t="s">
        <v>2622</v>
      </c>
    </row>
    <row r="7860" spans="1:16" x14ac:dyDescent="0.2">
      <c r="A7860" s="183">
        <v>1024</v>
      </c>
      <c r="B7860" s="249" t="str">
        <f>IF(AND(A7860&lt;&gt;"",ISNUMBER(A7860)),VLOOKUP(A7860,Studies!A:BR,2,FALSE),"")</f>
        <v>Villikka 1997</v>
      </c>
      <c r="C7860" s="250" t="str">
        <f>IF(AND(A7860&lt;&gt;"",ISNUMBER(A7860)),VLOOKUP(A7860,Studies!A:BR,3,FALSE),"")</f>
        <v>https://www.ncbi.nlm.nih.gov/pubmed/9024169</v>
      </c>
      <c r="D7860" s="250" t="str">
        <f>IF(AND(A7860&lt;&gt;"",ISNUMBER(A7860)),VLOOKUP(A7860,Studies!A:BR,4,FALSE),"")</f>
        <v>Treatment arm (pretreatment with rifampin; 600 mg; 5 days); Subject 10</v>
      </c>
      <c r="E7860" s="250" t="str">
        <f>IF(AND(A7860&lt;&gt;"",ISNUMBER(A7860)),VLOOKUP(A7860,Studies!A:BR,5,FALSE),"")</f>
        <v>Triazolam</v>
      </c>
      <c r="F7860" s="251" t="str">
        <f>IF(AND(A7860&lt;&gt;"",ISNUMBER(A7860)),VLOOKUP(A7860,Studies!A:BR,6,FALSE),"")</f>
        <v>Plasma</v>
      </c>
      <c r="G7860" s="194">
        <v>114.5</v>
      </c>
      <c r="H7860" s="194" t="s">
        <v>60</v>
      </c>
      <c r="I7860" s="187">
        <v>0.39305329999999999</v>
      </c>
      <c r="J7860" s="187" t="s">
        <v>941</v>
      </c>
      <c r="K7860" s="187" t="s">
        <v>239</v>
      </c>
      <c r="O7860" s="59">
        <v>0.05</v>
      </c>
    </row>
    <row r="7861" spans="1:16" x14ac:dyDescent="0.2">
      <c r="A7861" s="183">
        <v>1024</v>
      </c>
      <c r="B7861" s="249" t="str">
        <f>IF(AND(A7861&lt;&gt;"",ISNUMBER(A7861)),VLOOKUP(A7861,Studies!A:BR,2,FALSE),"")</f>
        <v>Villikka 1997</v>
      </c>
      <c r="C7861" s="250" t="str">
        <f>IF(AND(A7861&lt;&gt;"",ISNUMBER(A7861)),VLOOKUP(A7861,Studies!A:BR,3,FALSE),"")</f>
        <v>https://www.ncbi.nlm.nih.gov/pubmed/9024169</v>
      </c>
      <c r="D7861" s="250" t="str">
        <f>IF(AND(A7861&lt;&gt;"",ISNUMBER(A7861)),VLOOKUP(A7861,Studies!A:BR,4,FALSE),"")</f>
        <v>Treatment arm (pretreatment with rifampin; 600 mg; 5 days); Subject 10</v>
      </c>
      <c r="E7861" s="250" t="str">
        <f>IF(AND(A7861&lt;&gt;"",ISNUMBER(A7861)),VLOOKUP(A7861,Studies!A:BR,5,FALSE),"")</f>
        <v>Triazolam</v>
      </c>
      <c r="F7861" s="251" t="str">
        <f>IF(AND(A7861&lt;&gt;"",ISNUMBER(A7861)),VLOOKUP(A7861,Studies!A:BR,6,FALSE),"")</f>
        <v>Plasma</v>
      </c>
      <c r="G7861" s="194">
        <v>115</v>
      </c>
      <c r="H7861" s="194" t="s">
        <v>60</v>
      </c>
      <c r="I7861" s="187">
        <v>0.2445225</v>
      </c>
      <c r="J7861" s="187" t="s">
        <v>941</v>
      </c>
      <c r="K7861" s="187" t="s">
        <v>239</v>
      </c>
      <c r="O7861" s="59">
        <v>0.05</v>
      </c>
    </row>
    <row r="7862" spans="1:16" x14ac:dyDescent="0.2">
      <c r="A7862" s="183">
        <v>1024</v>
      </c>
      <c r="B7862" s="249" t="str">
        <f>IF(AND(A7862&lt;&gt;"",ISNUMBER(A7862)),VLOOKUP(A7862,Studies!A:BR,2,FALSE),"")</f>
        <v>Villikka 1997</v>
      </c>
      <c r="C7862" s="250" t="str">
        <f>IF(AND(A7862&lt;&gt;"",ISNUMBER(A7862)),VLOOKUP(A7862,Studies!A:BR,3,FALSE),"")</f>
        <v>https://www.ncbi.nlm.nih.gov/pubmed/9024169</v>
      </c>
      <c r="D7862" s="250" t="str">
        <f>IF(AND(A7862&lt;&gt;"",ISNUMBER(A7862)),VLOOKUP(A7862,Studies!A:BR,4,FALSE),"")</f>
        <v>Treatment arm (pretreatment with rifampin; 600 mg; 5 days); Subject 10</v>
      </c>
      <c r="E7862" s="250" t="str">
        <f>IF(AND(A7862&lt;&gt;"",ISNUMBER(A7862)),VLOOKUP(A7862,Studies!A:BR,5,FALSE),"")</f>
        <v>Triazolam</v>
      </c>
      <c r="F7862" s="251" t="str">
        <f>IF(AND(A7862&lt;&gt;"",ISNUMBER(A7862)),VLOOKUP(A7862,Studies!A:BR,6,FALSE),"")</f>
        <v>Plasma</v>
      </c>
      <c r="G7862" s="194">
        <v>116</v>
      </c>
      <c r="H7862" s="194" t="s">
        <v>60</v>
      </c>
      <c r="I7862" s="187">
        <v>0.12837989999999999</v>
      </c>
      <c r="J7862" s="187" t="s">
        <v>941</v>
      </c>
      <c r="K7862" s="187" t="s">
        <v>239</v>
      </c>
      <c r="O7862" s="59">
        <v>0.05</v>
      </c>
    </row>
    <row r="7863" spans="1:16" x14ac:dyDescent="0.2">
      <c r="A7863" s="183">
        <v>1024</v>
      </c>
      <c r="B7863" s="249" t="str">
        <f>IF(AND(A7863&lt;&gt;"",ISNUMBER(A7863)),VLOOKUP(A7863,Studies!A:BR,2,FALSE),"")</f>
        <v>Villikka 1997</v>
      </c>
      <c r="C7863" s="250" t="str">
        <f>IF(AND(A7863&lt;&gt;"",ISNUMBER(A7863)),VLOOKUP(A7863,Studies!A:BR,3,FALSE),"")</f>
        <v>https://www.ncbi.nlm.nih.gov/pubmed/9024169</v>
      </c>
      <c r="D7863" s="250" t="str">
        <f>IF(AND(A7863&lt;&gt;"",ISNUMBER(A7863)),VLOOKUP(A7863,Studies!A:BR,4,FALSE),"")</f>
        <v>Treatment arm (pretreatment with rifampin; 600 mg; 5 days); Subject 10</v>
      </c>
      <c r="E7863" s="250" t="str">
        <f>IF(AND(A7863&lt;&gt;"",ISNUMBER(A7863)),VLOOKUP(A7863,Studies!A:BR,5,FALSE),"")</f>
        <v>Triazolam</v>
      </c>
      <c r="F7863" s="251" t="str">
        <f>IF(AND(A7863&lt;&gt;"",ISNUMBER(A7863)),VLOOKUP(A7863,Studies!A:BR,6,FALSE),"")</f>
        <v>Plasma</v>
      </c>
      <c r="G7863" s="194">
        <v>117</v>
      </c>
      <c r="H7863" s="194" t="s">
        <v>60</v>
      </c>
      <c r="I7863" s="187">
        <v>7.067959E-2</v>
      </c>
      <c r="J7863" s="187" t="s">
        <v>941</v>
      </c>
      <c r="K7863" s="187" t="s">
        <v>239</v>
      </c>
      <c r="O7863" s="59">
        <v>0.05</v>
      </c>
    </row>
    <row r="7864" spans="1:16" x14ac:dyDescent="0.2">
      <c r="A7864" s="30">
        <v>1024</v>
      </c>
      <c r="B7864" s="249" t="str">
        <f>IF(AND(A7864&lt;&gt;"",ISNUMBER(A7864)),VLOOKUP(A7864,Studies!A:BR,2,FALSE),"")</f>
        <v>Villikka 1997</v>
      </c>
      <c r="C7864" s="250" t="str">
        <f>IF(AND(A7864&lt;&gt;"",ISNUMBER(A7864)),VLOOKUP(A7864,Studies!A:BR,3,FALSE),"")</f>
        <v>https://www.ncbi.nlm.nih.gov/pubmed/9024169</v>
      </c>
      <c r="D7864" s="250" t="str">
        <f>IF(AND(A7864&lt;&gt;"",ISNUMBER(A7864)),VLOOKUP(A7864,Studies!A:BR,4,FALSE),"")</f>
        <v>Treatment arm (pretreatment with rifampin; 600 mg; 5 days); Subject 10</v>
      </c>
      <c r="E7864" s="250" t="str">
        <f>IF(AND(A7864&lt;&gt;"",ISNUMBER(A7864)),VLOOKUP(A7864,Studies!A:BR,5,FALSE),"")</f>
        <v>Triazolam</v>
      </c>
      <c r="F7864" s="251" t="str">
        <f>IF(AND(A7864&lt;&gt;"",ISNUMBER(A7864)),VLOOKUP(A7864,Studies!A:BR,6,FALSE),"")</f>
        <v>Plasma</v>
      </c>
      <c r="G7864" s="194">
        <v>118</v>
      </c>
      <c r="H7864" s="194" t="s">
        <v>60</v>
      </c>
      <c r="I7864" s="187">
        <v>5.1312330000000003E-2</v>
      </c>
      <c r="J7864" s="187" t="s">
        <v>941</v>
      </c>
      <c r="K7864" s="187" t="s">
        <v>239</v>
      </c>
      <c r="O7864" s="59">
        <v>0.05</v>
      </c>
    </row>
    <row r="7865" spans="1:16" x14ac:dyDescent="0.2">
      <c r="A7865" s="30">
        <v>1025</v>
      </c>
      <c r="B7865" s="249" t="str">
        <f>IF(AND(A7865&lt;&gt;"",ISNUMBER(A7865)),VLOOKUP(A7865,Studies!A:BR,2,FALSE),"")</f>
        <v>Yasui 1998</v>
      </c>
      <c r="C7865" s="250" t="str">
        <f>IF(AND(A7865&lt;&gt;"",ISNUMBER(A7865)),VLOOKUP(A7865,Studies!A:BR,3,FALSE),"")</f>
        <v>https://www.ncbi.nlm.nih.gov/pubmed/9784084</v>
      </c>
      <c r="D7865" s="250" t="str">
        <f>IF(AND(A7865&lt;&gt;"",ISNUMBER(A7865)),VLOOKUP(A7865,Studies!A:BR,4,FALSE),"")</f>
        <v>Alprazolam with placebo</v>
      </c>
      <c r="E7865" s="250" t="str">
        <f>IF(AND(A7865&lt;&gt;"",ISNUMBER(A7865)),VLOOKUP(A7865,Studies!A:BR,5,FALSE),"")</f>
        <v>Alprazolam</v>
      </c>
      <c r="F7865" s="251" t="str">
        <f>IF(AND(A7865&lt;&gt;"",ISNUMBER(A7865)),VLOOKUP(A7865,Studies!A:BR,6,FALSE),"")</f>
        <v>Plasma</v>
      </c>
      <c r="G7865" s="194">
        <v>0.5</v>
      </c>
      <c r="H7865" s="194" t="s">
        <v>60</v>
      </c>
      <c r="I7865" s="187">
        <v>7.2358010000000004</v>
      </c>
      <c r="J7865" s="187" t="s">
        <v>941</v>
      </c>
      <c r="K7865" s="187" t="s">
        <v>335</v>
      </c>
      <c r="M7865" s="195"/>
      <c r="N7865" s="195"/>
      <c r="O7865" s="59">
        <v>0.5</v>
      </c>
      <c r="P7865" s="42" t="s">
        <v>2612</v>
      </c>
    </row>
    <row r="7866" spans="1:16" x14ac:dyDescent="0.2">
      <c r="A7866" s="30">
        <v>1025</v>
      </c>
      <c r="B7866" s="249" t="str">
        <f>IF(AND(A7866&lt;&gt;"",ISNUMBER(A7866)),VLOOKUP(A7866,Studies!A:BR,2,FALSE),"")</f>
        <v>Yasui 1998</v>
      </c>
      <c r="C7866" s="250" t="str">
        <f>IF(AND(A7866&lt;&gt;"",ISNUMBER(A7866)),VLOOKUP(A7866,Studies!A:BR,3,FALSE),"")</f>
        <v>https://www.ncbi.nlm.nih.gov/pubmed/9784084</v>
      </c>
      <c r="D7866" s="250" t="str">
        <f>IF(AND(A7866&lt;&gt;"",ISNUMBER(A7866)),VLOOKUP(A7866,Studies!A:BR,4,FALSE),"")</f>
        <v>Alprazolam with placebo</v>
      </c>
      <c r="E7866" s="250" t="str">
        <f>IF(AND(A7866&lt;&gt;"",ISNUMBER(A7866)),VLOOKUP(A7866,Studies!A:BR,5,FALSE),"")</f>
        <v>Alprazolam</v>
      </c>
      <c r="F7866" s="251" t="str">
        <f>IF(AND(A7866&lt;&gt;"",ISNUMBER(A7866)),VLOOKUP(A7866,Studies!A:BR,6,FALSE),"")</f>
        <v>Plasma</v>
      </c>
      <c r="G7866" s="194">
        <v>1</v>
      </c>
      <c r="H7866" s="194" t="s">
        <v>60</v>
      </c>
      <c r="I7866" s="187">
        <v>10.65387</v>
      </c>
      <c r="J7866" s="187" t="s">
        <v>941</v>
      </c>
      <c r="K7866" s="187" t="s">
        <v>335</v>
      </c>
      <c r="M7866" s="195"/>
      <c r="N7866" s="195"/>
      <c r="O7866" s="59">
        <v>0.5</v>
      </c>
    </row>
    <row r="7867" spans="1:16" x14ac:dyDescent="0.2">
      <c r="A7867" s="183">
        <v>1025</v>
      </c>
      <c r="B7867" s="249" t="str">
        <f>IF(AND(A7867&lt;&gt;"",ISNUMBER(A7867)),VLOOKUP(A7867,Studies!A:BR,2,FALSE),"")</f>
        <v>Yasui 1998</v>
      </c>
      <c r="C7867" s="250" t="str">
        <f>IF(AND(A7867&lt;&gt;"",ISNUMBER(A7867)),VLOOKUP(A7867,Studies!A:BR,3,FALSE),"")</f>
        <v>https://www.ncbi.nlm.nih.gov/pubmed/9784084</v>
      </c>
      <c r="D7867" s="250" t="str">
        <f>IF(AND(A7867&lt;&gt;"",ISNUMBER(A7867)),VLOOKUP(A7867,Studies!A:BR,4,FALSE),"")</f>
        <v>Alprazolam with placebo</v>
      </c>
      <c r="E7867" s="250" t="str">
        <f>IF(AND(A7867&lt;&gt;"",ISNUMBER(A7867)),VLOOKUP(A7867,Studies!A:BR,5,FALSE),"")</f>
        <v>Alprazolam</v>
      </c>
      <c r="F7867" s="251" t="str">
        <f>IF(AND(A7867&lt;&gt;"",ISNUMBER(A7867)),VLOOKUP(A7867,Studies!A:BR,6,FALSE),"")</f>
        <v>Plasma</v>
      </c>
      <c r="G7867" s="194">
        <v>2</v>
      </c>
      <c r="H7867" s="194" t="s">
        <v>60</v>
      </c>
      <c r="I7867" s="187">
        <v>11.1441</v>
      </c>
      <c r="J7867" s="187" t="s">
        <v>941</v>
      </c>
      <c r="K7867" s="187" t="s">
        <v>335</v>
      </c>
      <c r="M7867" s="195"/>
      <c r="N7867" s="195"/>
      <c r="O7867" s="59">
        <v>0.5</v>
      </c>
    </row>
    <row r="7868" spans="1:16" x14ac:dyDescent="0.2">
      <c r="A7868" s="183">
        <v>1025</v>
      </c>
      <c r="B7868" s="249" t="str">
        <f>IF(AND(A7868&lt;&gt;"",ISNUMBER(A7868)),VLOOKUP(A7868,Studies!A:BR,2,FALSE),"")</f>
        <v>Yasui 1998</v>
      </c>
      <c r="C7868" s="250" t="str">
        <f>IF(AND(A7868&lt;&gt;"",ISNUMBER(A7868)),VLOOKUP(A7868,Studies!A:BR,3,FALSE),"")</f>
        <v>https://www.ncbi.nlm.nih.gov/pubmed/9784084</v>
      </c>
      <c r="D7868" s="250" t="str">
        <f>IF(AND(A7868&lt;&gt;"",ISNUMBER(A7868)),VLOOKUP(A7868,Studies!A:BR,4,FALSE),"")</f>
        <v>Alprazolam with placebo</v>
      </c>
      <c r="E7868" s="250" t="str">
        <f>IF(AND(A7868&lt;&gt;"",ISNUMBER(A7868)),VLOOKUP(A7868,Studies!A:BR,5,FALSE),"")</f>
        <v>Alprazolam</v>
      </c>
      <c r="F7868" s="251" t="str">
        <f>IF(AND(A7868&lt;&gt;"",ISNUMBER(A7868)),VLOOKUP(A7868,Studies!A:BR,6,FALSE),"")</f>
        <v>Plasma</v>
      </c>
      <c r="G7868" s="194">
        <v>3</v>
      </c>
      <c r="H7868" s="194" t="s">
        <v>60</v>
      </c>
      <c r="I7868" s="187">
        <v>11.044280000000001</v>
      </c>
      <c r="J7868" s="187" t="s">
        <v>941</v>
      </c>
      <c r="K7868" s="187" t="s">
        <v>335</v>
      </c>
      <c r="M7868" s="195"/>
      <c r="N7868" s="195"/>
      <c r="O7868" s="59">
        <v>0.5</v>
      </c>
    </row>
    <row r="7869" spans="1:16" x14ac:dyDescent="0.2">
      <c r="A7869" s="183">
        <v>1025</v>
      </c>
      <c r="B7869" s="249" t="str">
        <f>IF(AND(A7869&lt;&gt;"",ISNUMBER(A7869)),VLOOKUP(A7869,Studies!A:BR,2,FALSE),"")</f>
        <v>Yasui 1998</v>
      </c>
      <c r="C7869" s="250" t="str">
        <f>IF(AND(A7869&lt;&gt;"",ISNUMBER(A7869)),VLOOKUP(A7869,Studies!A:BR,3,FALSE),"")</f>
        <v>https://www.ncbi.nlm.nih.gov/pubmed/9784084</v>
      </c>
      <c r="D7869" s="250" t="str">
        <f>IF(AND(A7869&lt;&gt;"",ISNUMBER(A7869)),VLOOKUP(A7869,Studies!A:BR,4,FALSE),"")</f>
        <v>Alprazolam with placebo</v>
      </c>
      <c r="E7869" s="250" t="str">
        <f>IF(AND(A7869&lt;&gt;"",ISNUMBER(A7869)),VLOOKUP(A7869,Studies!A:BR,5,FALSE),"")</f>
        <v>Alprazolam</v>
      </c>
      <c r="F7869" s="251" t="str">
        <f>IF(AND(A7869&lt;&gt;"",ISNUMBER(A7869)),VLOOKUP(A7869,Studies!A:BR,6,FALSE),"")</f>
        <v>Plasma</v>
      </c>
      <c r="G7869" s="194">
        <v>4</v>
      </c>
      <c r="H7869" s="194" t="s">
        <v>60</v>
      </c>
      <c r="I7869" s="187">
        <v>10.370150000000001</v>
      </c>
      <c r="J7869" s="187" t="s">
        <v>941</v>
      </c>
      <c r="K7869" s="187" t="s">
        <v>335</v>
      </c>
      <c r="M7869" s="195"/>
      <c r="N7869" s="195"/>
      <c r="O7869" s="59">
        <v>0.5</v>
      </c>
    </row>
    <row r="7870" spans="1:16" x14ac:dyDescent="0.2">
      <c r="A7870" s="183">
        <v>1025</v>
      </c>
      <c r="B7870" s="249" t="str">
        <f>IF(AND(A7870&lt;&gt;"",ISNUMBER(A7870)),VLOOKUP(A7870,Studies!A:BR,2,FALSE),"")</f>
        <v>Yasui 1998</v>
      </c>
      <c r="C7870" s="250" t="str">
        <f>IF(AND(A7870&lt;&gt;"",ISNUMBER(A7870)),VLOOKUP(A7870,Studies!A:BR,3,FALSE),"")</f>
        <v>https://www.ncbi.nlm.nih.gov/pubmed/9784084</v>
      </c>
      <c r="D7870" s="250" t="str">
        <f>IF(AND(A7870&lt;&gt;"",ISNUMBER(A7870)),VLOOKUP(A7870,Studies!A:BR,4,FALSE),"")</f>
        <v>Alprazolam with placebo</v>
      </c>
      <c r="E7870" s="250" t="str">
        <f>IF(AND(A7870&lt;&gt;"",ISNUMBER(A7870)),VLOOKUP(A7870,Studies!A:BR,5,FALSE),"")</f>
        <v>Alprazolam</v>
      </c>
      <c r="F7870" s="251" t="str">
        <f>IF(AND(A7870&lt;&gt;"",ISNUMBER(A7870)),VLOOKUP(A7870,Studies!A:BR,6,FALSE),"")</f>
        <v>Plasma</v>
      </c>
      <c r="G7870" s="194">
        <v>6</v>
      </c>
      <c r="H7870" s="194" t="s">
        <v>60</v>
      </c>
      <c r="I7870" s="187">
        <v>8.5847650000000009</v>
      </c>
      <c r="J7870" s="187" t="s">
        <v>941</v>
      </c>
      <c r="K7870" s="187" t="s">
        <v>335</v>
      </c>
      <c r="M7870" s="195"/>
      <c r="N7870" s="195"/>
      <c r="O7870" s="59">
        <v>0.5</v>
      </c>
    </row>
    <row r="7871" spans="1:16" x14ac:dyDescent="0.2">
      <c r="A7871" s="183">
        <v>1025</v>
      </c>
      <c r="B7871" s="249" t="str">
        <f>IF(AND(A7871&lt;&gt;"",ISNUMBER(A7871)),VLOOKUP(A7871,Studies!A:BR,2,FALSE),"")</f>
        <v>Yasui 1998</v>
      </c>
      <c r="C7871" s="250" t="str">
        <f>IF(AND(A7871&lt;&gt;"",ISNUMBER(A7871)),VLOOKUP(A7871,Studies!A:BR,3,FALSE),"")</f>
        <v>https://www.ncbi.nlm.nih.gov/pubmed/9784084</v>
      </c>
      <c r="D7871" s="250" t="str">
        <f>IF(AND(A7871&lt;&gt;"",ISNUMBER(A7871)),VLOOKUP(A7871,Studies!A:BR,4,FALSE),"")</f>
        <v>Alprazolam with placebo</v>
      </c>
      <c r="E7871" s="250" t="str">
        <f>IF(AND(A7871&lt;&gt;"",ISNUMBER(A7871)),VLOOKUP(A7871,Studies!A:BR,5,FALSE),"")</f>
        <v>Alprazolam</v>
      </c>
      <c r="F7871" s="251" t="str">
        <f>IF(AND(A7871&lt;&gt;"",ISNUMBER(A7871)),VLOOKUP(A7871,Studies!A:BR,6,FALSE),"")</f>
        <v>Plasma</v>
      </c>
      <c r="G7871" s="194">
        <v>8</v>
      </c>
      <c r="H7871" s="194" t="s">
        <v>60</v>
      </c>
      <c r="I7871" s="187">
        <v>8.2071269999999998</v>
      </c>
      <c r="J7871" s="187" t="s">
        <v>941</v>
      </c>
      <c r="K7871" s="187" t="s">
        <v>335</v>
      </c>
      <c r="M7871" s="195"/>
      <c r="N7871" s="195"/>
      <c r="O7871" s="59">
        <v>0.5</v>
      </c>
    </row>
    <row r="7872" spans="1:16" x14ac:dyDescent="0.2">
      <c r="A7872" s="183">
        <v>1025</v>
      </c>
      <c r="B7872" s="249" t="str">
        <f>IF(AND(A7872&lt;&gt;"",ISNUMBER(A7872)),VLOOKUP(A7872,Studies!A:BR,2,FALSE),"")</f>
        <v>Yasui 1998</v>
      </c>
      <c r="C7872" s="250" t="str">
        <f>IF(AND(A7872&lt;&gt;"",ISNUMBER(A7872)),VLOOKUP(A7872,Studies!A:BR,3,FALSE),"")</f>
        <v>https://www.ncbi.nlm.nih.gov/pubmed/9784084</v>
      </c>
      <c r="D7872" s="250" t="str">
        <f>IF(AND(A7872&lt;&gt;"",ISNUMBER(A7872)),VLOOKUP(A7872,Studies!A:BR,4,FALSE),"")</f>
        <v>Alprazolam with placebo</v>
      </c>
      <c r="E7872" s="250" t="str">
        <f>IF(AND(A7872&lt;&gt;"",ISNUMBER(A7872)),VLOOKUP(A7872,Studies!A:BR,5,FALSE),"")</f>
        <v>Alprazolam</v>
      </c>
      <c r="F7872" s="251" t="str">
        <f>IF(AND(A7872&lt;&gt;"",ISNUMBER(A7872)),VLOOKUP(A7872,Studies!A:BR,6,FALSE),"")</f>
        <v>Plasma</v>
      </c>
      <c r="G7872" s="194">
        <v>10</v>
      </c>
      <c r="H7872" s="194" t="s">
        <v>60</v>
      </c>
      <c r="I7872" s="187">
        <v>7.1067609999999997</v>
      </c>
      <c r="J7872" s="187" t="s">
        <v>941</v>
      </c>
      <c r="K7872" s="187" t="s">
        <v>335</v>
      </c>
      <c r="M7872" s="195"/>
      <c r="N7872" s="195"/>
      <c r="O7872" s="59">
        <v>0.5</v>
      </c>
    </row>
    <row r="7873" spans="1:16" x14ac:dyDescent="0.2">
      <c r="A7873" s="183">
        <v>1025</v>
      </c>
      <c r="B7873" s="249" t="str">
        <f>IF(AND(A7873&lt;&gt;"",ISNUMBER(A7873)),VLOOKUP(A7873,Studies!A:BR,2,FALSE),"")</f>
        <v>Yasui 1998</v>
      </c>
      <c r="C7873" s="250" t="str">
        <f>IF(AND(A7873&lt;&gt;"",ISNUMBER(A7873)),VLOOKUP(A7873,Studies!A:BR,3,FALSE),"")</f>
        <v>https://www.ncbi.nlm.nih.gov/pubmed/9784084</v>
      </c>
      <c r="D7873" s="250" t="str">
        <f>IF(AND(A7873&lt;&gt;"",ISNUMBER(A7873)),VLOOKUP(A7873,Studies!A:BR,4,FALSE),"")</f>
        <v>Alprazolam with placebo</v>
      </c>
      <c r="E7873" s="250" t="str">
        <f>IF(AND(A7873&lt;&gt;"",ISNUMBER(A7873)),VLOOKUP(A7873,Studies!A:BR,5,FALSE),"")</f>
        <v>Alprazolam</v>
      </c>
      <c r="F7873" s="251" t="str">
        <f>IF(AND(A7873&lt;&gt;"",ISNUMBER(A7873)),VLOOKUP(A7873,Studies!A:BR,6,FALSE),"")</f>
        <v>Plasma</v>
      </c>
      <c r="G7873" s="194">
        <v>12</v>
      </c>
      <c r="H7873" s="194" t="s">
        <v>60</v>
      </c>
      <c r="I7873" s="187">
        <v>6.0988059999999997</v>
      </c>
      <c r="J7873" s="187" t="s">
        <v>941</v>
      </c>
      <c r="K7873" s="187" t="s">
        <v>335</v>
      </c>
      <c r="M7873" s="195"/>
      <c r="N7873" s="195"/>
      <c r="O7873" s="59">
        <v>0.5</v>
      </c>
    </row>
    <row r="7874" spans="1:16" x14ac:dyDescent="0.2">
      <c r="A7874" s="183">
        <v>1025</v>
      </c>
      <c r="B7874" s="249" t="str">
        <f>IF(AND(A7874&lt;&gt;"",ISNUMBER(A7874)),VLOOKUP(A7874,Studies!A:BR,2,FALSE),"")</f>
        <v>Yasui 1998</v>
      </c>
      <c r="C7874" s="250" t="str">
        <f>IF(AND(A7874&lt;&gt;"",ISNUMBER(A7874)),VLOOKUP(A7874,Studies!A:BR,3,FALSE),"")</f>
        <v>https://www.ncbi.nlm.nih.gov/pubmed/9784084</v>
      </c>
      <c r="D7874" s="250" t="str">
        <f>IF(AND(A7874&lt;&gt;"",ISNUMBER(A7874)),VLOOKUP(A7874,Studies!A:BR,4,FALSE),"")</f>
        <v>Alprazolam with placebo</v>
      </c>
      <c r="E7874" s="250" t="str">
        <f>IF(AND(A7874&lt;&gt;"",ISNUMBER(A7874)),VLOOKUP(A7874,Studies!A:BR,5,FALSE),"")</f>
        <v>Alprazolam</v>
      </c>
      <c r="F7874" s="251" t="str">
        <f>IF(AND(A7874&lt;&gt;"",ISNUMBER(A7874)),VLOOKUP(A7874,Studies!A:BR,6,FALSE),"")</f>
        <v>Plasma</v>
      </c>
      <c r="G7874" s="194">
        <v>24</v>
      </c>
      <c r="H7874" s="194" t="s">
        <v>60</v>
      </c>
      <c r="I7874" s="187">
        <v>4.1050310000000003</v>
      </c>
      <c r="J7874" s="187" t="s">
        <v>941</v>
      </c>
      <c r="K7874" s="187" t="s">
        <v>335</v>
      </c>
      <c r="M7874" s="195"/>
      <c r="N7874" s="195"/>
      <c r="O7874" s="59">
        <v>0.5</v>
      </c>
    </row>
    <row r="7875" spans="1:16" x14ac:dyDescent="0.2">
      <c r="A7875" s="183">
        <v>1025</v>
      </c>
      <c r="B7875" s="249" t="str">
        <f>IF(AND(A7875&lt;&gt;"",ISNUMBER(A7875)),VLOOKUP(A7875,Studies!A:BR,2,FALSE),"")</f>
        <v>Yasui 1998</v>
      </c>
      <c r="C7875" s="250" t="str">
        <f>IF(AND(A7875&lt;&gt;"",ISNUMBER(A7875)),VLOOKUP(A7875,Studies!A:BR,3,FALSE),"")</f>
        <v>https://www.ncbi.nlm.nih.gov/pubmed/9784084</v>
      </c>
      <c r="D7875" s="250" t="str">
        <f>IF(AND(A7875&lt;&gt;"",ISNUMBER(A7875)),VLOOKUP(A7875,Studies!A:BR,4,FALSE),"")</f>
        <v>Alprazolam with placebo</v>
      </c>
      <c r="E7875" s="250" t="str">
        <f>IF(AND(A7875&lt;&gt;"",ISNUMBER(A7875)),VLOOKUP(A7875,Studies!A:BR,5,FALSE),"")</f>
        <v>Alprazolam</v>
      </c>
      <c r="F7875" s="251" t="str">
        <f>IF(AND(A7875&lt;&gt;"",ISNUMBER(A7875)),VLOOKUP(A7875,Studies!A:BR,6,FALSE),"")</f>
        <v>Plasma</v>
      </c>
      <c r="G7875" s="194">
        <v>36</v>
      </c>
      <c r="H7875" s="194" t="s">
        <v>60</v>
      </c>
      <c r="I7875" s="187">
        <v>2.3080159999999998</v>
      </c>
      <c r="J7875" s="187" t="s">
        <v>941</v>
      </c>
      <c r="K7875" s="187" t="s">
        <v>335</v>
      </c>
      <c r="M7875" s="195"/>
      <c r="N7875" s="195"/>
      <c r="O7875" s="59">
        <v>0.5</v>
      </c>
    </row>
    <row r="7876" spans="1:16" x14ac:dyDescent="0.2">
      <c r="A7876" s="183">
        <v>1025</v>
      </c>
      <c r="B7876" s="249" t="str">
        <f>IF(AND(A7876&lt;&gt;"",ISNUMBER(A7876)),VLOOKUP(A7876,Studies!A:BR,2,FALSE),"")</f>
        <v>Yasui 1998</v>
      </c>
      <c r="C7876" s="250" t="str">
        <f>IF(AND(A7876&lt;&gt;"",ISNUMBER(A7876)),VLOOKUP(A7876,Studies!A:BR,3,FALSE),"")</f>
        <v>https://www.ncbi.nlm.nih.gov/pubmed/9784084</v>
      </c>
      <c r="D7876" s="250" t="str">
        <f>IF(AND(A7876&lt;&gt;"",ISNUMBER(A7876)),VLOOKUP(A7876,Studies!A:BR,4,FALSE),"")</f>
        <v>Alprazolam with placebo</v>
      </c>
      <c r="E7876" s="250" t="str">
        <f>IF(AND(A7876&lt;&gt;"",ISNUMBER(A7876)),VLOOKUP(A7876,Studies!A:BR,5,FALSE),"")</f>
        <v>Alprazolam</v>
      </c>
      <c r="F7876" s="251" t="str">
        <f>IF(AND(A7876&lt;&gt;"",ISNUMBER(A7876)),VLOOKUP(A7876,Studies!A:BR,6,FALSE),"")</f>
        <v>Plasma</v>
      </c>
      <c r="G7876" s="194">
        <v>48</v>
      </c>
      <c r="H7876" s="194" t="s">
        <v>60</v>
      </c>
      <c r="I7876" s="187">
        <v>1.3093889999999999</v>
      </c>
      <c r="J7876" s="187" t="s">
        <v>941</v>
      </c>
      <c r="K7876" s="187" t="s">
        <v>335</v>
      </c>
      <c r="M7876" s="195"/>
      <c r="N7876" s="195"/>
      <c r="O7876" s="59">
        <v>0.5</v>
      </c>
    </row>
    <row r="7877" spans="1:16" x14ac:dyDescent="0.2">
      <c r="A7877" s="183">
        <v>1026</v>
      </c>
      <c r="B7877" s="249" t="str">
        <f>IF(AND(A7877&lt;&gt;"",ISNUMBER(A7877)),VLOOKUP(A7877,Studies!A:BR,2,FALSE),"")</f>
        <v>Yasui 1998</v>
      </c>
      <c r="C7877" s="250" t="str">
        <f>IF(AND(A7877&lt;&gt;"",ISNUMBER(A7877)),VLOOKUP(A7877,Studies!A:BR,3,FALSE),"")</f>
        <v>https://www.ncbi.nlm.nih.gov/pubmed/9784084</v>
      </c>
      <c r="D7877" s="250" t="str">
        <f>IF(AND(A7877&lt;&gt;"",ISNUMBER(A7877)),VLOOKUP(A7877,Studies!A:BR,4,FALSE),"")</f>
        <v>Alprazolam with itraconazole</v>
      </c>
      <c r="E7877" s="250" t="str">
        <f>IF(AND(A7877&lt;&gt;"",ISNUMBER(A7877)),VLOOKUP(A7877,Studies!A:BR,5,FALSE),"")</f>
        <v>Alprazolam</v>
      </c>
      <c r="F7877" s="251" t="str">
        <f>IF(AND(A7877&lt;&gt;"",ISNUMBER(A7877)),VLOOKUP(A7877,Studies!A:BR,6,FALSE),"")</f>
        <v>Plasma</v>
      </c>
      <c r="G7877" s="194">
        <v>73.5</v>
      </c>
      <c r="H7877" s="194" t="s">
        <v>60</v>
      </c>
      <c r="I7877" s="187">
        <v>11.346450000000001</v>
      </c>
      <c r="J7877" s="187" t="s">
        <v>941</v>
      </c>
      <c r="K7877" s="187" t="s">
        <v>335</v>
      </c>
      <c r="M7877" s="195"/>
      <c r="N7877" s="195"/>
      <c r="O7877" s="59">
        <v>0.5</v>
      </c>
      <c r="P7877" s="42" t="s">
        <v>2623</v>
      </c>
    </row>
    <row r="7878" spans="1:16" x14ac:dyDescent="0.2">
      <c r="A7878" s="183">
        <v>1026</v>
      </c>
      <c r="B7878" s="249" t="str">
        <f>IF(AND(A7878&lt;&gt;"",ISNUMBER(A7878)),VLOOKUP(A7878,Studies!A:BR,2,FALSE),"")</f>
        <v>Yasui 1998</v>
      </c>
      <c r="C7878" s="250" t="str">
        <f>IF(AND(A7878&lt;&gt;"",ISNUMBER(A7878)),VLOOKUP(A7878,Studies!A:BR,3,FALSE),"")</f>
        <v>https://www.ncbi.nlm.nih.gov/pubmed/9784084</v>
      </c>
      <c r="D7878" s="250" t="str">
        <f>IF(AND(A7878&lt;&gt;"",ISNUMBER(A7878)),VLOOKUP(A7878,Studies!A:BR,4,FALSE),"")</f>
        <v>Alprazolam with itraconazole</v>
      </c>
      <c r="E7878" s="250" t="str">
        <f>IF(AND(A7878&lt;&gt;"",ISNUMBER(A7878)),VLOOKUP(A7878,Studies!A:BR,5,FALSE),"")</f>
        <v>Alprazolam</v>
      </c>
      <c r="F7878" s="251" t="str">
        <f>IF(AND(A7878&lt;&gt;"",ISNUMBER(A7878)),VLOOKUP(A7878,Studies!A:BR,6,FALSE),"")</f>
        <v>Plasma</v>
      </c>
      <c r="G7878" s="194">
        <v>74</v>
      </c>
      <c r="H7878" s="194" t="s">
        <v>60</v>
      </c>
      <c r="I7878" s="187">
        <v>12.30345</v>
      </c>
      <c r="J7878" s="187" t="s">
        <v>941</v>
      </c>
      <c r="K7878" s="187" t="s">
        <v>335</v>
      </c>
      <c r="M7878" s="195"/>
      <c r="N7878" s="195"/>
      <c r="O7878" s="59">
        <v>0.5</v>
      </c>
    </row>
    <row r="7879" spans="1:16" x14ac:dyDescent="0.2">
      <c r="A7879" s="183">
        <v>1026</v>
      </c>
      <c r="B7879" s="249" t="str">
        <f>IF(AND(A7879&lt;&gt;"",ISNUMBER(A7879)),VLOOKUP(A7879,Studies!A:BR,2,FALSE),"")</f>
        <v>Yasui 1998</v>
      </c>
      <c r="C7879" s="250" t="str">
        <f>IF(AND(A7879&lt;&gt;"",ISNUMBER(A7879)),VLOOKUP(A7879,Studies!A:BR,3,FALSE),"")</f>
        <v>https://www.ncbi.nlm.nih.gov/pubmed/9784084</v>
      </c>
      <c r="D7879" s="250" t="str">
        <f>IF(AND(A7879&lt;&gt;"",ISNUMBER(A7879)),VLOOKUP(A7879,Studies!A:BR,4,FALSE),"")</f>
        <v>Alprazolam with itraconazole</v>
      </c>
      <c r="E7879" s="250" t="str">
        <f>IF(AND(A7879&lt;&gt;"",ISNUMBER(A7879)),VLOOKUP(A7879,Studies!A:BR,5,FALSE),"")</f>
        <v>Alprazolam</v>
      </c>
      <c r="F7879" s="251" t="str">
        <f>IF(AND(A7879&lt;&gt;"",ISNUMBER(A7879)),VLOOKUP(A7879,Studies!A:BR,6,FALSE),"")</f>
        <v>Plasma</v>
      </c>
      <c r="G7879" s="194">
        <v>75</v>
      </c>
      <c r="H7879" s="194" t="s">
        <v>60</v>
      </c>
      <c r="I7879" s="187">
        <v>12.75431</v>
      </c>
      <c r="J7879" s="187" t="s">
        <v>941</v>
      </c>
      <c r="K7879" s="187" t="s">
        <v>335</v>
      </c>
      <c r="M7879" s="195"/>
      <c r="N7879" s="195"/>
      <c r="O7879" s="59">
        <v>0.5</v>
      </c>
    </row>
    <row r="7880" spans="1:16" x14ac:dyDescent="0.2">
      <c r="A7880" s="183">
        <v>1026</v>
      </c>
      <c r="B7880" s="249" t="str">
        <f>IF(AND(A7880&lt;&gt;"",ISNUMBER(A7880)),VLOOKUP(A7880,Studies!A:BR,2,FALSE),"")</f>
        <v>Yasui 1998</v>
      </c>
      <c r="C7880" s="250" t="str">
        <f>IF(AND(A7880&lt;&gt;"",ISNUMBER(A7880)),VLOOKUP(A7880,Studies!A:BR,3,FALSE),"")</f>
        <v>https://www.ncbi.nlm.nih.gov/pubmed/9784084</v>
      </c>
      <c r="D7880" s="250" t="str">
        <f>IF(AND(A7880&lt;&gt;"",ISNUMBER(A7880)),VLOOKUP(A7880,Studies!A:BR,4,FALSE),"")</f>
        <v>Alprazolam with itraconazole</v>
      </c>
      <c r="E7880" s="250" t="str">
        <f>IF(AND(A7880&lt;&gt;"",ISNUMBER(A7880)),VLOOKUP(A7880,Studies!A:BR,5,FALSE),"")</f>
        <v>Alprazolam</v>
      </c>
      <c r="F7880" s="251" t="str">
        <f>IF(AND(A7880&lt;&gt;"",ISNUMBER(A7880)),VLOOKUP(A7880,Studies!A:BR,6,FALSE),"")</f>
        <v>Plasma</v>
      </c>
      <c r="G7880" s="194">
        <v>76</v>
      </c>
      <c r="H7880" s="194" t="s">
        <v>60</v>
      </c>
      <c r="I7880" s="187">
        <v>13.58342</v>
      </c>
      <c r="J7880" s="187" t="s">
        <v>941</v>
      </c>
      <c r="K7880" s="187" t="s">
        <v>335</v>
      </c>
      <c r="O7880" s="59">
        <v>0.5</v>
      </c>
    </row>
    <row r="7881" spans="1:16" x14ac:dyDescent="0.2">
      <c r="A7881" s="183">
        <v>1026</v>
      </c>
      <c r="B7881" s="249" t="str">
        <f>IF(AND(A7881&lt;&gt;"",ISNUMBER(A7881)),VLOOKUP(A7881,Studies!A:BR,2,FALSE),"")</f>
        <v>Yasui 1998</v>
      </c>
      <c r="C7881" s="250" t="str">
        <f>IF(AND(A7881&lt;&gt;"",ISNUMBER(A7881)),VLOOKUP(A7881,Studies!A:BR,3,FALSE),"")</f>
        <v>https://www.ncbi.nlm.nih.gov/pubmed/9784084</v>
      </c>
      <c r="D7881" s="250" t="str">
        <f>IF(AND(A7881&lt;&gt;"",ISNUMBER(A7881)),VLOOKUP(A7881,Studies!A:BR,4,FALSE),"")</f>
        <v>Alprazolam with itraconazole</v>
      </c>
      <c r="E7881" s="250" t="str">
        <f>IF(AND(A7881&lt;&gt;"",ISNUMBER(A7881)),VLOOKUP(A7881,Studies!A:BR,5,FALSE),"")</f>
        <v>Alprazolam</v>
      </c>
      <c r="F7881" s="251" t="str">
        <f>IF(AND(A7881&lt;&gt;"",ISNUMBER(A7881)),VLOOKUP(A7881,Studies!A:BR,6,FALSE),"")</f>
        <v>Plasma</v>
      </c>
      <c r="G7881" s="194">
        <v>77</v>
      </c>
      <c r="H7881" s="194" t="s">
        <v>60</v>
      </c>
      <c r="I7881" s="187">
        <v>10.945360000000001</v>
      </c>
      <c r="J7881" s="187" t="s">
        <v>941</v>
      </c>
      <c r="K7881" s="187" t="s">
        <v>335</v>
      </c>
      <c r="O7881" s="59">
        <v>0.5</v>
      </c>
    </row>
    <row r="7882" spans="1:16" x14ac:dyDescent="0.2">
      <c r="A7882" s="183">
        <v>1026</v>
      </c>
      <c r="B7882" s="249" t="str">
        <f>IF(AND(A7882&lt;&gt;"",ISNUMBER(A7882)),VLOOKUP(A7882,Studies!A:BR,2,FALSE),"")</f>
        <v>Yasui 1998</v>
      </c>
      <c r="C7882" s="250" t="str">
        <f>IF(AND(A7882&lt;&gt;"",ISNUMBER(A7882)),VLOOKUP(A7882,Studies!A:BR,3,FALSE),"")</f>
        <v>https://www.ncbi.nlm.nih.gov/pubmed/9784084</v>
      </c>
      <c r="D7882" s="250" t="str">
        <f>IF(AND(A7882&lt;&gt;"",ISNUMBER(A7882)),VLOOKUP(A7882,Studies!A:BR,4,FALSE),"")</f>
        <v>Alprazolam with itraconazole</v>
      </c>
      <c r="E7882" s="250" t="str">
        <f>IF(AND(A7882&lt;&gt;"",ISNUMBER(A7882)),VLOOKUP(A7882,Studies!A:BR,5,FALSE),"")</f>
        <v>Alprazolam</v>
      </c>
      <c r="F7882" s="251" t="str">
        <f>IF(AND(A7882&lt;&gt;"",ISNUMBER(A7882)),VLOOKUP(A7882,Studies!A:BR,6,FALSE),"")</f>
        <v>Plasma</v>
      </c>
      <c r="G7882" s="194">
        <v>79</v>
      </c>
      <c r="H7882" s="194" t="s">
        <v>60</v>
      </c>
      <c r="I7882" s="187">
        <v>11.346450000000001</v>
      </c>
      <c r="J7882" s="187" t="s">
        <v>941</v>
      </c>
      <c r="K7882" s="187" t="s">
        <v>335</v>
      </c>
      <c r="O7882" s="59">
        <v>0.5</v>
      </c>
    </row>
    <row r="7883" spans="1:16" x14ac:dyDescent="0.2">
      <c r="A7883" s="183">
        <v>1026</v>
      </c>
      <c r="B7883" s="249" t="str">
        <f>IF(AND(A7883&lt;&gt;"",ISNUMBER(A7883)),VLOOKUP(A7883,Studies!A:BR,2,FALSE),"")</f>
        <v>Yasui 1998</v>
      </c>
      <c r="C7883" s="250" t="str">
        <f>IF(AND(A7883&lt;&gt;"",ISNUMBER(A7883)),VLOOKUP(A7883,Studies!A:BR,3,FALSE),"")</f>
        <v>https://www.ncbi.nlm.nih.gov/pubmed/9784084</v>
      </c>
      <c r="D7883" s="250" t="str">
        <f>IF(AND(A7883&lt;&gt;"",ISNUMBER(A7883)),VLOOKUP(A7883,Studies!A:BR,4,FALSE),"")</f>
        <v>Alprazolam with itraconazole</v>
      </c>
      <c r="E7883" s="250" t="str">
        <f>IF(AND(A7883&lt;&gt;"",ISNUMBER(A7883)),VLOOKUP(A7883,Studies!A:BR,5,FALSE),"")</f>
        <v>Alprazolam</v>
      </c>
      <c r="F7883" s="251" t="str">
        <f>IF(AND(A7883&lt;&gt;"",ISNUMBER(A7883)),VLOOKUP(A7883,Studies!A:BR,6,FALSE),"")</f>
        <v>Plasma</v>
      </c>
      <c r="G7883" s="194">
        <v>81</v>
      </c>
      <c r="H7883" s="194" t="s">
        <v>60</v>
      </c>
      <c r="I7883" s="187">
        <v>11.346450000000001</v>
      </c>
      <c r="J7883" s="187" t="s">
        <v>941</v>
      </c>
      <c r="K7883" s="187" t="s">
        <v>335</v>
      </c>
      <c r="M7883" s="195"/>
      <c r="N7883" s="195"/>
      <c r="O7883" s="59">
        <v>0.5</v>
      </c>
    </row>
    <row r="7884" spans="1:16" x14ac:dyDescent="0.2">
      <c r="A7884" s="183">
        <v>1026</v>
      </c>
      <c r="B7884" s="249" t="str">
        <f>IF(AND(A7884&lt;&gt;"",ISNUMBER(A7884)),VLOOKUP(A7884,Studies!A:BR,2,FALSE),"")</f>
        <v>Yasui 1998</v>
      </c>
      <c r="C7884" s="250" t="str">
        <f>IF(AND(A7884&lt;&gt;"",ISNUMBER(A7884)),VLOOKUP(A7884,Studies!A:BR,3,FALSE),"")</f>
        <v>https://www.ncbi.nlm.nih.gov/pubmed/9784084</v>
      </c>
      <c r="D7884" s="250" t="str">
        <f>IF(AND(A7884&lt;&gt;"",ISNUMBER(A7884)),VLOOKUP(A7884,Studies!A:BR,4,FALSE),"")</f>
        <v>Alprazolam with itraconazole</v>
      </c>
      <c r="E7884" s="250" t="str">
        <f>IF(AND(A7884&lt;&gt;"",ISNUMBER(A7884)),VLOOKUP(A7884,Studies!A:BR,5,FALSE),"")</f>
        <v>Alprazolam</v>
      </c>
      <c r="F7884" s="251" t="str">
        <f>IF(AND(A7884&lt;&gt;"",ISNUMBER(A7884)),VLOOKUP(A7884,Studies!A:BR,6,FALSE),"")</f>
        <v>Plasma</v>
      </c>
      <c r="G7884" s="194">
        <v>83</v>
      </c>
      <c r="H7884" s="194" t="s">
        <v>60</v>
      </c>
      <c r="I7884" s="187">
        <v>10.65387</v>
      </c>
      <c r="J7884" s="187" t="s">
        <v>941</v>
      </c>
      <c r="K7884" s="187" t="s">
        <v>335</v>
      </c>
      <c r="M7884" s="195"/>
      <c r="N7884" s="195"/>
      <c r="O7884" s="59">
        <v>0.5</v>
      </c>
    </row>
    <row r="7885" spans="1:16" x14ac:dyDescent="0.2">
      <c r="A7885" s="183">
        <v>1026</v>
      </c>
      <c r="B7885" s="249" t="str">
        <f>IF(AND(A7885&lt;&gt;"",ISNUMBER(A7885)),VLOOKUP(A7885,Studies!A:BR,2,FALSE),"")</f>
        <v>Yasui 1998</v>
      </c>
      <c r="C7885" s="250" t="str">
        <f>IF(AND(A7885&lt;&gt;"",ISNUMBER(A7885)),VLOOKUP(A7885,Studies!A:BR,3,FALSE),"")</f>
        <v>https://www.ncbi.nlm.nih.gov/pubmed/9784084</v>
      </c>
      <c r="D7885" s="250" t="str">
        <f>IF(AND(A7885&lt;&gt;"",ISNUMBER(A7885)),VLOOKUP(A7885,Studies!A:BR,4,FALSE),"")</f>
        <v>Alprazolam with itraconazole</v>
      </c>
      <c r="E7885" s="250" t="str">
        <f>IF(AND(A7885&lt;&gt;"",ISNUMBER(A7885)),VLOOKUP(A7885,Studies!A:BR,5,FALSE),"")</f>
        <v>Alprazolam</v>
      </c>
      <c r="F7885" s="251" t="str">
        <f>IF(AND(A7885&lt;&gt;"",ISNUMBER(A7885)),VLOOKUP(A7885,Studies!A:BR,6,FALSE),"")</f>
        <v>Plasma</v>
      </c>
      <c r="G7885" s="194">
        <v>85</v>
      </c>
      <c r="H7885" s="194" t="s">
        <v>60</v>
      </c>
      <c r="I7885" s="187">
        <v>9.0609389999999994</v>
      </c>
      <c r="J7885" s="187" t="s">
        <v>941</v>
      </c>
      <c r="K7885" s="187" t="s">
        <v>335</v>
      </c>
      <c r="M7885" s="195"/>
      <c r="N7885" s="195"/>
      <c r="O7885" s="59">
        <v>0.5</v>
      </c>
    </row>
    <row r="7886" spans="1:16" x14ac:dyDescent="0.2">
      <c r="A7886" s="183">
        <v>1026</v>
      </c>
      <c r="B7886" s="249" t="str">
        <f>IF(AND(A7886&lt;&gt;"",ISNUMBER(A7886)),VLOOKUP(A7886,Studies!A:BR,2,FALSE),"")</f>
        <v>Yasui 1998</v>
      </c>
      <c r="C7886" s="250" t="str">
        <f>IF(AND(A7886&lt;&gt;"",ISNUMBER(A7886)),VLOOKUP(A7886,Studies!A:BR,3,FALSE),"")</f>
        <v>https://www.ncbi.nlm.nih.gov/pubmed/9784084</v>
      </c>
      <c r="D7886" s="250" t="str">
        <f>IF(AND(A7886&lt;&gt;"",ISNUMBER(A7886)),VLOOKUP(A7886,Studies!A:BR,4,FALSE),"")</f>
        <v>Alprazolam with itraconazole</v>
      </c>
      <c r="E7886" s="250" t="str">
        <f>IF(AND(A7886&lt;&gt;"",ISNUMBER(A7886)),VLOOKUP(A7886,Studies!A:BR,5,FALSE),"")</f>
        <v>Alprazolam</v>
      </c>
      <c r="F7886" s="251" t="str">
        <f>IF(AND(A7886&lt;&gt;"",ISNUMBER(A7886)),VLOOKUP(A7886,Studies!A:BR,6,FALSE),"")</f>
        <v>Plasma</v>
      </c>
      <c r="G7886" s="194">
        <v>97</v>
      </c>
      <c r="H7886" s="194" t="s">
        <v>60</v>
      </c>
      <c r="I7886" s="187">
        <v>7.9885640000000002</v>
      </c>
      <c r="J7886" s="187" t="s">
        <v>941</v>
      </c>
      <c r="K7886" s="187" t="s">
        <v>335</v>
      </c>
      <c r="M7886" s="195"/>
      <c r="N7886" s="195"/>
      <c r="O7886" s="59">
        <v>0.5</v>
      </c>
    </row>
    <row r="7887" spans="1:16" x14ac:dyDescent="0.2">
      <c r="A7887" s="183">
        <v>1026</v>
      </c>
      <c r="B7887" s="249" t="str">
        <f>IF(AND(A7887&lt;&gt;"",ISNUMBER(A7887)),VLOOKUP(A7887,Studies!A:BR,2,FALSE),"")</f>
        <v>Yasui 1998</v>
      </c>
      <c r="C7887" s="250" t="str">
        <f>IF(AND(A7887&lt;&gt;"",ISNUMBER(A7887)),VLOOKUP(A7887,Studies!A:BR,3,FALSE),"")</f>
        <v>https://www.ncbi.nlm.nih.gov/pubmed/9784084</v>
      </c>
      <c r="D7887" s="250" t="str">
        <f>IF(AND(A7887&lt;&gt;"",ISNUMBER(A7887)),VLOOKUP(A7887,Studies!A:BR,4,FALSE),"")</f>
        <v>Alprazolam with itraconazole</v>
      </c>
      <c r="E7887" s="250" t="str">
        <f>IF(AND(A7887&lt;&gt;"",ISNUMBER(A7887)),VLOOKUP(A7887,Studies!A:BR,5,FALSE),"")</f>
        <v>Alprazolam</v>
      </c>
      <c r="F7887" s="251" t="str">
        <f>IF(AND(A7887&lt;&gt;"",ISNUMBER(A7887)),VLOOKUP(A7887,Studies!A:BR,6,FALSE),"")</f>
        <v>Plasma</v>
      </c>
      <c r="G7887" s="194">
        <v>109</v>
      </c>
      <c r="H7887" s="194" t="s">
        <v>60</v>
      </c>
      <c r="I7887" s="187">
        <v>5.8832180000000003</v>
      </c>
      <c r="J7887" s="187" t="s">
        <v>941</v>
      </c>
      <c r="K7887" s="187" t="s">
        <v>335</v>
      </c>
      <c r="M7887" s="195"/>
      <c r="N7887" s="195"/>
      <c r="O7887" s="59">
        <v>0.5</v>
      </c>
    </row>
    <row r="7888" spans="1:16" x14ac:dyDescent="0.2">
      <c r="A7888" s="183">
        <v>1026</v>
      </c>
      <c r="B7888" s="249" t="str">
        <f>IF(AND(A7888&lt;&gt;"",ISNUMBER(A7888)),VLOOKUP(A7888,Studies!A:BR,2,FALSE),"")</f>
        <v>Yasui 1998</v>
      </c>
      <c r="C7888" s="250" t="str">
        <f>IF(AND(A7888&lt;&gt;"",ISNUMBER(A7888)),VLOOKUP(A7888,Studies!A:BR,3,FALSE),"")</f>
        <v>https://www.ncbi.nlm.nih.gov/pubmed/9784084</v>
      </c>
      <c r="D7888" s="250" t="str">
        <f>IF(AND(A7888&lt;&gt;"",ISNUMBER(A7888)),VLOOKUP(A7888,Studies!A:BR,4,FALSE),"")</f>
        <v>Alprazolam with itraconazole</v>
      </c>
      <c r="E7888" s="250" t="str">
        <f>IF(AND(A7888&lt;&gt;"",ISNUMBER(A7888)),VLOOKUP(A7888,Studies!A:BR,5,FALSE),"")</f>
        <v>Alprazolam</v>
      </c>
      <c r="F7888" s="251" t="str">
        <f>IF(AND(A7888&lt;&gt;"",ISNUMBER(A7888)),VLOOKUP(A7888,Studies!A:BR,6,FALSE),"")</f>
        <v>Plasma</v>
      </c>
      <c r="G7888" s="194">
        <v>121</v>
      </c>
      <c r="H7888" s="194" t="s">
        <v>60</v>
      </c>
      <c r="I7888" s="187">
        <v>4.7834729999999999</v>
      </c>
      <c r="J7888" s="187" t="s">
        <v>941</v>
      </c>
      <c r="K7888" s="187" t="s">
        <v>335</v>
      </c>
      <c r="M7888" s="195"/>
      <c r="N7888" s="195"/>
      <c r="O7888" s="59">
        <v>0.5</v>
      </c>
    </row>
    <row r="7889" spans="1:15" x14ac:dyDescent="0.2">
      <c r="A7889" s="183">
        <v>1027</v>
      </c>
      <c r="B7889" s="249" t="str">
        <f>IF(AND(A7889&lt;&gt;"",ISNUMBER(A7889)),VLOOKUP(A7889,Studies!A:BR,2,FALSE),"")</f>
        <v>Varhe 1994</v>
      </c>
      <c r="C7889" s="250" t="str">
        <f>IF(AND(A7889&lt;&gt;"",ISNUMBER(A7889)),VLOOKUP(A7889,Studies!A:BR,3,FALSE),"")</f>
        <v>https://www.ncbi.nlm.nih.gov/pubmed/7995001</v>
      </c>
      <c r="D7889" s="250" t="str">
        <f>IF(AND(A7889&lt;&gt;"",ISNUMBER(A7889)),VLOOKUP(A7889,Studies!A:BR,4,FALSE),"")</f>
        <v>Triazolam with placebo</v>
      </c>
      <c r="E7889" s="250" t="str">
        <f>IF(AND(A7889&lt;&gt;"",ISNUMBER(A7889)),VLOOKUP(A7889,Studies!A:BR,5,FALSE),"")</f>
        <v>Triazolam</v>
      </c>
      <c r="F7889" s="251" t="str">
        <f>IF(AND(A7889&lt;&gt;"",ISNUMBER(A7889)),VLOOKUP(A7889,Studies!A:BR,6,FALSE),"")</f>
        <v>Plasma</v>
      </c>
      <c r="G7889" s="194">
        <v>0.33</v>
      </c>
      <c r="H7889" s="194" t="s">
        <v>60</v>
      </c>
      <c r="I7889" s="187">
        <v>0.1382639</v>
      </c>
      <c r="J7889" s="187" t="s">
        <v>941</v>
      </c>
      <c r="K7889" s="187" t="s">
        <v>335</v>
      </c>
      <c r="M7889" s="195"/>
      <c r="N7889" s="195"/>
      <c r="O7889" s="59">
        <v>0.2</v>
      </c>
    </row>
    <row r="7890" spans="1:15" x14ac:dyDescent="0.2">
      <c r="A7890" s="183">
        <v>1027</v>
      </c>
      <c r="B7890" s="249" t="str">
        <f>IF(AND(A7890&lt;&gt;"",ISNUMBER(A7890)),VLOOKUP(A7890,Studies!A:BR,2,FALSE),"")</f>
        <v>Varhe 1994</v>
      </c>
      <c r="C7890" s="250" t="str">
        <f>IF(AND(A7890&lt;&gt;"",ISNUMBER(A7890)),VLOOKUP(A7890,Studies!A:BR,3,FALSE),"")</f>
        <v>https://www.ncbi.nlm.nih.gov/pubmed/7995001</v>
      </c>
      <c r="D7890" s="250" t="str">
        <f>IF(AND(A7890&lt;&gt;"",ISNUMBER(A7890)),VLOOKUP(A7890,Studies!A:BR,4,FALSE),"")</f>
        <v>Triazolam with placebo</v>
      </c>
      <c r="E7890" s="250" t="str">
        <f>IF(AND(A7890&lt;&gt;"",ISNUMBER(A7890)),VLOOKUP(A7890,Studies!A:BR,5,FALSE),"")</f>
        <v>Triazolam</v>
      </c>
      <c r="F7890" s="251" t="str">
        <f>IF(AND(A7890&lt;&gt;"",ISNUMBER(A7890)),VLOOKUP(A7890,Studies!A:BR,6,FALSE),"")</f>
        <v>Plasma</v>
      </c>
      <c r="G7890" s="194">
        <v>0.67</v>
      </c>
      <c r="H7890" s="194" t="s">
        <v>60</v>
      </c>
      <c r="I7890" s="187">
        <v>0.78594249999999999</v>
      </c>
      <c r="J7890" s="187" t="s">
        <v>941</v>
      </c>
      <c r="K7890" s="187" t="s">
        <v>335</v>
      </c>
      <c r="L7890" s="195">
        <v>0.23642199999999999</v>
      </c>
      <c r="M7890" s="195" t="s">
        <v>941</v>
      </c>
      <c r="N7890" s="195" t="s">
        <v>949</v>
      </c>
      <c r="O7890" s="59">
        <v>0.2</v>
      </c>
    </row>
    <row r="7891" spans="1:15" x14ac:dyDescent="0.2">
      <c r="A7891" s="183">
        <v>1027</v>
      </c>
      <c r="B7891" s="249" t="str">
        <f>IF(AND(A7891&lt;&gt;"",ISNUMBER(A7891)),VLOOKUP(A7891,Studies!A:BR,2,FALSE),"")</f>
        <v>Varhe 1994</v>
      </c>
      <c r="C7891" s="250" t="str">
        <f>IF(AND(A7891&lt;&gt;"",ISNUMBER(A7891)),VLOOKUP(A7891,Studies!A:BR,3,FALSE),"")</f>
        <v>https://www.ncbi.nlm.nih.gov/pubmed/7995001</v>
      </c>
      <c r="D7891" s="250" t="str">
        <f>IF(AND(A7891&lt;&gt;"",ISNUMBER(A7891)),VLOOKUP(A7891,Studies!A:BR,4,FALSE),"")</f>
        <v>Triazolam with placebo</v>
      </c>
      <c r="E7891" s="250" t="str">
        <f>IF(AND(A7891&lt;&gt;"",ISNUMBER(A7891)),VLOOKUP(A7891,Studies!A:BR,5,FALSE),"")</f>
        <v>Triazolam</v>
      </c>
      <c r="F7891" s="251" t="str">
        <f>IF(AND(A7891&lt;&gt;"",ISNUMBER(A7891)),VLOOKUP(A7891,Studies!A:BR,6,FALSE),"")</f>
        <v>Plasma</v>
      </c>
      <c r="G7891" s="194">
        <v>1</v>
      </c>
      <c r="H7891" s="194" t="s">
        <v>60</v>
      </c>
      <c r="I7891" s="187">
        <v>1.15655</v>
      </c>
      <c r="J7891" s="187" t="s">
        <v>941</v>
      </c>
      <c r="K7891" s="187" t="s">
        <v>335</v>
      </c>
      <c r="L7891" s="195">
        <v>0.185303</v>
      </c>
      <c r="M7891" s="195" t="s">
        <v>941</v>
      </c>
      <c r="N7891" s="195" t="s">
        <v>949</v>
      </c>
      <c r="O7891" s="59">
        <v>0.2</v>
      </c>
    </row>
    <row r="7892" spans="1:15" x14ac:dyDescent="0.2">
      <c r="A7892" s="183">
        <v>1027</v>
      </c>
      <c r="B7892" s="249" t="str">
        <f>IF(AND(A7892&lt;&gt;"",ISNUMBER(A7892)),VLOOKUP(A7892,Studies!A:BR,2,FALSE),"")</f>
        <v>Varhe 1994</v>
      </c>
      <c r="C7892" s="250" t="str">
        <f>IF(AND(A7892&lt;&gt;"",ISNUMBER(A7892)),VLOOKUP(A7892,Studies!A:BR,3,FALSE),"")</f>
        <v>https://www.ncbi.nlm.nih.gov/pubmed/7995001</v>
      </c>
      <c r="D7892" s="250" t="str">
        <f>IF(AND(A7892&lt;&gt;"",ISNUMBER(A7892)),VLOOKUP(A7892,Studies!A:BR,4,FALSE),"")</f>
        <v>Triazolam with placebo</v>
      </c>
      <c r="E7892" s="250" t="str">
        <f>IF(AND(A7892&lt;&gt;"",ISNUMBER(A7892)),VLOOKUP(A7892,Studies!A:BR,5,FALSE),"")</f>
        <v>Triazolam</v>
      </c>
      <c r="F7892" s="251" t="str">
        <f>IF(AND(A7892&lt;&gt;"",ISNUMBER(A7892)),VLOOKUP(A7892,Studies!A:BR,6,FALSE),"")</f>
        <v>Plasma</v>
      </c>
      <c r="G7892" s="194">
        <v>1.5</v>
      </c>
      <c r="H7892" s="194" t="s">
        <v>60</v>
      </c>
      <c r="I7892" s="187">
        <v>1.354633</v>
      </c>
      <c r="J7892" s="187" t="s">
        <v>941</v>
      </c>
      <c r="K7892" s="187" t="s">
        <v>335</v>
      </c>
      <c r="L7892" s="195">
        <v>0.17252400000000001</v>
      </c>
      <c r="M7892" s="195" t="s">
        <v>941</v>
      </c>
      <c r="N7892" s="195" t="s">
        <v>949</v>
      </c>
      <c r="O7892" s="59">
        <v>0.2</v>
      </c>
    </row>
    <row r="7893" spans="1:15" x14ac:dyDescent="0.2">
      <c r="A7893" s="183">
        <v>1027</v>
      </c>
      <c r="B7893" s="249" t="str">
        <f>IF(AND(A7893&lt;&gt;"",ISNUMBER(A7893)),VLOOKUP(A7893,Studies!A:BR,2,FALSE),"")</f>
        <v>Varhe 1994</v>
      </c>
      <c r="C7893" s="250" t="str">
        <f>IF(AND(A7893&lt;&gt;"",ISNUMBER(A7893)),VLOOKUP(A7893,Studies!A:BR,3,FALSE),"")</f>
        <v>https://www.ncbi.nlm.nih.gov/pubmed/7995001</v>
      </c>
      <c r="D7893" s="250" t="str">
        <f>IF(AND(A7893&lt;&gt;"",ISNUMBER(A7893)),VLOOKUP(A7893,Studies!A:BR,4,FALSE),"")</f>
        <v>Triazolam with placebo</v>
      </c>
      <c r="E7893" s="250" t="str">
        <f>IF(AND(A7893&lt;&gt;"",ISNUMBER(A7893)),VLOOKUP(A7893,Studies!A:BR,5,FALSE),"")</f>
        <v>Triazolam</v>
      </c>
      <c r="F7893" s="251" t="str">
        <f>IF(AND(A7893&lt;&gt;"",ISNUMBER(A7893)),VLOOKUP(A7893,Studies!A:BR,6,FALSE),"")</f>
        <v>Plasma</v>
      </c>
      <c r="G7893" s="194">
        <v>2</v>
      </c>
      <c r="H7893" s="194" t="s">
        <v>60</v>
      </c>
      <c r="I7893" s="187">
        <v>1.322684</v>
      </c>
      <c r="J7893" s="187" t="s">
        <v>941</v>
      </c>
      <c r="K7893" s="187" t="s">
        <v>335</v>
      </c>
      <c r="L7893" s="195">
        <v>0.166134</v>
      </c>
      <c r="M7893" s="52" t="s">
        <v>941</v>
      </c>
      <c r="N7893" s="52" t="s">
        <v>949</v>
      </c>
      <c r="O7893" s="59">
        <v>0.2</v>
      </c>
    </row>
    <row r="7894" spans="1:15" x14ac:dyDescent="0.2">
      <c r="A7894" s="30">
        <v>1027</v>
      </c>
      <c r="B7894" s="249" t="str">
        <f>IF(AND(A7894&lt;&gt;"",ISNUMBER(A7894)),VLOOKUP(A7894,Studies!A:BR,2,FALSE),"")</f>
        <v>Varhe 1994</v>
      </c>
      <c r="C7894" s="250" t="str">
        <f>IF(AND(A7894&lt;&gt;"",ISNUMBER(A7894)),VLOOKUP(A7894,Studies!A:BR,3,FALSE),"")</f>
        <v>https://www.ncbi.nlm.nih.gov/pubmed/7995001</v>
      </c>
      <c r="D7894" s="250" t="str">
        <f>IF(AND(A7894&lt;&gt;"",ISNUMBER(A7894)),VLOOKUP(A7894,Studies!A:BR,4,FALSE),"")</f>
        <v>Triazolam with placebo</v>
      </c>
      <c r="E7894" s="250" t="str">
        <f>IF(AND(A7894&lt;&gt;"",ISNUMBER(A7894)),VLOOKUP(A7894,Studies!A:BR,5,FALSE),"")</f>
        <v>Triazolam</v>
      </c>
      <c r="F7894" s="251" t="str">
        <f>IF(AND(A7894&lt;&gt;"",ISNUMBER(A7894)),VLOOKUP(A7894,Studies!A:BR,6,FALSE),"")</f>
        <v>Plasma</v>
      </c>
      <c r="G7894" s="194">
        <v>2.5</v>
      </c>
      <c r="H7894" s="194" t="s">
        <v>60</v>
      </c>
      <c r="I7894" s="187">
        <v>1.1884980000000001</v>
      </c>
      <c r="J7894" s="187" t="s">
        <v>941</v>
      </c>
      <c r="K7894" s="187" t="s">
        <v>335</v>
      </c>
      <c r="L7894" s="195">
        <v>0.14057500000000001</v>
      </c>
      <c r="M7894" s="52" t="s">
        <v>941</v>
      </c>
      <c r="N7894" s="52" t="s">
        <v>949</v>
      </c>
      <c r="O7894" s="59">
        <v>0.2</v>
      </c>
    </row>
    <row r="7895" spans="1:15" x14ac:dyDescent="0.2">
      <c r="A7895" s="30">
        <v>1027</v>
      </c>
      <c r="B7895" s="249" t="str">
        <f>IF(AND(A7895&lt;&gt;"",ISNUMBER(A7895)),VLOOKUP(A7895,Studies!A:BR,2,FALSE),"")</f>
        <v>Varhe 1994</v>
      </c>
      <c r="C7895" s="250" t="str">
        <f>IF(AND(A7895&lt;&gt;"",ISNUMBER(A7895)),VLOOKUP(A7895,Studies!A:BR,3,FALSE),"")</f>
        <v>https://www.ncbi.nlm.nih.gov/pubmed/7995001</v>
      </c>
      <c r="D7895" s="250" t="str">
        <f>IF(AND(A7895&lt;&gt;"",ISNUMBER(A7895)),VLOOKUP(A7895,Studies!A:BR,4,FALSE),"")</f>
        <v>Triazolam with placebo</v>
      </c>
      <c r="E7895" s="250" t="str">
        <f>IF(AND(A7895&lt;&gt;"",ISNUMBER(A7895)),VLOOKUP(A7895,Studies!A:BR,5,FALSE),"")</f>
        <v>Triazolam</v>
      </c>
      <c r="F7895" s="251" t="str">
        <f>IF(AND(A7895&lt;&gt;"",ISNUMBER(A7895)),VLOOKUP(A7895,Studies!A:BR,6,FALSE),"")</f>
        <v>Plasma</v>
      </c>
      <c r="G7895" s="194">
        <v>3</v>
      </c>
      <c r="H7895" s="194" t="s">
        <v>60</v>
      </c>
      <c r="I7895" s="187">
        <v>1.1182110000000001</v>
      </c>
      <c r="J7895" s="187" t="s">
        <v>941</v>
      </c>
      <c r="K7895" s="187" t="s">
        <v>335</v>
      </c>
      <c r="L7895" s="195">
        <v>0.134185</v>
      </c>
      <c r="M7895" s="52" t="s">
        <v>941</v>
      </c>
      <c r="N7895" s="52" t="s">
        <v>949</v>
      </c>
      <c r="O7895" s="59">
        <v>0.2</v>
      </c>
    </row>
    <row r="7896" spans="1:15" x14ac:dyDescent="0.2">
      <c r="A7896" s="30">
        <v>1027</v>
      </c>
      <c r="B7896" s="249" t="str">
        <f>IF(AND(A7896&lt;&gt;"",ISNUMBER(A7896)),VLOOKUP(A7896,Studies!A:BR,2,FALSE),"")</f>
        <v>Varhe 1994</v>
      </c>
      <c r="C7896" s="250" t="str">
        <f>IF(AND(A7896&lt;&gt;"",ISNUMBER(A7896)),VLOOKUP(A7896,Studies!A:BR,3,FALSE),"")</f>
        <v>https://www.ncbi.nlm.nih.gov/pubmed/7995001</v>
      </c>
      <c r="D7896" s="250" t="str">
        <f>IF(AND(A7896&lt;&gt;"",ISNUMBER(A7896)),VLOOKUP(A7896,Studies!A:BR,4,FALSE),"")</f>
        <v>Triazolam with placebo</v>
      </c>
      <c r="E7896" s="250" t="str">
        <f>IF(AND(A7896&lt;&gt;"",ISNUMBER(A7896)),VLOOKUP(A7896,Studies!A:BR,5,FALSE),"")</f>
        <v>Triazolam</v>
      </c>
      <c r="F7896" s="251" t="str">
        <f>IF(AND(A7896&lt;&gt;"",ISNUMBER(A7896)),VLOOKUP(A7896,Studies!A:BR,6,FALSE),"")</f>
        <v>Plasma</v>
      </c>
      <c r="G7896" s="194">
        <v>4</v>
      </c>
      <c r="H7896" s="194" t="s">
        <v>60</v>
      </c>
      <c r="I7896" s="187">
        <v>0.89456869999999999</v>
      </c>
      <c r="J7896" s="187" t="s">
        <v>941</v>
      </c>
      <c r="K7896" s="187" t="s">
        <v>335</v>
      </c>
      <c r="O7896" s="59">
        <v>0.2</v>
      </c>
    </row>
    <row r="7897" spans="1:15" x14ac:dyDescent="0.2">
      <c r="A7897" s="30">
        <v>1027</v>
      </c>
      <c r="B7897" s="249" t="str">
        <f>IF(AND(A7897&lt;&gt;"",ISNUMBER(A7897)),VLOOKUP(A7897,Studies!A:BR,2,FALSE),"")</f>
        <v>Varhe 1994</v>
      </c>
      <c r="C7897" s="250" t="str">
        <f>IF(AND(A7897&lt;&gt;"",ISNUMBER(A7897)),VLOOKUP(A7897,Studies!A:BR,3,FALSE),"")</f>
        <v>https://www.ncbi.nlm.nih.gov/pubmed/7995001</v>
      </c>
      <c r="D7897" s="250" t="str">
        <f>IF(AND(A7897&lt;&gt;"",ISNUMBER(A7897)),VLOOKUP(A7897,Studies!A:BR,4,FALSE),"")</f>
        <v>Triazolam with placebo</v>
      </c>
      <c r="E7897" s="250" t="str">
        <f>IF(AND(A7897&lt;&gt;"",ISNUMBER(A7897)),VLOOKUP(A7897,Studies!A:BR,5,FALSE),"")</f>
        <v>Triazolam</v>
      </c>
      <c r="F7897" s="251" t="str">
        <f>IF(AND(A7897&lt;&gt;"",ISNUMBER(A7897)),VLOOKUP(A7897,Studies!A:BR,6,FALSE),"")</f>
        <v>Plasma</v>
      </c>
      <c r="G7897" s="194">
        <v>5</v>
      </c>
      <c r="H7897" s="194" t="s">
        <v>60</v>
      </c>
      <c r="I7897" s="187">
        <v>0.66453669999999998</v>
      </c>
      <c r="J7897" s="187" t="s">
        <v>941</v>
      </c>
      <c r="K7897" s="187" t="s">
        <v>335</v>
      </c>
      <c r="L7897" s="195">
        <v>0.108626</v>
      </c>
      <c r="M7897" s="52" t="s">
        <v>941</v>
      </c>
      <c r="N7897" s="52" t="s">
        <v>949</v>
      </c>
      <c r="O7897" s="59">
        <v>0.2</v>
      </c>
    </row>
    <row r="7898" spans="1:15" x14ac:dyDescent="0.2">
      <c r="A7898" s="30">
        <v>1027</v>
      </c>
      <c r="B7898" s="249" t="str">
        <f>IF(AND(A7898&lt;&gt;"",ISNUMBER(A7898)),VLOOKUP(A7898,Studies!A:BR,2,FALSE),"")</f>
        <v>Varhe 1994</v>
      </c>
      <c r="C7898" s="250" t="str">
        <f>IF(AND(A7898&lt;&gt;"",ISNUMBER(A7898)),VLOOKUP(A7898,Studies!A:BR,3,FALSE),"")</f>
        <v>https://www.ncbi.nlm.nih.gov/pubmed/7995001</v>
      </c>
      <c r="D7898" s="250" t="str">
        <f>IF(AND(A7898&lt;&gt;"",ISNUMBER(A7898)),VLOOKUP(A7898,Studies!A:BR,4,FALSE),"")</f>
        <v>Triazolam with placebo</v>
      </c>
      <c r="E7898" s="250" t="str">
        <f>IF(AND(A7898&lt;&gt;"",ISNUMBER(A7898)),VLOOKUP(A7898,Studies!A:BR,5,FALSE),"")</f>
        <v>Triazolam</v>
      </c>
      <c r="F7898" s="251" t="str">
        <f>IF(AND(A7898&lt;&gt;"",ISNUMBER(A7898)),VLOOKUP(A7898,Studies!A:BR,6,FALSE),"")</f>
        <v>Plasma</v>
      </c>
      <c r="G7898" s="194">
        <v>6</v>
      </c>
      <c r="H7898" s="194" t="s">
        <v>60</v>
      </c>
      <c r="I7898" s="187">
        <v>0.56869009999999998</v>
      </c>
      <c r="J7898" s="187" t="s">
        <v>941</v>
      </c>
      <c r="K7898" s="187" t="s">
        <v>335</v>
      </c>
      <c r="L7898" s="195">
        <v>0.121406</v>
      </c>
      <c r="M7898" s="52" t="s">
        <v>941</v>
      </c>
      <c r="N7898" s="52" t="s">
        <v>949</v>
      </c>
      <c r="O7898" s="59">
        <v>0.2</v>
      </c>
    </row>
    <row r="7899" spans="1:15" x14ac:dyDescent="0.2">
      <c r="A7899" s="183">
        <v>1027</v>
      </c>
      <c r="B7899" s="249" t="str">
        <f>IF(AND(A7899&lt;&gt;"",ISNUMBER(A7899)),VLOOKUP(A7899,Studies!A:BR,2,FALSE),"")</f>
        <v>Varhe 1994</v>
      </c>
      <c r="C7899" s="250" t="str">
        <f>IF(AND(A7899&lt;&gt;"",ISNUMBER(A7899)),VLOOKUP(A7899,Studies!A:BR,3,FALSE),"")</f>
        <v>https://www.ncbi.nlm.nih.gov/pubmed/7995001</v>
      </c>
      <c r="D7899" s="250" t="str">
        <f>IF(AND(A7899&lt;&gt;"",ISNUMBER(A7899)),VLOOKUP(A7899,Studies!A:BR,4,FALSE),"")</f>
        <v>Triazolam with placebo</v>
      </c>
      <c r="E7899" s="250" t="str">
        <f>IF(AND(A7899&lt;&gt;"",ISNUMBER(A7899)),VLOOKUP(A7899,Studies!A:BR,5,FALSE),"")</f>
        <v>Triazolam</v>
      </c>
      <c r="F7899" s="251" t="str">
        <f>IF(AND(A7899&lt;&gt;"",ISNUMBER(A7899)),VLOOKUP(A7899,Studies!A:BR,6,FALSE),"")</f>
        <v>Plasma</v>
      </c>
      <c r="G7899" s="194">
        <v>7</v>
      </c>
      <c r="H7899" s="194" t="s">
        <v>60</v>
      </c>
      <c r="I7899" s="187">
        <v>0.36421730000000002</v>
      </c>
      <c r="J7899" s="187" t="s">
        <v>941</v>
      </c>
      <c r="K7899" s="187" t="s">
        <v>335</v>
      </c>
      <c r="L7899" s="195">
        <v>0.14057500000000001</v>
      </c>
      <c r="M7899" s="195" t="s">
        <v>941</v>
      </c>
      <c r="N7899" s="195" t="s">
        <v>949</v>
      </c>
      <c r="O7899" s="59">
        <v>0.2</v>
      </c>
    </row>
    <row r="7900" spans="1:15" x14ac:dyDescent="0.2">
      <c r="A7900" s="183">
        <v>1028</v>
      </c>
      <c r="B7900" s="249" t="str">
        <f>IF(AND(A7900&lt;&gt;"",ISNUMBER(A7900)),VLOOKUP(A7900,Studies!A:BR,2,FALSE),"")</f>
        <v>Varhe 1994</v>
      </c>
      <c r="C7900" s="250" t="str">
        <f>IF(AND(A7900&lt;&gt;"",ISNUMBER(A7900)),VLOOKUP(A7900,Studies!A:BR,3,FALSE),"")</f>
        <v>https://www.ncbi.nlm.nih.gov/pubmed/7995001</v>
      </c>
      <c r="D7900" s="250" t="str">
        <f>IF(AND(A7900&lt;&gt;"",ISNUMBER(A7900)),VLOOKUP(A7900,Studies!A:BR,4,FALSE),"")</f>
        <v>Triazolam with ketoconazole</v>
      </c>
      <c r="E7900" s="250" t="str">
        <f>IF(AND(A7900&lt;&gt;"",ISNUMBER(A7900)),VLOOKUP(A7900,Studies!A:BR,5,FALSE),"")</f>
        <v>Triazolam</v>
      </c>
      <c r="F7900" s="251" t="str">
        <f>IF(AND(A7900&lt;&gt;"",ISNUMBER(A7900)),VLOOKUP(A7900,Studies!A:BR,6,FALSE),"")</f>
        <v>Plasma</v>
      </c>
      <c r="G7900" s="194">
        <v>73.33</v>
      </c>
      <c r="H7900" s="194" t="s">
        <v>60</v>
      </c>
      <c r="I7900" s="187">
        <v>0.1382639</v>
      </c>
      <c r="J7900" s="187" t="s">
        <v>941</v>
      </c>
      <c r="K7900" s="187" t="s">
        <v>335</v>
      </c>
      <c r="M7900" s="195"/>
      <c r="N7900" s="195"/>
      <c r="O7900" s="59">
        <v>0.2</v>
      </c>
    </row>
    <row r="7901" spans="1:15" x14ac:dyDescent="0.2">
      <c r="A7901" s="183">
        <v>1028</v>
      </c>
      <c r="B7901" s="249" t="str">
        <f>IF(AND(A7901&lt;&gt;"",ISNUMBER(A7901)),VLOOKUP(A7901,Studies!A:BR,2,FALSE),"")</f>
        <v>Varhe 1994</v>
      </c>
      <c r="C7901" s="250" t="str">
        <f>IF(AND(A7901&lt;&gt;"",ISNUMBER(A7901)),VLOOKUP(A7901,Studies!A:BR,3,FALSE),"")</f>
        <v>https://www.ncbi.nlm.nih.gov/pubmed/7995001</v>
      </c>
      <c r="D7901" s="250" t="str">
        <f>IF(AND(A7901&lt;&gt;"",ISNUMBER(A7901)),VLOOKUP(A7901,Studies!A:BR,4,FALSE),"")</f>
        <v>Triazolam with ketoconazole</v>
      </c>
      <c r="E7901" s="250" t="str">
        <f>IF(AND(A7901&lt;&gt;"",ISNUMBER(A7901)),VLOOKUP(A7901,Studies!A:BR,5,FALSE),"")</f>
        <v>Triazolam</v>
      </c>
      <c r="F7901" s="251" t="str">
        <f>IF(AND(A7901&lt;&gt;"",ISNUMBER(A7901)),VLOOKUP(A7901,Studies!A:BR,6,FALSE),"")</f>
        <v>Plasma</v>
      </c>
      <c r="G7901" s="194">
        <v>73.67</v>
      </c>
      <c r="H7901" s="194" t="s">
        <v>60</v>
      </c>
      <c r="I7901" s="187">
        <v>1.362778</v>
      </c>
      <c r="J7901" s="187" t="s">
        <v>941</v>
      </c>
      <c r="K7901" s="187" t="s">
        <v>335</v>
      </c>
      <c r="M7901" s="195"/>
      <c r="N7901" s="195"/>
      <c r="O7901" s="59">
        <v>0.2</v>
      </c>
    </row>
    <row r="7902" spans="1:15" x14ac:dyDescent="0.2">
      <c r="A7902" s="183">
        <v>1028</v>
      </c>
      <c r="B7902" s="249" t="str">
        <f>IF(AND(A7902&lt;&gt;"",ISNUMBER(A7902)),VLOOKUP(A7902,Studies!A:BR,2,FALSE),"")</f>
        <v>Varhe 1994</v>
      </c>
      <c r="C7902" s="250" t="str">
        <f>IF(AND(A7902&lt;&gt;"",ISNUMBER(A7902)),VLOOKUP(A7902,Studies!A:BR,3,FALSE),"")</f>
        <v>https://www.ncbi.nlm.nih.gov/pubmed/7995001</v>
      </c>
      <c r="D7902" s="250" t="str">
        <f>IF(AND(A7902&lt;&gt;"",ISNUMBER(A7902)),VLOOKUP(A7902,Studies!A:BR,4,FALSE),"")</f>
        <v>Triazolam with ketoconazole</v>
      </c>
      <c r="E7902" s="250" t="str">
        <f>IF(AND(A7902&lt;&gt;"",ISNUMBER(A7902)),VLOOKUP(A7902,Studies!A:BR,5,FALSE),"")</f>
        <v>Triazolam</v>
      </c>
      <c r="F7902" s="251" t="str">
        <f>IF(AND(A7902&lt;&gt;"",ISNUMBER(A7902)),VLOOKUP(A7902,Studies!A:BR,6,FALSE),"")</f>
        <v>Plasma</v>
      </c>
      <c r="G7902" s="194">
        <v>74</v>
      </c>
      <c r="H7902" s="194" t="s">
        <v>60</v>
      </c>
      <c r="I7902" s="187">
        <v>2.259646</v>
      </c>
      <c r="J7902" s="187" t="s">
        <v>941</v>
      </c>
      <c r="K7902" s="187" t="s">
        <v>335</v>
      </c>
      <c r="M7902" s="195"/>
      <c r="N7902" s="195"/>
      <c r="O7902" s="59">
        <v>0.2</v>
      </c>
    </row>
    <row r="7903" spans="1:15" x14ac:dyDescent="0.2">
      <c r="A7903" s="183">
        <v>1028</v>
      </c>
      <c r="B7903" s="249" t="str">
        <f>IF(AND(A7903&lt;&gt;"",ISNUMBER(A7903)),VLOOKUP(A7903,Studies!A:BR,2,FALSE),"")</f>
        <v>Varhe 1994</v>
      </c>
      <c r="C7903" s="250" t="str">
        <f>IF(AND(A7903&lt;&gt;"",ISNUMBER(A7903)),VLOOKUP(A7903,Studies!A:BR,3,FALSE),"")</f>
        <v>https://www.ncbi.nlm.nih.gov/pubmed/7995001</v>
      </c>
      <c r="D7903" s="250" t="str">
        <f>IF(AND(A7903&lt;&gt;"",ISNUMBER(A7903)),VLOOKUP(A7903,Studies!A:BR,4,FALSE),"")</f>
        <v>Triazolam with ketoconazole</v>
      </c>
      <c r="E7903" s="250" t="str">
        <f>IF(AND(A7903&lt;&gt;"",ISNUMBER(A7903)),VLOOKUP(A7903,Studies!A:BR,5,FALSE),"")</f>
        <v>Triazolam</v>
      </c>
      <c r="F7903" s="251" t="str">
        <f>IF(AND(A7903&lt;&gt;"",ISNUMBER(A7903)),VLOOKUP(A7903,Studies!A:BR,6,FALSE),"")</f>
        <v>Plasma</v>
      </c>
      <c r="G7903" s="194">
        <v>74.5</v>
      </c>
      <c r="H7903" s="194" t="s">
        <v>60</v>
      </c>
      <c r="I7903" s="187">
        <v>2.7774169999999998</v>
      </c>
      <c r="J7903" s="187" t="s">
        <v>941</v>
      </c>
      <c r="K7903" s="187" t="s">
        <v>335</v>
      </c>
      <c r="M7903" s="195"/>
      <c r="N7903" s="195"/>
      <c r="O7903" s="59">
        <v>0.2</v>
      </c>
    </row>
    <row r="7904" spans="1:15" x14ac:dyDescent="0.2">
      <c r="A7904" s="183">
        <v>1028</v>
      </c>
      <c r="B7904" s="249" t="str">
        <f>IF(AND(A7904&lt;&gt;"",ISNUMBER(A7904)),VLOOKUP(A7904,Studies!A:BR,2,FALSE),"")</f>
        <v>Varhe 1994</v>
      </c>
      <c r="C7904" s="250" t="str">
        <f>IF(AND(A7904&lt;&gt;"",ISNUMBER(A7904)),VLOOKUP(A7904,Studies!A:BR,3,FALSE),"")</f>
        <v>https://www.ncbi.nlm.nih.gov/pubmed/7995001</v>
      </c>
      <c r="D7904" s="250" t="str">
        <f>IF(AND(A7904&lt;&gt;"",ISNUMBER(A7904)),VLOOKUP(A7904,Studies!A:BR,4,FALSE),"")</f>
        <v>Triazolam with ketoconazole</v>
      </c>
      <c r="E7904" s="250" t="str">
        <f>IF(AND(A7904&lt;&gt;"",ISNUMBER(A7904)),VLOOKUP(A7904,Studies!A:BR,5,FALSE),"")</f>
        <v>Triazolam</v>
      </c>
      <c r="F7904" s="251" t="str">
        <f>IF(AND(A7904&lt;&gt;"",ISNUMBER(A7904)),VLOOKUP(A7904,Studies!A:BR,6,FALSE),"")</f>
        <v>Plasma</v>
      </c>
      <c r="G7904" s="194">
        <v>75</v>
      </c>
      <c r="H7904" s="194" t="s">
        <v>60</v>
      </c>
      <c r="I7904" s="187">
        <v>3.4158789999999999</v>
      </c>
      <c r="J7904" s="187" t="s">
        <v>941</v>
      </c>
      <c r="K7904" s="187" t="s">
        <v>335</v>
      </c>
      <c r="M7904" s="195"/>
      <c r="N7904" s="195"/>
      <c r="O7904" s="59">
        <v>0.2</v>
      </c>
    </row>
    <row r="7905" spans="1:15" x14ac:dyDescent="0.2">
      <c r="A7905" s="183">
        <v>1028</v>
      </c>
      <c r="B7905" s="249" t="str">
        <f>IF(AND(A7905&lt;&gt;"",ISNUMBER(A7905)),VLOOKUP(A7905,Studies!A:BR,2,FALSE),"")</f>
        <v>Varhe 1994</v>
      </c>
      <c r="C7905" s="250" t="str">
        <f>IF(AND(A7905&lt;&gt;"",ISNUMBER(A7905)),VLOOKUP(A7905,Studies!A:BR,3,FALSE),"")</f>
        <v>https://www.ncbi.nlm.nih.gov/pubmed/7995001</v>
      </c>
      <c r="D7905" s="250" t="str">
        <f>IF(AND(A7905&lt;&gt;"",ISNUMBER(A7905)),VLOOKUP(A7905,Studies!A:BR,4,FALSE),"")</f>
        <v>Triazolam with ketoconazole</v>
      </c>
      <c r="E7905" s="250" t="str">
        <f>IF(AND(A7905&lt;&gt;"",ISNUMBER(A7905)),VLOOKUP(A7905,Studies!A:BR,5,FALSE),"")</f>
        <v>Triazolam</v>
      </c>
      <c r="F7905" s="251" t="str">
        <f>IF(AND(A7905&lt;&gt;"",ISNUMBER(A7905)),VLOOKUP(A7905,Studies!A:BR,6,FALSE),"")</f>
        <v>Plasma</v>
      </c>
      <c r="G7905" s="194">
        <v>75.5</v>
      </c>
      <c r="H7905" s="194" t="s">
        <v>60</v>
      </c>
      <c r="I7905" s="187">
        <v>3.5111949999999998</v>
      </c>
      <c r="J7905" s="187" t="s">
        <v>941</v>
      </c>
      <c r="K7905" s="187" t="s">
        <v>335</v>
      </c>
      <c r="M7905" s="195"/>
      <c r="N7905" s="195"/>
      <c r="O7905" s="59">
        <v>0.2</v>
      </c>
    </row>
    <row r="7906" spans="1:15" x14ac:dyDescent="0.2">
      <c r="A7906" s="183">
        <v>1028</v>
      </c>
      <c r="B7906" s="249" t="str">
        <f>IF(AND(A7906&lt;&gt;"",ISNUMBER(A7906)),VLOOKUP(A7906,Studies!A:BR,2,FALSE),"")</f>
        <v>Varhe 1994</v>
      </c>
      <c r="C7906" s="250" t="str">
        <f>IF(AND(A7906&lt;&gt;"",ISNUMBER(A7906)),VLOOKUP(A7906,Studies!A:BR,3,FALSE),"")</f>
        <v>https://www.ncbi.nlm.nih.gov/pubmed/7995001</v>
      </c>
      <c r="D7906" s="250" t="str">
        <f>IF(AND(A7906&lt;&gt;"",ISNUMBER(A7906)),VLOOKUP(A7906,Studies!A:BR,4,FALSE),"")</f>
        <v>Triazolam with ketoconazole</v>
      </c>
      <c r="E7906" s="250" t="str">
        <f>IF(AND(A7906&lt;&gt;"",ISNUMBER(A7906)),VLOOKUP(A7906,Studies!A:BR,5,FALSE),"")</f>
        <v>Triazolam</v>
      </c>
      <c r="F7906" s="251" t="str">
        <f>IF(AND(A7906&lt;&gt;"",ISNUMBER(A7906)),VLOOKUP(A7906,Studies!A:BR,6,FALSE),"")</f>
        <v>Plasma</v>
      </c>
      <c r="G7906" s="194">
        <v>76</v>
      </c>
      <c r="H7906" s="194" t="s">
        <v>60</v>
      </c>
      <c r="I7906" s="187">
        <v>3.054805</v>
      </c>
      <c r="J7906" s="187" t="s">
        <v>941</v>
      </c>
      <c r="K7906" s="187" t="s">
        <v>335</v>
      </c>
      <c r="M7906" s="195"/>
      <c r="N7906" s="195"/>
      <c r="O7906" s="59">
        <v>0.2</v>
      </c>
    </row>
    <row r="7907" spans="1:15" x14ac:dyDescent="0.2">
      <c r="A7907" s="183">
        <v>1028</v>
      </c>
      <c r="B7907" s="249" t="str">
        <f>IF(AND(A7907&lt;&gt;"",ISNUMBER(A7907)),VLOOKUP(A7907,Studies!A:BR,2,FALSE),"")</f>
        <v>Varhe 1994</v>
      </c>
      <c r="C7907" s="250" t="str">
        <f>IF(AND(A7907&lt;&gt;"",ISNUMBER(A7907)),VLOOKUP(A7907,Studies!A:BR,3,FALSE),"")</f>
        <v>https://www.ncbi.nlm.nih.gov/pubmed/7995001</v>
      </c>
      <c r="D7907" s="250" t="str">
        <f>IF(AND(A7907&lt;&gt;"",ISNUMBER(A7907)),VLOOKUP(A7907,Studies!A:BR,4,FALSE),"")</f>
        <v>Triazolam with ketoconazole</v>
      </c>
      <c r="E7907" s="250" t="str">
        <f>IF(AND(A7907&lt;&gt;"",ISNUMBER(A7907)),VLOOKUP(A7907,Studies!A:BR,5,FALSE),"")</f>
        <v>Triazolam</v>
      </c>
      <c r="F7907" s="251" t="str">
        <f>IF(AND(A7907&lt;&gt;"",ISNUMBER(A7907)),VLOOKUP(A7907,Studies!A:BR,6,FALSE),"")</f>
        <v>Plasma</v>
      </c>
      <c r="G7907" s="194">
        <v>77</v>
      </c>
      <c r="H7907" s="194" t="s">
        <v>60</v>
      </c>
      <c r="I7907" s="187">
        <v>3.3144429999999998</v>
      </c>
      <c r="J7907" s="187" t="s">
        <v>941</v>
      </c>
      <c r="K7907" s="187" t="s">
        <v>335</v>
      </c>
      <c r="M7907" s="195"/>
      <c r="N7907" s="195"/>
      <c r="O7907" s="59">
        <v>0.2</v>
      </c>
    </row>
    <row r="7908" spans="1:15" x14ac:dyDescent="0.2">
      <c r="A7908" s="183">
        <v>1028</v>
      </c>
      <c r="B7908" s="249" t="str">
        <f>IF(AND(A7908&lt;&gt;"",ISNUMBER(A7908)),VLOOKUP(A7908,Studies!A:BR,2,FALSE),"")</f>
        <v>Varhe 1994</v>
      </c>
      <c r="C7908" s="250" t="str">
        <f>IF(AND(A7908&lt;&gt;"",ISNUMBER(A7908)),VLOOKUP(A7908,Studies!A:BR,3,FALSE),"")</f>
        <v>https://www.ncbi.nlm.nih.gov/pubmed/7995001</v>
      </c>
      <c r="D7908" s="250" t="str">
        <f>IF(AND(A7908&lt;&gt;"",ISNUMBER(A7908)),VLOOKUP(A7908,Studies!A:BR,4,FALSE),"")</f>
        <v>Triazolam with ketoconazole</v>
      </c>
      <c r="E7908" s="250" t="str">
        <f>IF(AND(A7908&lt;&gt;"",ISNUMBER(A7908)),VLOOKUP(A7908,Studies!A:BR,5,FALSE),"")</f>
        <v>Triazolam</v>
      </c>
      <c r="F7908" s="251" t="str">
        <f>IF(AND(A7908&lt;&gt;"",ISNUMBER(A7908)),VLOOKUP(A7908,Studies!A:BR,6,FALSE),"")</f>
        <v>Plasma</v>
      </c>
      <c r="G7908" s="194">
        <v>78</v>
      </c>
      <c r="H7908" s="194" t="s">
        <v>60</v>
      </c>
      <c r="I7908" s="187">
        <v>3.5741010000000002</v>
      </c>
      <c r="J7908" s="187" t="s">
        <v>941</v>
      </c>
      <c r="K7908" s="187" t="s">
        <v>335</v>
      </c>
      <c r="M7908" s="195"/>
      <c r="N7908" s="195"/>
      <c r="O7908" s="59">
        <v>0.2</v>
      </c>
    </row>
    <row r="7909" spans="1:15" x14ac:dyDescent="0.2">
      <c r="A7909" s="183">
        <v>1028</v>
      </c>
      <c r="B7909" s="249" t="str">
        <f>IF(AND(A7909&lt;&gt;"",ISNUMBER(A7909)),VLOOKUP(A7909,Studies!A:BR,2,FALSE),"")</f>
        <v>Varhe 1994</v>
      </c>
      <c r="C7909" s="250" t="str">
        <f>IF(AND(A7909&lt;&gt;"",ISNUMBER(A7909)),VLOOKUP(A7909,Studies!A:BR,3,FALSE),"")</f>
        <v>https://www.ncbi.nlm.nih.gov/pubmed/7995001</v>
      </c>
      <c r="D7909" s="250" t="str">
        <f>IF(AND(A7909&lt;&gt;"",ISNUMBER(A7909)),VLOOKUP(A7909,Studies!A:BR,4,FALSE),"")</f>
        <v>Triazolam with ketoconazole</v>
      </c>
      <c r="E7909" s="250" t="str">
        <f>IF(AND(A7909&lt;&gt;"",ISNUMBER(A7909)),VLOOKUP(A7909,Studies!A:BR,5,FALSE),"")</f>
        <v>Triazolam</v>
      </c>
      <c r="F7909" s="251" t="str">
        <f>IF(AND(A7909&lt;&gt;"",ISNUMBER(A7909)),VLOOKUP(A7909,Studies!A:BR,6,FALSE),"")</f>
        <v>Plasma</v>
      </c>
      <c r="G7909" s="194">
        <v>79</v>
      </c>
      <c r="H7909" s="194" t="s">
        <v>60</v>
      </c>
      <c r="I7909" s="187">
        <v>3.3509980000000001</v>
      </c>
      <c r="J7909" s="187" t="s">
        <v>941</v>
      </c>
      <c r="K7909" s="187" t="s">
        <v>335</v>
      </c>
      <c r="M7909" s="195"/>
      <c r="N7909" s="195"/>
      <c r="O7909" s="59">
        <v>0.2</v>
      </c>
    </row>
    <row r="7910" spans="1:15" x14ac:dyDescent="0.2">
      <c r="A7910" s="30">
        <v>1028</v>
      </c>
      <c r="B7910" s="249" t="str">
        <f>IF(AND(A7910&lt;&gt;"",ISNUMBER(A7910)),VLOOKUP(A7910,Studies!A:BR,2,FALSE),"")</f>
        <v>Varhe 1994</v>
      </c>
      <c r="C7910" s="250" t="str">
        <f>IF(AND(A7910&lt;&gt;"",ISNUMBER(A7910)),VLOOKUP(A7910,Studies!A:BR,3,FALSE),"")</f>
        <v>https://www.ncbi.nlm.nih.gov/pubmed/7995001</v>
      </c>
      <c r="D7910" s="250" t="str">
        <f>IF(AND(A7910&lt;&gt;"",ISNUMBER(A7910)),VLOOKUP(A7910,Studies!A:BR,4,FALSE),"")</f>
        <v>Triazolam with ketoconazole</v>
      </c>
      <c r="E7910" s="250" t="str">
        <f>IF(AND(A7910&lt;&gt;"",ISNUMBER(A7910)),VLOOKUP(A7910,Studies!A:BR,5,FALSE),"")</f>
        <v>Triazolam</v>
      </c>
      <c r="F7910" s="251" t="str">
        <f>IF(AND(A7910&lt;&gt;"",ISNUMBER(A7910)),VLOOKUP(A7910,Studies!A:BR,6,FALSE),"")</f>
        <v>Plasma</v>
      </c>
      <c r="G7910" s="194">
        <v>80</v>
      </c>
      <c r="H7910" s="194" t="s">
        <v>60</v>
      </c>
      <c r="I7910" s="187">
        <v>3.4640650000000002</v>
      </c>
      <c r="J7910" s="187" t="s">
        <v>941</v>
      </c>
      <c r="K7910" s="187" t="s">
        <v>335</v>
      </c>
      <c r="O7910" s="59">
        <v>0.2</v>
      </c>
    </row>
    <row r="7911" spans="1:15" x14ac:dyDescent="0.2">
      <c r="A7911" s="30">
        <v>1028</v>
      </c>
      <c r="B7911" s="249" t="str">
        <f>IF(AND(A7911&lt;&gt;"",ISNUMBER(A7911)),VLOOKUP(A7911,Studies!A:BR,2,FALSE),"")</f>
        <v>Varhe 1994</v>
      </c>
      <c r="C7911" s="250" t="str">
        <f>IF(AND(A7911&lt;&gt;"",ISNUMBER(A7911)),VLOOKUP(A7911,Studies!A:BR,3,FALSE),"")</f>
        <v>https://www.ncbi.nlm.nih.gov/pubmed/7995001</v>
      </c>
      <c r="D7911" s="250" t="str">
        <f>IF(AND(A7911&lt;&gt;"",ISNUMBER(A7911)),VLOOKUP(A7911,Studies!A:BR,4,FALSE),"")</f>
        <v>Triazolam with ketoconazole</v>
      </c>
      <c r="E7911" s="250" t="str">
        <f>IF(AND(A7911&lt;&gt;"",ISNUMBER(A7911)),VLOOKUP(A7911,Studies!A:BR,5,FALSE),"")</f>
        <v>Triazolam</v>
      </c>
      <c r="F7911" s="251" t="str">
        <f>IF(AND(A7911&lt;&gt;"",ISNUMBER(A7911)),VLOOKUP(A7911,Studies!A:BR,6,FALSE),"")</f>
        <v>Plasma</v>
      </c>
      <c r="G7911" s="194">
        <v>90</v>
      </c>
      <c r="H7911" s="194" t="s">
        <v>60</v>
      </c>
      <c r="I7911" s="187">
        <v>2.2586490000000001</v>
      </c>
      <c r="J7911" s="187" t="s">
        <v>941</v>
      </c>
      <c r="K7911" s="187" t="s">
        <v>335</v>
      </c>
      <c r="O7911" s="59">
        <v>0.2</v>
      </c>
    </row>
    <row r="7912" spans="1:15" x14ac:dyDescent="0.2">
      <c r="A7912" s="30">
        <v>1029</v>
      </c>
      <c r="B7912" s="249" t="str">
        <f>IF(AND(A7912&lt;&gt;"",ISNUMBER(A7912)),VLOOKUP(A7912,Studies!A:BR,2,FALSE),"")</f>
        <v>Varhe 1994</v>
      </c>
      <c r="C7912" s="250" t="str">
        <f>IF(AND(A7912&lt;&gt;"",ISNUMBER(A7912)),VLOOKUP(A7912,Studies!A:BR,3,FALSE),"")</f>
        <v>https://www.ncbi.nlm.nih.gov/pubmed/7995001</v>
      </c>
      <c r="D7912" s="250" t="str">
        <f>IF(AND(A7912&lt;&gt;"",ISNUMBER(A7912)),VLOOKUP(A7912,Studies!A:BR,4,FALSE),"")</f>
        <v>Triazolam with Itraconazole</v>
      </c>
      <c r="E7912" s="250" t="str">
        <f>IF(AND(A7912&lt;&gt;"",ISNUMBER(A7912)),VLOOKUP(A7912,Studies!A:BR,5,FALSE),"")</f>
        <v>Triazolam</v>
      </c>
      <c r="F7912" s="251" t="str">
        <f>IF(AND(A7912&lt;&gt;"",ISNUMBER(A7912)),VLOOKUP(A7912,Studies!A:BR,6,FALSE),"")</f>
        <v>Plasma</v>
      </c>
      <c r="G7912" s="194">
        <v>73.33</v>
      </c>
      <c r="H7912" s="194" t="s">
        <v>60</v>
      </c>
      <c r="I7912" s="187">
        <v>4.3455479999999998E-2</v>
      </c>
      <c r="J7912" s="187" t="s">
        <v>941</v>
      </c>
      <c r="K7912" s="187" t="s">
        <v>335</v>
      </c>
      <c r="O7912" s="59">
        <v>0.2</v>
      </c>
    </row>
    <row r="7913" spans="1:15" x14ac:dyDescent="0.2">
      <c r="A7913" s="30">
        <v>1029</v>
      </c>
      <c r="B7913" s="249" t="str">
        <f>IF(AND(A7913&lt;&gt;"",ISNUMBER(A7913)),VLOOKUP(A7913,Studies!A:BR,2,FALSE),"")</f>
        <v>Varhe 1994</v>
      </c>
      <c r="C7913" s="250" t="str">
        <f>IF(AND(A7913&lt;&gt;"",ISNUMBER(A7913)),VLOOKUP(A7913,Studies!A:BR,3,FALSE),"")</f>
        <v>https://www.ncbi.nlm.nih.gov/pubmed/7995001</v>
      </c>
      <c r="D7913" s="250" t="str">
        <f>IF(AND(A7913&lt;&gt;"",ISNUMBER(A7913)),VLOOKUP(A7913,Studies!A:BR,4,FALSE),"")</f>
        <v>Triazolam with Itraconazole</v>
      </c>
      <c r="E7913" s="250" t="str">
        <f>IF(AND(A7913&lt;&gt;"",ISNUMBER(A7913)),VLOOKUP(A7913,Studies!A:BR,5,FALSE),"")</f>
        <v>Triazolam</v>
      </c>
      <c r="F7913" s="251" t="str">
        <f>IF(AND(A7913&lt;&gt;"",ISNUMBER(A7913)),VLOOKUP(A7913,Studies!A:BR,6,FALSE),"")</f>
        <v>Plasma</v>
      </c>
      <c r="G7913" s="194">
        <v>73.67</v>
      </c>
      <c r="H7913" s="194" t="s">
        <v>60</v>
      </c>
      <c r="I7913" s="187">
        <v>0.96620519999999999</v>
      </c>
      <c r="J7913" s="187" t="s">
        <v>941</v>
      </c>
      <c r="K7913" s="187" t="s">
        <v>335</v>
      </c>
      <c r="M7913" s="195"/>
      <c r="N7913" s="195"/>
      <c r="O7913" s="59">
        <v>0.2</v>
      </c>
    </row>
    <row r="7914" spans="1:15" x14ac:dyDescent="0.2">
      <c r="A7914" s="30">
        <v>1029</v>
      </c>
      <c r="B7914" s="249" t="str">
        <f>IF(AND(A7914&lt;&gt;"",ISNUMBER(A7914)),VLOOKUP(A7914,Studies!A:BR,2,FALSE),"")</f>
        <v>Varhe 1994</v>
      </c>
      <c r="C7914" s="250" t="str">
        <f>IF(AND(A7914&lt;&gt;"",ISNUMBER(A7914)),VLOOKUP(A7914,Studies!A:BR,3,FALSE),"")</f>
        <v>https://www.ncbi.nlm.nih.gov/pubmed/7995001</v>
      </c>
      <c r="D7914" s="250" t="str">
        <f>IF(AND(A7914&lt;&gt;"",ISNUMBER(A7914)),VLOOKUP(A7914,Studies!A:BR,4,FALSE),"")</f>
        <v>Triazolam with Itraconazole</v>
      </c>
      <c r="E7914" s="250" t="str">
        <f>IF(AND(A7914&lt;&gt;"",ISNUMBER(A7914)),VLOOKUP(A7914,Studies!A:BR,5,FALSE),"")</f>
        <v>Triazolam</v>
      </c>
      <c r="F7914" s="251" t="str">
        <f>IF(AND(A7914&lt;&gt;"",ISNUMBER(A7914)),VLOOKUP(A7914,Studies!A:BR,6,FALSE),"")</f>
        <v>Plasma</v>
      </c>
      <c r="G7914" s="194">
        <v>74</v>
      </c>
      <c r="H7914" s="194" t="s">
        <v>60</v>
      </c>
      <c r="I7914" s="187">
        <v>1.8803540000000001</v>
      </c>
      <c r="J7914" s="187" t="s">
        <v>941</v>
      </c>
      <c r="K7914" s="187" t="s">
        <v>335</v>
      </c>
      <c r="M7914" s="195"/>
      <c r="N7914" s="195"/>
      <c r="O7914" s="59">
        <v>0.2</v>
      </c>
    </row>
    <row r="7915" spans="1:15" x14ac:dyDescent="0.2">
      <c r="A7915" s="183">
        <v>1029</v>
      </c>
      <c r="B7915" s="249" t="str">
        <f>IF(AND(A7915&lt;&gt;"",ISNUMBER(A7915)),VLOOKUP(A7915,Studies!A:BR,2,FALSE),"")</f>
        <v>Varhe 1994</v>
      </c>
      <c r="C7915" s="250" t="str">
        <f>IF(AND(A7915&lt;&gt;"",ISNUMBER(A7915)),VLOOKUP(A7915,Studies!A:BR,3,FALSE),"")</f>
        <v>https://www.ncbi.nlm.nih.gov/pubmed/7995001</v>
      </c>
      <c r="D7915" s="250" t="str">
        <f>IF(AND(A7915&lt;&gt;"",ISNUMBER(A7915)),VLOOKUP(A7915,Studies!A:BR,4,FALSE),"")</f>
        <v>Triazolam with Itraconazole</v>
      </c>
      <c r="E7915" s="250" t="str">
        <f>IF(AND(A7915&lt;&gt;"",ISNUMBER(A7915)),VLOOKUP(A7915,Studies!A:BR,5,FALSE),"")</f>
        <v>Triazolam</v>
      </c>
      <c r="F7915" s="251" t="str">
        <f>IF(AND(A7915&lt;&gt;"",ISNUMBER(A7915)),VLOOKUP(A7915,Studies!A:BR,6,FALSE),"")</f>
        <v>Plasma</v>
      </c>
      <c r="G7915" s="194">
        <v>74.5</v>
      </c>
      <c r="H7915" s="194" t="s">
        <v>60</v>
      </c>
      <c r="I7915" s="187">
        <v>2.8377620000000001</v>
      </c>
      <c r="J7915" s="187" t="s">
        <v>941</v>
      </c>
      <c r="K7915" s="187" t="s">
        <v>335</v>
      </c>
      <c r="M7915" s="195"/>
      <c r="N7915" s="195"/>
      <c r="O7915" s="59">
        <v>0.2</v>
      </c>
    </row>
    <row r="7916" spans="1:15" x14ac:dyDescent="0.2">
      <c r="A7916" s="183">
        <v>1029</v>
      </c>
      <c r="B7916" s="249" t="str">
        <f>IF(AND(A7916&lt;&gt;"",ISNUMBER(A7916)),VLOOKUP(A7916,Studies!A:BR,2,FALSE),"")</f>
        <v>Varhe 1994</v>
      </c>
      <c r="C7916" s="250" t="str">
        <f>IF(AND(A7916&lt;&gt;"",ISNUMBER(A7916)),VLOOKUP(A7916,Studies!A:BR,3,FALSE),"")</f>
        <v>https://www.ncbi.nlm.nih.gov/pubmed/7995001</v>
      </c>
      <c r="D7916" s="250" t="str">
        <f>IF(AND(A7916&lt;&gt;"",ISNUMBER(A7916)),VLOOKUP(A7916,Studies!A:BR,4,FALSE),"")</f>
        <v>Triazolam with Itraconazole</v>
      </c>
      <c r="E7916" s="250" t="str">
        <f>IF(AND(A7916&lt;&gt;"",ISNUMBER(A7916)),VLOOKUP(A7916,Studies!A:BR,5,FALSE),"")</f>
        <v>Triazolam</v>
      </c>
      <c r="F7916" s="251" t="str">
        <f>IF(AND(A7916&lt;&gt;"",ISNUMBER(A7916)),VLOOKUP(A7916,Studies!A:BR,6,FALSE),"")</f>
        <v>Plasma</v>
      </c>
      <c r="G7916" s="194">
        <v>75</v>
      </c>
      <c r="H7916" s="194" t="s">
        <v>60</v>
      </c>
      <c r="I7916" s="187">
        <v>3.3210510000000002</v>
      </c>
      <c r="J7916" s="187" t="s">
        <v>941</v>
      </c>
      <c r="K7916" s="187" t="s">
        <v>335</v>
      </c>
      <c r="M7916" s="195"/>
      <c r="N7916" s="195"/>
      <c r="O7916" s="59">
        <v>0.2</v>
      </c>
    </row>
    <row r="7917" spans="1:15" x14ac:dyDescent="0.2">
      <c r="A7917" s="183">
        <v>1029</v>
      </c>
      <c r="B7917" s="249" t="str">
        <f>IF(AND(A7917&lt;&gt;"",ISNUMBER(A7917)),VLOOKUP(A7917,Studies!A:BR,2,FALSE),"")</f>
        <v>Varhe 1994</v>
      </c>
      <c r="C7917" s="250" t="str">
        <f>IF(AND(A7917&lt;&gt;"",ISNUMBER(A7917)),VLOOKUP(A7917,Studies!A:BR,3,FALSE),"")</f>
        <v>https://www.ncbi.nlm.nih.gov/pubmed/7995001</v>
      </c>
      <c r="D7917" s="250" t="str">
        <f>IF(AND(A7917&lt;&gt;"",ISNUMBER(A7917)),VLOOKUP(A7917,Studies!A:BR,4,FALSE),"")</f>
        <v>Triazolam with Itraconazole</v>
      </c>
      <c r="E7917" s="250" t="str">
        <f>IF(AND(A7917&lt;&gt;"",ISNUMBER(A7917)),VLOOKUP(A7917,Studies!A:BR,5,FALSE),"")</f>
        <v>Triazolam</v>
      </c>
      <c r="F7917" s="251" t="str">
        <f>IF(AND(A7917&lt;&gt;"",ISNUMBER(A7917)),VLOOKUP(A7917,Studies!A:BR,6,FALSE),"")</f>
        <v>Plasma</v>
      </c>
      <c r="G7917" s="194">
        <v>75.5</v>
      </c>
      <c r="H7917" s="194" t="s">
        <v>60</v>
      </c>
      <c r="I7917" s="187">
        <v>3.7439740000000001</v>
      </c>
      <c r="J7917" s="187" t="s">
        <v>941</v>
      </c>
      <c r="K7917" s="187" t="s">
        <v>335</v>
      </c>
      <c r="M7917" s="195"/>
      <c r="N7917" s="195"/>
      <c r="O7917" s="59">
        <v>0.2</v>
      </c>
    </row>
    <row r="7918" spans="1:15" x14ac:dyDescent="0.2">
      <c r="A7918" s="183">
        <v>1029</v>
      </c>
      <c r="B7918" s="249" t="str">
        <f>IF(AND(A7918&lt;&gt;"",ISNUMBER(A7918)),VLOOKUP(A7918,Studies!A:BR,2,FALSE),"")</f>
        <v>Varhe 1994</v>
      </c>
      <c r="C7918" s="250" t="str">
        <f>IF(AND(A7918&lt;&gt;"",ISNUMBER(A7918)),VLOOKUP(A7918,Studies!A:BR,3,FALSE),"")</f>
        <v>https://www.ncbi.nlm.nih.gov/pubmed/7995001</v>
      </c>
      <c r="D7918" s="250" t="str">
        <f>IF(AND(A7918&lt;&gt;"",ISNUMBER(A7918)),VLOOKUP(A7918,Studies!A:BR,4,FALSE),"")</f>
        <v>Triazolam with Itraconazole</v>
      </c>
      <c r="E7918" s="250" t="str">
        <f>IF(AND(A7918&lt;&gt;"",ISNUMBER(A7918)),VLOOKUP(A7918,Studies!A:BR,5,FALSE),"")</f>
        <v>Triazolam</v>
      </c>
      <c r="F7918" s="251" t="str">
        <f>IF(AND(A7918&lt;&gt;"",ISNUMBER(A7918)),VLOOKUP(A7918,Studies!A:BR,6,FALSE),"")</f>
        <v>Plasma</v>
      </c>
      <c r="G7918" s="194">
        <v>76</v>
      </c>
      <c r="H7918" s="194" t="s">
        <v>60</v>
      </c>
      <c r="I7918" s="187">
        <v>3.847912</v>
      </c>
      <c r="J7918" s="187" t="s">
        <v>941</v>
      </c>
      <c r="K7918" s="187" t="s">
        <v>335</v>
      </c>
      <c r="M7918" s="195"/>
      <c r="N7918" s="195"/>
      <c r="O7918" s="59">
        <v>0.2</v>
      </c>
    </row>
    <row r="7919" spans="1:15" x14ac:dyDescent="0.2">
      <c r="A7919" s="183">
        <v>1029</v>
      </c>
      <c r="B7919" s="249" t="str">
        <f>IF(AND(A7919&lt;&gt;"",ISNUMBER(A7919)),VLOOKUP(A7919,Studies!A:BR,2,FALSE),"")</f>
        <v>Varhe 1994</v>
      </c>
      <c r="C7919" s="250" t="str">
        <f>IF(AND(A7919&lt;&gt;"",ISNUMBER(A7919)),VLOOKUP(A7919,Studies!A:BR,3,FALSE),"")</f>
        <v>https://www.ncbi.nlm.nih.gov/pubmed/7995001</v>
      </c>
      <c r="D7919" s="250" t="str">
        <f>IF(AND(A7919&lt;&gt;"",ISNUMBER(A7919)),VLOOKUP(A7919,Studies!A:BR,4,FALSE),"")</f>
        <v>Triazolam with Itraconazole</v>
      </c>
      <c r="E7919" s="250" t="str">
        <f>IF(AND(A7919&lt;&gt;"",ISNUMBER(A7919)),VLOOKUP(A7919,Studies!A:BR,5,FALSE),"")</f>
        <v>Triazolam</v>
      </c>
      <c r="F7919" s="251" t="str">
        <f>IF(AND(A7919&lt;&gt;"",ISNUMBER(A7919)),VLOOKUP(A7919,Studies!A:BR,6,FALSE),"")</f>
        <v>Plasma</v>
      </c>
      <c r="G7919" s="194">
        <v>77</v>
      </c>
      <c r="H7919" s="194" t="s">
        <v>60</v>
      </c>
      <c r="I7919" s="187">
        <v>3.9954999999999998</v>
      </c>
      <c r="J7919" s="187" t="s">
        <v>941</v>
      </c>
      <c r="K7919" s="187" t="s">
        <v>335</v>
      </c>
      <c r="M7919" s="195"/>
      <c r="N7919" s="195"/>
      <c r="O7919" s="59">
        <v>0.2</v>
      </c>
    </row>
    <row r="7920" spans="1:15" x14ac:dyDescent="0.2">
      <c r="A7920" s="183">
        <v>1029</v>
      </c>
      <c r="B7920" s="249" t="str">
        <f>IF(AND(A7920&lt;&gt;"",ISNUMBER(A7920)),VLOOKUP(A7920,Studies!A:BR,2,FALSE),"")</f>
        <v>Varhe 1994</v>
      </c>
      <c r="C7920" s="250" t="str">
        <f>IF(AND(A7920&lt;&gt;"",ISNUMBER(A7920)),VLOOKUP(A7920,Studies!A:BR,3,FALSE),"")</f>
        <v>https://www.ncbi.nlm.nih.gov/pubmed/7995001</v>
      </c>
      <c r="D7920" s="250" t="str">
        <f>IF(AND(A7920&lt;&gt;"",ISNUMBER(A7920)),VLOOKUP(A7920,Studies!A:BR,4,FALSE),"")</f>
        <v>Triazolam with Itraconazole</v>
      </c>
      <c r="E7920" s="250" t="str">
        <f>IF(AND(A7920&lt;&gt;"",ISNUMBER(A7920)),VLOOKUP(A7920,Studies!A:BR,5,FALSE),"")</f>
        <v>Triazolam</v>
      </c>
      <c r="F7920" s="251" t="str">
        <f>IF(AND(A7920&lt;&gt;"",ISNUMBER(A7920)),VLOOKUP(A7920,Studies!A:BR,6,FALSE),"")</f>
        <v>Plasma</v>
      </c>
      <c r="G7920" s="194">
        <v>78</v>
      </c>
      <c r="H7920" s="194" t="s">
        <v>60</v>
      </c>
      <c r="I7920" s="187">
        <v>3.7034120000000001</v>
      </c>
      <c r="J7920" s="187" t="s">
        <v>941</v>
      </c>
      <c r="K7920" s="187" t="s">
        <v>335</v>
      </c>
      <c r="M7920" s="195"/>
      <c r="N7920" s="195"/>
      <c r="O7920" s="59">
        <v>0.2</v>
      </c>
    </row>
    <row r="7921" spans="1:16" x14ac:dyDescent="0.2">
      <c r="A7921" s="183">
        <v>1029</v>
      </c>
      <c r="B7921" s="249" t="str">
        <f>IF(AND(A7921&lt;&gt;"",ISNUMBER(A7921)),VLOOKUP(A7921,Studies!A:BR,2,FALSE),"")</f>
        <v>Varhe 1994</v>
      </c>
      <c r="C7921" s="250" t="str">
        <f>IF(AND(A7921&lt;&gt;"",ISNUMBER(A7921)),VLOOKUP(A7921,Studies!A:BR,3,FALSE),"")</f>
        <v>https://www.ncbi.nlm.nih.gov/pubmed/7995001</v>
      </c>
      <c r="D7921" s="250" t="str">
        <f>IF(AND(A7921&lt;&gt;"",ISNUMBER(A7921)),VLOOKUP(A7921,Studies!A:BR,4,FALSE),"")</f>
        <v>Triazolam with Itraconazole</v>
      </c>
      <c r="E7921" s="250" t="str">
        <f>IF(AND(A7921&lt;&gt;"",ISNUMBER(A7921)),VLOOKUP(A7921,Studies!A:BR,5,FALSE),"")</f>
        <v>Triazolam</v>
      </c>
      <c r="F7921" s="251" t="str">
        <f>IF(AND(A7921&lt;&gt;"",ISNUMBER(A7921)),VLOOKUP(A7921,Studies!A:BR,6,FALSE),"")</f>
        <v>Plasma</v>
      </c>
      <c r="G7921" s="194">
        <v>79</v>
      </c>
      <c r="H7921" s="194" t="s">
        <v>60</v>
      </c>
      <c r="I7921" s="187">
        <v>3.5750980000000001</v>
      </c>
      <c r="J7921" s="187" t="s">
        <v>941</v>
      </c>
      <c r="K7921" s="187" t="s">
        <v>335</v>
      </c>
      <c r="M7921" s="195"/>
      <c r="N7921" s="195"/>
      <c r="O7921" s="59">
        <v>0.2</v>
      </c>
    </row>
    <row r="7922" spans="1:16" x14ac:dyDescent="0.2">
      <c r="A7922" s="183">
        <v>1029</v>
      </c>
      <c r="B7922" s="249" t="str">
        <f>IF(AND(A7922&lt;&gt;"",ISNUMBER(A7922)),VLOOKUP(A7922,Studies!A:BR,2,FALSE),"")</f>
        <v>Varhe 1994</v>
      </c>
      <c r="C7922" s="250" t="str">
        <f>IF(AND(A7922&lt;&gt;"",ISNUMBER(A7922)),VLOOKUP(A7922,Studies!A:BR,3,FALSE),"")</f>
        <v>https://www.ncbi.nlm.nih.gov/pubmed/7995001</v>
      </c>
      <c r="D7922" s="250" t="str">
        <f>IF(AND(A7922&lt;&gt;"",ISNUMBER(A7922)),VLOOKUP(A7922,Studies!A:BR,4,FALSE),"")</f>
        <v>Triazolam with Itraconazole</v>
      </c>
      <c r="E7922" s="250" t="str">
        <f>IF(AND(A7922&lt;&gt;"",ISNUMBER(A7922)),VLOOKUP(A7922,Studies!A:BR,5,FALSE),"")</f>
        <v>Triazolam</v>
      </c>
      <c r="F7922" s="251" t="str">
        <f>IF(AND(A7922&lt;&gt;"",ISNUMBER(A7922)),VLOOKUP(A7922,Studies!A:BR,6,FALSE),"")</f>
        <v>Plasma</v>
      </c>
      <c r="G7922" s="194">
        <v>80</v>
      </c>
      <c r="H7922" s="194" t="s">
        <v>60</v>
      </c>
      <c r="I7922" s="187">
        <v>3.4209610000000001</v>
      </c>
      <c r="J7922" s="187" t="s">
        <v>941</v>
      </c>
      <c r="K7922" s="187" t="s">
        <v>335</v>
      </c>
      <c r="M7922" s="195"/>
      <c r="N7922" s="195"/>
      <c r="O7922" s="59">
        <v>0.2</v>
      </c>
    </row>
    <row r="7923" spans="1:16" x14ac:dyDescent="0.2">
      <c r="A7923" s="183">
        <v>1029</v>
      </c>
      <c r="B7923" s="249" t="str">
        <f>IF(AND(A7923&lt;&gt;"",ISNUMBER(A7923)),VLOOKUP(A7923,Studies!A:BR,2,FALSE),"")</f>
        <v>Varhe 1994</v>
      </c>
      <c r="C7923" s="250" t="str">
        <f>IF(AND(A7923&lt;&gt;"",ISNUMBER(A7923)),VLOOKUP(A7923,Studies!A:BR,3,FALSE),"")</f>
        <v>https://www.ncbi.nlm.nih.gov/pubmed/7995001</v>
      </c>
      <c r="D7923" s="250" t="str">
        <f>IF(AND(A7923&lt;&gt;"",ISNUMBER(A7923)),VLOOKUP(A7923,Studies!A:BR,4,FALSE),"")</f>
        <v>Triazolam with Itraconazole</v>
      </c>
      <c r="E7923" s="250" t="str">
        <f>IF(AND(A7923&lt;&gt;"",ISNUMBER(A7923)),VLOOKUP(A7923,Studies!A:BR,5,FALSE),"")</f>
        <v>Triazolam</v>
      </c>
      <c r="F7923" s="251" t="str">
        <f>IF(AND(A7923&lt;&gt;"",ISNUMBER(A7923)),VLOOKUP(A7923,Studies!A:BR,6,FALSE),"")</f>
        <v>Plasma</v>
      </c>
      <c r="G7923" s="194">
        <v>90</v>
      </c>
      <c r="H7923" s="194" t="s">
        <v>60</v>
      </c>
      <c r="I7923" s="187">
        <v>2.4655459999999998</v>
      </c>
      <c r="J7923" s="187" t="s">
        <v>941</v>
      </c>
      <c r="K7923" s="187" t="s">
        <v>335</v>
      </c>
      <c r="M7923" s="195"/>
      <c r="N7923" s="195"/>
      <c r="O7923" s="59">
        <v>0.2</v>
      </c>
    </row>
    <row r="7924" spans="1:16" x14ac:dyDescent="0.2">
      <c r="A7924" s="30">
        <v>1030</v>
      </c>
      <c r="B7924" s="249" t="str">
        <f>IF(AND(A7924&lt;&gt;"",ISNUMBER(A7924)),VLOOKUP(A7924,Studies!A:BR,2,FALSE),"")</f>
        <v>Varhe 1994</v>
      </c>
      <c r="C7924" s="250" t="str">
        <f>IF(AND(A7924&lt;&gt;"",ISNUMBER(A7924)),VLOOKUP(A7924,Studies!A:BR,3,FALSE),"")</f>
        <v>https://www.ncbi.nlm.nih.gov/pubmed/7995001</v>
      </c>
      <c r="D7924" s="250" t="str">
        <f>IF(AND(A7924&lt;&gt;"",ISNUMBER(A7924)),VLOOKUP(A7924,Studies!A:BR,4,FALSE),"")</f>
        <v>Ketoconazole on day 4</v>
      </c>
      <c r="E7924" s="250" t="str">
        <f>IF(AND(A7924&lt;&gt;"",ISNUMBER(A7924)),VLOOKUP(A7924,Studies!A:BR,5,FALSE),"")</f>
        <v>Ketoconazole</v>
      </c>
      <c r="F7924" s="251" t="str">
        <f>IF(AND(A7924&lt;&gt;"",ISNUMBER(A7924)),VLOOKUP(A7924,Studies!A:BR,6,FALSE),"")</f>
        <v>Plasma</v>
      </c>
      <c r="G7924" s="194">
        <v>2</v>
      </c>
      <c r="H7924" s="194" t="s">
        <v>60</v>
      </c>
      <c r="I7924" s="187">
        <v>6.2736499999999999</v>
      </c>
      <c r="J7924" s="187" t="s">
        <v>959</v>
      </c>
      <c r="K7924" s="187" t="s">
        <v>335</v>
      </c>
      <c r="O7924" s="59">
        <v>0.2</v>
      </c>
      <c r="P7924" s="42" t="s">
        <v>2637</v>
      </c>
    </row>
    <row r="7925" spans="1:16" x14ac:dyDescent="0.2">
      <c r="A7925" s="30">
        <v>1030</v>
      </c>
      <c r="B7925" s="249" t="str">
        <f>IF(AND(A7925&lt;&gt;"",ISNUMBER(A7925)),VLOOKUP(A7925,Studies!A:BR,2,FALSE),"")</f>
        <v>Varhe 1994</v>
      </c>
      <c r="C7925" s="250" t="str">
        <f>IF(AND(A7925&lt;&gt;"",ISNUMBER(A7925)),VLOOKUP(A7925,Studies!A:BR,3,FALSE),"")</f>
        <v>https://www.ncbi.nlm.nih.gov/pubmed/7995001</v>
      </c>
      <c r="D7925" s="250" t="str">
        <f>IF(AND(A7925&lt;&gt;"",ISNUMBER(A7925)),VLOOKUP(A7925,Studies!A:BR,4,FALSE),"")</f>
        <v>Ketoconazole on day 4</v>
      </c>
      <c r="E7925" s="250" t="str">
        <f>IF(AND(A7925&lt;&gt;"",ISNUMBER(A7925)),VLOOKUP(A7925,Studies!A:BR,5,FALSE),"")</f>
        <v>Ketoconazole</v>
      </c>
      <c r="F7925" s="251" t="str">
        <f>IF(AND(A7925&lt;&gt;"",ISNUMBER(A7925)),VLOOKUP(A7925,Studies!A:BR,6,FALSE),"")</f>
        <v>Plasma</v>
      </c>
      <c r="G7925" s="194">
        <v>3</v>
      </c>
      <c r="H7925" s="194" t="s">
        <v>60</v>
      </c>
      <c r="I7925" s="187">
        <v>6.8952400000000003</v>
      </c>
      <c r="J7925" s="187" t="s">
        <v>959</v>
      </c>
      <c r="K7925" s="187" t="s">
        <v>335</v>
      </c>
      <c r="M7925" s="195"/>
      <c r="N7925" s="195"/>
      <c r="O7925" s="59">
        <v>0.2</v>
      </c>
      <c r="P7925" s="42" t="s">
        <v>2637</v>
      </c>
    </row>
    <row r="7926" spans="1:16" x14ac:dyDescent="0.2">
      <c r="A7926" s="30">
        <v>1030</v>
      </c>
      <c r="B7926" s="249" t="str">
        <f>IF(AND(A7926&lt;&gt;"",ISNUMBER(A7926)),VLOOKUP(A7926,Studies!A:BR,2,FALSE),"")</f>
        <v>Varhe 1994</v>
      </c>
      <c r="C7926" s="250" t="str">
        <f>IF(AND(A7926&lt;&gt;"",ISNUMBER(A7926)),VLOOKUP(A7926,Studies!A:BR,3,FALSE),"")</f>
        <v>https://www.ncbi.nlm.nih.gov/pubmed/7995001</v>
      </c>
      <c r="D7926" s="250" t="str">
        <f>IF(AND(A7926&lt;&gt;"",ISNUMBER(A7926)),VLOOKUP(A7926,Studies!A:BR,4,FALSE),"")</f>
        <v>Ketoconazole on day 4</v>
      </c>
      <c r="E7926" s="250" t="str">
        <f>IF(AND(A7926&lt;&gt;"",ISNUMBER(A7926)),VLOOKUP(A7926,Studies!A:BR,5,FALSE),"")</f>
        <v>Ketoconazole</v>
      </c>
      <c r="F7926" s="251" t="str">
        <f>IF(AND(A7926&lt;&gt;"",ISNUMBER(A7926)),VLOOKUP(A7926,Studies!A:BR,6,FALSE),"")</f>
        <v>Plasma</v>
      </c>
      <c r="G7926" s="194">
        <v>5</v>
      </c>
      <c r="H7926" s="194" t="s">
        <v>60</v>
      </c>
      <c r="I7926" s="187">
        <v>5.8292900000000003</v>
      </c>
      <c r="J7926" s="187" t="s">
        <v>959</v>
      </c>
      <c r="K7926" s="187" t="s">
        <v>335</v>
      </c>
      <c r="M7926" s="195"/>
      <c r="N7926" s="195"/>
      <c r="O7926" s="59">
        <v>0.2</v>
      </c>
      <c r="P7926" s="42" t="s">
        <v>2637</v>
      </c>
    </row>
    <row r="7927" spans="1:16" x14ac:dyDescent="0.2">
      <c r="A7927" s="30">
        <v>1030</v>
      </c>
      <c r="B7927" s="249" t="str">
        <f>IF(AND(A7927&lt;&gt;"",ISNUMBER(A7927)),VLOOKUP(A7927,Studies!A:BR,2,FALSE),"")</f>
        <v>Varhe 1994</v>
      </c>
      <c r="C7927" s="250" t="str">
        <f>IF(AND(A7927&lt;&gt;"",ISNUMBER(A7927)),VLOOKUP(A7927,Studies!A:BR,3,FALSE),"")</f>
        <v>https://www.ncbi.nlm.nih.gov/pubmed/7995001</v>
      </c>
      <c r="D7927" s="250" t="str">
        <f>IF(AND(A7927&lt;&gt;"",ISNUMBER(A7927)),VLOOKUP(A7927,Studies!A:BR,4,FALSE),"")</f>
        <v>Ketoconazole on day 4</v>
      </c>
      <c r="E7927" s="250" t="str">
        <f>IF(AND(A7927&lt;&gt;"",ISNUMBER(A7927)),VLOOKUP(A7927,Studies!A:BR,5,FALSE),"")</f>
        <v>Ketoconazole</v>
      </c>
      <c r="F7927" s="251" t="str">
        <f>IF(AND(A7927&lt;&gt;"",ISNUMBER(A7927)),VLOOKUP(A7927,Studies!A:BR,6,FALSE),"")</f>
        <v>Plasma</v>
      </c>
      <c r="G7927" s="194">
        <v>8</v>
      </c>
      <c r="H7927" s="194" t="s">
        <v>60</v>
      </c>
      <c r="I7927" s="187">
        <v>3.1178599999999999</v>
      </c>
      <c r="J7927" s="187" t="s">
        <v>959</v>
      </c>
      <c r="K7927" s="187" t="s">
        <v>335</v>
      </c>
      <c r="M7927" s="195"/>
      <c r="N7927" s="195"/>
      <c r="O7927" s="59">
        <v>0.2</v>
      </c>
      <c r="P7927" s="42" t="s">
        <v>2637</v>
      </c>
    </row>
    <row r="7928" spans="1:16" x14ac:dyDescent="0.2">
      <c r="A7928" s="30">
        <v>1030</v>
      </c>
      <c r="B7928" s="249" t="str">
        <f>IF(AND(A7928&lt;&gt;"",ISNUMBER(A7928)),VLOOKUP(A7928,Studies!A:BR,2,FALSE),"")</f>
        <v>Varhe 1994</v>
      </c>
      <c r="C7928" s="250" t="str">
        <f>IF(AND(A7928&lt;&gt;"",ISNUMBER(A7928)),VLOOKUP(A7928,Studies!A:BR,3,FALSE),"")</f>
        <v>https://www.ncbi.nlm.nih.gov/pubmed/7995001</v>
      </c>
      <c r="D7928" s="250" t="str">
        <f>IF(AND(A7928&lt;&gt;"",ISNUMBER(A7928)),VLOOKUP(A7928,Studies!A:BR,4,FALSE),"")</f>
        <v>Ketoconazole on day 4</v>
      </c>
      <c r="E7928" s="250" t="str">
        <f>IF(AND(A7928&lt;&gt;"",ISNUMBER(A7928)),VLOOKUP(A7928,Studies!A:BR,5,FALSE),"")</f>
        <v>Ketoconazole</v>
      </c>
      <c r="F7928" s="251" t="str">
        <f>IF(AND(A7928&lt;&gt;"",ISNUMBER(A7928)),VLOOKUP(A7928,Studies!A:BR,6,FALSE),"")</f>
        <v>Plasma</v>
      </c>
      <c r="G7928" s="194">
        <v>18</v>
      </c>
      <c r="H7928" s="194" t="s">
        <v>60</v>
      </c>
      <c r="I7928" s="187">
        <v>0.48984759999999999</v>
      </c>
      <c r="J7928" s="187" t="s">
        <v>959</v>
      </c>
      <c r="K7928" s="187" t="s">
        <v>335</v>
      </c>
      <c r="M7928" s="195"/>
      <c r="N7928" s="195"/>
      <c r="O7928" s="59">
        <v>0.2</v>
      </c>
      <c r="P7928" s="42" t="s">
        <v>2637</v>
      </c>
    </row>
    <row r="7929" spans="1:16" x14ac:dyDescent="0.2">
      <c r="A7929" s="183">
        <v>1040</v>
      </c>
      <c r="B7929" s="249" t="str">
        <f>IF(AND(A7929&lt;&gt;"",ISNUMBER(A7929)),VLOOKUP(A7929,Studies!A:BR,2,FALSE),"")</f>
        <v>Varhe 1994</v>
      </c>
      <c r="C7929" s="250" t="str">
        <f>IF(AND(A7929&lt;&gt;"",ISNUMBER(A7929)),VLOOKUP(A7929,Studies!A:BR,3,FALSE),"")</f>
        <v>https://www.ncbi.nlm.nih.gov/pubmed/7995001</v>
      </c>
      <c r="D7929" s="250" t="str">
        <f>IF(AND(A7929&lt;&gt;"",ISNUMBER(A7929)),VLOOKUP(A7929,Studies!A:BR,4,FALSE),"")</f>
        <v>Itraconazole on day 4</v>
      </c>
      <c r="E7929" s="250" t="str">
        <f>IF(AND(A7929&lt;&gt;"",ISNUMBER(A7929)),VLOOKUP(A7929,Studies!A:BR,5,FALSE),"")</f>
        <v>Itraconazole</v>
      </c>
      <c r="F7929" s="251" t="str">
        <f>IF(AND(A7929&lt;&gt;"",ISNUMBER(A7929)),VLOOKUP(A7929,Studies!A:BR,6,FALSE),"")</f>
        <v>Plasma</v>
      </c>
      <c r="G7929" s="194">
        <v>2</v>
      </c>
      <c r="H7929" s="194" t="s">
        <v>60</v>
      </c>
      <c r="I7929" s="187">
        <v>0.23412849999999999</v>
      </c>
      <c r="J7929" s="187" t="s">
        <v>959</v>
      </c>
      <c r="K7929" s="187" t="s">
        <v>335</v>
      </c>
      <c r="M7929" s="195"/>
      <c r="N7929" s="195"/>
      <c r="O7929" s="59">
        <v>0.2</v>
      </c>
      <c r="P7929" s="42" t="s">
        <v>2637</v>
      </c>
    </row>
    <row r="7930" spans="1:16" x14ac:dyDescent="0.2">
      <c r="A7930" s="183">
        <v>1040</v>
      </c>
      <c r="B7930" s="249" t="str">
        <f>IF(AND(A7930&lt;&gt;"",ISNUMBER(A7930)),VLOOKUP(A7930,Studies!A:BR,2,FALSE),"")</f>
        <v>Varhe 1994</v>
      </c>
      <c r="C7930" s="250" t="str">
        <f>IF(AND(A7930&lt;&gt;"",ISNUMBER(A7930)),VLOOKUP(A7930,Studies!A:BR,3,FALSE),"")</f>
        <v>https://www.ncbi.nlm.nih.gov/pubmed/7995001</v>
      </c>
      <c r="D7930" s="250" t="str">
        <f>IF(AND(A7930&lt;&gt;"",ISNUMBER(A7930)),VLOOKUP(A7930,Studies!A:BR,4,FALSE),"")</f>
        <v>Itraconazole on day 4</v>
      </c>
      <c r="E7930" s="250" t="str">
        <f>IF(AND(A7930&lt;&gt;"",ISNUMBER(A7930)),VLOOKUP(A7930,Studies!A:BR,5,FALSE),"")</f>
        <v>Itraconazole</v>
      </c>
      <c r="F7930" s="251" t="str">
        <f>IF(AND(A7930&lt;&gt;"",ISNUMBER(A7930)),VLOOKUP(A7930,Studies!A:BR,6,FALSE),"")</f>
        <v>Plasma</v>
      </c>
      <c r="G7930" s="194">
        <v>3</v>
      </c>
      <c r="H7930" s="194" t="s">
        <v>60</v>
      </c>
      <c r="I7930" s="187">
        <v>0.28493540000000001</v>
      </c>
      <c r="J7930" s="187" t="s">
        <v>959</v>
      </c>
      <c r="K7930" s="187" t="s">
        <v>335</v>
      </c>
      <c r="M7930" s="195"/>
      <c r="N7930" s="195"/>
      <c r="O7930" s="59">
        <v>0.2</v>
      </c>
      <c r="P7930" s="42" t="s">
        <v>2637</v>
      </c>
    </row>
    <row r="7931" spans="1:16" x14ac:dyDescent="0.2">
      <c r="A7931" s="183">
        <v>1040</v>
      </c>
      <c r="B7931" s="249" t="str">
        <f>IF(AND(A7931&lt;&gt;"",ISNUMBER(A7931)),VLOOKUP(A7931,Studies!A:BR,2,FALSE),"")</f>
        <v>Varhe 1994</v>
      </c>
      <c r="C7931" s="250" t="str">
        <f>IF(AND(A7931&lt;&gt;"",ISNUMBER(A7931)),VLOOKUP(A7931,Studies!A:BR,3,FALSE),"")</f>
        <v>https://www.ncbi.nlm.nih.gov/pubmed/7995001</v>
      </c>
      <c r="D7931" s="250" t="str">
        <f>IF(AND(A7931&lt;&gt;"",ISNUMBER(A7931)),VLOOKUP(A7931,Studies!A:BR,4,FALSE),"")</f>
        <v>Itraconazole on day 4</v>
      </c>
      <c r="E7931" s="250" t="str">
        <f>IF(AND(A7931&lt;&gt;"",ISNUMBER(A7931)),VLOOKUP(A7931,Studies!A:BR,5,FALSE),"")</f>
        <v>Itraconazole</v>
      </c>
      <c r="F7931" s="251" t="str">
        <f>IF(AND(A7931&lt;&gt;"",ISNUMBER(A7931)),VLOOKUP(A7931,Studies!A:BR,6,FALSE),"")</f>
        <v>Plasma</v>
      </c>
      <c r="G7931" s="194">
        <v>5</v>
      </c>
      <c r="H7931" s="194" t="s">
        <v>60</v>
      </c>
      <c r="I7931" s="187">
        <v>0.28551700000000002</v>
      </c>
      <c r="J7931" s="187" t="s">
        <v>959</v>
      </c>
      <c r="K7931" s="187" t="s">
        <v>335</v>
      </c>
      <c r="M7931" s="195"/>
      <c r="N7931" s="195"/>
      <c r="O7931" s="59">
        <v>0.2</v>
      </c>
      <c r="P7931" s="42" t="s">
        <v>2637</v>
      </c>
    </row>
    <row r="7932" spans="1:16" x14ac:dyDescent="0.2">
      <c r="A7932" s="183">
        <v>1040</v>
      </c>
      <c r="B7932" s="249" t="str">
        <f>IF(AND(A7932&lt;&gt;"",ISNUMBER(A7932)),VLOOKUP(A7932,Studies!A:BR,2,FALSE),"")</f>
        <v>Varhe 1994</v>
      </c>
      <c r="C7932" s="250" t="str">
        <f>IF(AND(A7932&lt;&gt;"",ISNUMBER(A7932)),VLOOKUP(A7932,Studies!A:BR,3,FALSE),"")</f>
        <v>https://www.ncbi.nlm.nih.gov/pubmed/7995001</v>
      </c>
      <c r="D7932" s="250" t="str">
        <f>IF(AND(A7932&lt;&gt;"",ISNUMBER(A7932)),VLOOKUP(A7932,Studies!A:BR,4,FALSE),"")</f>
        <v>Itraconazole on day 4</v>
      </c>
      <c r="E7932" s="250" t="str">
        <f>IF(AND(A7932&lt;&gt;"",ISNUMBER(A7932)),VLOOKUP(A7932,Studies!A:BR,5,FALSE),"")</f>
        <v>Itraconazole</v>
      </c>
      <c r="F7932" s="251" t="str">
        <f>IF(AND(A7932&lt;&gt;"",ISNUMBER(A7932)),VLOOKUP(A7932,Studies!A:BR,6,FALSE),"")</f>
        <v>Plasma</v>
      </c>
      <c r="G7932" s="194">
        <v>8</v>
      </c>
      <c r="H7932" s="194" t="s">
        <v>60</v>
      </c>
      <c r="I7932" s="187">
        <v>0.22006239999999999</v>
      </c>
      <c r="J7932" s="187" t="s">
        <v>959</v>
      </c>
      <c r="K7932" s="187" t="s">
        <v>335</v>
      </c>
      <c r="M7932" s="195"/>
      <c r="N7932" s="195"/>
      <c r="O7932" s="59">
        <v>0.2</v>
      </c>
      <c r="P7932" s="42" t="s">
        <v>2637</v>
      </c>
    </row>
    <row r="7933" spans="1:16" x14ac:dyDescent="0.2">
      <c r="A7933" s="30">
        <v>1040</v>
      </c>
      <c r="B7933" s="249" t="str">
        <f>IF(AND(A7933&lt;&gt;"",ISNUMBER(A7933)),VLOOKUP(A7933,Studies!A:BR,2,FALSE),"")</f>
        <v>Varhe 1994</v>
      </c>
      <c r="C7933" s="250" t="str">
        <f>IF(AND(A7933&lt;&gt;"",ISNUMBER(A7933)),VLOOKUP(A7933,Studies!A:BR,3,FALSE),"")</f>
        <v>https://www.ncbi.nlm.nih.gov/pubmed/7995001</v>
      </c>
      <c r="D7933" s="250" t="str">
        <f>IF(AND(A7933&lt;&gt;"",ISNUMBER(A7933)),VLOOKUP(A7933,Studies!A:BR,4,FALSE),"")</f>
        <v>Itraconazole on day 4</v>
      </c>
      <c r="E7933" s="250" t="str">
        <f>IF(AND(A7933&lt;&gt;"",ISNUMBER(A7933)),VLOOKUP(A7933,Studies!A:BR,5,FALSE),"")</f>
        <v>Itraconazole</v>
      </c>
      <c r="F7933" s="251" t="str">
        <f>IF(AND(A7933&lt;&gt;"",ISNUMBER(A7933)),VLOOKUP(A7933,Studies!A:BR,6,FALSE),"")</f>
        <v>Plasma</v>
      </c>
      <c r="G7933" s="194">
        <v>18</v>
      </c>
      <c r="H7933" s="194" t="s">
        <v>60</v>
      </c>
      <c r="I7933" s="187">
        <v>0.15293699999999999</v>
      </c>
      <c r="J7933" s="187" t="s">
        <v>959</v>
      </c>
      <c r="K7933" s="187" t="s">
        <v>335</v>
      </c>
      <c r="M7933" s="195"/>
      <c r="N7933" s="195"/>
      <c r="O7933" s="59">
        <v>0.2</v>
      </c>
      <c r="P7933" s="42" t="s">
        <v>2637</v>
      </c>
    </row>
    <row r="7934" spans="1:16" x14ac:dyDescent="0.2">
      <c r="A7934" s="30">
        <v>1050</v>
      </c>
      <c r="B7934" s="249" t="str">
        <f>IF(AND(A7934&lt;&gt;"",ISNUMBER(A7934)),VLOOKUP(A7934,Studies!A:BR,2,FALSE),"")</f>
        <v>Varhe 1994</v>
      </c>
      <c r="C7934" s="250" t="str">
        <f>IF(AND(A7934&lt;&gt;"",ISNUMBER(A7934)),VLOOKUP(A7934,Studies!A:BR,3,FALSE),"")</f>
        <v>https://www.ncbi.nlm.nih.gov/pubmed/7995001</v>
      </c>
      <c r="D7934" s="250" t="str">
        <f>IF(AND(A7934&lt;&gt;"",ISNUMBER(A7934)),VLOOKUP(A7934,Studies!A:BR,4,FALSE),"")</f>
        <v>Triazolam with placebo Subject 1</v>
      </c>
      <c r="E7934" s="250" t="str">
        <f>IF(AND(A7934&lt;&gt;"",ISNUMBER(A7934)),VLOOKUP(A7934,Studies!A:BR,5,FALSE),"")</f>
        <v>Triazolam</v>
      </c>
      <c r="F7934" s="251" t="str">
        <f>IF(AND(A7934&lt;&gt;"",ISNUMBER(A7934)),VLOOKUP(A7934,Studies!A:BR,6,FALSE),"")</f>
        <v>Plasma</v>
      </c>
      <c r="G7934" s="194">
        <v>0.67</v>
      </c>
      <c r="H7934" s="194" t="s">
        <v>60</v>
      </c>
      <c r="I7934" s="187">
        <v>0.29478339999999997</v>
      </c>
      <c r="J7934" s="187" t="s">
        <v>941</v>
      </c>
      <c r="K7934" s="187" t="s">
        <v>239</v>
      </c>
      <c r="M7934" s="195"/>
      <c r="N7934" s="195"/>
      <c r="O7934" s="59">
        <v>0.2</v>
      </c>
      <c r="P7934" s="42" t="s">
        <v>2638</v>
      </c>
    </row>
    <row r="7935" spans="1:16" x14ac:dyDescent="0.2">
      <c r="A7935" s="30">
        <v>1050</v>
      </c>
      <c r="B7935" s="249" t="str">
        <f>IF(AND(A7935&lt;&gt;"",ISNUMBER(A7935)),VLOOKUP(A7935,Studies!A:BR,2,FALSE),"")</f>
        <v>Varhe 1994</v>
      </c>
      <c r="C7935" s="250" t="str">
        <f>IF(AND(A7935&lt;&gt;"",ISNUMBER(A7935)),VLOOKUP(A7935,Studies!A:BR,3,FALSE),"")</f>
        <v>https://www.ncbi.nlm.nih.gov/pubmed/7995001</v>
      </c>
      <c r="D7935" s="250" t="str">
        <f>IF(AND(A7935&lt;&gt;"",ISNUMBER(A7935)),VLOOKUP(A7935,Studies!A:BR,4,FALSE),"")</f>
        <v>Triazolam with placebo Subject 1</v>
      </c>
      <c r="E7935" s="250" t="str">
        <f>IF(AND(A7935&lt;&gt;"",ISNUMBER(A7935)),VLOOKUP(A7935,Studies!A:BR,5,FALSE),"")</f>
        <v>Triazolam</v>
      </c>
      <c r="F7935" s="251" t="str">
        <f>IF(AND(A7935&lt;&gt;"",ISNUMBER(A7935)),VLOOKUP(A7935,Studies!A:BR,6,FALSE),"")</f>
        <v>Plasma</v>
      </c>
      <c r="G7935" s="194">
        <v>1</v>
      </c>
      <c r="H7935" s="194" t="s">
        <v>60</v>
      </c>
      <c r="I7935" s="187">
        <v>0.88777569999999995</v>
      </c>
      <c r="J7935" s="187" t="s">
        <v>941</v>
      </c>
      <c r="K7935" s="187" t="s">
        <v>239</v>
      </c>
      <c r="M7935" s="195"/>
      <c r="N7935" s="195"/>
      <c r="O7935" s="59">
        <v>0.2</v>
      </c>
    </row>
    <row r="7936" spans="1:16" x14ac:dyDescent="0.2">
      <c r="A7936" s="183">
        <v>1050</v>
      </c>
      <c r="B7936" s="249" t="str">
        <f>IF(AND(A7936&lt;&gt;"",ISNUMBER(A7936)),VLOOKUP(A7936,Studies!A:BR,2,FALSE),"")</f>
        <v>Varhe 1994</v>
      </c>
      <c r="C7936" s="250" t="str">
        <f>IF(AND(A7936&lt;&gt;"",ISNUMBER(A7936)),VLOOKUP(A7936,Studies!A:BR,3,FALSE),"")</f>
        <v>https://www.ncbi.nlm.nih.gov/pubmed/7995001</v>
      </c>
      <c r="D7936" s="250" t="str">
        <f>IF(AND(A7936&lt;&gt;"",ISNUMBER(A7936)),VLOOKUP(A7936,Studies!A:BR,4,FALSE),"")</f>
        <v>Triazolam with placebo Subject 1</v>
      </c>
      <c r="E7936" s="250" t="str">
        <f>IF(AND(A7936&lt;&gt;"",ISNUMBER(A7936)),VLOOKUP(A7936,Studies!A:BR,5,FALSE),"")</f>
        <v>Triazolam</v>
      </c>
      <c r="F7936" s="251" t="str">
        <f>IF(AND(A7936&lt;&gt;"",ISNUMBER(A7936)),VLOOKUP(A7936,Studies!A:BR,6,FALSE),"")</f>
        <v>Plasma</v>
      </c>
      <c r="G7936" s="194">
        <v>1.5</v>
      </c>
      <c r="H7936" s="194" t="s">
        <v>60</v>
      </c>
      <c r="I7936" s="187">
        <v>1.076408</v>
      </c>
      <c r="J7936" s="187" t="s">
        <v>941</v>
      </c>
      <c r="K7936" s="187" t="s">
        <v>239</v>
      </c>
      <c r="M7936" s="195"/>
      <c r="N7936" s="195"/>
      <c r="O7936" s="59">
        <v>0.2</v>
      </c>
    </row>
    <row r="7937" spans="1:16" x14ac:dyDescent="0.2">
      <c r="A7937" s="183">
        <v>1050</v>
      </c>
      <c r="B7937" s="249" t="str">
        <f>IF(AND(A7937&lt;&gt;"",ISNUMBER(A7937)),VLOOKUP(A7937,Studies!A:BR,2,FALSE),"")</f>
        <v>Varhe 1994</v>
      </c>
      <c r="C7937" s="250" t="str">
        <f>IF(AND(A7937&lt;&gt;"",ISNUMBER(A7937)),VLOOKUP(A7937,Studies!A:BR,3,FALSE),"")</f>
        <v>https://www.ncbi.nlm.nih.gov/pubmed/7995001</v>
      </c>
      <c r="D7937" s="250" t="str">
        <f>IF(AND(A7937&lt;&gt;"",ISNUMBER(A7937)),VLOOKUP(A7937,Studies!A:BR,4,FALSE),"")</f>
        <v>Triazolam with placebo Subject 1</v>
      </c>
      <c r="E7937" s="250" t="str">
        <f>IF(AND(A7937&lt;&gt;"",ISNUMBER(A7937)),VLOOKUP(A7937,Studies!A:BR,5,FALSE),"")</f>
        <v>Triazolam</v>
      </c>
      <c r="F7937" s="251" t="str">
        <f>IF(AND(A7937&lt;&gt;"",ISNUMBER(A7937)),VLOOKUP(A7937,Studies!A:BR,6,FALSE),"")</f>
        <v>Plasma</v>
      </c>
      <c r="G7937" s="194">
        <v>2</v>
      </c>
      <c r="H7937" s="194" t="s">
        <v>60</v>
      </c>
      <c r="I7937" s="187">
        <v>1.076408</v>
      </c>
      <c r="J7937" s="187" t="s">
        <v>941</v>
      </c>
      <c r="K7937" s="187" t="s">
        <v>239</v>
      </c>
      <c r="M7937" s="195"/>
      <c r="N7937" s="195"/>
      <c r="O7937" s="59">
        <v>0.2</v>
      </c>
    </row>
    <row r="7938" spans="1:16" x14ac:dyDescent="0.2">
      <c r="A7938" s="183">
        <v>1050</v>
      </c>
      <c r="B7938" s="249" t="str">
        <f>IF(AND(A7938&lt;&gt;"",ISNUMBER(A7938)),VLOOKUP(A7938,Studies!A:BR,2,FALSE),"")</f>
        <v>Varhe 1994</v>
      </c>
      <c r="C7938" s="250" t="str">
        <f>IF(AND(A7938&lt;&gt;"",ISNUMBER(A7938)),VLOOKUP(A7938,Studies!A:BR,3,FALSE),"")</f>
        <v>https://www.ncbi.nlm.nih.gov/pubmed/7995001</v>
      </c>
      <c r="D7938" s="250" t="str">
        <f>IF(AND(A7938&lt;&gt;"",ISNUMBER(A7938)),VLOOKUP(A7938,Studies!A:BR,4,FALSE),"")</f>
        <v>Triazolam with placebo Subject 1</v>
      </c>
      <c r="E7938" s="250" t="str">
        <f>IF(AND(A7938&lt;&gt;"",ISNUMBER(A7938)),VLOOKUP(A7938,Studies!A:BR,5,FALSE),"")</f>
        <v>Triazolam</v>
      </c>
      <c r="F7938" s="251" t="str">
        <f>IF(AND(A7938&lt;&gt;"",ISNUMBER(A7938)),VLOOKUP(A7938,Studies!A:BR,6,FALSE),"")</f>
        <v>Plasma</v>
      </c>
      <c r="G7938" s="194">
        <v>2.5</v>
      </c>
      <c r="H7938" s="194" t="s">
        <v>60</v>
      </c>
      <c r="I7938" s="187">
        <v>0.94666110000000003</v>
      </c>
      <c r="J7938" s="187" t="s">
        <v>941</v>
      </c>
      <c r="K7938" s="187" t="s">
        <v>239</v>
      </c>
      <c r="M7938" s="195"/>
      <c r="N7938" s="195"/>
      <c r="O7938" s="59">
        <v>0.2</v>
      </c>
    </row>
    <row r="7939" spans="1:16" x14ac:dyDescent="0.2">
      <c r="A7939" s="183">
        <v>1050</v>
      </c>
      <c r="B7939" s="249" t="str">
        <f>IF(AND(A7939&lt;&gt;"",ISNUMBER(A7939)),VLOOKUP(A7939,Studies!A:BR,2,FALSE),"")</f>
        <v>Varhe 1994</v>
      </c>
      <c r="C7939" s="250" t="str">
        <f>IF(AND(A7939&lt;&gt;"",ISNUMBER(A7939)),VLOOKUP(A7939,Studies!A:BR,3,FALSE),"")</f>
        <v>https://www.ncbi.nlm.nih.gov/pubmed/7995001</v>
      </c>
      <c r="D7939" s="250" t="str">
        <f>IF(AND(A7939&lt;&gt;"",ISNUMBER(A7939)),VLOOKUP(A7939,Studies!A:BR,4,FALSE),"")</f>
        <v>Triazolam with placebo Subject 1</v>
      </c>
      <c r="E7939" s="250" t="str">
        <f>IF(AND(A7939&lt;&gt;"",ISNUMBER(A7939)),VLOOKUP(A7939,Studies!A:BR,5,FALSE),"")</f>
        <v>Triazolam</v>
      </c>
      <c r="F7939" s="251" t="str">
        <f>IF(AND(A7939&lt;&gt;"",ISNUMBER(A7939)),VLOOKUP(A7939,Studies!A:BR,6,FALSE),"")</f>
        <v>Plasma</v>
      </c>
      <c r="G7939" s="194">
        <v>3</v>
      </c>
      <c r="H7939" s="194" t="s">
        <v>60</v>
      </c>
      <c r="I7939" s="187">
        <v>0.85972119999999996</v>
      </c>
      <c r="J7939" s="187" t="s">
        <v>941</v>
      </c>
      <c r="K7939" s="187" t="s">
        <v>239</v>
      </c>
      <c r="M7939" s="195"/>
      <c r="N7939" s="195"/>
      <c r="O7939" s="59">
        <v>0.2</v>
      </c>
    </row>
    <row r="7940" spans="1:16" x14ac:dyDescent="0.2">
      <c r="A7940" s="183">
        <v>1050</v>
      </c>
      <c r="B7940" s="249" t="str">
        <f>IF(AND(A7940&lt;&gt;"",ISNUMBER(A7940)),VLOOKUP(A7940,Studies!A:BR,2,FALSE),"")</f>
        <v>Varhe 1994</v>
      </c>
      <c r="C7940" s="250" t="str">
        <f>IF(AND(A7940&lt;&gt;"",ISNUMBER(A7940)),VLOOKUP(A7940,Studies!A:BR,3,FALSE),"")</f>
        <v>https://www.ncbi.nlm.nih.gov/pubmed/7995001</v>
      </c>
      <c r="D7940" s="250" t="str">
        <f>IF(AND(A7940&lt;&gt;"",ISNUMBER(A7940)),VLOOKUP(A7940,Studies!A:BR,4,FALSE),"")</f>
        <v>Triazolam with placebo Subject 1</v>
      </c>
      <c r="E7940" s="250" t="str">
        <f>IF(AND(A7940&lt;&gt;"",ISNUMBER(A7940)),VLOOKUP(A7940,Studies!A:BR,5,FALSE),"")</f>
        <v>Triazolam</v>
      </c>
      <c r="F7940" s="251" t="str">
        <f>IF(AND(A7940&lt;&gt;"",ISNUMBER(A7940)),VLOOKUP(A7940,Studies!A:BR,6,FALSE),"")</f>
        <v>Plasma</v>
      </c>
      <c r="G7940" s="194">
        <v>4</v>
      </c>
      <c r="H7940" s="194" t="s">
        <v>60</v>
      </c>
      <c r="I7940" s="187">
        <v>0.59109670000000003</v>
      </c>
      <c r="J7940" s="187" t="s">
        <v>941</v>
      </c>
      <c r="K7940" s="187" t="s">
        <v>239</v>
      </c>
      <c r="M7940" s="195"/>
      <c r="N7940" s="195"/>
      <c r="O7940" s="59">
        <v>0.2</v>
      </c>
    </row>
    <row r="7941" spans="1:16" x14ac:dyDescent="0.2">
      <c r="A7941" s="183">
        <v>1050</v>
      </c>
      <c r="B7941" s="249" t="str">
        <f>IF(AND(A7941&lt;&gt;"",ISNUMBER(A7941)),VLOOKUP(A7941,Studies!A:BR,2,FALSE),"")</f>
        <v>Varhe 1994</v>
      </c>
      <c r="C7941" s="250" t="str">
        <f>IF(AND(A7941&lt;&gt;"",ISNUMBER(A7941)),VLOOKUP(A7941,Studies!A:BR,3,FALSE),"")</f>
        <v>https://www.ncbi.nlm.nih.gov/pubmed/7995001</v>
      </c>
      <c r="D7941" s="250" t="str">
        <f>IF(AND(A7941&lt;&gt;"",ISNUMBER(A7941)),VLOOKUP(A7941,Studies!A:BR,4,FALSE),"")</f>
        <v>Triazolam with placebo Subject 1</v>
      </c>
      <c r="E7941" s="250" t="str">
        <f>IF(AND(A7941&lt;&gt;"",ISNUMBER(A7941)),VLOOKUP(A7941,Studies!A:BR,5,FALSE),"")</f>
        <v>Triazolam</v>
      </c>
      <c r="F7941" s="251" t="str">
        <f>IF(AND(A7941&lt;&gt;"",ISNUMBER(A7941)),VLOOKUP(A7941,Studies!A:BR,6,FALSE),"")</f>
        <v>Plasma</v>
      </c>
      <c r="G7941" s="194">
        <v>5</v>
      </c>
      <c r="H7941" s="194" t="s">
        <v>60</v>
      </c>
      <c r="I7941" s="187">
        <v>0.29478339999999997</v>
      </c>
      <c r="J7941" s="187" t="s">
        <v>941</v>
      </c>
      <c r="K7941" s="187" t="s">
        <v>239</v>
      </c>
      <c r="M7941" s="195"/>
      <c r="N7941" s="195"/>
      <c r="O7941" s="59">
        <v>0.2</v>
      </c>
    </row>
    <row r="7942" spans="1:16" x14ac:dyDescent="0.2">
      <c r="A7942" s="183">
        <v>1050</v>
      </c>
      <c r="B7942" s="249" t="str">
        <f>IF(AND(A7942&lt;&gt;"",ISNUMBER(A7942)),VLOOKUP(A7942,Studies!A:BR,2,FALSE),"")</f>
        <v>Varhe 1994</v>
      </c>
      <c r="C7942" s="250" t="str">
        <f>IF(AND(A7942&lt;&gt;"",ISNUMBER(A7942)),VLOOKUP(A7942,Studies!A:BR,3,FALSE),"")</f>
        <v>https://www.ncbi.nlm.nih.gov/pubmed/7995001</v>
      </c>
      <c r="D7942" s="250" t="str">
        <f>IF(AND(A7942&lt;&gt;"",ISNUMBER(A7942)),VLOOKUP(A7942,Studies!A:BR,4,FALSE),"")</f>
        <v>Triazolam with placebo Subject 1</v>
      </c>
      <c r="E7942" s="250" t="str">
        <f>IF(AND(A7942&lt;&gt;"",ISNUMBER(A7942)),VLOOKUP(A7942,Studies!A:BR,5,FALSE),"")</f>
        <v>Triazolam</v>
      </c>
      <c r="F7942" s="251" t="str">
        <f>IF(AND(A7942&lt;&gt;"",ISNUMBER(A7942)),VLOOKUP(A7942,Studies!A:BR,6,FALSE),"")</f>
        <v>Plasma</v>
      </c>
      <c r="G7942" s="194">
        <v>6</v>
      </c>
      <c r="H7942" s="194" t="s">
        <v>60</v>
      </c>
      <c r="I7942" s="187">
        <v>0.29478339999999997</v>
      </c>
      <c r="J7942" s="187" t="s">
        <v>941</v>
      </c>
      <c r="K7942" s="187" t="s">
        <v>239</v>
      </c>
      <c r="M7942" s="195"/>
      <c r="N7942" s="195"/>
      <c r="O7942" s="59">
        <v>0.2</v>
      </c>
    </row>
    <row r="7943" spans="1:16" x14ac:dyDescent="0.2">
      <c r="A7943" s="30">
        <v>1051</v>
      </c>
      <c r="B7943" s="249" t="str">
        <f>IF(AND(A7943&lt;&gt;"",ISNUMBER(A7943)),VLOOKUP(A7943,Studies!A:BR,2,FALSE),"")</f>
        <v>Varhe 1994</v>
      </c>
      <c r="C7943" s="250" t="str">
        <f>IF(AND(A7943&lt;&gt;"",ISNUMBER(A7943)),VLOOKUP(A7943,Studies!A:BR,3,FALSE),"")</f>
        <v>https://www.ncbi.nlm.nih.gov/pubmed/7995001</v>
      </c>
      <c r="D7943" s="250" t="str">
        <f>IF(AND(A7943&lt;&gt;"",ISNUMBER(A7943)),VLOOKUP(A7943,Studies!A:BR,4,FALSE),"")</f>
        <v>Triazolam with placebo Subject 2</v>
      </c>
      <c r="E7943" s="250" t="str">
        <f>IF(AND(A7943&lt;&gt;"",ISNUMBER(A7943)),VLOOKUP(A7943,Studies!A:BR,5,FALSE),"")</f>
        <v>Triazolam</v>
      </c>
      <c r="F7943" s="251" t="str">
        <f>IF(AND(A7943&lt;&gt;"",ISNUMBER(A7943)),VLOOKUP(A7943,Studies!A:BR,6,FALSE),"")</f>
        <v>Plasma</v>
      </c>
      <c r="G7943" s="194">
        <v>0.33</v>
      </c>
      <c r="H7943" s="50" t="s">
        <v>60</v>
      </c>
      <c r="I7943" s="187">
        <v>1.2584299999999999</v>
      </c>
      <c r="J7943" s="41" t="s">
        <v>941</v>
      </c>
      <c r="K7943" s="41" t="s">
        <v>239</v>
      </c>
      <c r="O7943" s="199">
        <v>0.2</v>
      </c>
      <c r="P7943" s="42" t="s">
        <v>2639</v>
      </c>
    </row>
    <row r="7944" spans="1:16" x14ac:dyDescent="0.2">
      <c r="A7944" s="30">
        <v>1051</v>
      </c>
      <c r="B7944" s="249" t="str">
        <f>IF(AND(A7944&lt;&gt;"",ISNUMBER(A7944)),VLOOKUP(A7944,Studies!A:BR,2,FALSE),"")</f>
        <v>Varhe 1994</v>
      </c>
      <c r="C7944" s="250" t="str">
        <f>IF(AND(A7944&lt;&gt;"",ISNUMBER(A7944)),VLOOKUP(A7944,Studies!A:BR,3,FALSE),"")</f>
        <v>https://www.ncbi.nlm.nih.gov/pubmed/7995001</v>
      </c>
      <c r="D7944" s="250" t="str">
        <f>IF(AND(A7944&lt;&gt;"",ISNUMBER(A7944)),VLOOKUP(A7944,Studies!A:BR,4,FALSE),"")</f>
        <v>Triazolam with placebo Subject 2</v>
      </c>
      <c r="E7944" s="250" t="str">
        <f>IF(AND(A7944&lt;&gt;"",ISNUMBER(A7944)),VLOOKUP(A7944,Studies!A:BR,5,FALSE),"")</f>
        <v>Triazolam</v>
      </c>
      <c r="F7944" s="251" t="str">
        <f>IF(AND(A7944&lt;&gt;"",ISNUMBER(A7944)),VLOOKUP(A7944,Studies!A:BR,6,FALSE),"")</f>
        <v>Plasma</v>
      </c>
      <c r="G7944" s="194">
        <v>0.67</v>
      </c>
      <c r="H7944" s="50" t="s">
        <v>60</v>
      </c>
      <c r="I7944" s="187">
        <v>1.832001</v>
      </c>
      <c r="J7944" s="41" t="s">
        <v>941</v>
      </c>
      <c r="K7944" s="41" t="s">
        <v>239</v>
      </c>
      <c r="O7944" s="199">
        <v>0.2</v>
      </c>
    </row>
    <row r="7945" spans="1:16" x14ac:dyDescent="0.2">
      <c r="A7945" s="30">
        <v>1051</v>
      </c>
      <c r="B7945" s="249" t="str">
        <f>IF(AND(A7945&lt;&gt;"",ISNUMBER(A7945)),VLOOKUP(A7945,Studies!A:BR,2,FALSE),"")</f>
        <v>Varhe 1994</v>
      </c>
      <c r="C7945" s="250" t="str">
        <f>IF(AND(A7945&lt;&gt;"",ISNUMBER(A7945)),VLOOKUP(A7945,Studies!A:BR,3,FALSE),"")</f>
        <v>https://www.ncbi.nlm.nih.gov/pubmed/7995001</v>
      </c>
      <c r="D7945" s="250" t="str">
        <f>IF(AND(A7945&lt;&gt;"",ISNUMBER(A7945)),VLOOKUP(A7945,Studies!A:BR,4,FALSE),"")</f>
        <v>Triazolam with placebo Subject 2</v>
      </c>
      <c r="E7945" s="250" t="str">
        <f>IF(AND(A7945&lt;&gt;"",ISNUMBER(A7945)),VLOOKUP(A7945,Studies!A:BR,5,FALSE),"")</f>
        <v>Triazolam</v>
      </c>
      <c r="F7945" s="251" t="str">
        <f>IF(AND(A7945&lt;&gt;"",ISNUMBER(A7945)),VLOOKUP(A7945,Studies!A:BR,6,FALSE),"")</f>
        <v>Plasma</v>
      </c>
      <c r="G7945" s="194">
        <v>1</v>
      </c>
      <c r="H7945" s="50" t="s">
        <v>60</v>
      </c>
      <c r="I7945" s="187">
        <v>1.649305</v>
      </c>
      <c r="J7945" s="41" t="s">
        <v>941</v>
      </c>
      <c r="K7945" s="41" t="s">
        <v>239</v>
      </c>
      <c r="O7945" s="199">
        <v>0.2</v>
      </c>
    </row>
    <row r="7946" spans="1:16" x14ac:dyDescent="0.2">
      <c r="A7946" s="30">
        <v>1051</v>
      </c>
      <c r="B7946" s="249" t="str">
        <f>IF(AND(A7946&lt;&gt;"",ISNUMBER(A7946)),VLOOKUP(A7946,Studies!A:BR,2,FALSE),"")</f>
        <v>Varhe 1994</v>
      </c>
      <c r="C7946" s="250" t="str">
        <f>IF(AND(A7946&lt;&gt;"",ISNUMBER(A7946)),VLOOKUP(A7946,Studies!A:BR,3,FALSE),"")</f>
        <v>https://www.ncbi.nlm.nih.gov/pubmed/7995001</v>
      </c>
      <c r="D7946" s="250" t="str">
        <f>IF(AND(A7946&lt;&gt;"",ISNUMBER(A7946)),VLOOKUP(A7946,Studies!A:BR,4,FALSE),"")</f>
        <v>Triazolam with placebo Subject 2</v>
      </c>
      <c r="E7946" s="250" t="str">
        <f>IF(AND(A7946&lt;&gt;"",ISNUMBER(A7946)),VLOOKUP(A7946,Studies!A:BR,5,FALSE),"")</f>
        <v>Triazolam</v>
      </c>
      <c r="F7946" s="251" t="str">
        <f>IF(AND(A7946&lt;&gt;"",ISNUMBER(A7946)),VLOOKUP(A7946,Studies!A:BR,6,FALSE),"")</f>
        <v>Plasma</v>
      </c>
      <c r="G7946" s="194">
        <v>1.5</v>
      </c>
      <c r="H7946" s="50" t="s">
        <v>60</v>
      </c>
      <c r="I7946" s="187">
        <v>1.2752619999999999</v>
      </c>
      <c r="J7946" s="41" t="s">
        <v>941</v>
      </c>
      <c r="K7946" s="41" t="s">
        <v>239</v>
      </c>
      <c r="O7946" s="199">
        <v>0.2</v>
      </c>
    </row>
    <row r="7947" spans="1:16" x14ac:dyDescent="0.2">
      <c r="A7947" s="30">
        <v>1051</v>
      </c>
      <c r="B7947" s="249" t="str">
        <f>IF(AND(A7947&lt;&gt;"",ISNUMBER(A7947)),VLOOKUP(A7947,Studies!A:BR,2,FALSE),"")</f>
        <v>Varhe 1994</v>
      </c>
      <c r="C7947" s="250" t="str">
        <f>IF(AND(A7947&lt;&gt;"",ISNUMBER(A7947)),VLOOKUP(A7947,Studies!A:BR,3,FALSE),"")</f>
        <v>https://www.ncbi.nlm.nih.gov/pubmed/7995001</v>
      </c>
      <c r="D7947" s="250" t="str">
        <f>IF(AND(A7947&lt;&gt;"",ISNUMBER(A7947)),VLOOKUP(A7947,Studies!A:BR,4,FALSE),"")</f>
        <v>Triazolam with placebo Subject 2</v>
      </c>
      <c r="E7947" s="250" t="str">
        <f>IF(AND(A7947&lt;&gt;"",ISNUMBER(A7947)),VLOOKUP(A7947,Studies!A:BR,5,FALSE),"")</f>
        <v>Triazolam</v>
      </c>
      <c r="F7947" s="251" t="str">
        <f>IF(AND(A7947&lt;&gt;"",ISNUMBER(A7947)),VLOOKUP(A7947,Studies!A:BR,6,FALSE),"")</f>
        <v>Plasma</v>
      </c>
      <c r="G7947" s="194">
        <v>2</v>
      </c>
      <c r="H7947" s="50" t="s">
        <v>60</v>
      </c>
      <c r="I7947" s="187">
        <v>1.3691610000000001</v>
      </c>
      <c r="J7947" s="41" t="s">
        <v>941</v>
      </c>
      <c r="K7947" s="41" t="s">
        <v>239</v>
      </c>
      <c r="O7947" s="199">
        <v>0.2</v>
      </c>
    </row>
    <row r="7948" spans="1:16" x14ac:dyDescent="0.2">
      <c r="A7948" s="30">
        <v>1051</v>
      </c>
      <c r="B7948" s="249" t="str">
        <f>IF(AND(A7948&lt;&gt;"",ISNUMBER(A7948)),VLOOKUP(A7948,Studies!A:BR,2,FALSE),"")</f>
        <v>Varhe 1994</v>
      </c>
      <c r="C7948" s="250" t="str">
        <f>IF(AND(A7948&lt;&gt;"",ISNUMBER(A7948)),VLOOKUP(A7948,Studies!A:BR,3,FALSE),"")</f>
        <v>https://www.ncbi.nlm.nih.gov/pubmed/7995001</v>
      </c>
      <c r="D7948" s="250" t="str">
        <f>IF(AND(A7948&lt;&gt;"",ISNUMBER(A7948)),VLOOKUP(A7948,Studies!A:BR,4,FALSE),"")</f>
        <v>Triazolam with placebo Subject 2</v>
      </c>
      <c r="E7948" s="250" t="str">
        <f>IF(AND(A7948&lt;&gt;"",ISNUMBER(A7948)),VLOOKUP(A7948,Studies!A:BR,5,FALSE),"")</f>
        <v>Triazolam</v>
      </c>
      <c r="F7948" s="251" t="str">
        <f>IF(AND(A7948&lt;&gt;"",ISNUMBER(A7948)),VLOOKUP(A7948,Studies!A:BR,6,FALSE),"")</f>
        <v>Plasma</v>
      </c>
      <c r="G7948" s="194">
        <v>2.5</v>
      </c>
      <c r="H7948" s="50" t="s">
        <v>60</v>
      </c>
      <c r="I7948" s="187">
        <v>1.190312</v>
      </c>
      <c r="J7948" s="41" t="s">
        <v>941</v>
      </c>
      <c r="K7948" s="41" t="s">
        <v>239</v>
      </c>
      <c r="O7948" s="199">
        <v>0.2</v>
      </c>
    </row>
    <row r="7949" spans="1:16" x14ac:dyDescent="0.2">
      <c r="A7949" s="30">
        <v>1051</v>
      </c>
      <c r="B7949" s="249" t="str">
        <f>IF(AND(A7949&lt;&gt;"",ISNUMBER(A7949)),VLOOKUP(A7949,Studies!A:BR,2,FALSE),"")</f>
        <v>Varhe 1994</v>
      </c>
      <c r="C7949" s="250" t="str">
        <f>IF(AND(A7949&lt;&gt;"",ISNUMBER(A7949)),VLOOKUP(A7949,Studies!A:BR,3,FALSE),"")</f>
        <v>https://www.ncbi.nlm.nih.gov/pubmed/7995001</v>
      </c>
      <c r="D7949" s="250" t="str">
        <f>IF(AND(A7949&lt;&gt;"",ISNUMBER(A7949)),VLOOKUP(A7949,Studies!A:BR,4,FALSE),"")</f>
        <v>Triazolam with placebo Subject 2</v>
      </c>
      <c r="E7949" s="250" t="str">
        <f>IF(AND(A7949&lt;&gt;"",ISNUMBER(A7949)),VLOOKUP(A7949,Studies!A:BR,5,FALSE),"")</f>
        <v>Triazolam</v>
      </c>
      <c r="F7949" s="251" t="str">
        <f>IF(AND(A7949&lt;&gt;"",ISNUMBER(A7949)),VLOOKUP(A7949,Studies!A:BR,6,FALSE),"")</f>
        <v>Plasma</v>
      </c>
      <c r="G7949" s="194">
        <v>3</v>
      </c>
      <c r="H7949" s="50" t="s">
        <v>60</v>
      </c>
      <c r="I7949" s="187">
        <v>0.97588410000000003</v>
      </c>
      <c r="J7949" s="41" t="s">
        <v>941</v>
      </c>
      <c r="K7949" s="41" t="s">
        <v>239</v>
      </c>
      <c r="O7949" s="199">
        <v>0.2</v>
      </c>
    </row>
    <row r="7950" spans="1:16" x14ac:dyDescent="0.2">
      <c r="A7950" s="30">
        <v>1051</v>
      </c>
      <c r="B7950" s="249" t="str">
        <f>IF(AND(A7950&lt;&gt;"",ISNUMBER(A7950)),VLOOKUP(A7950,Studies!A:BR,2,FALSE),"")</f>
        <v>Varhe 1994</v>
      </c>
      <c r="C7950" s="250" t="str">
        <f>IF(AND(A7950&lt;&gt;"",ISNUMBER(A7950)),VLOOKUP(A7950,Studies!A:BR,3,FALSE),"")</f>
        <v>https://www.ncbi.nlm.nih.gov/pubmed/7995001</v>
      </c>
      <c r="D7950" s="250" t="str">
        <f>IF(AND(A7950&lt;&gt;"",ISNUMBER(A7950)),VLOOKUP(A7950,Studies!A:BR,4,FALSE),"")</f>
        <v>Triazolam with placebo Subject 2</v>
      </c>
      <c r="E7950" s="250" t="str">
        <f>IF(AND(A7950&lt;&gt;"",ISNUMBER(A7950)),VLOOKUP(A7950,Studies!A:BR,5,FALSE),"")</f>
        <v>Triazolam</v>
      </c>
      <c r="F7950" s="251" t="str">
        <f>IF(AND(A7950&lt;&gt;"",ISNUMBER(A7950)),VLOOKUP(A7950,Studies!A:BR,6,FALSE),"")</f>
        <v>Plasma</v>
      </c>
      <c r="G7950" s="194">
        <v>4</v>
      </c>
      <c r="H7950" s="50" t="s">
        <v>60</v>
      </c>
      <c r="I7950" s="187">
        <v>0.87943139999999997</v>
      </c>
      <c r="J7950" s="41" t="s">
        <v>941</v>
      </c>
      <c r="K7950" s="41" t="s">
        <v>239</v>
      </c>
      <c r="O7950" s="199">
        <v>0.2</v>
      </c>
    </row>
    <row r="7951" spans="1:16" x14ac:dyDescent="0.2">
      <c r="A7951" s="30">
        <v>1051</v>
      </c>
      <c r="B7951" s="249" t="str">
        <f>IF(AND(A7951&lt;&gt;"",ISNUMBER(A7951)),VLOOKUP(A7951,Studies!A:BR,2,FALSE),"")</f>
        <v>Varhe 1994</v>
      </c>
      <c r="C7951" s="250" t="str">
        <f>IF(AND(A7951&lt;&gt;"",ISNUMBER(A7951)),VLOOKUP(A7951,Studies!A:BR,3,FALSE),"")</f>
        <v>https://www.ncbi.nlm.nih.gov/pubmed/7995001</v>
      </c>
      <c r="D7951" s="250" t="str">
        <f>IF(AND(A7951&lt;&gt;"",ISNUMBER(A7951)),VLOOKUP(A7951,Studies!A:BR,4,FALSE),"")</f>
        <v>Triazolam with placebo Subject 2</v>
      </c>
      <c r="E7951" s="250" t="str">
        <f>IF(AND(A7951&lt;&gt;"",ISNUMBER(A7951)),VLOOKUP(A7951,Studies!A:BR,5,FALSE),"")</f>
        <v>Triazolam</v>
      </c>
      <c r="F7951" s="251" t="str">
        <f>IF(AND(A7951&lt;&gt;"",ISNUMBER(A7951)),VLOOKUP(A7951,Studies!A:BR,6,FALSE),"")</f>
        <v>Plasma</v>
      </c>
      <c r="G7951" s="194">
        <v>5</v>
      </c>
      <c r="H7951" s="50" t="s">
        <v>60</v>
      </c>
      <c r="I7951" s="187">
        <v>0.6268456</v>
      </c>
      <c r="J7951" s="41" t="s">
        <v>941</v>
      </c>
      <c r="K7951" s="41" t="s">
        <v>239</v>
      </c>
      <c r="O7951" s="199">
        <v>0.2</v>
      </c>
    </row>
    <row r="7952" spans="1:16" x14ac:dyDescent="0.2">
      <c r="A7952" s="30">
        <v>1051</v>
      </c>
      <c r="B7952" s="249" t="str">
        <f>IF(AND(A7952&lt;&gt;"",ISNUMBER(A7952)),VLOOKUP(A7952,Studies!A:BR,2,FALSE),"")</f>
        <v>Varhe 1994</v>
      </c>
      <c r="C7952" s="250" t="str">
        <f>IF(AND(A7952&lt;&gt;"",ISNUMBER(A7952)),VLOOKUP(A7952,Studies!A:BR,3,FALSE),"")</f>
        <v>https://www.ncbi.nlm.nih.gov/pubmed/7995001</v>
      </c>
      <c r="D7952" s="250" t="str">
        <f>IF(AND(A7952&lt;&gt;"",ISNUMBER(A7952)),VLOOKUP(A7952,Studies!A:BR,4,FALSE),"")</f>
        <v>Triazolam with placebo Subject 2</v>
      </c>
      <c r="E7952" s="250" t="str">
        <f>IF(AND(A7952&lt;&gt;"",ISNUMBER(A7952)),VLOOKUP(A7952,Studies!A:BR,5,FALSE),"")</f>
        <v>Triazolam</v>
      </c>
      <c r="F7952" s="251" t="str">
        <f>IF(AND(A7952&lt;&gt;"",ISNUMBER(A7952)),VLOOKUP(A7952,Studies!A:BR,6,FALSE),"")</f>
        <v>Plasma</v>
      </c>
      <c r="G7952" s="194">
        <v>6</v>
      </c>
      <c r="H7952" s="50" t="s">
        <v>60</v>
      </c>
      <c r="I7952" s="187">
        <v>0.52648989999999996</v>
      </c>
      <c r="J7952" s="41" t="s">
        <v>941</v>
      </c>
      <c r="K7952" s="41" t="s">
        <v>239</v>
      </c>
      <c r="O7952" s="199">
        <v>0.2</v>
      </c>
    </row>
    <row r="7953" spans="1:16" x14ac:dyDescent="0.2">
      <c r="A7953" s="30">
        <v>1051</v>
      </c>
      <c r="B7953" s="249" t="str">
        <f>IF(AND(A7953&lt;&gt;"",ISNUMBER(A7953)),VLOOKUP(A7953,Studies!A:BR,2,FALSE),"")</f>
        <v>Varhe 1994</v>
      </c>
      <c r="C7953" s="250" t="str">
        <f>IF(AND(A7953&lt;&gt;"",ISNUMBER(A7953)),VLOOKUP(A7953,Studies!A:BR,3,FALSE),"")</f>
        <v>https://www.ncbi.nlm.nih.gov/pubmed/7995001</v>
      </c>
      <c r="D7953" s="250" t="str">
        <f>IF(AND(A7953&lt;&gt;"",ISNUMBER(A7953)),VLOOKUP(A7953,Studies!A:BR,4,FALSE),"")</f>
        <v>Triazolam with placebo Subject 2</v>
      </c>
      <c r="E7953" s="250" t="str">
        <f>IF(AND(A7953&lt;&gt;"",ISNUMBER(A7953)),VLOOKUP(A7953,Studies!A:BR,5,FALSE),"")</f>
        <v>Triazolam</v>
      </c>
      <c r="F7953" s="251" t="str">
        <f>IF(AND(A7953&lt;&gt;"",ISNUMBER(A7953)),VLOOKUP(A7953,Studies!A:BR,6,FALSE),"")</f>
        <v>Plasma</v>
      </c>
      <c r="G7953" s="194">
        <v>7</v>
      </c>
      <c r="H7953" s="50" t="s">
        <v>60</v>
      </c>
      <c r="I7953" s="187">
        <v>0.393289</v>
      </c>
      <c r="J7953" s="41" t="s">
        <v>941</v>
      </c>
      <c r="K7953" s="41" t="s">
        <v>239</v>
      </c>
      <c r="O7953" s="199">
        <v>0.2</v>
      </c>
    </row>
    <row r="7954" spans="1:16" x14ac:dyDescent="0.2">
      <c r="A7954" s="30">
        <v>1052</v>
      </c>
      <c r="B7954" s="249" t="str">
        <f>IF(AND(A7954&lt;&gt;"",ISNUMBER(A7954)),VLOOKUP(A7954,Studies!A:BR,2,FALSE),"")</f>
        <v>Varhe 1994</v>
      </c>
      <c r="C7954" s="250" t="str">
        <f>IF(AND(A7954&lt;&gt;"",ISNUMBER(A7954)),VLOOKUP(A7954,Studies!A:BR,3,FALSE),"")</f>
        <v>https://www.ncbi.nlm.nih.gov/pubmed/7995001</v>
      </c>
      <c r="D7954" s="250" t="str">
        <f>IF(AND(A7954&lt;&gt;"",ISNUMBER(A7954)),VLOOKUP(A7954,Studies!A:BR,4,FALSE),"")</f>
        <v>Triazolam with placebo Subject 3</v>
      </c>
      <c r="E7954" s="250" t="str">
        <f>IF(AND(A7954&lt;&gt;"",ISNUMBER(A7954)),VLOOKUP(A7954,Studies!A:BR,5,FALSE),"")</f>
        <v>Triazolam</v>
      </c>
      <c r="F7954" s="251" t="str">
        <f>IF(AND(A7954&lt;&gt;"",ISNUMBER(A7954)),VLOOKUP(A7954,Studies!A:BR,6,FALSE),"")</f>
        <v>Plasma</v>
      </c>
      <c r="G7954" s="194">
        <v>0.67</v>
      </c>
      <c r="H7954" s="50" t="s">
        <v>60</v>
      </c>
      <c r="I7954" s="187">
        <v>1.6877519999999999</v>
      </c>
      <c r="J7954" s="41" t="s">
        <v>941</v>
      </c>
      <c r="K7954" s="41" t="s">
        <v>239</v>
      </c>
      <c r="O7954" s="199">
        <v>0.2</v>
      </c>
      <c r="P7954" s="42" t="s">
        <v>2640</v>
      </c>
    </row>
    <row r="7955" spans="1:16" x14ac:dyDescent="0.2">
      <c r="A7955" s="30">
        <v>1052</v>
      </c>
      <c r="B7955" s="249" t="str">
        <f>IF(AND(A7955&lt;&gt;"",ISNUMBER(A7955)),VLOOKUP(A7955,Studies!A:BR,2,FALSE),"")</f>
        <v>Varhe 1994</v>
      </c>
      <c r="C7955" s="250" t="str">
        <f>IF(AND(A7955&lt;&gt;"",ISNUMBER(A7955)),VLOOKUP(A7955,Studies!A:BR,3,FALSE),"")</f>
        <v>https://www.ncbi.nlm.nih.gov/pubmed/7995001</v>
      </c>
      <c r="D7955" s="250" t="str">
        <f>IF(AND(A7955&lt;&gt;"",ISNUMBER(A7955)),VLOOKUP(A7955,Studies!A:BR,4,FALSE),"")</f>
        <v>Triazolam with placebo Subject 3</v>
      </c>
      <c r="E7955" s="250" t="str">
        <f>IF(AND(A7955&lt;&gt;"",ISNUMBER(A7955)),VLOOKUP(A7955,Studies!A:BR,5,FALSE),"")</f>
        <v>Triazolam</v>
      </c>
      <c r="F7955" s="251" t="str">
        <f>IF(AND(A7955&lt;&gt;"",ISNUMBER(A7955)),VLOOKUP(A7955,Studies!A:BR,6,FALSE),"")</f>
        <v>Plasma</v>
      </c>
      <c r="G7955" s="194">
        <v>1</v>
      </c>
      <c r="H7955" s="50" t="s">
        <v>60</v>
      </c>
      <c r="I7955" s="187">
        <v>2.1852269999999998</v>
      </c>
      <c r="J7955" s="41" t="s">
        <v>941</v>
      </c>
      <c r="K7955" s="41" t="s">
        <v>239</v>
      </c>
      <c r="O7955" s="199">
        <v>0.2</v>
      </c>
    </row>
    <row r="7956" spans="1:16" x14ac:dyDescent="0.2">
      <c r="A7956" s="30">
        <v>1052</v>
      </c>
      <c r="B7956" s="249" t="str">
        <f>IF(AND(A7956&lt;&gt;"",ISNUMBER(A7956)),VLOOKUP(A7956,Studies!A:BR,2,FALSE),"")</f>
        <v>Varhe 1994</v>
      </c>
      <c r="C7956" s="250" t="str">
        <f>IF(AND(A7956&lt;&gt;"",ISNUMBER(A7956)),VLOOKUP(A7956,Studies!A:BR,3,FALSE),"")</f>
        <v>https://www.ncbi.nlm.nih.gov/pubmed/7995001</v>
      </c>
      <c r="D7956" s="250" t="str">
        <f>IF(AND(A7956&lt;&gt;"",ISNUMBER(A7956)),VLOOKUP(A7956,Studies!A:BR,4,FALSE),"")</f>
        <v>Triazolam with placebo Subject 3</v>
      </c>
      <c r="E7956" s="250" t="str">
        <f>IF(AND(A7956&lt;&gt;"",ISNUMBER(A7956)),VLOOKUP(A7956,Studies!A:BR,5,FALSE),"")</f>
        <v>Triazolam</v>
      </c>
      <c r="F7956" s="251" t="str">
        <f>IF(AND(A7956&lt;&gt;"",ISNUMBER(A7956)),VLOOKUP(A7956,Studies!A:BR,6,FALSE),"")</f>
        <v>Plasma</v>
      </c>
      <c r="G7956" s="194">
        <v>1.5</v>
      </c>
      <c r="H7956" s="50" t="s">
        <v>60</v>
      </c>
      <c r="I7956" s="187">
        <v>2.373694</v>
      </c>
      <c r="J7956" s="41" t="s">
        <v>941</v>
      </c>
      <c r="K7956" s="41" t="s">
        <v>239</v>
      </c>
      <c r="O7956" s="199">
        <v>0.2</v>
      </c>
    </row>
    <row r="7957" spans="1:16" x14ac:dyDescent="0.2">
      <c r="A7957" s="30">
        <v>1052</v>
      </c>
      <c r="B7957" s="249" t="str">
        <f>IF(AND(A7957&lt;&gt;"",ISNUMBER(A7957)),VLOOKUP(A7957,Studies!A:BR,2,FALSE),"")</f>
        <v>Varhe 1994</v>
      </c>
      <c r="C7957" s="250" t="str">
        <f>IF(AND(A7957&lt;&gt;"",ISNUMBER(A7957)),VLOOKUP(A7957,Studies!A:BR,3,FALSE),"")</f>
        <v>https://www.ncbi.nlm.nih.gov/pubmed/7995001</v>
      </c>
      <c r="D7957" s="250" t="str">
        <f>IF(AND(A7957&lt;&gt;"",ISNUMBER(A7957)),VLOOKUP(A7957,Studies!A:BR,4,FALSE),"")</f>
        <v>Triazolam with placebo Subject 3</v>
      </c>
      <c r="E7957" s="250" t="str">
        <f>IF(AND(A7957&lt;&gt;"",ISNUMBER(A7957)),VLOOKUP(A7957,Studies!A:BR,5,FALSE),"")</f>
        <v>Triazolam</v>
      </c>
      <c r="F7957" s="251" t="str">
        <f>IF(AND(A7957&lt;&gt;"",ISNUMBER(A7957)),VLOOKUP(A7957,Studies!A:BR,6,FALSE),"")</f>
        <v>Plasma</v>
      </c>
      <c r="G7957" s="194">
        <v>2</v>
      </c>
      <c r="H7957" s="50" t="s">
        <v>60</v>
      </c>
      <c r="I7957" s="187">
        <v>2.2933699999999999</v>
      </c>
      <c r="J7957" s="41" t="s">
        <v>941</v>
      </c>
      <c r="K7957" s="41" t="s">
        <v>239</v>
      </c>
      <c r="O7957" s="199">
        <v>0.2</v>
      </c>
    </row>
    <row r="7958" spans="1:16" x14ac:dyDescent="0.2">
      <c r="A7958" s="30">
        <v>1052</v>
      </c>
      <c r="B7958" s="249" t="str">
        <f>IF(AND(A7958&lt;&gt;"",ISNUMBER(A7958)),VLOOKUP(A7958,Studies!A:BR,2,FALSE),"")</f>
        <v>Varhe 1994</v>
      </c>
      <c r="C7958" s="250" t="str">
        <f>IF(AND(A7958&lt;&gt;"",ISNUMBER(A7958)),VLOOKUP(A7958,Studies!A:BR,3,FALSE),"")</f>
        <v>https://www.ncbi.nlm.nih.gov/pubmed/7995001</v>
      </c>
      <c r="D7958" s="250" t="str">
        <f>IF(AND(A7958&lt;&gt;"",ISNUMBER(A7958)),VLOOKUP(A7958,Studies!A:BR,4,FALSE),"")</f>
        <v>Triazolam with placebo Subject 3</v>
      </c>
      <c r="E7958" s="250" t="str">
        <f>IF(AND(A7958&lt;&gt;"",ISNUMBER(A7958)),VLOOKUP(A7958,Studies!A:BR,5,FALSE),"")</f>
        <v>Triazolam</v>
      </c>
      <c r="F7958" s="251" t="str">
        <f>IF(AND(A7958&lt;&gt;"",ISNUMBER(A7958)),VLOOKUP(A7958,Studies!A:BR,6,FALSE),"")</f>
        <v>Plasma</v>
      </c>
      <c r="G7958" s="194">
        <v>2.5</v>
      </c>
      <c r="H7958" s="50" t="s">
        <v>60</v>
      </c>
      <c r="I7958" s="187">
        <v>1.9706109999999999</v>
      </c>
      <c r="J7958" s="41" t="s">
        <v>941</v>
      </c>
      <c r="K7958" s="41" t="s">
        <v>239</v>
      </c>
      <c r="O7958" s="199">
        <v>0.2</v>
      </c>
    </row>
    <row r="7959" spans="1:16" x14ac:dyDescent="0.2">
      <c r="A7959" s="30">
        <v>1052</v>
      </c>
      <c r="B7959" s="249" t="str">
        <f>IF(AND(A7959&lt;&gt;"",ISNUMBER(A7959)),VLOOKUP(A7959,Studies!A:BR,2,FALSE),"")</f>
        <v>Varhe 1994</v>
      </c>
      <c r="C7959" s="250" t="str">
        <f>IF(AND(A7959&lt;&gt;"",ISNUMBER(A7959)),VLOOKUP(A7959,Studies!A:BR,3,FALSE),"")</f>
        <v>https://www.ncbi.nlm.nih.gov/pubmed/7995001</v>
      </c>
      <c r="D7959" s="250" t="str">
        <f>IF(AND(A7959&lt;&gt;"",ISNUMBER(A7959)),VLOOKUP(A7959,Studies!A:BR,4,FALSE),"")</f>
        <v>Triazolam with placebo Subject 3</v>
      </c>
      <c r="E7959" s="250" t="str">
        <f>IF(AND(A7959&lt;&gt;"",ISNUMBER(A7959)),VLOOKUP(A7959,Studies!A:BR,5,FALSE),"")</f>
        <v>Triazolam</v>
      </c>
      <c r="F7959" s="251" t="str">
        <f>IF(AND(A7959&lt;&gt;"",ISNUMBER(A7959)),VLOOKUP(A7959,Studies!A:BR,6,FALSE),"")</f>
        <v>Plasma</v>
      </c>
      <c r="G7959" s="194">
        <v>3</v>
      </c>
      <c r="H7959" s="50" t="s">
        <v>60</v>
      </c>
      <c r="I7959" s="187">
        <v>1.859623</v>
      </c>
      <c r="J7959" s="41" t="s">
        <v>941</v>
      </c>
      <c r="K7959" s="41" t="s">
        <v>239</v>
      </c>
      <c r="O7959" s="199">
        <v>0.2</v>
      </c>
    </row>
    <row r="7960" spans="1:16" x14ac:dyDescent="0.2">
      <c r="A7960" s="30">
        <v>1052</v>
      </c>
      <c r="B7960" s="249" t="str">
        <f>IF(AND(A7960&lt;&gt;"",ISNUMBER(A7960)),VLOOKUP(A7960,Studies!A:BR,2,FALSE),"")</f>
        <v>Varhe 1994</v>
      </c>
      <c r="C7960" s="250" t="str">
        <f>IF(AND(A7960&lt;&gt;"",ISNUMBER(A7960)),VLOOKUP(A7960,Studies!A:BR,3,FALSE),"")</f>
        <v>https://www.ncbi.nlm.nih.gov/pubmed/7995001</v>
      </c>
      <c r="D7960" s="250" t="str">
        <f>IF(AND(A7960&lt;&gt;"",ISNUMBER(A7960)),VLOOKUP(A7960,Studies!A:BR,4,FALSE),"")</f>
        <v>Triazolam with placebo Subject 3</v>
      </c>
      <c r="E7960" s="250" t="str">
        <f>IF(AND(A7960&lt;&gt;"",ISNUMBER(A7960)),VLOOKUP(A7960,Studies!A:BR,5,FALSE),"")</f>
        <v>Triazolam</v>
      </c>
      <c r="F7960" s="251" t="str">
        <f>IF(AND(A7960&lt;&gt;"",ISNUMBER(A7960)),VLOOKUP(A7960,Studies!A:BR,6,FALSE),"")</f>
        <v>Plasma</v>
      </c>
      <c r="G7960" s="194">
        <v>4</v>
      </c>
      <c r="H7960" s="50" t="s">
        <v>60</v>
      </c>
      <c r="I7960" s="187">
        <v>1.372932</v>
      </c>
      <c r="J7960" s="41" t="s">
        <v>941</v>
      </c>
      <c r="K7960" s="41" t="s">
        <v>239</v>
      </c>
      <c r="O7960" s="199">
        <v>0.2</v>
      </c>
    </row>
    <row r="7961" spans="1:16" x14ac:dyDescent="0.2">
      <c r="A7961" s="30">
        <v>1052</v>
      </c>
      <c r="B7961" s="249" t="str">
        <f>IF(AND(A7961&lt;&gt;"",ISNUMBER(A7961)),VLOOKUP(A7961,Studies!A:BR,2,FALSE),"")</f>
        <v>Varhe 1994</v>
      </c>
      <c r="C7961" s="250" t="str">
        <f>IF(AND(A7961&lt;&gt;"",ISNUMBER(A7961)),VLOOKUP(A7961,Studies!A:BR,3,FALSE),"")</f>
        <v>https://www.ncbi.nlm.nih.gov/pubmed/7995001</v>
      </c>
      <c r="D7961" s="250" t="str">
        <f>IF(AND(A7961&lt;&gt;"",ISNUMBER(A7961)),VLOOKUP(A7961,Studies!A:BR,4,FALSE),"")</f>
        <v>Triazolam with placebo Subject 3</v>
      </c>
      <c r="E7961" s="250" t="str">
        <f>IF(AND(A7961&lt;&gt;"",ISNUMBER(A7961)),VLOOKUP(A7961,Studies!A:BR,5,FALSE),"")</f>
        <v>Triazolam</v>
      </c>
      <c r="F7961" s="251" t="str">
        <f>IF(AND(A7961&lt;&gt;"",ISNUMBER(A7961)),VLOOKUP(A7961,Studies!A:BR,6,FALSE),"")</f>
        <v>Plasma</v>
      </c>
      <c r="G7961" s="194">
        <v>5</v>
      </c>
      <c r="H7961" s="50" t="s">
        <v>60</v>
      </c>
      <c r="I7961" s="187">
        <v>1.0748709999999999</v>
      </c>
      <c r="J7961" s="41" t="s">
        <v>941</v>
      </c>
      <c r="K7961" s="41" t="s">
        <v>239</v>
      </c>
      <c r="O7961" s="199">
        <v>0.2</v>
      </c>
    </row>
    <row r="7962" spans="1:16" x14ac:dyDescent="0.2">
      <c r="A7962" s="30">
        <v>1052</v>
      </c>
      <c r="B7962" s="249" t="str">
        <f>IF(AND(A7962&lt;&gt;"",ISNUMBER(A7962)),VLOOKUP(A7962,Studies!A:BR,2,FALSE),"")</f>
        <v>Varhe 1994</v>
      </c>
      <c r="C7962" s="250" t="str">
        <f>IF(AND(A7962&lt;&gt;"",ISNUMBER(A7962)),VLOOKUP(A7962,Studies!A:BR,3,FALSE),"")</f>
        <v>https://www.ncbi.nlm.nih.gov/pubmed/7995001</v>
      </c>
      <c r="D7962" s="250" t="str">
        <f>IF(AND(A7962&lt;&gt;"",ISNUMBER(A7962)),VLOOKUP(A7962,Studies!A:BR,4,FALSE),"")</f>
        <v>Triazolam with placebo Subject 3</v>
      </c>
      <c r="E7962" s="250" t="str">
        <f>IF(AND(A7962&lt;&gt;"",ISNUMBER(A7962)),VLOOKUP(A7962,Studies!A:BR,5,FALSE),"")</f>
        <v>Triazolam</v>
      </c>
      <c r="F7962" s="251" t="str">
        <f>IF(AND(A7962&lt;&gt;"",ISNUMBER(A7962)),VLOOKUP(A7962,Studies!A:BR,6,FALSE),"")</f>
        <v>Plasma</v>
      </c>
      <c r="G7962" s="194">
        <v>6</v>
      </c>
      <c r="H7962" s="50" t="s">
        <v>60</v>
      </c>
      <c r="I7962" s="187">
        <v>1.168401</v>
      </c>
      <c r="J7962" s="41" t="s">
        <v>941</v>
      </c>
      <c r="K7962" s="41" t="s">
        <v>239</v>
      </c>
      <c r="O7962" s="199">
        <v>0.2</v>
      </c>
    </row>
    <row r="7963" spans="1:16" x14ac:dyDescent="0.2">
      <c r="A7963" s="30">
        <v>1052</v>
      </c>
      <c r="B7963" s="249" t="str">
        <f>IF(AND(A7963&lt;&gt;"",ISNUMBER(A7963)),VLOOKUP(A7963,Studies!A:BR,2,FALSE),"")</f>
        <v>Varhe 1994</v>
      </c>
      <c r="C7963" s="250" t="str">
        <f>IF(AND(A7963&lt;&gt;"",ISNUMBER(A7963)),VLOOKUP(A7963,Studies!A:BR,3,FALSE),"")</f>
        <v>https://www.ncbi.nlm.nih.gov/pubmed/7995001</v>
      </c>
      <c r="D7963" s="250" t="str">
        <f>IF(AND(A7963&lt;&gt;"",ISNUMBER(A7963)),VLOOKUP(A7963,Studies!A:BR,4,FALSE),"")</f>
        <v>Triazolam with placebo Subject 3</v>
      </c>
      <c r="E7963" s="250" t="str">
        <f>IF(AND(A7963&lt;&gt;"",ISNUMBER(A7963)),VLOOKUP(A7963,Studies!A:BR,5,FALSE),"")</f>
        <v>Triazolam</v>
      </c>
      <c r="F7963" s="251" t="str">
        <f>IF(AND(A7963&lt;&gt;"",ISNUMBER(A7963)),VLOOKUP(A7963,Studies!A:BR,6,FALSE),"")</f>
        <v>Plasma</v>
      </c>
      <c r="G7963" s="194">
        <v>7</v>
      </c>
      <c r="H7963" s="50" t="s">
        <v>60</v>
      </c>
      <c r="I7963" s="187">
        <v>1.0905530000000001</v>
      </c>
      <c r="J7963" s="41" t="s">
        <v>941</v>
      </c>
      <c r="K7963" s="41" t="s">
        <v>239</v>
      </c>
      <c r="O7963" s="199">
        <v>0.2</v>
      </c>
    </row>
    <row r="7964" spans="1:16" x14ac:dyDescent="0.2">
      <c r="A7964" s="30">
        <v>1053</v>
      </c>
      <c r="B7964" s="249" t="str">
        <f>IF(AND(A7964&lt;&gt;"",ISNUMBER(A7964)),VLOOKUP(A7964,Studies!A:BR,2,FALSE),"")</f>
        <v>Varhe 1994</v>
      </c>
      <c r="C7964" s="250" t="str">
        <f>IF(AND(A7964&lt;&gt;"",ISNUMBER(A7964)),VLOOKUP(A7964,Studies!A:BR,3,FALSE),"")</f>
        <v>https://www.ncbi.nlm.nih.gov/pubmed/7995001</v>
      </c>
      <c r="D7964" s="250" t="str">
        <f>IF(AND(A7964&lt;&gt;"",ISNUMBER(A7964)),VLOOKUP(A7964,Studies!A:BR,4,FALSE),"")</f>
        <v>Triazolam with placebo Subject 4</v>
      </c>
      <c r="E7964" s="250" t="str">
        <f>IF(AND(A7964&lt;&gt;"",ISNUMBER(A7964)),VLOOKUP(A7964,Studies!A:BR,5,FALSE),"")</f>
        <v>Triazolam</v>
      </c>
      <c r="F7964" s="251" t="str">
        <f>IF(AND(A7964&lt;&gt;"",ISNUMBER(A7964)),VLOOKUP(A7964,Studies!A:BR,6,FALSE),"")</f>
        <v>Plasma</v>
      </c>
      <c r="G7964" s="194">
        <v>0.67</v>
      </c>
      <c r="H7964" s="50" t="s">
        <v>60</v>
      </c>
      <c r="I7964" s="187">
        <v>0.596445</v>
      </c>
      <c r="J7964" s="41" t="s">
        <v>941</v>
      </c>
      <c r="K7964" s="41" t="s">
        <v>239</v>
      </c>
      <c r="O7964" s="199">
        <v>0.2</v>
      </c>
      <c r="P7964" s="42" t="s">
        <v>2640</v>
      </c>
    </row>
    <row r="7965" spans="1:16" x14ac:dyDescent="0.2">
      <c r="A7965" s="30">
        <v>1053</v>
      </c>
      <c r="B7965" s="249" t="str">
        <f>IF(AND(A7965&lt;&gt;"",ISNUMBER(A7965)),VLOOKUP(A7965,Studies!A:BR,2,FALSE),"")</f>
        <v>Varhe 1994</v>
      </c>
      <c r="C7965" s="250" t="str">
        <f>IF(AND(A7965&lt;&gt;"",ISNUMBER(A7965)),VLOOKUP(A7965,Studies!A:BR,3,FALSE),"")</f>
        <v>https://www.ncbi.nlm.nih.gov/pubmed/7995001</v>
      </c>
      <c r="D7965" s="250" t="str">
        <f>IF(AND(A7965&lt;&gt;"",ISNUMBER(A7965)),VLOOKUP(A7965,Studies!A:BR,4,FALSE),"")</f>
        <v>Triazolam with placebo Subject 4</v>
      </c>
      <c r="E7965" s="250" t="str">
        <f>IF(AND(A7965&lt;&gt;"",ISNUMBER(A7965)),VLOOKUP(A7965,Studies!A:BR,5,FALSE),"")</f>
        <v>Triazolam</v>
      </c>
      <c r="F7965" s="251" t="str">
        <f>IF(AND(A7965&lt;&gt;"",ISNUMBER(A7965)),VLOOKUP(A7965,Studies!A:BR,6,FALSE),"")</f>
        <v>Plasma</v>
      </c>
      <c r="G7965" s="194">
        <v>1</v>
      </c>
      <c r="H7965" s="50" t="s">
        <v>60</v>
      </c>
      <c r="I7965" s="187">
        <v>0.92386979999999996</v>
      </c>
      <c r="J7965" s="41" t="s">
        <v>941</v>
      </c>
      <c r="K7965" s="41" t="s">
        <v>239</v>
      </c>
      <c r="O7965" s="199">
        <v>0.2</v>
      </c>
    </row>
    <row r="7966" spans="1:16" x14ac:dyDescent="0.2">
      <c r="A7966" s="30">
        <v>1053</v>
      </c>
      <c r="B7966" s="249" t="str">
        <f>IF(AND(A7966&lt;&gt;"",ISNUMBER(A7966)),VLOOKUP(A7966,Studies!A:BR,2,FALSE),"")</f>
        <v>Varhe 1994</v>
      </c>
      <c r="C7966" s="250" t="str">
        <f>IF(AND(A7966&lt;&gt;"",ISNUMBER(A7966)),VLOOKUP(A7966,Studies!A:BR,3,FALSE),"")</f>
        <v>https://www.ncbi.nlm.nih.gov/pubmed/7995001</v>
      </c>
      <c r="D7966" s="250" t="str">
        <f>IF(AND(A7966&lt;&gt;"",ISNUMBER(A7966)),VLOOKUP(A7966,Studies!A:BR,4,FALSE),"")</f>
        <v>Triazolam with placebo Subject 4</v>
      </c>
      <c r="E7966" s="250" t="str">
        <f>IF(AND(A7966&lt;&gt;"",ISNUMBER(A7966)),VLOOKUP(A7966,Studies!A:BR,5,FALSE),"")</f>
        <v>Triazolam</v>
      </c>
      <c r="F7966" s="251" t="str">
        <f>IF(AND(A7966&lt;&gt;"",ISNUMBER(A7966)),VLOOKUP(A7966,Studies!A:BR,6,FALSE),"")</f>
        <v>Plasma</v>
      </c>
      <c r="G7966" s="194">
        <v>1.5</v>
      </c>
      <c r="H7966" s="50" t="s">
        <v>60</v>
      </c>
      <c r="I7966" s="187">
        <v>1.3649169999999999</v>
      </c>
      <c r="J7966" s="41" t="s">
        <v>941</v>
      </c>
      <c r="K7966" s="41" t="s">
        <v>239</v>
      </c>
      <c r="O7966" s="199">
        <v>0.2</v>
      </c>
    </row>
    <row r="7967" spans="1:16" x14ac:dyDescent="0.2">
      <c r="A7967" s="30">
        <v>1053</v>
      </c>
      <c r="B7967" s="249" t="str">
        <f>IF(AND(A7967&lt;&gt;"",ISNUMBER(A7967)),VLOOKUP(A7967,Studies!A:BR,2,FALSE),"")</f>
        <v>Varhe 1994</v>
      </c>
      <c r="C7967" s="250" t="str">
        <f>IF(AND(A7967&lt;&gt;"",ISNUMBER(A7967)),VLOOKUP(A7967,Studies!A:BR,3,FALSE),"")</f>
        <v>https://www.ncbi.nlm.nih.gov/pubmed/7995001</v>
      </c>
      <c r="D7967" s="250" t="str">
        <f>IF(AND(A7967&lt;&gt;"",ISNUMBER(A7967)),VLOOKUP(A7967,Studies!A:BR,4,FALSE),"")</f>
        <v>Triazolam with placebo Subject 4</v>
      </c>
      <c r="E7967" s="250" t="str">
        <f>IF(AND(A7967&lt;&gt;"",ISNUMBER(A7967)),VLOOKUP(A7967,Studies!A:BR,5,FALSE),"")</f>
        <v>Triazolam</v>
      </c>
      <c r="F7967" s="251" t="str">
        <f>IF(AND(A7967&lt;&gt;"",ISNUMBER(A7967)),VLOOKUP(A7967,Studies!A:BR,6,FALSE),"")</f>
        <v>Plasma</v>
      </c>
      <c r="G7967" s="194">
        <v>2</v>
      </c>
      <c r="H7967" s="50" t="s">
        <v>60</v>
      </c>
      <c r="I7967" s="187">
        <v>1.27142</v>
      </c>
      <c r="J7967" s="41" t="s">
        <v>941</v>
      </c>
      <c r="K7967" s="41" t="s">
        <v>239</v>
      </c>
      <c r="O7967" s="199">
        <v>0.2</v>
      </c>
    </row>
    <row r="7968" spans="1:16" x14ac:dyDescent="0.2">
      <c r="A7968" s="30">
        <v>1053</v>
      </c>
      <c r="B7968" s="249" t="str">
        <f>IF(AND(A7968&lt;&gt;"",ISNUMBER(A7968)),VLOOKUP(A7968,Studies!A:BR,2,FALSE),"")</f>
        <v>Varhe 1994</v>
      </c>
      <c r="C7968" s="250" t="str">
        <f>IF(AND(A7968&lt;&gt;"",ISNUMBER(A7968)),VLOOKUP(A7968,Studies!A:BR,3,FALSE),"")</f>
        <v>https://www.ncbi.nlm.nih.gov/pubmed/7995001</v>
      </c>
      <c r="D7968" s="250" t="str">
        <f>IF(AND(A7968&lt;&gt;"",ISNUMBER(A7968)),VLOOKUP(A7968,Studies!A:BR,4,FALSE),"")</f>
        <v>Triazolam with placebo Subject 4</v>
      </c>
      <c r="E7968" s="250" t="str">
        <f>IF(AND(A7968&lt;&gt;"",ISNUMBER(A7968)),VLOOKUP(A7968,Studies!A:BR,5,FALSE),"")</f>
        <v>Triazolam</v>
      </c>
      <c r="F7968" s="251" t="str">
        <f>IF(AND(A7968&lt;&gt;"",ISNUMBER(A7968)),VLOOKUP(A7968,Studies!A:BR,6,FALSE),"")</f>
        <v>Plasma</v>
      </c>
      <c r="G7968" s="194">
        <v>2.5</v>
      </c>
      <c r="H7968" s="50" t="s">
        <v>60</v>
      </c>
      <c r="I7968" s="187">
        <v>1.34887</v>
      </c>
      <c r="J7968" s="41" t="s">
        <v>941</v>
      </c>
      <c r="K7968" s="41" t="s">
        <v>239</v>
      </c>
      <c r="O7968" s="199">
        <v>0.2</v>
      </c>
    </row>
    <row r="7969" spans="1:16" x14ac:dyDescent="0.2">
      <c r="A7969" s="30">
        <v>1053</v>
      </c>
      <c r="B7969" s="249" t="str">
        <f>IF(AND(A7969&lt;&gt;"",ISNUMBER(A7969)),VLOOKUP(A7969,Studies!A:BR,2,FALSE),"")</f>
        <v>Varhe 1994</v>
      </c>
      <c r="C7969" s="250" t="str">
        <f>IF(AND(A7969&lt;&gt;"",ISNUMBER(A7969)),VLOOKUP(A7969,Studies!A:BR,3,FALSE),"")</f>
        <v>https://www.ncbi.nlm.nih.gov/pubmed/7995001</v>
      </c>
      <c r="D7969" s="250" t="str">
        <f>IF(AND(A7969&lt;&gt;"",ISNUMBER(A7969)),VLOOKUP(A7969,Studies!A:BR,4,FALSE),"")</f>
        <v>Triazolam with placebo Subject 4</v>
      </c>
      <c r="E7969" s="250" t="str">
        <f>IF(AND(A7969&lt;&gt;"",ISNUMBER(A7969)),VLOOKUP(A7969,Studies!A:BR,5,FALSE),"")</f>
        <v>Triazolam</v>
      </c>
      <c r="F7969" s="251" t="str">
        <f>IF(AND(A7969&lt;&gt;"",ISNUMBER(A7969)),VLOOKUP(A7969,Studies!A:BR,6,FALSE),"")</f>
        <v>Plasma</v>
      </c>
      <c r="G7969" s="194">
        <v>3</v>
      </c>
      <c r="H7969" s="50" t="s">
        <v>60</v>
      </c>
      <c r="I7969" s="187">
        <v>1.34887</v>
      </c>
      <c r="J7969" s="41" t="s">
        <v>941</v>
      </c>
      <c r="K7969" s="41" t="s">
        <v>239</v>
      </c>
      <c r="O7969" s="199">
        <v>0.2</v>
      </c>
    </row>
    <row r="7970" spans="1:16" x14ac:dyDescent="0.2">
      <c r="A7970" s="30">
        <v>1053</v>
      </c>
      <c r="B7970" s="249" t="str">
        <f>IF(AND(A7970&lt;&gt;"",ISNUMBER(A7970)),VLOOKUP(A7970,Studies!A:BR,2,FALSE),"")</f>
        <v>Varhe 1994</v>
      </c>
      <c r="C7970" s="250" t="str">
        <f>IF(AND(A7970&lt;&gt;"",ISNUMBER(A7970)),VLOOKUP(A7970,Studies!A:BR,3,FALSE),"")</f>
        <v>https://www.ncbi.nlm.nih.gov/pubmed/7995001</v>
      </c>
      <c r="D7970" s="250" t="str">
        <f>IF(AND(A7970&lt;&gt;"",ISNUMBER(A7970)),VLOOKUP(A7970,Studies!A:BR,4,FALSE),"")</f>
        <v>Triazolam with placebo Subject 4</v>
      </c>
      <c r="E7970" s="250" t="str">
        <f>IF(AND(A7970&lt;&gt;"",ISNUMBER(A7970)),VLOOKUP(A7970,Studies!A:BR,5,FALSE),"")</f>
        <v>Triazolam</v>
      </c>
      <c r="F7970" s="251" t="str">
        <f>IF(AND(A7970&lt;&gt;"",ISNUMBER(A7970)),VLOOKUP(A7970,Studies!A:BR,6,FALSE),"")</f>
        <v>Plasma</v>
      </c>
      <c r="G7970" s="194">
        <v>4</v>
      </c>
      <c r="H7970" s="50" t="s">
        <v>60</v>
      </c>
      <c r="I7970" s="187">
        <v>1.256472</v>
      </c>
      <c r="J7970" s="41" t="s">
        <v>941</v>
      </c>
      <c r="K7970" s="41" t="s">
        <v>239</v>
      </c>
      <c r="O7970" s="199">
        <v>0.2</v>
      </c>
    </row>
    <row r="7971" spans="1:16" x14ac:dyDescent="0.2">
      <c r="A7971" s="30">
        <v>1053</v>
      </c>
      <c r="B7971" s="249" t="str">
        <f>IF(AND(A7971&lt;&gt;"",ISNUMBER(A7971)),VLOOKUP(A7971,Studies!A:BR,2,FALSE),"")</f>
        <v>Varhe 1994</v>
      </c>
      <c r="C7971" s="250" t="str">
        <f>IF(AND(A7971&lt;&gt;"",ISNUMBER(A7971)),VLOOKUP(A7971,Studies!A:BR,3,FALSE),"")</f>
        <v>https://www.ncbi.nlm.nih.gov/pubmed/7995001</v>
      </c>
      <c r="D7971" s="250" t="str">
        <f>IF(AND(A7971&lt;&gt;"",ISNUMBER(A7971)),VLOOKUP(A7971,Studies!A:BR,4,FALSE),"")</f>
        <v>Triazolam with placebo Subject 4</v>
      </c>
      <c r="E7971" s="250" t="str">
        <f>IF(AND(A7971&lt;&gt;"",ISNUMBER(A7971)),VLOOKUP(A7971,Studies!A:BR,5,FALSE),"")</f>
        <v>Triazolam</v>
      </c>
      <c r="F7971" s="251" t="str">
        <f>IF(AND(A7971&lt;&gt;"",ISNUMBER(A7971)),VLOOKUP(A7971,Studies!A:BR,6,FALSE),"")</f>
        <v>Plasma</v>
      </c>
      <c r="G7971" s="194">
        <v>5</v>
      </c>
      <c r="H7971" s="50" t="s">
        <v>60</v>
      </c>
      <c r="I7971" s="187">
        <v>1.1566419999999999</v>
      </c>
      <c r="J7971" s="41" t="s">
        <v>941</v>
      </c>
      <c r="K7971" s="41" t="s">
        <v>239</v>
      </c>
      <c r="O7971" s="199">
        <v>0.2</v>
      </c>
    </row>
    <row r="7972" spans="1:16" x14ac:dyDescent="0.2">
      <c r="A7972" s="30">
        <v>1053</v>
      </c>
      <c r="B7972" s="249" t="str">
        <f>IF(AND(A7972&lt;&gt;"",ISNUMBER(A7972)),VLOOKUP(A7972,Studies!A:BR,2,FALSE),"")</f>
        <v>Varhe 1994</v>
      </c>
      <c r="C7972" s="250" t="str">
        <f>IF(AND(A7972&lt;&gt;"",ISNUMBER(A7972)),VLOOKUP(A7972,Studies!A:BR,3,FALSE),"")</f>
        <v>https://www.ncbi.nlm.nih.gov/pubmed/7995001</v>
      </c>
      <c r="D7972" s="250" t="str">
        <f>IF(AND(A7972&lt;&gt;"",ISNUMBER(A7972)),VLOOKUP(A7972,Studies!A:BR,4,FALSE),"")</f>
        <v>Triazolam with placebo Subject 4</v>
      </c>
      <c r="E7972" s="250" t="str">
        <f>IF(AND(A7972&lt;&gt;"",ISNUMBER(A7972)),VLOOKUP(A7972,Studies!A:BR,5,FALSE),"")</f>
        <v>Triazolam</v>
      </c>
      <c r="F7972" s="251" t="str">
        <f>IF(AND(A7972&lt;&gt;"",ISNUMBER(A7972)),VLOOKUP(A7972,Studies!A:BR,6,FALSE),"")</f>
        <v>Plasma</v>
      </c>
      <c r="G7972" s="194">
        <v>6</v>
      </c>
      <c r="H7972" s="50" t="s">
        <v>60</v>
      </c>
      <c r="I7972" s="187">
        <v>0.96862510000000002</v>
      </c>
      <c r="J7972" s="41" t="s">
        <v>941</v>
      </c>
      <c r="K7972" s="41" t="s">
        <v>239</v>
      </c>
      <c r="O7972" s="199">
        <v>0.2</v>
      </c>
    </row>
    <row r="7973" spans="1:16" x14ac:dyDescent="0.2">
      <c r="A7973" s="30">
        <v>1053</v>
      </c>
      <c r="B7973" s="249" t="str">
        <f>IF(AND(A7973&lt;&gt;"",ISNUMBER(A7973)),VLOOKUP(A7973,Studies!A:BR,2,FALSE),"")</f>
        <v>Varhe 1994</v>
      </c>
      <c r="C7973" s="250" t="str">
        <f>IF(AND(A7973&lt;&gt;"",ISNUMBER(A7973)),VLOOKUP(A7973,Studies!A:BR,3,FALSE),"")</f>
        <v>https://www.ncbi.nlm.nih.gov/pubmed/7995001</v>
      </c>
      <c r="D7973" s="250" t="str">
        <f>IF(AND(A7973&lt;&gt;"",ISNUMBER(A7973)),VLOOKUP(A7973,Studies!A:BR,4,FALSE),"")</f>
        <v>Triazolam with placebo Subject 4</v>
      </c>
      <c r="E7973" s="250" t="str">
        <f>IF(AND(A7973&lt;&gt;"",ISNUMBER(A7973)),VLOOKUP(A7973,Studies!A:BR,5,FALSE),"")</f>
        <v>Triazolam</v>
      </c>
      <c r="F7973" s="251" t="str">
        <f>IF(AND(A7973&lt;&gt;"",ISNUMBER(A7973)),VLOOKUP(A7973,Studies!A:BR,6,FALSE),"")</f>
        <v>Plasma</v>
      </c>
      <c r="G7973" s="194">
        <v>7</v>
      </c>
      <c r="H7973" s="50" t="s">
        <v>60</v>
      </c>
      <c r="I7973" s="187">
        <v>0.91300800000000004</v>
      </c>
      <c r="J7973" s="41" t="s">
        <v>941</v>
      </c>
      <c r="K7973" s="41" t="s">
        <v>239</v>
      </c>
      <c r="O7973" s="199">
        <v>0.2</v>
      </c>
    </row>
    <row r="7974" spans="1:16" x14ac:dyDescent="0.2">
      <c r="A7974" s="30">
        <v>1054</v>
      </c>
      <c r="B7974" s="249" t="str">
        <f>IF(AND(A7974&lt;&gt;"",ISNUMBER(A7974)),VLOOKUP(A7974,Studies!A:BR,2,FALSE),"")</f>
        <v>Varhe 1994</v>
      </c>
      <c r="C7974" s="250" t="str">
        <f>IF(AND(A7974&lt;&gt;"",ISNUMBER(A7974)),VLOOKUP(A7974,Studies!A:BR,3,FALSE),"")</f>
        <v>https://www.ncbi.nlm.nih.gov/pubmed/7995001</v>
      </c>
      <c r="D7974" s="250" t="str">
        <f>IF(AND(A7974&lt;&gt;"",ISNUMBER(A7974)),VLOOKUP(A7974,Studies!A:BR,4,FALSE),"")</f>
        <v>Triazolam with placebo Subject 5</v>
      </c>
      <c r="E7974" s="250" t="str">
        <f>IF(AND(A7974&lt;&gt;"",ISNUMBER(A7974)),VLOOKUP(A7974,Studies!A:BR,5,FALSE),"")</f>
        <v>Triazolam</v>
      </c>
      <c r="F7974" s="251" t="str">
        <f>IF(AND(A7974&lt;&gt;"",ISNUMBER(A7974)),VLOOKUP(A7974,Studies!A:BR,6,FALSE),"")</f>
        <v>Plasma</v>
      </c>
      <c r="G7974" s="194">
        <v>1</v>
      </c>
      <c r="H7974" s="50" t="s">
        <v>60</v>
      </c>
      <c r="I7974" s="187">
        <v>0.7432704</v>
      </c>
      <c r="J7974" s="41" t="s">
        <v>941</v>
      </c>
      <c r="K7974" s="41" t="s">
        <v>239</v>
      </c>
      <c r="O7974" s="199">
        <v>0.2</v>
      </c>
      <c r="P7974" s="42" t="s">
        <v>2641</v>
      </c>
    </row>
    <row r="7975" spans="1:16" x14ac:dyDescent="0.2">
      <c r="A7975" s="30">
        <v>1054</v>
      </c>
      <c r="B7975" s="249" t="str">
        <f>IF(AND(A7975&lt;&gt;"",ISNUMBER(A7975)),VLOOKUP(A7975,Studies!A:BR,2,FALSE),"")</f>
        <v>Varhe 1994</v>
      </c>
      <c r="C7975" s="250" t="str">
        <f>IF(AND(A7975&lt;&gt;"",ISNUMBER(A7975)),VLOOKUP(A7975,Studies!A:BR,3,FALSE),"")</f>
        <v>https://www.ncbi.nlm.nih.gov/pubmed/7995001</v>
      </c>
      <c r="D7975" s="250" t="str">
        <f>IF(AND(A7975&lt;&gt;"",ISNUMBER(A7975)),VLOOKUP(A7975,Studies!A:BR,4,FALSE),"")</f>
        <v>Triazolam with placebo Subject 5</v>
      </c>
      <c r="E7975" s="250" t="str">
        <f>IF(AND(A7975&lt;&gt;"",ISNUMBER(A7975)),VLOOKUP(A7975,Studies!A:BR,5,FALSE),"")</f>
        <v>Triazolam</v>
      </c>
      <c r="F7975" s="251" t="str">
        <f>IF(AND(A7975&lt;&gt;"",ISNUMBER(A7975)),VLOOKUP(A7975,Studies!A:BR,6,FALSE),"")</f>
        <v>Plasma</v>
      </c>
      <c r="G7975" s="194">
        <v>1.5</v>
      </c>
      <c r="H7975" s="50" t="s">
        <v>60</v>
      </c>
      <c r="I7975" s="187">
        <v>0.98538550000000003</v>
      </c>
      <c r="J7975" s="41" t="s">
        <v>941</v>
      </c>
      <c r="K7975" s="41" t="s">
        <v>239</v>
      </c>
      <c r="O7975" s="199">
        <v>0.2</v>
      </c>
    </row>
    <row r="7976" spans="1:16" x14ac:dyDescent="0.2">
      <c r="A7976" s="30">
        <v>1054</v>
      </c>
      <c r="B7976" s="249" t="str">
        <f>IF(AND(A7976&lt;&gt;"",ISNUMBER(A7976)),VLOOKUP(A7976,Studies!A:BR,2,FALSE),"")</f>
        <v>Varhe 1994</v>
      </c>
      <c r="C7976" s="250" t="str">
        <f>IF(AND(A7976&lt;&gt;"",ISNUMBER(A7976)),VLOOKUP(A7976,Studies!A:BR,3,FALSE),"")</f>
        <v>https://www.ncbi.nlm.nih.gov/pubmed/7995001</v>
      </c>
      <c r="D7976" s="250" t="str">
        <f>IF(AND(A7976&lt;&gt;"",ISNUMBER(A7976)),VLOOKUP(A7976,Studies!A:BR,4,FALSE),"")</f>
        <v>Triazolam with placebo Subject 5</v>
      </c>
      <c r="E7976" s="250" t="str">
        <f>IF(AND(A7976&lt;&gt;"",ISNUMBER(A7976)),VLOOKUP(A7976,Studies!A:BR,5,FALSE),"")</f>
        <v>Triazolam</v>
      </c>
      <c r="F7976" s="251" t="str">
        <f>IF(AND(A7976&lt;&gt;"",ISNUMBER(A7976)),VLOOKUP(A7976,Studies!A:BR,6,FALSE),"")</f>
        <v>Plasma</v>
      </c>
      <c r="G7976" s="194">
        <v>2</v>
      </c>
      <c r="H7976" s="50" t="s">
        <v>60</v>
      </c>
      <c r="I7976" s="187">
        <v>1.261269</v>
      </c>
      <c r="J7976" s="41" t="s">
        <v>941</v>
      </c>
      <c r="K7976" s="41" t="s">
        <v>239</v>
      </c>
      <c r="O7976" s="199">
        <v>0.2</v>
      </c>
    </row>
    <row r="7977" spans="1:16" x14ac:dyDescent="0.2">
      <c r="A7977" s="30">
        <v>1054</v>
      </c>
      <c r="B7977" s="249" t="str">
        <f>IF(AND(A7977&lt;&gt;"",ISNUMBER(A7977)),VLOOKUP(A7977,Studies!A:BR,2,FALSE),"")</f>
        <v>Varhe 1994</v>
      </c>
      <c r="C7977" s="250" t="str">
        <f>IF(AND(A7977&lt;&gt;"",ISNUMBER(A7977)),VLOOKUP(A7977,Studies!A:BR,3,FALSE),"")</f>
        <v>https://www.ncbi.nlm.nih.gov/pubmed/7995001</v>
      </c>
      <c r="D7977" s="250" t="str">
        <f>IF(AND(A7977&lt;&gt;"",ISNUMBER(A7977)),VLOOKUP(A7977,Studies!A:BR,4,FALSE),"")</f>
        <v>Triazolam with placebo Subject 5</v>
      </c>
      <c r="E7977" s="250" t="str">
        <f>IF(AND(A7977&lt;&gt;"",ISNUMBER(A7977)),VLOOKUP(A7977,Studies!A:BR,5,FALSE),"")</f>
        <v>Triazolam</v>
      </c>
      <c r="F7977" s="251" t="str">
        <f>IF(AND(A7977&lt;&gt;"",ISNUMBER(A7977)),VLOOKUP(A7977,Studies!A:BR,6,FALSE),"")</f>
        <v>Plasma</v>
      </c>
      <c r="G7977" s="194">
        <v>2.5</v>
      </c>
      <c r="H7977" s="50" t="s">
        <v>60</v>
      </c>
      <c r="I7977" s="187">
        <v>1.046284</v>
      </c>
      <c r="J7977" s="41" t="s">
        <v>941</v>
      </c>
      <c r="K7977" s="41" t="s">
        <v>239</v>
      </c>
      <c r="O7977" s="199">
        <v>0.2</v>
      </c>
    </row>
    <row r="7978" spans="1:16" x14ac:dyDescent="0.2">
      <c r="A7978" s="30">
        <v>1054</v>
      </c>
      <c r="B7978" s="249" t="str">
        <f>IF(AND(A7978&lt;&gt;"",ISNUMBER(A7978)),VLOOKUP(A7978,Studies!A:BR,2,FALSE),"")</f>
        <v>Varhe 1994</v>
      </c>
      <c r="C7978" s="250" t="str">
        <f>IF(AND(A7978&lt;&gt;"",ISNUMBER(A7978)),VLOOKUP(A7978,Studies!A:BR,3,FALSE),"")</f>
        <v>https://www.ncbi.nlm.nih.gov/pubmed/7995001</v>
      </c>
      <c r="D7978" s="250" t="str">
        <f>IF(AND(A7978&lt;&gt;"",ISNUMBER(A7978)),VLOOKUP(A7978,Studies!A:BR,4,FALSE),"")</f>
        <v>Triazolam with placebo Subject 5</v>
      </c>
      <c r="E7978" s="250" t="str">
        <f>IF(AND(A7978&lt;&gt;"",ISNUMBER(A7978)),VLOOKUP(A7978,Studies!A:BR,5,FALSE),"")</f>
        <v>Triazolam</v>
      </c>
      <c r="F7978" s="251" t="str">
        <f>IF(AND(A7978&lt;&gt;"",ISNUMBER(A7978)),VLOOKUP(A7978,Studies!A:BR,6,FALSE),"")</f>
        <v>Plasma</v>
      </c>
      <c r="G7978" s="194">
        <v>3</v>
      </c>
      <c r="H7978" s="50" t="s">
        <v>60</v>
      </c>
      <c r="I7978" s="187">
        <v>1.084578</v>
      </c>
      <c r="J7978" s="41" t="s">
        <v>941</v>
      </c>
      <c r="K7978" s="41" t="s">
        <v>239</v>
      </c>
      <c r="O7978" s="199">
        <v>0.2</v>
      </c>
    </row>
    <row r="7979" spans="1:16" x14ac:dyDescent="0.2">
      <c r="A7979" s="30">
        <v>1054</v>
      </c>
      <c r="B7979" s="249" t="str">
        <f>IF(AND(A7979&lt;&gt;"",ISNUMBER(A7979)),VLOOKUP(A7979,Studies!A:BR,2,FALSE),"")</f>
        <v>Varhe 1994</v>
      </c>
      <c r="C7979" s="250" t="str">
        <f>IF(AND(A7979&lt;&gt;"",ISNUMBER(A7979)),VLOOKUP(A7979,Studies!A:BR,3,FALSE),"")</f>
        <v>https://www.ncbi.nlm.nih.gov/pubmed/7995001</v>
      </c>
      <c r="D7979" s="250" t="str">
        <f>IF(AND(A7979&lt;&gt;"",ISNUMBER(A7979)),VLOOKUP(A7979,Studies!A:BR,4,FALSE),"")</f>
        <v>Triazolam with placebo Subject 5</v>
      </c>
      <c r="E7979" s="250" t="str">
        <f>IF(AND(A7979&lt;&gt;"",ISNUMBER(A7979)),VLOOKUP(A7979,Studies!A:BR,5,FALSE),"")</f>
        <v>Triazolam</v>
      </c>
      <c r="F7979" s="251" t="str">
        <f>IF(AND(A7979&lt;&gt;"",ISNUMBER(A7979)),VLOOKUP(A7979,Studies!A:BR,6,FALSE),"")</f>
        <v>Plasma</v>
      </c>
      <c r="G7979" s="194">
        <v>4</v>
      </c>
      <c r="H7979" s="50" t="s">
        <v>60</v>
      </c>
      <c r="I7979" s="187">
        <v>0.94350860000000003</v>
      </c>
      <c r="J7979" s="41" t="s">
        <v>941</v>
      </c>
      <c r="K7979" s="41" t="s">
        <v>239</v>
      </c>
      <c r="O7979" s="199">
        <v>0.2</v>
      </c>
    </row>
    <row r="7980" spans="1:16" x14ac:dyDescent="0.2">
      <c r="A7980" s="30">
        <v>1054</v>
      </c>
      <c r="B7980" s="249" t="str">
        <f>IF(AND(A7980&lt;&gt;"",ISNUMBER(A7980)),VLOOKUP(A7980,Studies!A:BR,2,FALSE),"")</f>
        <v>Varhe 1994</v>
      </c>
      <c r="C7980" s="250" t="str">
        <f>IF(AND(A7980&lt;&gt;"",ISNUMBER(A7980)),VLOOKUP(A7980,Studies!A:BR,3,FALSE),"")</f>
        <v>https://www.ncbi.nlm.nih.gov/pubmed/7995001</v>
      </c>
      <c r="D7980" s="250" t="str">
        <f>IF(AND(A7980&lt;&gt;"",ISNUMBER(A7980)),VLOOKUP(A7980,Studies!A:BR,4,FALSE),"")</f>
        <v>Triazolam with placebo Subject 5</v>
      </c>
      <c r="E7980" s="250" t="str">
        <f>IF(AND(A7980&lt;&gt;"",ISNUMBER(A7980)),VLOOKUP(A7980,Studies!A:BR,5,FALSE),"")</f>
        <v>Triazolam</v>
      </c>
      <c r="F7980" s="251" t="str">
        <f>IF(AND(A7980&lt;&gt;"",ISNUMBER(A7980)),VLOOKUP(A7980,Studies!A:BR,6,FALSE),"")</f>
        <v>Plasma</v>
      </c>
      <c r="G7980" s="194">
        <v>5</v>
      </c>
      <c r="H7980" s="50" t="s">
        <v>60</v>
      </c>
      <c r="I7980" s="187">
        <v>0.78321739999999995</v>
      </c>
      <c r="J7980" s="41" t="s">
        <v>941</v>
      </c>
      <c r="K7980" s="41" t="s">
        <v>239</v>
      </c>
      <c r="O7980" s="199">
        <v>0.2</v>
      </c>
    </row>
    <row r="7981" spans="1:16" x14ac:dyDescent="0.2">
      <c r="A7981" s="30">
        <v>1054</v>
      </c>
      <c r="B7981" s="249" t="str">
        <f>IF(AND(A7981&lt;&gt;"",ISNUMBER(A7981)),VLOOKUP(A7981,Studies!A:BR,2,FALSE),"")</f>
        <v>Varhe 1994</v>
      </c>
      <c r="C7981" s="250" t="str">
        <f>IF(AND(A7981&lt;&gt;"",ISNUMBER(A7981)),VLOOKUP(A7981,Studies!A:BR,3,FALSE),"")</f>
        <v>https://www.ncbi.nlm.nih.gov/pubmed/7995001</v>
      </c>
      <c r="D7981" s="250" t="str">
        <f>IF(AND(A7981&lt;&gt;"",ISNUMBER(A7981)),VLOOKUP(A7981,Studies!A:BR,4,FALSE),"")</f>
        <v>Triazolam with placebo Subject 5</v>
      </c>
      <c r="E7981" s="250" t="str">
        <f>IF(AND(A7981&lt;&gt;"",ISNUMBER(A7981)),VLOOKUP(A7981,Studies!A:BR,5,FALSE),"")</f>
        <v>Triazolam</v>
      </c>
      <c r="F7981" s="251" t="str">
        <f>IF(AND(A7981&lt;&gt;"",ISNUMBER(A7981)),VLOOKUP(A7981,Studies!A:BR,6,FALSE),"")</f>
        <v>Plasma</v>
      </c>
      <c r="G7981" s="194">
        <v>6</v>
      </c>
      <c r="H7981" s="50" t="s">
        <v>60</v>
      </c>
      <c r="I7981" s="187">
        <v>0.63509280000000001</v>
      </c>
      <c r="J7981" s="41" t="s">
        <v>941</v>
      </c>
      <c r="K7981" s="41" t="s">
        <v>239</v>
      </c>
      <c r="O7981" s="199">
        <v>0.2</v>
      </c>
    </row>
    <row r="7982" spans="1:16" x14ac:dyDescent="0.2">
      <c r="A7982" s="30">
        <v>1054</v>
      </c>
      <c r="B7982" s="249" t="str">
        <f>IF(AND(A7982&lt;&gt;"",ISNUMBER(A7982)),VLOOKUP(A7982,Studies!A:BR,2,FALSE),"")</f>
        <v>Varhe 1994</v>
      </c>
      <c r="C7982" s="250" t="str">
        <f>IF(AND(A7982&lt;&gt;"",ISNUMBER(A7982)),VLOOKUP(A7982,Studies!A:BR,3,FALSE),"")</f>
        <v>https://www.ncbi.nlm.nih.gov/pubmed/7995001</v>
      </c>
      <c r="D7982" s="250" t="str">
        <f>IF(AND(A7982&lt;&gt;"",ISNUMBER(A7982)),VLOOKUP(A7982,Studies!A:BR,4,FALSE),"")</f>
        <v>Triazolam with placebo Subject 5</v>
      </c>
      <c r="E7982" s="250" t="str">
        <f>IF(AND(A7982&lt;&gt;"",ISNUMBER(A7982)),VLOOKUP(A7982,Studies!A:BR,5,FALSE),"")</f>
        <v>Triazolam</v>
      </c>
      <c r="F7982" s="251" t="str">
        <f>IF(AND(A7982&lt;&gt;"",ISNUMBER(A7982)),VLOOKUP(A7982,Studies!A:BR,6,FALSE),"")</f>
        <v>Plasma</v>
      </c>
      <c r="G7982" s="194">
        <v>7</v>
      </c>
      <c r="H7982" s="50" t="s">
        <v>60</v>
      </c>
      <c r="I7982" s="187">
        <v>0.49139290000000002</v>
      </c>
      <c r="J7982" s="41" t="s">
        <v>941</v>
      </c>
      <c r="K7982" s="41" t="s">
        <v>239</v>
      </c>
      <c r="O7982" s="199">
        <v>0.2</v>
      </c>
    </row>
    <row r="7983" spans="1:16" x14ac:dyDescent="0.2">
      <c r="A7983" s="30">
        <v>1055</v>
      </c>
      <c r="B7983" s="249" t="str">
        <f>IF(AND(A7983&lt;&gt;"",ISNUMBER(A7983)),VLOOKUP(A7983,Studies!A:BR,2,FALSE),"")</f>
        <v>Varhe 1994</v>
      </c>
      <c r="C7983" s="250" t="str">
        <f>IF(AND(A7983&lt;&gt;"",ISNUMBER(A7983)),VLOOKUP(A7983,Studies!A:BR,3,FALSE),"")</f>
        <v>https://www.ncbi.nlm.nih.gov/pubmed/7995001</v>
      </c>
      <c r="D7983" s="250" t="str">
        <f>IF(AND(A7983&lt;&gt;"",ISNUMBER(A7983)),VLOOKUP(A7983,Studies!A:BR,4,FALSE),"")</f>
        <v>Triazolam with placebo Subject 6</v>
      </c>
      <c r="E7983" s="250" t="str">
        <f>IF(AND(A7983&lt;&gt;"",ISNUMBER(A7983)),VLOOKUP(A7983,Studies!A:BR,5,FALSE),"")</f>
        <v>Triazolam</v>
      </c>
      <c r="F7983" s="251" t="str">
        <f>IF(AND(A7983&lt;&gt;"",ISNUMBER(A7983)),VLOOKUP(A7983,Studies!A:BR,6,FALSE),"")</f>
        <v>Plasma</v>
      </c>
      <c r="G7983" s="194">
        <v>0.67</v>
      </c>
      <c r="H7983" s="50" t="s">
        <v>60</v>
      </c>
      <c r="I7983" s="187">
        <v>0.87965559999999998</v>
      </c>
      <c r="J7983" s="41" t="s">
        <v>941</v>
      </c>
      <c r="K7983" s="41" t="s">
        <v>239</v>
      </c>
      <c r="O7983" s="199">
        <v>0.2</v>
      </c>
      <c r="P7983" s="42" t="s">
        <v>2640</v>
      </c>
    </row>
    <row r="7984" spans="1:16" x14ac:dyDescent="0.2">
      <c r="A7984" s="30">
        <v>1055</v>
      </c>
      <c r="B7984" s="249" t="str">
        <f>IF(AND(A7984&lt;&gt;"",ISNUMBER(A7984)),VLOOKUP(A7984,Studies!A:BR,2,FALSE),"")</f>
        <v>Varhe 1994</v>
      </c>
      <c r="C7984" s="250" t="str">
        <f>IF(AND(A7984&lt;&gt;"",ISNUMBER(A7984)),VLOOKUP(A7984,Studies!A:BR,3,FALSE),"")</f>
        <v>https://www.ncbi.nlm.nih.gov/pubmed/7995001</v>
      </c>
      <c r="D7984" s="250" t="str">
        <f>IF(AND(A7984&lt;&gt;"",ISNUMBER(A7984)),VLOOKUP(A7984,Studies!A:BR,4,FALSE),"")</f>
        <v>Triazolam with placebo Subject 6</v>
      </c>
      <c r="E7984" s="250" t="str">
        <f>IF(AND(A7984&lt;&gt;"",ISNUMBER(A7984)),VLOOKUP(A7984,Studies!A:BR,5,FALSE),"")</f>
        <v>Triazolam</v>
      </c>
      <c r="F7984" s="251" t="str">
        <f>IF(AND(A7984&lt;&gt;"",ISNUMBER(A7984)),VLOOKUP(A7984,Studies!A:BR,6,FALSE),"")</f>
        <v>Plasma</v>
      </c>
      <c r="G7984" s="194">
        <v>1</v>
      </c>
      <c r="H7984" s="50" t="s">
        <v>60</v>
      </c>
      <c r="I7984" s="187">
        <v>0.85963429999999996</v>
      </c>
      <c r="J7984" s="41" t="s">
        <v>941</v>
      </c>
      <c r="K7984" s="41" t="s">
        <v>239</v>
      </c>
      <c r="O7984" s="199">
        <v>0.2</v>
      </c>
    </row>
    <row r="7985" spans="1:16" x14ac:dyDescent="0.2">
      <c r="A7985" s="30">
        <v>1055</v>
      </c>
      <c r="B7985" s="249" t="str">
        <f>IF(AND(A7985&lt;&gt;"",ISNUMBER(A7985)),VLOOKUP(A7985,Studies!A:BR,2,FALSE),"")</f>
        <v>Varhe 1994</v>
      </c>
      <c r="C7985" s="250" t="str">
        <f>IF(AND(A7985&lt;&gt;"",ISNUMBER(A7985)),VLOOKUP(A7985,Studies!A:BR,3,FALSE),"")</f>
        <v>https://www.ncbi.nlm.nih.gov/pubmed/7995001</v>
      </c>
      <c r="D7985" s="250" t="str">
        <f>IF(AND(A7985&lt;&gt;"",ISNUMBER(A7985)),VLOOKUP(A7985,Studies!A:BR,4,FALSE),"")</f>
        <v>Triazolam with placebo Subject 6</v>
      </c>
      <c r="E7985" s="250" t="str">
        <f>IF(AND(A7985&lt;&gt;"",ISNUMBER(A7985)),VLOOKUP(A7985,Studies!A:BR,5,FALSE),"")</f>
        <v>Triazolam</v>
      </c>
      <c r="F7985" s="251" t="str">
        <f>IF(AND(A7985&lt;&gt;"",ISNUMBER(A7985)),VLOOKUP(A7985,Studies!A:BR,6,FALSE),"")</f>
        <v>Plasma</v>
      </c>
      <c r="G7985" s="194">
        <v>1.5</v>
      </c>
      <c r="H7985" s="50" t="s">
        <v>60</v>
      </c>
      <c r="I7985" s="187">
        <v>0.97888120000000001</v>
      </c>
      <c r="J7985" s="41" t="s">
        <v>941</v>
      </c>
      <c r="K7985" s="41" t="s">
        <v>239</v>
      </c>
      <c r="O7985" s="199">
        <v>0.2</v>
      </c>
    </row>
    <row r="7986" spans="1:16" x14ac:dyDescent="0.2">
      <c r="A7986" s="30">
        <v>1055</v>
      </c>
      <c r="B7986" s="249" t="str">
        <f>IF(AND(A7986&lt;&gt;"",ISNUMBER(A7986)),VLOOKUP(A7986,Studies!A:BR,2,FALSE),"")</f>
        <v>Varhe 1994</v>
      </c>
      <c r="C7986" s="250" t="str">
        <f>IF(AND(A7986&lt;&gt;"",ISNUMBER(A7986)),VLOOKUP(A7986,Studies!A:BR,3,FALSE),"")</f>
        <v>https://www.ncbi.nlm.nih.gov/pubmed/7995001</v>
      </c>
      <c r="D7986" s="250" t="str">
        <f>IF(AND(A7986&lt;&gt;"",ISNUMBER(A7986)),VLOOKUP(A7986,Studies!A:BR,4,FALSE),"")</f>
        <v>Triazolam with placebo Subject 6</v>
      </c>
      <c r="E7986" s="250" t="str">
        <f>IF(AND(A7986&lt;&gt;"",ISNUMBER(A7986)),VLOOKUP(A7986,Studies!A:BR,5,FALSE),"")</f>
        <v>Triazolam</v>
      </c>
      <c r="F7986" s="251" t="str">
        <f>IF(AND(A7986&lt;&gt;"",ISNUMBER(A7986)),VLOOKUP(A7986,Studies!A:BR,6,FALSE),"")</f>
        <v>Plasma</v>
      </c>
      <c r="G7986" s="194">
        <v>2</v>
      </c>
      <c r="H7986" s="50" t="s">
        <v>60</v>
      </c>
      <c r="I7986" s="187">
        <v>0.76543539999999999</v>
      </c>
      <c r="J7986" s="41" t="s">
        <v>941</v>
      </c>
      <c r="K7986" s="41" t="s">
        <v>239</v>
      </c>
      <c r="O7986" s="199">
        <v>0.2</v>
      </c>
    </row>
    <row r="7987" spans="1:16" x14ac:dyDescent="0.2">
      <c r="A7987" s="30">
        <v>1055</v>
      </c>
      <c r="B7987" s="249" t="str">
        <f>IF(AND(A7987&lt;&gt;"",ISNUMBER(A7987)),VLOOKUP(A7987,Studies!A:BR,2,FALSE),"")</f>
        <v>Varhe 1994</v>
      </c>
      <c r="C7987" s="250" t="str">
        <f>IF(AND(A7987&lt;&gt;"",ISNUMBER(A7987)),VLOOKUP(A7987,Studies!A:BR,3,FALSE),"")</f>
        <v>https://www.ncbi.nlm.nih.gov/pubmed/7995001</v>
      </c>
      <c r="D7987" s="250" t="str">
        <f>IF(AND(A7987&lt;&gt;"",ISNUMBER(A7987)),VLOOKUP(A7987,Studies!A:BR,4,FALSE),"")</f>
        <v>Triazolam with placebo Subject 6</v>
      </c>
      <c r="E7987" s="250" t="str">
        <f>IF(AND(A7987&lt;&gt;"",ISNUMBER(A7987)),VLOOKUP(A7987,Studies!A:BR,5,FALSE),"")</f>
        <v>Triazolam</v>
      </c>
      <c r="F7987" s="251" t="str">
        <f>IF(AND(A7987&lt;&gt;"",ISNUMBER(A7987)),VLOOKUP(A7987,Studies!A:BR,6,FALSE),"")</f>
        <v>Plasma</v>
      </c>
      <c r="G7987" s="194">
        <v>2.5</v>
      </c>
      <c r="H7987" s="50" t="s">
        <v>60</v>
      </c>
      <c r="I7987" s="187">
        <v>0.70546010000000003</v>
      </c>
      <c r="J7987" s="41" t="s">
        <v>941</v>
      </c>
      <c r="K7987" s="41" t="s">
        <v>239</v>
      </c>
      <c r="O7987" s="199">
        <v>0.2</v>
      </c>
    </row>
    <row r="7988" spans="1:16" x14ac:dyDescent="0.2">
      <c r="A7988" s="30">
        <v>1055</v>
      </c>
      <c r="B7988" s="249" t="str">
        <f>IF(AND(A7988&lt;&gt;"",ISNUMBER(A7988)),VLOOKUP(A7988,Studies!A:BR,2,FALSE),"")</f>
        <v>Varhe 1994</v>
      </c>
      <c r="C7988" s="250" t="str">
        <f>IF(AND(A7988&lt;&gt;"",ISNUMBER(A7988)),VLOOKUP(A7988,Studies!A:BR,3,FALSE),"")</f>
        <v>https://www.ncbi.nlm.nih.gov/pubmed/7995001</v>
      </c>
      <c r="D7988" s="250" t="str">
        <f>IF(AND(A7988&lt;&gt;"",ISNUMBER(A7988)),VLOOKUP(A7988,Studies!A:BR,4,FALSE),"")</f>
        <v>Triazolam with placebo Subject 6</v>
      </c>
      <c r="E7988" s="250" t="str">
        <f>IF(AND(A7988&lt;&gt;"",ISNUMBER(A7988)),VLOOKUP(A7988,Studies!A:BR,5,FALSE),"")</f>
        <v>Triazolam</v>
      </c>
      <c r="F7988" s="251" t="str">
        <f>IF(AND(A7988&lt;&gt;"",ISNUMBER(A7988)),VLOOKUP(A7988,Studies!A:BR,6,FALSE),"")</f>
        <v>Plasma</v>
      </c>
      <c r="G7988" s="194">
        <v>3</v>
      </c>
      <c r="H7988" s="50" t="s">
        <v>60</v>
      </c>
      <c r="I7988" s="187">
        <v>0.53249480000000005</v>
      </c>
      <c r="J7988" s="41" t="s">
        <v>941</v>
      </c>
      <c r="K7988" s="41" t="s">
        <v>239</v>
      </c>
      <c r="O7988" s="199">
        <v>0.2</v>
      </c>
    </row>
    <row r="7989" spans="1:16" x14ac:dyDescent="0.2">
      <c r="A7989" s="30">
        <v>1055</v>
      </c>
      <c r="B7989" s="249" t="str">
        <f>IF(AND(A7989&lt;&gt;"",ISNUMBER(A7989)),VLOOKUP(A7989,Studies!A:BR,2,FALSE),"")</f>
        <v>Varhe 1994</v>
      </c>
      <c r="C7989" s="250" t="str">
        <f>IF(AND(A7989&lt;&gt;"",ISNUMBER(A7989)),VLOOKUP(A7989,Studies!A:BR,3,FALSE),"")</f>
        <v>https://www.ncbi.nlm.nih.gov/pubmed/7995001</v>
      </c>
      <c r="D7989" s="250" t="str">
        <f>IF(AND(A7989&lt;&gt;"",ISNUMBER(A7989)),VLOOKUP(A7989,Studies!A:BR,4,FALSE),"")</f>
        <v>Triazolam with placebo Subject 6</v>
      </c>
      <c r="E7989" s="250" t="str">
        <f>IF(AND(A7989&lt;&gt;"",ISNUMBER(A7989)),VLOOKUP(A7989,Studies!A:BR,5,FALSE),"")</f>
        <v>Triazolam</v>
      </c>
      <c r="F7989" s="251" t="str">
        <f>IF(AND(A7989&lt;&gt;"",ISNUMBER(A7989)),VLOOKUP(A7989,Studies!A:BR,6,FALSE),"")</f>
        <v>Plasma</v>
      </c>
      <c r="G7989" s="194">
        <v>4</v>
      </c>
      <c r="H7989" s="50" t="s">
        <v>60</v>
      </c>
      <c r="I7989" s="187">
        <v>0.49111949999999999</v>
      </c>
      <c r="J7989" s="41" t="s">
        <v>941</v>
      </c>
      <c r="K7989" s="41" t="s">
        <v>239</v>
      </c>
      <c r="O7989" s="199">
        <v>0.2</v>
      </c>
    </row>
    <row r="7990" spans="1:16" x14ac:dyDescent="0.2">
      <c r="A7990" s="30">
        <v>1055</v>
      </c>
      <c r="B7990" s="249" t="str">
        <f>IF(AND(A7990&lt;&gt;"",ISNUMBER(A7990)),VLOOKUP(A7990,Studies!A:BR,2,FALSE),"")</f>
        <v>Varhe 1994</v>
      </c>
      <c r="C7990" s="250" t="str">
        <f>IF(AND(A7990&lt;&gt;"",ISNUMBER(A7990)),VLOOKUP(A7990,Studies!A:BR,3,FALSE),"")</f>
        <v>https://www.ncbi.nlm.nih.gov/pubmed/7995001</v>
      </c>
      <c r="D7990" s="250" t="str">
        <f>IF(AND(A7990&lt;&gt;"",ISNUMBER(A7990)),VLOOKUP(A7990,Studies!A:BR,4,FALSE),"")</f>
        <v>Triazolam with placebo Subject 6</v>
      </c>
      <c r="E7990" s="250" t="str">
        <f>IF(AND(A7990&lt;&gt;"",ISNUMBER(A7990)),VLOOKUP(A7990,Studies!A:BR,5,FALSE),"")</f>
        <v>Triazolam</v>
      </c>
      <c r="F7990" s="251" t="str">
        <f>IF(AND(A7990&lt;&gt;"",ISNUMBER(A7990)),VLOOKUP(A7990,Studies!A:BR,6,FALSE),"")</f>
        <v>Plasma</v>
      </c>
      <c r="G7990" s="194">
        <v>5</v>
      </c>
      <c r="H7990" s="50" t="s">
        <v>60</v>
      </c>
      <c r="I7990" s="187">
        <v>0.29675509999999999</v>
      </c>
      <c r="J7990" s="41" t="s">
        <v>941</v>
      </c>
      <c r="K7990" s="41" t="s">
        <v>239</v>
      </c>
      <c r="O7990" s="199">
        <v>0.2</v>
      </c>
    </row>
    <row r="7991" spans="1:16" x14ac:dyDescent="0.2">
      <c r="A7991" s="30">
        <v>1055</v>
      </c>
      <c r="B7991" s="249" t="str">
        <f>IF(AND(A7991&lt;&gt;"",ISNUMBER(A7991)),VLOOKUP(A7991,Studies!A:BR,2,FALSE),"")</f>
        <v>Varhe 1994</v>
      </c>
      <c r="C7991" s="250" t="str">
        <f>IF(AND(A7991&lt;&gt;"",ISNUMBER(A7991)),VLOOKUP(A7991,Studies!A:BR,3,FALSE),"")</f>
        <v>https://www.ncbi.nlm.nih.gov/pubmed/7995001</v>
      </c>
      <c r="D7991" s="250" t="str">
        <f>IF(AND(A7991&lt;&gt;"",ISNUMBER(A7991)),VLOOKUP(A7991,Studies!A:BR,4,FALSE),"")</f>
        <v>Triazolam with placebo Subject 6</v>
      </c>
      <c r="E7991" s="250" t="str">
        <f>IF(AND(A7991&lt;&gt;"",ISNUMBER(A7991)),VLOOKUP(A7991,Studies!A:BR,5,FALSE),"")</f>
        <v>Triazolam</v>
      </c>
      <c r="F7991" s="251" t="str">
        <f>IF(AND(A7991&lt;&gt;"",ISNUMBER(A7991)),VLOOKUP(A7991,Studies!A:BR,6,FALSE),"")</f>
        <v>Plasma</v>
      </c>
      <c r="G7991" s="194">
        <v>6</v>
      </c>
      <c r="H7991" s="50" t="s">
        <v>60</v>
      </c>
      <c r="I7991" s="187">
        <v>0.19698180000000001</v>
      </c>
      <c r="J7991" s="41" t="s">
        <v>941</v>
      </c>
      <c r="K7991" s="41" t="s">
        <v>239</v>
      </c>
      <c r="O7991" s="199">
        <v>0.2</v>
      </c>
    </row>
    <row r="7992" spans="1:16" x14ac:dyDescent="0.2">
      <c r="A7992" s="30">
        <v>1055</v>
      </c>
      <c r="B7992" s="249" t="str">
        <f>IF(AND(A7992&lt;&gt;"",ISNUMBER(A7992)),VLOOKUP(A7992,Studies!A:BR,2,FALSE),"")</f>
        <v>Varhe 1994</v>
      </c>
      <c r="C7992" s="250" t="str">
        <f>IF(AND(A7992&lt;&gt;"",ISNUMBER(A7992)),VLOOKUP(A7992,Studies!A:BR,3,FALSE),"")</f>
        <v>https://www.ncbi.nlm.nih.gov/pubmed/7995001</v>
      </c>
      <c r="D7992" s="250" t="str">
        <f>IF(AND(A7992&lt;&gt;"",ISNUMBER(A7992)),VLOOKUP(A7992,Studies!A:BR,4,FALSE),"")</f>
        <v>Triazolam with placebo Subject 6</v>
      </c>
      <c r="E7992" s="250" t="str">
        <f>IF(AND(A7992&lt;&gt;"",ISNUMBER(A7992)),VLOOKUP(A7992,Studies!A:BR,5,FALSE),"")</f>
        <v>Triazolam</v>
      </c>
      <c r="F7992" s="251" t="str">
        <f>IF(AND(A7992&lt;&gt;"",ISNUMBER(A7992)),VLOOKUP(A7992,Studies!A:BR,6,FALSE),"")</f>
        <v>Plasma</v>
      </c>
      <c r="G7992" s="194">
        <v>7</v>
      </c>
      <c r="H7992" s="50" t="s">
        <v>60</v>
      </c>
      <c r="I7992" s="187">
        <v>0.1972546</v>
      </c>
      <c r="J7992" s="41" t="s">
        <v>941</v>
      </c>
      <c r="K7992" s="41" t="s">
        <v>239</v>
      </c>
      <c r="O7992" s="199">
        <v>0.2</v>
      </c>
    </row>
    <row r="7993" spans="1:16" x14ac:dyDescent="0.2">
      <c r="A7993" s="30">
        <v>1056</v>
      </c>
      <c r="B7993" s="249" t="str">
        <f>IF(AND(A7993&lt;&gt;"",ISNUMBER(A7993)),VLOOKUP(A7993,Studies!A:BR,2,FALSE),"")</f>
        <v>Varhe 1994</v>
      </c>
      <c r="C7993" s="250" t="str">
        <f>IF(AND(A7993&lt;&gt;"",ISNUMBER(A7993)),VLOOKUP(A7993,Studies!A:BR,3,FALSE),"")</f>
        <v>https://www.ncbi.nlm.nih.gov/pubmed/7995001</v>
      </c>
      <c r="D7993" s="250" t="str">
        <f>IF(AND(A7993&lt;&gt;"",ISNUMBER(A7993)),VLOOKUP(A7993,Studies!A:BR,4,FALSE),"")</f>
        <v>Triazolam with placebo Subject 7</v>
      </c>
      <c r="E7993" s="250" t="str">
        <f>IF(AND(A7993&lt;&gt;"",ISNUMBER(A7993)),VLOOKUP(A7993,Studies!A:BR,5,FALSE),"")</f>
        <v>Triazolam</v>
      </c>
      <c r="F7993" s="251" t="str">
        <f>IF(AND(A7993&lt;&gt;"",ISNUMBER(A7993)),VLOOKUP(A7993,Studies!A:BR,6,FALSE),"")</f>
        <v>Plasma</v>
      </c>
      <c r="G7993" s="194">
        <v>0.67</v>
      </c>
      <c r="H7993" s="50" t="s">
        <v>60</v>
      </c>
      <c r="I7993" s="187">
        <v>0.58710839999999997</v>
      </c>
      <c r="J7993" s="41" t="s">
        <v>941</v>
      </c>
      <c r="K7993" s="41" t="s">
        <v>239</v>
      </c>
      <c r="O7993" s="199">
        <v>0.2</v>
      </c>
      <c r="P7993" s="42" t="s">
        <v>2640</v>
      </c>
    </row>
    <row r="7994" spans="1:16" x14ac:dyDescent="0.2">
      <c r="A7994" s="30">
        <v>1056</v>
      </c>
      <c r="B7994" s="249" t="str">
        <f>IF(AND(A7994&lt;&gt;"",ISNUMBER(A7994)),VLOOKUP(A7994,Studies!A:BR,2,FALSE),"")</f>
        <v>Varhe 1994</v>
      </c>
      <c r="C7994" s="250" t="str">
        <f>IF(AND(A7994&lt;&gt;"",ISNUMBER(A7994)),VLOOKUP(A7994,Studies!A:BR,3,FALSE),"")</f>
        <v>https://www.ncbi.nlm.nih.gov/pubmed/7995001</v>
      </c>
      <c r="D7994" s="250" t="str">
        <f>IF(AND(A7994&lt;&gt;"",ISNUMBER(A7994)),VLOOKUP(A7994,Studies!A:BR,4,FALSE),"")</f>
        <v>Triazolam with placebo Subject 7</v>
      </c>
      <c r="E7994" s="250" t="str">
        <f>IF(AND(A7994&lt;&gt;"",ISNUMBER(A7994)),VLOOKUP(A7994,Studies!A:BR,5,FALSE),"")</f>
        <v>Triazolam</v>
      </c>
      <c r="F7994" s="251" t="str">
        <f>IF(AND(A7994&lt;&gt;"",ISNUMBER(A7994)),VLOOKUP(A7994,Studies!A:BR,6,FALSE),"")</f>
        <v>Plasma</v>
      </c>
      <c r="G7994" s="194">
        <v>1</v>
      </c>
      <c r="H7994" s="50" t="s">
        <v>60</v>
      </c>
      <c r="I7994" s="187">
        <v>0.98675409999999997</v>
      </c>
      <c r="J7994" s="41" t="s">
        <v>941</v>
      </c>
      <c r="K7994" s="41" t="s">
        <v>239</v>
      </c>
      <c r="O7994" s="199">
        <v>0.2</v>
      </c>
    </row>
    <row r="7995" spans="1:16" x14ac:dyDescent="0.2">
      <c r="A7995" s="30">
        <v>1056</v>
      </c>
      <c r="B7995" s="249" t="str">
        <f>IF(AND(A7995&lt;&gt;"",ISNUMBER(A7995)),VLOOKUP(A7995,Studies!A:BR,2,FALSE),"")</f>
        <v>Varhe 1994</v>
      </c>
      <c r="C7995" s="250" t="str">
        <f>IF(AND(A7995&lt;&gt;"",ISNUMBER(A7995)),VLOOKUP(A7995,Studies!A:BR,3,FALSE),"")</f>
        <v>https://www.ncbi.nlm.nih.gov/pubmed/7995001</v>
      </c>
      <c r="D7995" s="250" t="str">
        <f>IF(AND(A7995&lt;&gt;"",ISNUMBER(A7995)),VLOOKUP(A7995,Studies!A:BR,4,FALSE),"")</f>
        <v>Triazolam with placebo Subject 7</v>
      </c>
      <c r="E7995" s="250" t="str">
        <f>IF(AND(A7995&lt;&gt;"",ISNUMBER(A7995)),VLOOKUP(A7995,Studies!A:BR,5,FALSE),"")</f>
        <v>Triazolam</v>
      </c>
      <c r="F7995" s="251" t="str">
        <f>IF(AND(A7995&lt;&gt;"",ISNUMBER(A7995)),VLOOKUP(A7995,Studies!A:BR,6,FALSE),"")</f>
        <v>Plasma</v>
      </c>
      <c r="G7995" s="194">
        <v>1.5</v>
      </c>
      <c r="H7995" s="50" t="s">
        <v>60</v>
      </c>
      <c r="I7995" s="187">
        <v>1.373103</v>
      </c>
      <c r="J7995" s="41" t="s">
        <v>941</v>
      </c>
      <c r="K7995" s="41" t="s">
        <v>239</v>
      </c>
      <c r="O7995" s="199">
        <v>0.2</v>
      </c>
    </row>
    <row r="7996" spans="1:16" x14ac:dyDescent="0.2">
      <c r="A7996" s="30">
        <v>1056</v>
      </c>
      <c r="B7996" s="249" t="str">
        <f>IF(AND(A7996&lt;&gt;"",ISNUMBER(A7996)),VLOOKUP(A7996,Studies!A:BR,2,FALSE),"")</f>
        <v>Varhe 1994</v>
      </c>
      <c r="C7996" s="250" t="str">
        <f>IF(AND(A7996&lt;&gt;"",ISNUMBER(A7996)),VLOOKUP(A7996,Studies!A:BR,3,FALSE),"")</f>
        <v>https://www.ncbi.nlm.nih.gov/pubmed/7995001</v>
      </c>
      <c r="D7996" s="250" t="str">
        <f>IF(AND(A7996&lt;&gt;"",ISNUMBER(A7996)),VLOOKUP(A7996,Studies!A:BR,4,FALSE),"")</f>
        <v>Triazolam with placebo Subject 7</v>
      </c>
      <c r="E7996" s="250" t="str">
        <f>IF(AND(A7996&lt;&gt;"",ISNUMBER(A7996)),VLOOKUP(A7996,Studies!A:BR,5,FALSE),"")</f>
        <v>Triazolam</v>
      </c>
      <c r="F7996" s="251" t="str">
        <f>IF(AND(A7996&lt;&gt;"",ISNUMBER(A7996)),VLOOKUP(A7996,Studies!A:BR,6,FALSE),"")</f>
        <v>Plasma</v>
      </c>
      <c r="G7996" s="194">
        <v>2</v>
      </c>
      <c r="H7996" s="50" t="s">
        <v>60</v>
      </c>
      <c r="I7996" s="187">
        <v>1.356995</v>
      </c>
      <c r="J7996" s="41" t="s">
        <v>941</v>
      </c>
      <c r="K7996" s="41" t="s">
        <v>239</v>
      </c>
      <c r="O7996" s="199">
        <v>0.2</v>
      </c>
    </row>
    <row r="7997" spans="1:16" x14ac:dyDescent="0.2">
      <c r="A7997" s="30">
        <v>1056</v>
      </c>
      <c r="B7997" s="249" t="str">
        <f>IF(AND(A7997&lt;&gt;"",ISNUMBER(A7997)),VLOOKUP(A7997,Studies!A:BR,2,FALSE),"")</f>
        <v>Varhe 1994</v>
      </c>
      <c r="C7997" s="250" t="str">
        <f>IF(AND(A7997&lt;&gt;"",ISNUMBER(A7997)),VLOOKUP(A7997,Studies!A:BR,3,FALSE),"")</f>
        <v>https://www.ncbi.nlm.nih.gov/pubmed/7995001</v>
      </c>
      <c r="D7997" s="250" t="str">
        <f>IF(AND(A7997&lt;&gt;"",ISNUMBER(A7997)),VLOOKUP(A7997,Studies!A:BR,4,FALSE),"")</f>
        <v>Triazolam with placebo Subject 7</v>
      </c>
      <c r="E7997" s="250" t="str">
        <f>IF(AND(A7997&lt;&gt;"",ISNUMBER(A7997)),VLOOKUP(A7997,Studies!A:BR,5,FALSE),"")</f>
        <v>Triazolam</v>
      </c>
      <c r="F7997" s="251" t="str">
        <f>IF(AND(A7997&lt;&gt;"",ISNUMBER(A7997)),VLOOKUP(A7997,Studies!A:BR,6,FALSE),"")</f>
        <v>Plasma</v>
      </c>
      <c r="G7997" s="194">
        <v>2.5</v>
      </c>
      <c r="H7997" s="50" t="s">
        <v>60</v>
      </c>
      <c r="I7997" s="187">
        <v>1.084444</v>
      </c>
      <c r="J7997" s="41" t="s">
        <v>941</v>
      </c>
      <c r="K7997" s="41" t="s">
        <v>239</v>
      </c>
      <c r="O7997" s="199">
        <v>0.2</v>
      </c>
    </row>
    <row r="7998" spans="1:16" x14ac:dyDescent="0.2">
      <c r="A7998" s="30">
        <v>1056</v>
      </c>
      <c r="B7998" s="249" t="str">
        <f>IF(AND(A7998&lt;&gt;"",ISNUMBER(A7998)),VLOOKUP(A7998,Studies!A:BR,2,FALSE),"")</f>
        <v>Varhe 1994</v>
      </c>
      <c r="C7998" s="250" t="str">
        <f>IF(AND(A7998&lt;&gt;"",ISNUMBER(A7998)),VLOOKUP(A7998,Studies!A:BR,3,FALSE),"")</f>
        <v>https://www.ncbi.nlm.nih.gov/pubmed/7995001</v>
      </c>
      <c r="D7998" s="250" t="str">
        <f>IF(AND(A7998&lt;&gt;"",ISNUMBER(A7998)),VLOOKUP(A7998,Studies!A:BR,4,FALSE),"")</f>
        <v>Triazolam with placebo Subject 7</v>
      </c>
      <c r="E7998" s="250" t="str">
        <f>IF(AND(A7998&lt;&gt;"",ISNUMBER(A7998)),VLOOKUP(A7998,Studies!A:BR,5,FALSE),"")</f>
        <v>Triazolam</v>
      </c>
      <c r="F7998" s="251" t="str">
        <f>IF(AND(A7998&lt;&gt;"",ISNUMBER(A7998)),VLOOKUP(A7998,Studies!A:BR,6,FALSE),"")</f>
        <v>Plasma</v>
      </c>
      <c r="G7998" s="194">
        <v>3</v>
      </c>
      <c r="H7998" s="50" t="s">
        <v>60</v>
      </c>
      <c r="I7998" s="187">
        <v>1.249409</v>
      </c>
      <c r="J7998" s="41" t="s">
        <v>941</v>
      </c>
      <c r="K7998" s="41" t="s">
        <v>239</v>
      </c>
      <c r="O7998" s="199">
        <v>0.2</v>
      </c>
    </row>
    <row r="7999" spans="1:16" x14ac:dyDescent="0.2">
      <c r="A7999" s="30">
        <v>1056</v>
      </c>
      <c r="B7999" s="249" t="str">
        <f>IF(AND(A7999&lt;&gt;"",ISNUMBER(A7999)),VLOOKUP(A7999,Studies!A:BR,2,FALSE),"")</f>
        <v>Varhe 1994</v>
      </c>
      <c r="C7999" s="250" t="str">
        <f>IF(AND(A7999&lt;&gt;"",ISNUMBER(A7999)),VLOOKUP(A7999,Studies!A:BR,3,FALSE),"")</f>
        <v>https://www.ncbi.nlm.nih.gov/pubmed/7995001</v>
      </c>
      <c r="D7999" s="250" t="str">
        <f>IF(AND(A7999&lt;&gt;"",ISNUMBER(A7999)),VLOOKUP(A7999,Studies!A:BR,4,FALSE),"")</f>
        <v>Triazolam with placebo Subject 7</v>
      </c>
      <c r="E7999" s="250" t="str">
        <f>IF(AND(A7999&lt;&gt;"",ISNUMBER(A7999)),VLOOKUP(A7999,Studies!A:BR,5,FALSE),"")</f>
        <v>Triazolam</v>
      </c>
      <c r="F7999" s="251" t="str">
        <f>IF(AND(A7999&lt;&gt;"",ISNUMBER(A7999)),VLOOKUP(A7999,Studies!A:BR,6,FALSE),"")</f>
        <v>Plasma</v>
      </c>
      <c r="G7999" s="194">
        <v>4</v>
      </c>
      <c r="H7999" s="50" t="s">
        <v>60</v>
      </c>
      <c r="I7999" s="187">
        <v>0.79792620000000003</v>
      </c>
      <c r="J7999" s="41" t="s">
        <v>941</v>
      </c>
      <c r="K7999" s="41" t="s">
        <v>239</v>
      </c>
      <c r="O7999" s="199">
        <v>0.2</v>
      </c>
    </row>
    <row r="8000" spans="1:16" x14ac:dyDescent="0.2">
      <c r="A8000" s="30">
        <v>1056</v>
      </c>
      <c r="B8000" s="249" t="str">
        <f>IF(AND(A8000&lt;&gt;"",ISNUMBER(A8000)),VLOOKUP(A8000,Studies!A:BR,2,FALSE),"")</f>
        <v>Varhe 1994</v>
      </c>
      <c r="C8000" s="250" t="str">
        <f>IF(AND(A8000&lt;&gt;"",ISNUMBER(A8000)),VLOOKUP(A8000,Studies!A:BR,3,FALSE),"")</f>
        <v>https://www.ncbi.nlm.nih.gov/pubmed/7995001</v>
      </c>
      <c r="D8000" s="250" t="str">
        <f>IF(AND(A8000&lt;&gt;"",ISNUMBER(A8000)),VLOOKUP(A8000,Studies!A:BR,4,FALSE),"")</f>
        <v>Triazolam with placebo Subject 7</v>
      </c>
      <c r="E8000" s="250" t="str">
        <f>IF(AND(A8000&lt;&gt;"",ISNUMBER(A8000)),VLOOKUP(A8000,Studies!A:BR,5,FALSE),"")</f>
        <v>Triazolam</v>
      </c>
      <c r="F8000" s="251" t="str">
        <f>IF(AND(A8000&lt;&gt;"",ISNUMBER(A8000)),VLOOKUP(A8000,Studies!A:BR,6,FALSE),"")</f>
        <v>Plasma</v>
      </c>
      <c r="G8000" s="194">
        <v>5</v>
      </c>
      <c r="H8000" s="50" t="s">
        <v>60</v>
      </c>
      <c r="I8000" s="187">
        <v>0.57341450000000005</v>
      </c>
      <c r="J8000" s="41" t="s">
        <v>941</v>
      </c>
      <c r="K8000" s="41" t="s">
        <v>239</v>
      </c>
      <c r="O8000" s="199">
        <v>0.2</v>
      </c>
    </row>
    <row r="8001" spans="1:16" x14ac:dyDescent="0.2">
      <c r="A8001" s="30">
        <v>1056</v>
      </c>
      <c r="B8001" s="249" t="str">
        <f>IF(AND(A8001&lt;&gt;"",ISNUMBER(A8001)),VLOOKUP(A8001,Studies!A:BR,2,FALSE),"")</f>
        <v>Varhe 1994</v>
      </c>
      <c r="C8001" s="250" t="str">
        <f>IF(AND(A8001&lt;&gt;"",ISNUMBER(A8001)),VLOOKUP(A8001,Studies!A:BR,3,FALSE),"")</f>
        <v>https://www.ncbi.nlm.nih.gov/pubmed/7995001</v>
      </c>
      <c r="D8001" s="250" t="str">
        <f>IF(AND(A8001&lt;&gt;"",ISNUMBER(A8001)),VLOOKUP(A8001,Studies!A:BR,4,FALSE),"")</f>
        <v>Triazolam with placebo Subject 7</v>
      </c>
      <c r="E8001" s="250" t="str">
        <f>IF(AND(A8001&lt;&gt;"",ISNUMBER(A8001)),VLOOKUP(A8001,Studies!A:BR,5,FALSE),"")</f>
        <v>Triazolam</v>
      </c>
      <c r="F8001" s="251" t="str">
        <f>IF(AND(A8001&lt;&gt;"",ISNUMBER(A8001)),VLOOKUP(A8001,Studies!A:BR,6,FALSE),"")</f>
        <v>Plasma</v>
      </c>
      <c r="G8001" s="194">
        <v>6</v>
      </c>
      <c r="H8001" s="50" t="s">
        <v>60</v>
      </c>
      <c r="I8001" s="187">
        <v>0.38846389999999997</v>
      </c>
      <c r="J8001" s="41" t="s">
        <v>941</v>
      </c>
      <c r="K8001" s="41" t="s">
        <v>239</v>
      </c>
      <c r="O8001" s="199">
        <v>0.2</v>
      </c>
    </row>
    <row r="8002" spans="1:16" x14ac:dyDescent="0.2">
      <c r="A8002" s="30">
        <v>1056</v>
      </c>
      <c r="B8002" s="249" t="str">
        <f>IF(AND(A8002&lt;&gt;"",ISNUMBER(A8002)),VLOOKUP(A8002,Studies!A:BR,2,FALSE),"")</f>
        <v>Varhe 1994</v>
      </c>
      <c r="C8002" s="250" t="str">
        <f>IF(AND(A8002&lt;&gt;"",ISNUMBER(A8002)),VLOOKUP(A8002,Studies!A:BR,3,FALSE),"")</f>
        <v>https://www.ncbi.nlm.nih.gov/pubmed/7995001</v>
      </c>
      <c r="D8002" s="250" t="str">
        <f>IF(AND(A8002&lt;&gt;"",ISNUMBER(A8002)),VLOOKUP(A8002,Studies!A:BR,4,FALSE),"")</f>
        <v>Triazolam with placebo Subject 7</v>
      </c>
      <c r="E8002" s="250" t="str">
        <f>IF(AND(A8002&lt;&gt;"",ISNUMBER(A8002)),VLOOKUP(A8002,Studies!A:BR,5,FALSE),"")</f>
        <v>Triazolam</v>
      </c>
      <c r="F8002" s="251" t="str">
        <f>IF(AND(A8002&lt;&gt;"",ISNUMBER(A8002)),VLOOKUP(A8002,Studies!A:BR,6,FALSE),"")</f>
        <v>Plasma</v>
      </c>
      <c r="G8002" s="194">
        <v>7</v>
      </c>
      <c r="H8002" s="50" t="s">
        <v>60</v>
      </c>
      <c r="I8002" s="187">
        <v>0.2926549</v>
      </c>
      <c r="J8002" s="41" t="s">
        <v>941</v>
      </c>
      <c r="K8002" s="41" t="s">
        <v>239</v>
      </c>
      <c r="O8002" s="199">
        <v>0.2</v>
      </c>
    </row>
    <row r="8003" spans="1:16" x14ac:dyDescent="0.2">
      <c r="A8003" s="30">
        <v>1057</v>
      </c>
      <c r="B8003" s="249" t="str">
        <f>IF(AND(A8003&lt;&gt;"",ISNUMBER(A8003)),VLOOKUP(A8003,Studies!A:BR,2,FALSE),"")</f>
        <v>Varhe 1994</v>
      </c>
      <c r="C8003" s="250" t="str">
        <f>IF(AND(A8003&lt;&gt;"",ISNUMBER(A8003)),VLOOKUP(A8003,Studies!A:BR,3,FALSE),"")</f>
        <v>https://www.ncbi.nlm.nih.gov/pubmed/7995001</v>
      </c>
      <c r="D8003" s="250" t="str">
        <f>IF(AND(A8003&lt;&gt;"",ISNUMBER(A8003)),VLOOKUP(A8003,Studies!A:BR,4,FALSE),"")</f>
        <v>Triazolam with placebo Subject 8</v>
      </c>
      <c r="E8003" s="250" t="str">
        <f>IF(AND(A8003&lt;&gt;"",ISNUMBER(A8003)),VLOOKUP(A8003,Studies!A:BR,5,FALSE),"")</f>
        <v>Triazolam</v>
      </c>
      <c r="F8003" s="251" t="str">
        <f>IF(AND(A8003&lt;&gt;"",ISNUMBER(A8003)),VLOOKUP(A8003,Studies!A:BR,6,FALSE),"")</f>
        <v>Plasma</v>
      </c>
      <c r="G8003" s="194">
        <v>0.67</v>
      </c>
      <c r="H8003" s="50" t="s">
        <v>60</v>
      </c>
      <c r="I8003" s="187">
        <v>0.78083449999999999</v>
      </c>
      <c r="J8003" s="41" t="s">
        <v>941</v>
      </c>
      <c r="K8003" s="41" t="s">
        <v>239</v>
      </c>
      <c r="O8003" s="199">
        <v>0.2</v>
      </c>
      <c r="P8003" s="42" t="s">
        <v>2638</v>
      </c>
    </row>
    <row r="8004" spans="1:16" x14ac:dyDescent="0.2">
      <c r="A8004" s="30">
        <v>1057</v>
      </c>
      <c r="B8004" s="249" t="str">
        <f>IF(AND(A8004&lt;&gt;"",ISNUMBER(A8004)),VLOOKUP(A8004,Studies!A:BR,2,FALSE),"")</f>
        <v>Varhe 1994</v>
      </c>
      <c r="C8004" s="250" t="str">
        <f>IF(AND(A8004&lt;&gt;"",ISNUMBER(A8004)),VLOOKUP(A8004,Studies!A:BR,3,FALSE),"")</f>
        <v>https://www.ncbi.nlm.nih.gov/pubmed/7995001</v>
      </c>
      <c r="D8004" s="250" t="str">
        <f>IF(AND(A8004&lt;&gt;"",ISNUMBER(A8004)),VLOOKUP(A8004,Studies!A:BR,4,FALSE),"")</f>
        <v>Triazolam with placebo Subject 8</v>
      </c>
      <c r="E8004" s="250" t="str">
        <f>IF(AND(A8004&lt;&gt;"",ISNUMBER(A8004)),VLOOKUP(A8004,Studies!A:BR,5,FALSE),"")</f>
        <v>Triazolam</v>
      </c>
      <c r="F8004" s="251" t="str">
        <f>IF(AND(A8004&lt;&gt;"",ISNUMBER(A8004)),VLOOKUP(A8004,Studies!A:BR,6,FALSE),"")</f>
        <v>Plasma</v>
      </c>
      <c r="G8004" s="194">
        <v>1</v>
      </c>
      <c r="H8004" s="50" t="s">
        <v>60</v>
      </c>
      <c r="I8004" s="187">
        <v>1.3448990000000001</v>
      </c>
      <c r="J8004" s="41" t="s">
        <v>941</v>
      </c>
      <c r="K8004" s="41" t="s">
        <v>239</v>
      </c>
      <c r="O8004" s="199">
        <v>0.2</v>
      </c>
    </row>
    <row r="8005" spans="1:16" x14ac:dyDescent="0.2">
      <c r="A8005" s="30">
        <v>1057</v>
      </c>
      <c r="B8005" s="249" t="str">
        <f>IF(AND(A8005&lt;&gt;"",ISNUMBER(A8005)),VLOOKUP(A8005,Studies!A:BR,2,FALSE),"")</f>
        <v>Varhe 1994</v>
      </c>
      <c r="C8005" s="250" t="str">
        <f>IF(AND(A8005&lt;&gt;"",ISNUMBER(A8005)),VLOOKUP(A8005,Studies!A:BR,3,FALSE),"")</f>
        <v>https://www.ncbi.nlm.nih.gov/pubmed/7995001</v>
      </c>
      <c r="D8005" s="250" t="str">
        <f>IF(AND(A8005&lt;&gt;"",ISNUMBER(A8005)),VLOOKUP(A8005,Studies!A:BR,4,FALSE),"")</f>
        <v>Triazolam with placebo Subject 8</v>
      </c>
      <c r="E8005" s="250" t="str">
        <f>IF(AND(A8005&lt;&gt;"",ISNUMBER(A8005)),VLOOKUP(A8005,Studies!A:BR,5,FALSE),"")</f>
        <v>Triazolam</v>
      </c>
      <c r="F8005" s="251" t="str">
        <f>IF(AND(A8005&lt;&gt;"",ISNUMBER(A8005)),VLOOKUP(A8005,Studies!A:BR,6,FALSE),"")</f>
        <v>Plasma</v>
      </c>
      <c r="G8005" s="194">
        <v>1.5</v>
      </c>
      <c r="H8005" s="50" t="s">
        <v>60</v>
      </c>
      <c r="I8005" s="187">
        <v>1.66557</v>
      </c>
      <c r="J8005" s="41" t="s">
        <v>941</v>
      </c>
      <c r="K8005" s="41" t="s">
        <v>239</v>
      </c>
      <c r="O8005" s="199">
        <v>0.2</v>
      </c>
    </row>
    <row r="8006" spans="1:16" x14ac:dyDescent="0.2">
      <c r="A8006" s="30">
        <v>1057</v>
      </c>
      <c r="B8006" s="249" t="str">
        <f>IF(AND(A8006&lt;&gt;"",ISNUMBER(A8006)),VLOOKUP(A8006,Studies!A:BR,2,FALSE),"")</f>
        <v>Varhe 1994</v>
      </c>
      <c r="C8006" s="250" t="str">
        <f>IF(AND(A8006&lt;&gt;"",ISNUMBER(A8006)),VLOOKUP(A8006,Studies!A:BR,3,FALSE),"")</f>
        <v>https://www.ncbi.nlm.nih.gov/pubmed/7995001</v>
      </c>
      <c r="D8006" s="250" t="str">
        <f>IF(AND(A8006&lt;&gt;"",ISNUMBER(A8006)),VLOOKUP(A8006,Studies!A:BR,4,FALSE),"")</f>
        <v>Triazolam with placebo Subject 8</v>
      </c>
      <c r="E8006" s="250" t="str">
        <f>IF(AND(A8006&lt;&gt;"",ISNUMBER(A8006)),VLOOKUP(A8006,Studies!A:BR,5,FALSE),"")</f>
        <v>Triazolam</v>
      </c>
      <c r="F8006" s="251" t="str">
        <f>IF(AND(A8006&lt;&gt;"",ISNUMBER(A8006)),VLOOKUP(A8006,Studies!A:BR,6,FALSE),"")</f>
        <v>Plasma</v>
      </c>
      <c r="G8006" s="194">
        <v>2</v>
      </c>
      <c r="H8006" s="50" t="s">
        <v>60</v>
      </c>
      <c r="I8006" s="187">
        <v>1.553852</v>
      </c>
      <c r="J8006" s="41" t="s">
        <v>941</v>
      </c>
      <c r="K8006" s="41" t="s">
        <v>239</v>
      </c>
      <c r="O8006" s="199">
        <v>0.2</v>
      </c>
    </row>
    <row r="8007" spans="1:16" x14ac:dyDescent="0.2">
      <c r="A8007" s="30">
        <v>1057</v>
      </c>
      <c r="B8007" s="249" t="str">
        <f>IF(AND(A8007&lt;&gt;"",ISNUMBER(A8007)),VLOOKUP(A8007,Studies!A:BR,2,FALSE),"")</f>
        <v>Varhe 1994</v>
      </c>
      <c r="C8007" s="250" t="str">
        <f>IF(AND(A8007&lt;&gt;"",ISNUMBER(A8007)),VLOOKUP(A8007,Studies!A:BR,3,FALSE),"")</f>
        <v>https://www.ncbi.nlm.nih.gov/pubmed/7995001</v>
      </c>
      <c r="D8007" s="250" t="str">
        <f>IF(AND(A8007&lt;&gt;"",ISNUMBER(A8007)),VLOOKUP(A8007,Studies!A:BR,4,FALSE),"")</f>
        <v>Triazolam with placebo Subject 8</v>
      </c>
      <c r="E8007" s="250" t="str">
        <f>IF(AND(A8007&lt;&gt;"",ISNUMBER(A8007)),VLOOKUP(A8007,Studies!A:BR,5,FALSE),"")</f>
        <v>Triazolam</v>
      </c>
      <c r="F8007" s="251" t="str">
        <f>IF(AND(A8007&lt;&gt;"",ISNUMBER(A8007)),VLOOKUP(A8007,Studies!A:BR,6,FALSE),"")</f>
        <v>Plasma</v>
      </c>
      <c r="G8007" s="194">
        <v>2.5</v>
      </c>
      <c r="H8007" s="50" t="s">
        <v>60</v>
      </c>
      <c r="I8007" s="187">
        <v>1.3666640000000001</v>
      </c>
      <c r="J8007" s="41" t="s">
        <v>941</v>
      </c>
      <c r="K8007" s="41" t="s">
        <v>239</v>
      </c>
      <c r="O8007" s="199">
        <v>0.2</v>
      </c>
    </row>
    <row r="8008" spans="1:16" x14ac:dyDescent="0.2">
      <c r="A8008" s="30">
        <v>1057</v>
      </c>
      <c r="B8008" s="249" t="str">
        <f>IF(AND(A8008&lt;&gt;"",ISNUMBER(A8008)),VLOOKUP(A8008,Studies!A:BR,2,FALSE),"")</f>
        <v>Varhe 1994</v>
      </c>
      <c r="C8008" s="250" t="str">
        <f>IF(AND(A8008&lt;&gt;"",ISNUMBER(A8008)),VLOOKUP(A8008,Studies!A:BR,3,FALSE),"")</f>
        <v>https://www.ncbi.nlm.nih.gov/pubmed/7995001</v>
      </c>
      <c r="D8008" s="250" t="str">
        <f>IF(AND(A8008&lt;&gt;"",ISNUMBER(A8008)),VLOOKUP(A8008,Studies!A:BR,4,FALSE),"")</f>
        <v>Triazolam with placebo Subject 8</v>
      </c>
      <c r="E8008" s="250" t="str">
        <f>IF(AND(A8008&lt;&gt;"",ISNUMBER(A8008)),VLOOKUP(A8008,Studies!A:BR,5,FALSE),"")</f>
        <v>Triazolam</v>
      </c>
      <c r="F8008" s="251" t="str">
        <f>IF(AND(A8008&lt;&gt;"",ISNUMBER(A8008)),VLOOKUP(A8008,Studies!A:BR,6,FALSE),"")</f>
        <v>Plasma</v>
      </c>
      <c r="G8008" s="194">
        <v>3</v>
      </c>
      <c r="H8008" s="50" t="s">
        <v>60</v>
      </c>
      <c r="I8008" s="187">
        <v>1.274821</v>
      </c>
      <c r="J8008" s="41" t="s">
        <v>941</v>
      </c>
      <c r="K8008" s="41" t="s">
        <v>239</v>
      </c>
      <c r="O8008" s="199">
        <v>0.2</v>
      </c>
    </row>
    <row r="8009" spans="1:16" x14ac:dyDescent="0.2">
      <c r="A8009" s="30">
        <v>1057</v>
      </c>
      <c r="B8009" s="249" t="str">
        <f>IF(AND(A8009&lt;&gt;"",ISNUMBER(A8009)),VLOOKUP(A8009,Studies!A:BR,2,FALSE),"")</f>
        <v>Varhe 1994</v>
      </c>
      <c r="C8009" s="250" t="str">
        <f>IF(AND(A8009&lt;&gt;"",ISNUMBER(A8009)),VLOOKUP(A8009,Studies!A:BR,3,FALSE),"")</f>
        <v>https://www.ncbi.nlm.nih.gov/pubmed/7995001</v>
      </c>
      <c r="D8009" s="250" t="str">
        <f>IF(AND(A8009&lt;&gt;"",ISNUMBER(A8009)),VLOOKUP(A8009,Studies!A:BR,4,FALSE),"")</f>
        <v>Triazolam with placebo Subject 8</v>
      </c>
      <c r="E8009" s="250" t="str">
        <f>IF(AND(A8009&lt;&gt;"",ISNUMBER(A8009)),VLOOKUP(A8009,Studies!A:BR,5,FALSE),"")</f>
        <v>Triazolam</v>
      </c>
      <c r="F8009" s="251" t="str">
        <f>IF(AND(A8009&lt;&gt;"",ISNUMBER(A8009)),VLOOKUP(A8009,Studies!A:BR,6,FALSE),"")</f>
        <v>Plasma</v>
      </c>
      <c r="G8009" s="194">
        <v>4</v>
      </c>
      <c r="H8009" s="50" t="s">
        <v>60</v>
      </c>
      <c r="I8009" s="187">
        <v>0.97453849999999997</v>
      </c>
      <c r="J8009" s="41" t="s">
        <v>941</v>
      </c>
      <c r="K8009" s="41" t="s">
        <v>239</v>
      </c>
      <c r="O8009" s="199">
        <v>0.2</v>
      </c>
    </row>
    <row r="8010" spans="1:16" x14ac:dyDescent="0.2">
      <c r="A8010" s="30">
        <v>1057</v>
      </c>
      <c r="B8010" s="249" t="str">
        <f>IF(AND(A8010&lt;&gt;"",ISNUMBER(A8010)),VLOOKUP(A8010,Studies!A:BR,2,FALSE),"")</f>
        <v>Varhe 1994</v>
      </c>
      <c r="C8010" s="250" t="str">
        <f>IF(AND(A8010&lt;&gt;"",ISNUMBER(A8010)),VLOOKUP(A8010,Studies!A:BR,3,FALSE),"")</f>
        <v>https://www.ncbi.nlm.nih.gov/pubmed/7995001</v>
      </c>
      <c r="D8010" s="250" t="str">
        <f>IF(AND(A8010&lt;&gt;"",ISNUMBER(A8010)),VLOOKUP(A8010,Studies!A:BR,4,FALSE),"")</f>
        <v>Triazolam with placebo Subject 8</v>
      </c>
      <c r="E8010" s="250" t="str">
        <f>IF(AND(A8010&lt;&gt;"",ISNUMBER(A8010)),VLOOKUP(A8010,Studies!A:BR,5,FALSE),"")</f>
        <v>Triazolam</v>
      </c>
      <c r="F8010" s="251" t="str">
        <f>IF(AND(A8010&lt;&gt;"",ISNUMBER(A8010)),VLOOKUP(A8010,Studies!A:BR,6,FALSE),"")</f>
        <v>Plasma</v>
      </c>
      <c r="G8010" s="194">
        <v>5</v>
      </c>
      <c r="H8010" s="50" t="s">
        <v>60</v>
      </c>
      <c r="I8010" s="187">
        <v>0.67787580000000003</v>
      </c>
      <c r="J8010" s="41" t="s">
        <v>941</v>
      </c>
      <c r="K8010" s="41" t="s">
        <v>239</v>
      </c>
      <c r="O8010" s="199">
        <v>0.2</v>
      </c>
    </row>
    <row r="8011" spans="1:16" x14ac:dyDescent="0.2">
      <c r="A8011" s="30">
        <v>1057</v>
      </c>
      <c r="B8011" s="249" t="str">
        <f>IF(AND(A8011&lt;&gt;"",ISNUMBER(A8011)),VLOOKUP(A8011,Studies!A:BR,2,FALSE),"")</f>
        <v>Varhe 1994</v>
      </c>
      <c r="C8011" s="250" t="str">
        <f>IF(AND(A8011&lt;&gt;"",ISNUMBER(A8011)),VLOOKUP(A8011,Studies!A:BR,3,FALSE),"")</f>
        <v>https://www.ncbi.nlm.nih.gov/pubmed/7995001</v>
      </c>
      <c r="D8011" s="250" t="str">
        <f>IF(AND(A8011&lt;&gt;"",ISNUMBER(A8011)),VLOOKUP(A8011,Studies!A:BR,4,FALSE),"")</f>
        <v>Triazolam with placebo Subject 8</v>
      </c>
      <c r="E8011" s="250" t="str">
        <f>IF(AND(A8011&lt;&gt;"",ISNUMBER(A8011)),VLOOKUP(A8011,Studies!A:BR,5,FALSE),"")</f>
        <v>Triazolam</v>
      </c>
      <c r="F8011" s="251" t="str">
        <f>IF(AND(A8011&lt;&gt;"",ISNUMBER(A8011)),VLOOKUP(A8011,Studies!A:BR,6,FALSE),"")</f>
        <v>Plasma</v>
      </c>
      <c r="G8011" s="194">
        <v>6</v>
      </c>
      <c r="H8011" s="50" t="s">
        <v>60</v>
      </c>
      <c r="I8011" s="187">
        <v>0.60403709999999999</v>
      </c>
      <c r="J8011" s="41" t="s">
        <v>941</v>
      </c>
      <c r="K8011" s="41" t="s">
        <v>239</v>
      </c>
      <c r="O8011" s="199">
        <v>0.2</v>
      </c>
    </row>
    <row r="8012" spans="1:16" x14ac:dyDescent="0.2">
      <c r="A8012" s="30">
        <v>1058</v>
      </c>
      <c r="B8012" s="249" t="str">
        <f>IF(AND(A8012&lt;&gt;"",ISNUMBER(A8012)),VLOOKUP(A8012,Studies!A:BR,2,FALSE),"")</f>
        <v>Varhe 1994</v>
      </c>
      <c r="C8012" s="250" t="str">
        <f>IF(AND(A8012&lt;&gt;"",ISNUMBER(A8012)),VLOOKUP(A8012,Studies!A:BR,3,FALSE),"")</f>
        <v>https://www.ncbi.nlm.nih.gov/pubmed/7995001</v>
      </c>
      <c r="D8012" s="250" t="str">
        <f>IF(AND(A8012&lt;&gt;"",ISNUMBER(A8012)),VLOOKUP(A8012,Studies!A:BR,4,FALSE),"")</f>
        <v>Triazolam with placebo Subject 9</v>
      </c>
      <c r="E8012" s="250" t="str">
        <f>IF(AND(A8012&lt;&gt;"",ISNUMBER(A8012)),VLOOKUP(A8012,Studies!A:BR,5,FALSE),"")</f>
        <v>Triazolam</v>
      </c>
      <c r="F8012" s="251" t="str">
        <f>IF(AND(A8012&lt;&gt;"",ISNUMBER(A8012)),VLOOKUP(A8012,Studies!A:BR,6,FALSE),"")</f>
        <v>Plasma</v>
      </c>
      <c r="G8012" s="194">
        <v>0.67</v>
      </c>
      <c r="H8012" s="50" t="s">
        <v>60</v>
      </c>
      <c r="I8012" s="187">
        <v>0.48908960000000001</v>
      </c>
      <c r="J8012" s="41" t="s">
        <v>941</v>
      </c>
      <c r="K8012" s="41" t="s">
        <v>239</v>
      </c>
      <c r="O8012" s="199">
        <v>0.2</v>
      </c>
      <c r="P8012" s="42" t="s">
        <v>2642</v>
      </c>
    </row>
    <row r="8013" spans="1:16" x14ac:dyDescent="0.2">
      <c r="A8013" s="30">
        <v>1058</v>
      </c>
      <c r="B8013" s="249" t="str">
        <f>IF(AND(A8013&lt;&gt;"",ISNUMBER(A8013)),VLOOKUP(A8013,Studies!A:BR,2,FALSE),"")</f>
        <v>Varhe 1994</v>
      </c>
      <c r="C8013" s="250" t="str">
        <f>IF(AND(A8013&lt;&gt;"",ISNUMBER(A8013)),VLOOKUP(A8013,Studies!A:BR,3,FALSE),"")</f>
        <v>https://www.ncbi.nlm.nih.gov/pubmed/7995001</v>
      </c>
      <c r="D8013" s="250" t="str">
        <f>IF(AND(A8013&lt;&gt;"",ISNUMBER(A8013)),VLOOKUP(A8013,Studies!A:BR,4,FALSE),"")</f>
        <v>Triazolam with placebo Subject 9</v>
      </c>
      <c r="E8013" s="250" t="str">
        <f>IF(AND(A8013&lt;&gt;"",ISNUMBER(A8013)),VLOOKUP(A8013,Studies!A:BR,5,FALSE),"")</f>
        <v>Triazolam</v>
      </c>
      <c r="F8013" s="251" t="str">
        <f>IF(AND(A8013&lt;&gt;"",ISNUMBER(A8013)),VLOOKUP(A8013,Studies!A:BR,6,FALSE),"")</f>
        <v>Plasma</v>
      </c>
      <c r="G8013" s="194">
        <v>1</v>
      </c>
      <c r="H8013" s="50" t="s">
        <v>60</v>
      </c>
      <c r="I8013" s="187">
        <v>0.84025559999999999</v>
      </c>
      <c r="J8013" s="41" t="s">
        <v>941</v>
      </c>
      <c r="K8013" s="41" t="s">
        <v>239</v>
      </c>
      <c r="O8013" s="199">
        <v>0.2</v>
      </c>
    </row>
    <row r="8014" spans="1:16" x14ac:dyDescent="0.2">
      <c r="A8014" s="30">
        <v>1058</v>
      </c>
      <c r="B8014" s="249" t="str">
        <f>IF(AND(A8014&lt;&gt;"",ISNUMBER(A8014)),VLOOKUP(A8014,Studies!A:BR,2,FALSE),"")</f>
        <v>Varhe 1994</v>
      </c>
      <c r="C8014" s="250" t="str">
        <f>IF(AND(A8014&lt;&gt;"",ISNUMBER(A8014)),VLOOKUP(A8014,Studies!A:BR,3,FALSE),"")</f>
        <v>https://www.ncbi.nlm.nih.gov/pubmed/7995001</v>
      </c>
      <c r="D8014" s="250" t="str">
        <f>IF(AND(A8014&lt;&gt;"",ISNUMBER(A8014)),VLOOKUP(A8014,Studies!A:BR,4,FALSE),"")</f>
        <v>Triazolam with placebo Subject 9</v>
      </c>
      <c r="E8014" s="250" t="str">
        <f>IF(AND(A8014&lt;&gt;"",ISNUMBER(A8014)),VLOOKUP(A8014,Studies!A:BR,5,FALSE),"")</f>
        <v>Triazolam</v>
      </c>
      <c r="F8014" s="251" t="str">
        <f>IF(AND(A8014&lt;&gt;"",ISNUMBER(A8014)),VLOOKUP(A8014,Studies!A:BR,6,FALSE),"")</f>
        <v>Plasma</v>
      </c>
      <c r="G8014" s="194">
        <v>1.5</v>
      </c>
      <c r="H8014" s="50" t="s">
        <v>60</v>
      </c>
      <c r="I8014" s="187">
        <v>0.99147110000000005</v>
      </c>
      <c r="J8014" s="41" t="s">
        <v>941</v>
      </c>
      <c r="K8014" s="41" t="s">
        <v>239</v>
      </c>
      <c r="O8014" s="199">
        <v>0.2</v>
      </c>
    </row>
    <row r="8015" spans="1:16" x14ac:dyDescent="0.2">
      <c r="A8015" s="30">
        <v>1058</v>
      </c>
      <c r="B8015" s="249" t="str">
        <f>IF(AND(A8015&lt;&gt;"",ISNUMBER(A8015)),VLOOKUP(A8015,Studies!A:BR,2,FALSE),"")</f>
        <v>Varhe 1994</v>
      </c>
      <c r="C8015" s="250" t="str">
        <f>IF(AND(A8015&lt;&gt;"",ISNUMBER(A8015)),VLOOKUP(A8015,Studies!A:BR,3,FALSE),"")</f>
        <v>https://www.ncbi.nlm.nih.gov/pubmed/7995001</v>
      </c>
      <c r="D8015" s="250" t="str">
        <f>IF(AND(A8015&lt;&gt;"",ISNUMBER(A8015)),VLOOKUP(A8015,Studies!A:BR,4,FALSE),"")</f>
        <v>Triazolam with placebo Subject 9</v>
      </c>
      <c r="E8015" s="250" t="str">
        <f>IF(AND(A8015&lt;&gt;"",ISNUMBER(A8015)),VLOOKUP(A8015,Studies!A:BR,5,FALSE),"")</f>
        <v>Triazolam</v>
      </c>
      <c r="F8015" s="251" t="str">
        <f>IF(AND(A8015&lt;&gt;"",ISNUMBER(A8015)),VLOOKUP(A8015,Studies!A:BR,6,FALSE),"")</f>
        <v>Plasma</v>
      </c>
      <c r="G8015" s="194">
        <v>2</v>
      </c>
      <c r="H8015" s="50" t="s">
        <v>60</v>
      </c>
      <c r="I8015" s="187">
        <v>0.85191119999999998</v>
      </c>
      <c r="J8015" s="41" t="s">
        <v>941</v>
      </c>
      <c r="K8015" s="41" t="s">
        <v>239</v>
      </c>
      <c r="O8015" s="199">
        <v>0.2</v>
      </c>
    </row>
    <row r="8016" spans="1:16" x14ac:dyDescent="0.2">
      <c r="A8016" s="30">
        <v>1058</v>
      </c>
      <c r="B8016" s="249" t="str">
        <f>IF(AND(A8016&lt;&gt;"",ISNUMBER(A8016)),VLOOKUP(A8016,Studies!A:BR,2,FALSE),"")</f>
        <v>Varhe 1994</v>
      </c>
      <c r="C8016" s="250" t="str">
        <f>IF(AND(A8016&lt;&gt;"",ISNUMBER(A8016)),VLOOKUP(A8016,Studies!A:BR,3,FALSE),"")</f>
        <v>https://www.ncbi.nlm.nih.gov/pubmed/7995001</v>
      </c>
      <c r="D8016" s="250" t="str">
        <f>IF(AND(A8016&lt;&gt;"",ISNUMBER(A8016)),VLOOKUP(A8016,Studies!A:BR,4,FALSE),"")</f>
        <v>Triazolam with placebo Subject 9</v>
      </c>
      <c r="E8016" s="250" t="str">
        <f>IF(AND(A8016&lt;&gt;"",ISNUMBER(A8016)),VLOOKUP(A8016,Studies!A:BR,5,FALSE),"")</f>
        <v>Triazolam</v>
      </c>
      <c r="F8016" s="251" t="str">
        <f>IF(AND(A8016&lt;&gt;"",ISNUMBER(A8016)),VLOOKUP(A8016,Studies!A:BR,6,FALSE),"")</f>
        <v>Plasma</v>
      </c>
      <c r="G8016" s="194">
        <v>2.5</v>
      </c>
      <c r="H8016" s="50" t="s">
        <v>60</v>
      </c>
      <c r="I8016" s="187">
        <v>0.97046290000000002</v>
      </c>
      <c r="J8016" s="41" t="s">
        <v>941</v>
      </c>
      <c r="K8016" s="41" t="s">
        <v>239</v>
      </c>
      <c r="O8016" s="199">
        <v>0.2</v>
      </c>
    </row>
    <row r="8017" spans="1:16" x14ac:dyDescent="0.2">
      <c r="A8017" s="30">
        <v>1058</v>
      </c>
      <c r="B8017" s="249" t="str">
        <f>IF(AND(A8017&lt;&gt;"",ISNUMBER(A8017)),VLOOKUP(A8017,Studies!A:BR,2,FALSE),"")</f>
        <v>Varhe 1994</v>
      </c>
      <c r="C8017" s="250" t="str">
        <f>IF(AND(A8017&lt;&gt;"",ISNUMBER(A8017)),VLOOKUP(A8017,Studies!A:BR,3,FALSE),"")</f>
        <v>https://www.ncbi.nlm.nih.gov/pubmed/7995001</v>
      </c>
      <c r="D8017" s="250" t="str">
        <f>IF(AND(A8017&lt;&gt;"",ISNUMBER(A8017)),VLOOKUP(A8017,Studies!A:BR,4,FALSE),"")</f>
        <v>Triazolam with placebo Subject 9</v>
      </c>
      <c r="E8017" s="250" t="str">
        <f>IF(AND(A8017&lt;&gt;"",ISNUMBER(A8017)),VLOOKUP(A8017,Studies!A:BR,5,FALSE),"")</f>
        <v>Triazolam</v>
      </c>
      <c r="F8017" s="251" t="str">
        <f>IF(AND(A8017&lt;&gt;"",ISNUMBER(A8017)),VLOOKUP(A8017,Studies!A:BR,6,FALSE),"")</f>
        <v>Plasma</v>
      </c>
      <c r="G8017" s="194">
        <v>3</v>
      </c>
      <c r="H8017" s="50" t="s">
        <v>60</v>
      </c>
      <c r="I8017" s="187">
        <v>0.82412149999999995</v>
      </c>
      <c r="J8017" s="41" t="s">
        <v>941</v>
      </c>
      <c r="K8017" s="41" t="s">
        <v>239</v>
      </c>
      <c r="O8017" s="199">
        <v>0.2</v>
      </c>
    </row>
    <row r="8018" spans="1:16" x14ac:dyDescent="0.2">
      <c r="A8018" s="30">
        <v>1058</v>
      </c>
      <c r="B8018" s="249" t="str">
        <f>IF(AND(A8018&lt;&gt;"",ISNUMBER(A8018)),VLOOKUP(A8018,Studies!A:BR,2,FALSE),"")</f>
        <v>Varhe 1994</v>
      </c>
      <c r="C8018" s="250" t="str">
        <f>IF(AND(A8018&lt;&gt;"",ISNUMBER(A8018)),VLOOKUP(A8018,Studies!A:BR,3,FALSE),"")</f>
        <v>https://www.ncbi.nlm.nih.gov/pubmed/7995001</v>
      </c>
      <c r="D8018" s="250" t="str">
        <f>IF(AND(A8018&lt;&gt;"",ISNUMBER(A8018)),VLOOKUP(A8018,Studies!A:BR,4,FALSE),"")</f>
        <v>Triazolam with placebo Subject 9</v>
      </c>
      <c r="E8018" s="250" t="str">
        <f>IF(AND(A8018&lt;&gt;"",ISNUMBER(A8018)),VLOOKUP(A8018,Studies!A:BR,5,FALSE),"")</f>
        <v>Triazolam</v>
      </c>
      <c r="F8018" s="251" t="str">
        <f>IF(AND(A8018&lt;&gt;"",ISNUMBER(A8018)),VLOOKUP(A8018,Studies!A:BR,6,FALSE),"")</f>
        <v>Plasma</v>
      </c>
      <c r="G8018" s="194">
        <v>4</v>
      </c>
      <c r="H8018" s="50" t="s">
        <v>60</v>
      </c>
      <c r="I8018" s="187">
        <v>0.74297820000000003</v>
      </c>
      <c r="J8018" s="41" t="s">
        <v>941</v>
      </c>
      <c r="K8018" s="41" t="s">
        <v>239</v>
      </c>
      <c r="O8018" s="199">
        <v>0.2</v>
      </c>
    </row>
    <row r="8019" spans="1:16" x14ac:dyDescent="0.2">
      <c r="A8019" s="30">
        <v>1058</v>
      </c>
      <c r="B8019" s="249" t="str">
        <f>IF(AND(A8019&lt;&gt;"",ISNUMBER(A8019)),VLOOKUP(A8019,Studies!A:BR,2,FALSE),"")</f>
        <v>Varhe 1994</v>
      </c>
      <c r="C8019" s="250" t="str">
        <f>IF(AND(A8019&lt;&gt;"",ISNUMBER(A8019)),VLOOKUP(A8019,Studies!A:BR,3,FALSE),"")</f>
        <v>https://www.ncbi.nlm.nih.gov/pubmed/7995001</v>
      </c>
      <c r="D8019" s="250" t="str">
        <f>IF(AND(A8019&lt;&gt;"",ISNUMBER(A8019)),VLOOKUP(A8019,Studies!A:BR,4,FALSE),"")</f>
        <v>Triazolam with placebo Subject 9</v>
      </c>
      <c r="E8019" s="250" t="str">
        <f>IF(AND(A8019&lt;&gt;"",ISNUMBER(A8019)),VLOOKUP(A8019,Studies!A:BR,5,FALSE),"")</f>
        <v>Triazolam</v>
      </c>
      <c r="F8019" s="251" t="str">
        <f>IF(AND(A8019&lt;&gt;"",ISNUMBER(A8019)),VLOOKUP(A8019,Studies!A:BR,6,FALSE),"")</f>
        <v>Plasma</v>
      </c>
      <c r="G8019" s="194">
        <v>5</v>
      </c>
      <c r="H8019" s="50" t="s">
        <v>60</v>
      </c>
      <c r="I8019" s="187">
        <v>0.48201490000000002</v>
      </c>
      <c r="J8019" s="41" t="s">
        <v>941</v>
      </c>
      <c r="K8019" s="41" t="s">
        <v>239</v>
      </c>
      <c r="O8019" s="199">
        <v>0.2</v>
      </c>
    </row>
    <row r="8020" spans="1:16" x14ac:dyDescent="0.2">
      <c r="A8020" s="30">
        <v>1058</v>
      </c>
      <c r="B8020" s="249" t="str">
        <f>IF(AND(A8020&lt;&gt;"",ISNUMBER(A8020)),VLOOKUP(A8020,Studies!A:BR,2,FALSE),"")</f>
        <v>Varhe 1994</v>
      </c>
      <c r="C8020" s="250" t="str">
        <f>IF(AND(A8020&lt;&gt;"",ISNUMBER(A8020)),VLOOKUP(A8020,Studies!A:BR,3,FALSE),"")</f>
        <v>https://www.ncbi.nlm.nih.gov/pubmed/7995001</v>
      </c>
      <c r="D8020" s="250" t="str">
        <f>IF(AND(A8020&lt;&gt;"",ISNUMBER(A8020)),VLOOKUP(A8020,Studies!A:BR,4,FALSE),"")</f>
        <v>Triazolam with placebo Subject 9</v>
      </c>
      <c r="E8020" s="250" t="str">
        <f>IF(AND(A8020&lt;&gt;"",ISNUMBER(A8020)),VLOOKUP(A8020,Studies!A:BR,5,FALSE),"")</f>
        <v>Triazolam</v>
      </c>
      <c r="F8020" s="251" t="str">
        <f>IF(AND(A8020&lt;&gt;"",ISNUMBER(A8020)),VLOOKUP(A8020,Studies!A:BR,6,FALSE),"")</f>
        <v>Plasma</v>
      </c>
      <c r="G8020" s="194">
        <v>6</v>
      </c>
      <c r="H8020" s="50" t="s">
        <v>60</v>
      </c>
      <c r="I8020" s="187">
        <v>0.39097520000000002</v>
      </c>
      <c r="J8020" s="41" t="s">
        <v>941</v>
      </c>
      <c r="K8020" s="41" t="s">
        <v>239</v>
      </c>
      <c r="O8020" s="199">
        <v>0.2</v>
      </c>
    </row>
    <row r="8021" spans="1:16" x14ac:dyDescent="0.2">
      <c r="A8021" s="30">
        <v>1059</v>
      </c>
      <c r="B8021" s="249" t="str">
        <f>IF(AND(A8021&lt;&gt;"",ISNUMBER(A8021)),VLOOKUP(A8021,Studies!A:BR,2,FALSE),"")</f>
        <v>Varhe 1994</v>
      </c>
      <c r="C8021" s="250" t="str">
        <f>IF(AND(A8021&lt;&gt;"",ISNUMBER(A8021)),VLOOKUP(A8021,Studies!A:BR,3,FALSE),"")</f>
        <v>https://www.ncbi.nlm.nih.gov/pubmed/7995001</v>
      </c>
      <c r="D8021" s="250" t="str">
        <f>IF(AND(A8021&lt;&gt;"",ISNUMBER(A8021)),VLOOKUP(A8021,Studies!A:BR,4,FALSE),"")</f>
        <v>Triazolam with ketoconazole Subject 1</v>
      </c>
      <c r="E8021" s="250" t="str">
        <f>IF(AND(A8021&lt;&gt;"",ISNUMBER(A8021)),VLOOKUP(A8021,Studies!A:BR,5,FALSE),"")</f>
        <v>Triazolam</v>
      </c>
      <c r="F8021" s="251" t="str">
        <f>IF(AND(A8021&lt;&gt;"",ISNUMBER(A8021)),VLOOKUP(A8021,Studies!A:BR,6,FALSE),"")</f>
        <v>Plasma</v>
      </c>
      <c r="G8021" s="194">
        <v>73.33</v>
      </c>
      <c r="H8021" s="50" t="s">
        <v>60</v>
      </c>
      <c r="I8021" s="187">
        <v>0.30116199999999999</v>
      </c>
      <c r="J8021" s="41" t="s">
        <v>941</v>
      </c>
      <c r="K8021" s="41" t="s">
        <v>239</v>
      </c>
      <c r="O8021" s="199">
        <v>0.2</v>
      </c>
      <c r="P8021" s="42" t="s">
        <v>2643</v>
      </c>
    </row>
    <row r="8022" spans="1:16" x14ac:dyDescent="0.2">
      <c r="A8022" s="30">
        <v>1059</v>
      </c>
      <c r="B8022" s="249" t="str">
        <f>IF(AND(A8022&lt;&gt;"",ISNUMBER(A8022)),VLOOKUP(A8022,Studies!A:BR,2,FALSE),"")</f>
        <v>Varhe 1994</v>
      </c>
      <c r="C8022" s="250" t="str">
        <f>IF(AND(A8022&lt;&gt;"",ISNUMBER(A8022)),VLOOKUP(A8022,Studies!A:BR,3,FALSE),"")</f>
        <v>https://www.ncbi.nlm.nih.gov/pubmed/7995001</v>
      </c>
      <c r="D8022" s="250" t="str">
        <f>IF(AND(A8022&lt;&gt;"",ISNUMBER(A8022)),VLOOKUP(A8022,Studies!A:BR,4,FALSE),"")</f>
        <v>Triazolam with ketoconazole Subject 1</v>
      </c>
      <c r="E8022" s="250" t="str">
        <f>IF(AND(A8022&lt;&gt;"",ISNUMBER(A8022)),VLOOKUP(A8022,Studies!A:BR,5,FALSE),"")</f>
        <v>Triazolam</v>
      </c>
      <c r="F8022" s="251" t="str">
        <f>IF(AND(A8022&lt;&gt;"",ISNUMBER(A8022)),VLOOKUP(A8022,Studies!A:BR,6,FALSE),"")</f>
        <v>Plasma</v>
      </c>
      <c r="G8022" s="194">
        <v>73.67</v>
      </c>
      <c r="H8022" s="50" t="s">
        <v>60</v>
      </c>
      <c r="I8022" s="187">
        <v>1.6166720000000001</v>
      </c>
      <c r="J8022" s="41" t="s">
        <v>941</v>
      </c>
      <c r="K8022" s="41" t="s">
        <v>239</v>
      </c>
      <c r="O8022" s="199">
        <v>0.2</v>
      </c>
    </row>
    <row r="8023" spans="1:16" x14ac:dyDescent="0.2">
      <c r="A8023" s="30">
        <v>1059</v>
      </c>
      <c r="B8023" s="249" t="str">
        <f>IF(AND(A8023&lt;&gt;"",ISNUMBER(A8023)),VLOOKUP(A8023,Studies!A:BR,2,FALSE),"")</f>
        <v>Varhe 1994</v>
      </c>
      <c r="C8023" s="250" t="str">
        <f>IF(AND(A8023&lt;&gt;"",ISNUMBER(A8023)),VLOOKUP(A8023,Studies!A:BR,3,FALSE),"")</f>
        <v>https://www.ncbi.nlm.nih.gov/pubmed/7995001</v>
      </c>
      <c r="D8023" s="250" t="str">
        <f>IF(AND(A8023&lt;&gt;"",ISNUMBER(A8023)),VLOOKUP(A8023,Studies!A:BR,4,FALSE),"")</f>
        <v>Triazolam with ketoconazole Subject 1</v>
      </c>
      <c r="E8023" s="250" t="str">
        <f>IF(AND(A8023&lt;&gt;"",ISNUMBER(A8023)),VLOOKUP(A8023,Studies!A:BR,5,FALSE),"")</f>
        <v>Triazolam</v>
      </c>
      <c r="F8023" s="251" t="str">
        <f>IF(AND(A8023&lt;&gt;"",ISNUMBER(A8023)),VLOOKUP(A8023,Studies!A:BR,6,FALSE),"")</f>
        <v>Plasma</v>
      </c>
      <c r="G8023" s="194">
        <v>74</v>
      </c>
      <c r="H8023" s="50" t="s">
        <v>60</v>
      </c>
      <c r="I8023" s="187">
        <v>1.9393089999999999</v>
      </c>
      <c r="J8023" s="41" t="s">
        <v>941</v>
      </c>
      <c r="K8023" s="41" t="s">
        <v>239</v>
      </c>
      <c r="O8023" s="199">
        <v>0.2</v>
      </c>
    </row>
    <row r="8024" spans="1:16" x14ac:dyDescent="0.2">
      <c r="A8024" s="30">
        <v>1059</v>
      </c>
      <c r="B8024" s="249" t="str">
        <f>IF(AND(A8024&lt;&gt;"",ISNUMBER(A8024)),VLOOKUP(A8024,Studies!A:BR,2,FALSE),"")</f>
        <v>Varhe 1994</v>
      </c>
      <c r="C8024" s="250" t="str">
        <f>IF(AND(A8024&lt;&gt;"",ISNUMBER(A8024)),VLOOKUP(A8024,Studies!A:BR,3,FALSE),"")</f>
        <v>https://www.ncbi.nlm.nih.gov/pubmed/7995001</v>
      </c>
      <c r="D8024" s="250" t="str">
        <f>IF(AND(A8024&lt;&gt;"",ISNUMBER(A8024)),VLOOKUP(A8024,Studies!A:BR,4,FALSE),"")</f>
        <v>Triazolam with ketoconazole Subject 1</v>
      </c>
      <c r="E8024" s="250" t="str">
        <f>IF(AND(A8024&lt;&gt;"",ISNUMBER(A8024)),VLOOKUP(A8024,Studies!A:BR,5,FALSE),"")</f>
        <v>Triazolam</v>
      </c>
      <c r="F8024" s="251" t="str">
        <f>IF(AND(A8024&lt;&gt;"",ISNUMBER(A8024)),VLOOKUP(A8024,Studies!A:BR,6,FALSE),"")</f>
        <v>Plasma</v>
      </c>
      <c r="G8024" s="194">
        <v>74.5</v>
      </c>
      <c r="H8024" s="50" t="s">
        <v>60</v>
      </c>
      <c r="I8024" s="187">
        <v>2.3263349999999998</v>
      </c>
      <c r="J8024" s="41" t="s">
        <v>941</v>
      </c>
      <c r="K8024" s="41" t="s">
        <v>239</v>
      </c>
      <c r="O8024" s="199">
        <v>0.2</v>
      </c>
    </row>
    <row r="8025" spans="1:16" x14ac:dyDescent="0.2">
      <c r="A8025" s="30">
        <v>1059</v>
      </c>
      <c r="B8025" s="249" t="str">
        <f>IF(AND(A8025&lt;&gt;"",ISNUMBER(A8025)),VLOOKUP(A8025,Studies!A:BR,2,FALSE),"")</f>
        <v>Varhe 1994</v>
      </c>
      <c r="C8025" s="250" t="str">
        <f>IF(AND(A8025&lt;&gt;"",ISNUMBER(A8025)),VLOOKUP(A8025,Studies!A:BR,3,FALSE),"")</f>
        <v>https://www.ncbi.nlm.nih.gov/pubmed/7995001</v>
      </c>
      <c r="D8025" s="250" t="str">
        <f>IF(AND(A8025&lt;&gt;"",ISNUMBER(A8025)),VLOOKUP(A8025,Studies!A:BR,4,FALSE),"")</f>
        <v>Triazolam with ketoconazole Subject 1</v>
      </c>
      <c r="E8025" s="250" t="str">
        <f>IF(AND(A8025&lt;&gt;"",ISNUMBER(A8025)),VLOOKUP(A8025,Studies!A:BR,5,FALSE),"")</f>
        <v>Triazolam</v>
      </c>
      <c r="F8025" s="251" t="str">
        <f>IF(AND(A8025&lt;&gt;"",ISNUMBER(A8025)),VLOOKUP(A8025,Studies!A:BR,6,FALSE),"")</f>
        <v>Plasma</v>
      </c>
      <c r="G8025" s="194">
        <v>75</v>
      </c>
      <c r="H8025" s="50" t="s">
        <v>60</v>
      </c>
      <c r="I8025" s="187">
        <v>2.2288359999999998</v>
      </c>
      <c r="J8025" s="41" t="s">
        <v>941</v>
      </c>
      <c r="K8025" s="41" t="s">
        <v>239</v>
      </c>
      <c r="O8025" s="199">
        <v>0.2</v>
      </c>
    </row>
    <row r="8026" spans="1:16" x14ac:dyDescent="0.2">
      <c r="A8026" s="30">
        <v>1059</v>
      </c>
      <c r="B8026" s="249" t="str">
        <f>IF(AND(A8026&lt;&gt;"",ISNUMBER(A8026)),VLOOKUP(A8026,Studies!A:BR,2,FALSE),"")</f>
        <v>Varhe 1994</v>
      </c>
      <c r="C8026" s="250" t="str">
        <f>IF(AND(A8026&lt;&gt;"",ISNUMBER(A8026)),VLOOKUP(A8026,Studies!A:BR,3,FALSE),"")</f>
        <v>https://www.ncbi.nlm.nih.gov/pubmed/7995001</v>
      </c>
      <c r="D8026" s="250" t="str">
        <f>IF(AND(A8026&lt;&gt;"",ISNUMBER(A8026)),VLOOKUP(A8026,Studies!A:BR,4,FALSE),"")</f>
        <v>Triazolam with ketoconazole Subject 1</v>
      </c>
      <c r="E8026" s="250" t="str">
        <f>IF(AND(A8026&lt;&gt;"",ISNUMBER(A8026)),VLOOKUP(A8026,Studies!A:BR,5,FALSE),"")</f>
        <v>Triazolam</v>
      </c>
      <c r="F8026" s="251" t="str">
        <f>IF(AND(A8026&lt;&gt;"",ISNUMBER(A8026)),VLOOKUP(A8026,Studies!A:BR,6,FALSE),"")</f>
        <v>Plasma</v>
      </c>
      <c r="G8026" s="194">
        <v>75.5</v>
      </c>
      <c r="H8026" s="50" t="s">
        <v>60</v>
      </c>
      <c r="I8026" s="187">
        <v>2.4022489999999999</v>
      </c>
      <c r="J8026" s="41" t="s">
        <v>941</v>
      </c>
      <c r="K8026" s="41" t="s">
        <v>239</v>
      </c>
      <c r="O8026" s="199">
        <v>0.2</v>
      </c>
    </row>
    <row r="8027" spans="1:16" x14ac:dyDescent="0.2">
      <c r="A8027" s="30">
        <v>1059</v>
      </c>
      <c r="B8027" s="249" t="str">
        <f>IF(AND(A8027&lt;&gt;"",ISNUMBER(A8027)),VLOOKUP(A8027,Studies!A:BR,2,FALSE),"")</f>
        <v>Varhe 1994</v>
      </c>
      <c r="C8027" s="250" t="str">
        <f>IF(AND(A8027&lt;&gt;"",ISNUMBER(A8027)),VLOOKUP(A8027,Studies!A:BR,3,FALSE),"")</f>
        <v>https://www.ncbi.nlm.nih.gov/pubmed/7995001</v>
      </c>
      <c r="D8027" s="250" t="str">
        <f>IF(AND(A8027&lt;&gt;"",ISNUMBER(A8027)),VLOOKUP(A8027,Studies!A:BR,4,FALSE),"")</f>
        <v>Triazolam with ketoconazole Subject 1</v>
      </c>
      <c r="E8027" s="250" t="str">
        <f>IF(AND(A8027&lt;&gt;"",ISNUMBER(A8027)),VLOOKUP(A8027,Studies!A:BR,5,FALSE),"")</f>
        <v>Triazolam</v>
      </c>
      <c r="F8027" s="251" t="str">
        <f>IF(AND(A8027&lt;&gt;"",ISNUMBER(A8027)),VLOOKUP(A8027,Studies!A:BR,6,FALSE),"")</f>
        <v>Plasma</v>
      </c>
      <c r="G8027" s="194">
        <v>76</v>
      </c>
      <c r="H8027" s="50" t="s">
        <v>60</v>
      </c>
      <c r="I8027" s="187">
        <v>2.617016</v>
      </c>
      <c r="J8027" s="41" t="s">
        <v>941</v>
      </c>
      <c r="K8027" s="41" t="s">
        <v>239</v>
      </c>
      <c r="O8027" s="199">
        <v>0.2</v>
      </c>
    </row>
    <row r="8028" spans="1:16" x14ac:dyDescent="0.2">
      <c r="A8028" s="30">
        <v>1059</v>
      </c>
      <c r="B8028" s="249" t="str">
        <f>IF(AND(A8028&lt;&gt;"",ISNUMBER(A8028)),VLOOKUP(A8028,Studies!A:BR,2,FALSE),"")</f>
        <v>Varhe 1994</v>
      </c>
      <c r="C8028" s="250" t="str">
        <f>IF(AND(A8028&lt;&gt;"",ISNUMBER(A8028)),VLOOKUP(A8028,Studies!A:BR,3,FALSE),"")</f>
        <v>https://www.ncbi.nlm.nih.gov/pubmed/7995001</v>
      </c>
      <c r="D8028" s="250" t="str">
        <f>IF(AND(A8028&lt;&gt;"",ISNUMBER(A8028)),VLOOKUP(A8028,Studies!A:BR,4,FALSE),"")</f>
        <v>Triazolam with ketoconazole Subject 1</v>
      </c>
      <c r="E8028" s="250" t="str">
        <f>IF(AND(A8028&lt;&gt;"",ISNUMBER(A8028)),VLOOKUP(A8028,Studies!A:BR,5,FALSE),"")</f>
        <v>Triazolam</v>
      </c>
      <c r="F8028" s="251" t="str">
        <f>IF(AND(A8028&lt;&gt;"",ISNUMBER(A8028)),VLOOKUP(A8028,Studies!A:BR,6,FALSE),"")</f>
        <v>Plasma</v>
      </c>
      <c r="G8028" s="194">
        <v>77</v>
      </c>
      <c r="H8028" s="50" t="s">
        <v>60</v>
      </c>
      <c r="I8028" s="187">
        <v>3.4199519999999999</v>
      </c>
      <c r="J8028" s="41" t="s">
        <v>941</v>
      </c>
      <c r="K8028" s="41" t="s">
        <v>239</v>
      </c>
      <c r="O8028" s="199">
        <v>0.2</v>
      </c>
    </row>
    <row r="8029" spans="1:16" x14ac:dyDescent="0.2">
      <c r="A8029" s="30">
        <v>1059</v>
      </c>
      <c r="B8029" s="249" t="str">
        <f>IF(AND(A8029&lt;&gt;"",ISNUMBER(A8029)),VLOOKUP(A8029,Studies!A:BR,2,FALSE),"")</f>
        <v>Varhe 1994</v>
      </c>
      <c r="C8029" s="250" t="str">
        <f>IF(AND(A8029&lt;&gt;"",ISNUMBER(A8029)),VLOOKUP(A8029,Studies!A:BR,3,FALSE),"")</f>
        <v>https://www.ncbi.nlm.nih.gov/pubmed/7995001</v>
      </c>
      <c r="D8029" s="250" t="str">
        <f>IF(AND(A8029&lt;&gt;"",ISNUMBER(A8029)),VLOOKUP(A8029,Studies!A:BR,4,FALSE),"")</f>
        <v>Triazolam with ketoconazole Subject 1</v>
      </c>
      <c r="E8029" s="250" t="str">
        <f>IF(AND(A8029&lt;&gt;"",ISNUMBER(A8029)),VLOOKUP(A8029,Studies!A:BR,5,FALSE),"")</f>
        <v>Triazolam</v>
      </c>
      <c r="F8029" s="251" t="str">
        <f>IF(AND(A8029&lt;&gt;"",ISNUMBER(A8029)),VLOOKUP(A8029,Studies!A:BR,6,FALSE),"")</f>
        <v>Plasma</v>
      </c>
      <c r="G8029" s="194">
        <v>78</v>
      </c>
      <c r="H8029" s="50" t="s">
        <v>60</v>
      </c>
      <c r="I8029" s="187">
        <v>4.517334</v>
      </c>
      <c r="J8029" s="41" t="s">
        <v>941</v>
      </c>
      <c r="K8029" s="41" t="s">
        <v>239</v>
      </c>
      <c r="O8029" s="199">
        <v>0.2</v>
      </c>
    </row>
    <row r="8030" spans="1:16" x14ac:dyDescent="0.2">
      <c r="A8030" s="30">
        <v>1059</v>
      </c>
      <c r="B8030" s="249" t="str">
        <f>IF(AND(A8030&lt;&gt;"",ISNUMBER(A8030)),VLOOKUP(A8030,Studies!A:BR,2,FALSE),"")</f>
        <v>Varhe 1994</v>
      </c>
      <c r="C8030" s="250" t="str">
        <f>IF(AND(A8030&lt;&gt;"",ISNUMBER(A8030)),VLOOKUP(A8030,Studies!A:BR,3,FALSE),"")</f>
        <v>https://www.ncbi.nlm.nih.gov/pubmed/7995001</v>
      </c>
      <c r="D8030" s="250" t="str">
        <f>IF(AND(A8030&lt;&gt;"",ISNUMBER(A8030)),VLOOKUP(A8030,Studies!A:BR,4,FALSE),"")</f>
        <v>Triazolam with ketoconazole Subject 1</v>
      </c>
      <c r="E8030" s="250" t="str">
        <f>IF(AND(A8030&lt;&gt;"",ISNUMBER(A8030)),VLOOKUP(A8030,Studies!A:BR,5,FALSE),"")</f>
        <v>Triazolam</v>
      </c>
      <c r="F8030" s="251" t="str">
        <f>IF(AND(A8030&lt;&gt;"",ISNUMBER(A8030)),VLOOKUP(A8030,Studies!A:BR,6,FALSE),"")</f>
        <v>Plasma</v>
      </c>
      <c r="G8030" s="194">
        <v>79</v>
      </c>
      <c r="H8030" s="50" t="s">
        <v>60</v>
      </c>
      <c r="I8030" s="187">
        <v>4.4216569999999997</v>
      </c>
      <c r="J8030" s="41" t="s">
        <v>941</v>
      </c>
      <c r="K8030" s="41" t="s">
        <v>239</v>
      </c>
      <c r="O8030" s="199">
        <v>0.2</v>
      </c>
    </row>
    <row r="8031" spans="1:16" x14ac:dyDescent="0.2">
      <c r="A8031" s="30">
        <v>1059</v>
      </c>
      <c r="B8031" s="249" t="str">
        <f>IF(AND(A8031&lt;&gt;"",ISNUMBER(A8031)),VLOOKUP(A8031,Studies!A:BR,2,FALSE),"")</f>
        <v>Varhe 1994</v>
      </c>
      <c r="C8031" s="250" t="str">
        <f>IF(AND(A8031&lt;&gt;"",ISNUMBER(A8031)),VLOOKUP(A8031,Studies!A:BR,3,FALSE),"")</f>
        <v>https://www.ncbi.nlm.nih.gov/pubmed/7995001</v>
      </c>
      <c r="D8031" s="250" t="str">
        <f>IF(AND(A8031&lt;&gt;"",ISNUMBER(A8031)),VLOOKUP(A8031,Studies!A:BR,4,FALSE),"")</f>
        <v>Triazolam with ketoconazole Subject 1</v>
      </c>
      <c r="E8031" s="250" t="str">
        <f>IF(AND(A8031&lt;&gt;"",ISNUMBER(A8031)),VLOOKUP(A8031,Studies!A:BR,5,FALSE),"")</f>
        <v>Triazolam</v>
      </c>
      <c r="F8031" s="251" t="str">
        <f>IF(AND(A8031&lt;&gt;"",ISNUMBER(A8031)),VLOOKUP(A8031,Studies!A:BR,6,FALSE),"")</f>
        <v>Plasma</v>
      </c>
      <c r="G8031" s="194">
        <v>80</v>
      </c>
      <c r="H8031" s="50" t="s">
        <v>60</v>
      </c>
      <c r="I8031" s="187">
        <v>4.8688010000000004</v>
      </c>
      <c r="J8031" s="41" t="s">
        <v>941</v>
      </c>
      <c r="K8031" s="41" t="s">
        <v>239</v>
      </c>
      <c r="O8031" s="199">
        <v>0.2</v>
      </c>
    </row>
    <row r="8032" spans="1:16" x14ac:dyDescent="0.2">
      <c r="A8032" s="30">
        <v>1059</v>
      </c>
      <c r="B8032" s="249" t="str">
        <f>IF(AND(A8032&lt;&gt;"",ISNUMBER(A8032)),VLOOKUP(A8032,Studies!A:BR,2,FALSE),"")</f>
        <v>Varhe 1994</v>
      </c>
      <c r="C8032" s="250" t="str">
        <f>IF(AND(A8032&lt;&gt;"",ISNUMBER(A8032)),VLOOKUP(A8032,Studies!A:BR,3,FALSE),"")</f>
        <v>https://www.ncbi.nlm.nih.gov/pubmed/7995001</v>
      </c>
      <c r="D8032" s="250" t="str">
        <f>IF(AND(A8032&lt;&gt;"",ISNUMBER(A8032)),VLOOKUP(A8032,Studies!A:BR,4,FALSE),"")</f>
        <v>Triazolam with ketoconazole Subject 1</v>
      </c>
      <c r="E8032" s="250" t="str">
        <f>IF(AND(A8032&lt;&gt;"",ISNUMBER(A8032)),VLOOKUP(A8032,Studies!A:BR,5,FALSE),"")</f>
        <v>Triazolam</v>
      </c>
      <c r="F8032" s="251" t="str">
        <f>IF(AND(A8032&lt;&gt;"",ISNUMBER(A8032)),VLOOKUP(A8032,Studies!A:BR,6,FALSE),"")</f>
        <v>Plasma</v>
      </c>
      <c r="G8032" s="194">
        <v>90</v>
      </c>
      <c r="H8032" s="50" t="s">
        <v>60</v>
      </c>
      <c r="I8032" s="187">
        <v>3.7257039999999999</v>
      </c>
      <c r="J8032" s="41" t="s">
        <v>941</v>
      </c>
      <c r="K8032" s="41" t="s">
        <v>239</v>
      </c>
      <c r="O8032" s="199">
        <v>0.2</v>
      </c>
    </row>
    <row r="8033" spans="1:16" x14ac:dyDescent="0.2">
      <c r="A8033" s="30">
        <v>1060</v>
      </c>
      <c r="B8033" s="249" t="str">
        <f>IF(AND(A8033&lt;&gt;"",ISNUMBER(A8033)),VLOOKUP(A8033,Studies!A:BR,2,FALSE),"")</f>
        <v>Varhe 1994</v>
      </c>
      <c r="C8033" s="250" t="str">
        <f>IF(AND(A8033&lt;&gt;"",ISNUMBER(A8033)),VLOOKUP(A8033,Studies!A:BR,3,FALSE),"")</f>
        <v>https://www.ncbi.nlm.nih.gov/pubmed/7995001</v>
      </c>
      <c r="D8033" s="250" t="str">
        <f>IF(AND(A8033&lt;&gt;"",ISNUMBER(A8033)),VLOOKUP(A8033,Studies!A:BR,4,FALSE),"")</f>
        <v>Triazolam with ketoconazole Subject 2</v>
      </c>
      <c r="E8033" s="250" t="str">
        <f>IF(AND(A8033&lt;&gt;"",ISNUMBER(A8033)),VLOOKUP(A8033,Studies!A:BR,5,FALSE),"")</f>
        <v>Triazolam</v>
      </c>
      <c r="F8033" s="251" t="str">
        <f>IF(AND(A8033&lt;&gt;"",ISNUMBER(A8033)),VLOOKUP(A8033,Studies!A:BR,6,FALSE),"")</f>
        <v>Plasma</v>
      </c>
      <c r="G8033" s="194">
        <v>74</v>
      </c>
      <c r="H8033" s="50" t="s">
        <v>60</v>
      </c>
      <c r="I8033" s="187">
        <v>2.134509</v>
      </c>
      <c r="J8033" s="41" t="s">
        <v>941</v>
      </c>
      <c r="K8033" s="41" t="s">
        <v>239</v>
      </c>
      <c r="O8033" s="199">
        <v>0.2</v>
      </c>
      <c r="P8033" s="42" t="s">
        <v>2644</v>
      </c>
    </row>
    <row r="8034" spans="1:16" x14ac:dyDescent="0.2">
      <c r="A8034" s="30">
        <v>1060</v>
      </c>
      <c r="B8034" s="249" t="str">
        <f>IF(AND(A8034&lt;&gt;"",ISNUMBER(A8034)),VLOOKUP(A8034,Studies!A:BR,2,FALSE),"")</f>
        <v>Varhe 1994</v>
      </c>
      <c r="C8034" s="250" t="str">
        <f>IF(AND(A8034&lt;&gt;"",ISNUMBER(A8034)),VLOOKUP(A8034,Studies!A:BR,3,FALSE),"")</f>
        <v>https://www.ncbi.nlm.nih.gov/pubmed/7995001</v>
      </c>
      <c r="D8034" s="250" t="str">
        <f>IF(AND(A8034&lt;&gt;"",ISNUMBER(A8034)),VLOOKUP(A8034,Studies!A:BR,4,FALSE),"")</f>
        <v>Triazolam with ketoconazole Subject 2</v>
      </c>
      <c r="E8034" s="250" t="str">
        <f>IF(AND(A8034&lt;&gt;"",ISNUMBER(A8034)),VLOOKUP(A8034,Studies!A:BR,5,FALSE),"")</f>
        <v>Triazolam</v>
      </c>
      <c r="F8034" s="251" t="str">
        <f>IF(AND(A8034&lt;&gt;"",ISNUMBER(A8034)),VLOOKUP(A8034,Studies!A:BR,6,FALSE),"")</f>
        <v>Plasma</v>
      </c>
      <c r="G8034" s="194">
        <v>74.5</v>
      </c>
      <c r="H8034" s="50" t="s">
        <v>60</v>
      </c>
      <c r="I8034" s="187">
        <v>3.929287</v>
      </c>
      <c r="J8034" s="41" t="s">
        <v>941</v>
      </c>
      <c r="K8034" s="41" t="s">
        <v>239</v>
      </c>
      <c r="O8034" s="199">
        <v>0.2</v>
      </c>
    </row>
    <row r="8035" spans="1:16" x14ac:dyDescent="0.2">
      <c r="A8035" s="30">
        <v>1060</v>
      </c>
      <c r="B8035" s="249" t="str">
        <f>IF(AND(A8035&lt;&gt;"",ISNUMBER(A8035)),VLOOKUP(A8035,Studies!A:BR,2,FALSE),"")</f>
        <v>Varhe 1994</v>
      </c>
      <c r="C8035" s="250" t="str">
        <f>IF(AND(A8035&lt;&gt;"",ISNUMBER(A8035)),VLOOKUP(A8035,Studies!A:BR,3,FALSE),"")</f>
        <v>https://www.ncbi.nlm.nih.gov/pubmed/7995001</v>
      </c>
      <c r="D8035" s="250" t="str">
        <f>IF(AND(A8035&lt;&gt;"",ISNUMBER(A8035)),VLOOKUP(A8035,Studies!A:BR,4,FALSE),"")</f>
        <v>Triazolam with ketoconazole Subject 2</v>
      </c>
      <c r="E8035" s="250" t="str">
        <f>IF(AND(A8035&lt;&gt;"",ISNUMBER(A8035)),VLOOKUP(A8035,Studies!A:BR,5,FALSE),"")</f>
        <v>Triazolam</v>
      </c>
      <c r="F8035" s="251" t="str">
        <f>IF(AND(A8035&lt;&gt;"",ISNUMBER(A8035)),VLOOKUP(A8035,Studies!A:BR,6,FALSE),"")</f>
        <v>Plasma</v>
      </c>
      <c r="G8035" s="194">
        <v>75</v>
      </c>
      <c r="H8035" s="50" t="s">
        <v>60</v>
      </c>
      <c r="I8035" s="187">
        <v>7.9443029999999997</v>
      </c>
      <c r="J8035" s="41" t="s">
        <v>941</v>
      </c>
      <c r="K8035" s="41" t="s">
        <v>239</v>
      </c>
      <c r="O8035" s="199">
        <v>0.2</v>
      </c>
    </row>
    <row r="8036" spans="1:16" x14ac:dyDescent="0.2">
      <c r="A8036" s="30">
        <v>1060</v>
      </c>
      <c r="B8036" s="249" t="str">
        <f>IF(AND(A8036&lt;&gt;"",ISNUMBER(A8036)),VLOOKUP(A8036,Studies!A:BR,2,FALSE),"")</f>
        <v>Varhe 1994</v>
      </c>
      <c r="C8036" s="250" t="str">
        <f>IF(AND(A8036&lt;&gt;"",ISNUMBER(A8036)),VLOOKUP(A8036,Studies!A:BR,3,FALSE),"")</f>
        <v>https://www.ncbi.nlm.nih.gov/pubmed/7995001</v>
      </c>
      <c r="D8036" s="250" t="str">
        <f>IF(AND(A8036&lt;&gt;"",ISNUMBER(A8036)),VLOOKUP(A8036,Studies!A:BR,4,FALSE),"")</f>
        <v>Triazolam with ketoconazole Subject 2</v>
      </c>
      <c r="E8036" s="250" t="str">
        <f>IF(AND(A8036&lt;&gt;"",ISNUMBER(A8036)),VLOOKUP(A8036,Studies!A:BR,5,FALSE),"")</f>
        <v>Triazolam</v>
      </c>
      <c r="F8036" s="251" t="str">
        <f>IF(AND(A8036&lt;&gt;"",ISNUMBER(A8036)),VLOOKUP(A8036,Studies!A:BR,6,FALSE),"")</f>
        <v>Plasma</v>
      </c>
      <c r="G8036" s="194">
        <v>75.5</v>
      </c>
      <c r="H8036" s="50" t="s">
        <v>60</v>
      </c>
      <c r="I8036" s="187">
        <v>6.5136279999999998</v>
      </c>
      <c r="J8036" s="41" t="s">
        <v>941</v>
      </c>
      <c r="K8036" s="41" t="s">
        <v>239</v>
      </c>
      <c r="O8036" s="199">
        <v>0.2</v>
      </c>
    </row>
    <row r="8037" spans="1:16" x14ac:dyDescent="0.2">
      <c r="A8037" s="30">
        <v>1060</v>
      </c>
      <c r="B8037" s="249" t="str">
        <f>IF(AND(A8037&lt;&gt;"",ISNUMBER(A8037)),VLOOKUP(A8037,Studies!A:BR,2,FALSE),"")</f>
        <v>Varhe 1994</v>
      </c>
      <c r="C8037" s="250" t="str">
        <f>IF(AND(A8037&lt;&gt;"",ISNUMBER(A8037)),VLOOKUP(A8037,Studies!A:BR,3,FALSE),"")</f>
        <v>https://www.ncbi.nlm.nih.gov/pubmed/7995001</v>
      </c>
      <c r="D8037" s="250" t="str">
        <f>IF(AND(A8037&lt;&gt;"",ISNUMBER(A8037)),VLOOKUP(A8037,Studies!A:BR,4,FALSE),"")</f>
        <v>Triazolam with ketoconazole Subject 2</v>
      </c>
      <c r="E8037" s="250" t="str">
        <f>IF(AND(A8037&lt;&gt;"",ISNUMBER(A8037)),VLOOKUP(A8037,Studies!A:BR,5,FALSE),"")</f>
        <v>Triazolam</v>
      </c>
      <c r="F8037" s="251" t="str">
        <f>IF(AND(A8037&lt;&gt;"",ISNUMBER(A8037)),VLOOKUP(A8037,Studies!A:BR,6,FALSE),"")</f>
        <v>Plasma</v>
      </c>
      <c r="G8037" s="194">
        <v>76</v>
      </c>
      <c r="H8037" s="50" t="s">
        <v>60</v>
      </c>
      <c r="I8037" s="187">
        <v>4.4271370000000001</v>
      </c>
      <c r="J8037" s="41" t="s">
        <v>941</v>
      </c>
      <c r="K8037" s="41" t="s">
        <v>239</v>
      </c>
      <c r="O8037" s="199">
        <v>0.2</v>
      </c>
    </row>
    <row r="8038" spans="1:16" x14ac:dyDescent="0.2">
      <c r="A8038" s="30">
        <v>1060</v>
      </c>
      <c r="B8038" s="249" t="str">
        <f>IF(AND(A8038&lt;&gt;"",ISNUMBER(A8038)),VLOOKUP(A8038,Studies!A:BR,2,FALSE),"")</f>
        <v>Varhe 1994</v>
      </c>
      <c r="C8038" s="250" t="str">
        <f>IF(AND(A8038&lt;&gt;"",ISNUMBER(A8038)),VLOOKUP(A8038,Studies!A:BR,3,FALSE),"")</f>
        <v>https://www.ncbi.nlm.nih.gov/pubmed/7995001</v>
      </c>
      <c r="D8038" s="250" t="str">
        <f>IF(AND(A8038&lt;&gt;"",ISNUMBER(A8038)),VLOOKUP(A8038,Studies!A:BR,4,FALSE),"")</f>
        <v>Triazolam with ketoconazole Subject 2</v>
      </c>
      <c r="E8038" s="250" t="str">
        <f>IF(AND(A8038&lt;&gt;"",ISNUMBER(A8038)),VLOOKUP(A8038,Studies!A:BR,5,FALSE),"")</f>
        <v>Triazolam</v>
      </c>
      <c r="F8038" s="251" t="str">
        <f>IF(AND(A8038&lt;&gt;"",ISNUMBER(A8038)),VLOOKUP(A8038,Studies!A:BR,6,FALSE),"")</f>
        <v>Plasma</v>
      </c>
      <c r="G8038" s="194">
        <v>77</v>
      </c>
      <c r="H8038" s="50" t="s">
        <v>60</v>
      </c>
      <c r="I8038" s="187">
        <v>5.1029119999999999</v>
      </c>
      <c r="J8038" s="41" t="s">
        <v>941</v>
      </c>
      <c r="K8038" s="41" t="s">
        <v>239</v>
      </c>
      <c r="O8038" s="199">
        <v>0.2</v>
      </c>
    </row>
    <row r="8039" spans="1:16" x14ac:dyDescent="0.2">
      <c r="A8039" s="30">
        <v>1060</v>
      </c>
      <c r="B8039" s="249" t="str">
        <f>IF(AND(A8039&lt;&gt;"",ISNUMBER(A8039)),VLOOKUP(A8039,Studies!A:BR,2,FALSE),"")</f>
        <v>Varhe 1994</v>
      </c>
      <c r="C8039" s="250" t="str">
        <f>IF(AND(A8039&lt;&gt;"",ISNUMBER(A8039)),VLOOKUP(A8039,Studies!A:BR,3,FALSE),"")</f>
        <v>https://www.ncbi.nlm.nih.gov/pubmed/7995001</v>
      </c>
      <c r="D8039" s="250" t="str">
        <f>IF(AND(A8039&lt;&gt;"",ISNUMBER(A8039)),VLOOKUP(A8039,Studies!A:BR,4,FALSE),"")</f>
        <v>Triazolam with ketoconazole Subject 2</v>
      </c>
      <c r="E8039" s="250" t="str">
        <f>IF(AND(A8039&lt;&gt;"",ISNUMBER(A8039)),VLOOKUP(A8039,Studies!A:BR,5,FALSE),"")</f>
        <v>Triazolam</v>
      </c>
      <c r="F8039" s="251" t="str">
        <f>IF(AND(A8039&lt;&gt;"",ISNUMBER(A8039)),VLOOKUP(A8039,Studies!A:BR,6,FALSE),"")</f>
        <v>Plasma</v>
      </c>
      <c r="G8039" s="194">
        <v>78</v>
      </c>
      <c r="H8039" s="50" t="s">
        <v>60</v>
      </c>
      <c r="I8039" s="187">
        <v>3.4302269999999999</v>
      </c>
      <c r="J8039" s="41" t="s">
        <v>941</v>
      </c>
      <c r="K8039" s="41" t="s">
        <v>239</v>
      </c>
      <c r="O8039" s="199">
        <v>0.2</v>
      </c>
    </row>
    <row r="8040" spans="1:16" x14ac:dyDescent="0.2">
      <c r="A8040" s="30">
        <v>1060</v>
      </c>
      <c r="B8040" s="249" t="str">
        <f>IF(AND(A8040&lt;&gt;"",ISNUMBER(A8040)),VLOOKUP(A8040,Studies!A:BR,2,FALSE),"")</f>
        <v>Varhe 1994</v>
      </c>
      <c r="C8040" s="250" t="str">
        <f>IF(AND(A8040&lt;&gt;"",ISNUMBER(A8040)),VLOOKUP(A8040,Studies!A:BR,3,FALSE),"")</f>
        <v>https://www.ncbi.nlm.nih.gov/pubmed/7995001</v>
      </c>
      <c r="D8040" s="250" t="str">
        <f>IF(AND(A8040&lt;&gt;"",ISNUMBER(A8040)),VLOOKUP(A8040,Studies!A:BR,4,FALSE),"")</f>
        <v>Triazolam with ketoconazole Subject 2</v>
      </c>
      <c r="E8040" s="250" t="str">
        <f>IF(AND(A8040&lt;&gt;"",ISNUMBER(A8040)),VLOOKUP(A8040,Studies!A:BR,5,FALSE),"")</f>
        <v>Triazolam</v>
      </c>
      <c r="F8040" s="251" t="str">
        <f>IF(AND(A8040&lt;&gt;"",ISNUMBER(A8040)),VLOOKUP(A8040,Studies!A:BR,6,FALSE),"")</f>
        <v>Plasma</v>
      </c>
      <c r="G8040" s="194">
        <v>79</v>
      </c>
      <c r="H8040" s="50" t="s">
        <v>60</v>
      </c>
      <c r="I8040" s="187">
        <v>3.728631</v>
      </c>
      <c r="J8040" s="41" t="s">
        <v>941</v>
      </c>
      <c r="K8040" s="41" t="s">
        <v>239</v>
      </c>
      <c r="O8040" s="199">
        <v>0.2</v>
      </c>
    </row>
    <row r="8041" spans="1:16" x14ac:dyDescent="0.2">
      <c r="A8041" s="30">
        <v>1060</v>
      </c>
      <c r="B8041" s="249" t="str">
        <f>IF(AND(A8041&lt;&gt;"",ISNUMBER(A8041)),VLOOKUP(A8041,Studies!A:BR,2,FALSE),"")</f>
        <v>Varhe 1994</v>
      </c>
      <c r="C8041" s="250" t="str">
        <f>IF(AND(A8041&lt;&gt;"",ISNUMBER(A8041)),VLOOKUP(A8041,Studies!A:BR,3,FALSE),"")</f>
        <v>https://www.ncbi.nlm.nih.gov/pubmed/7995001</v>
      </c>
      <c r="D8041" s="250" t="str">
        <f>IF(AND(A8041&lt;&gt;"",ISNUMBER(A8041)),VLOOKUP(A8041,Studies!A:BR,4,FALSE),"")</f>
        <v>Triazolam with ketoconazole Subject 2</v>
      </c>
      <c r="E8041" s="250" t="str">
        <f>IF(AND(A8041&lt;&gt;"",ISNUMBER(A8041)),VLOOKUP(A8041,Studies!A:BR,5,FALSE),"")</f>
        <v>Triazolam</v>
      </c>
      <c r="F8041" s="251" t="str">
        <f>IF(AND(A8041&lt;&gt;"",ISNUMBER(A8041)),VLOOKUP(A8041,Studies!A:BR,6,FALSE),"")</f>
        <v>Plasma</v>
      </c>
      <c r="G8041" s="194">
        <v>80</v>
      </c>
      <c r="H8041" s="50" t="s">
        <v>60</v>
      </c>
      <c r="I8041" s="187">
        <v>3.8673440000000001</v>
      </c>
      <c r="J8041" s="41" t="s">
        <v>941</v>
      </c>
      <c r="K8041" s="41" t="s">
        <v>239</v>
      </c>
      <c r="O8041" s="199">
        <v>0.2</v>
      </c>
    </row>
    <row r="8042" spans="1:16" x14ac:dyDescent="0.2">
      <c r="A8042" s="30">
        <v>1060</v>
      </c>
      <c r="B8042" s="249" t="str">
        <f>IF(AND(A8042&lt;&gt;"",ISNUMBER(A8042)),VLOOKUP(A8042,Studies!A:BR,2,FALSE),"")</f>
        <v>Varhe 1994</v>
      </c>
      <c r="C8042" s="250" t="str">
        <f>IF(AND(A8042&lt;&gt;"",ISNUMBER(A8042)),VLOOKUP(A8042,Studies!A:BR,3,FALSE),"")</f>
        <v>https://www.ncbi.nlm.nih.gov/pubmed/7995001</v>
      </c>
      <c r="D8042" s="250" t="str">
        <f>IF(AND(A8042&lt;&gt;"",ISNUMBER(A8042)),VLOOKUP(A8042,Studies!A:BR,4,FALSE),"")</f>
        <v>Triazolam with ketoconazole Subject 2</v>
      </c>
      <c r="E8042" s="250" t="str">
        <f>IF(AND(A8042&lt;&gt;"",ISNUMBER(A8042)),VLOOKUP(A8042,Studies!A:BR,5,FALSE),"")</f>
        <v>Triazolam</v>
      </c>
      <c r="F8042" s="251" t="str">
        <f>IF(AND(A8042&lt;&gt;"",ISNUMBER(A8042)),VLOOKUP(A8042,Studies!A:BR,6,FALSE),"")</f>
        <v>Plasma</v>
      </c>
      <c r="G8042" s="194">
        <v>90</v>
      </c>
      <c r="H8042" s="50" t="s">
        <v>60</v>
      </c>
      <c r="I8042" s="187">
        <v>2.6015679999999999</v>
      </c>
      <c r="J8042" s="41" t="s">
        <v>941</v>
      </c>
      <c r="K8042" s="41" t="s">
        <v>239</v>
      </c>
      <c r="O8042" s="199">
        <v>0.2</v>
      </c>
    </row>
    <row r="8043" spans="1:16" x14ac:dyDescent="0.2">
      <c r="A8043" s="30">
        <v>1061</v>
      </c>
      <c r="B8043" s="249" t="str">
        <f>IF(AND(A8043&lt;&gt;"",ISNUMBER(A8043)),VLOOKUP(A8043,Studies!A:BR,2,FALSE),"")</f>
        <v>Varhe 1994</v>
      </c>
      <c r="C8043" s="250" t="str">
        <f>IF(AND(A8043&lt;&gt;"",ISNUMBER(A8043)),VLOOKUP(A8043,Studies!A:BR,3,FALSE),"")</f>
        <v>https://www.ncbi.nlm.nih.gov/pubmed/7995001</v>
      </c>
      <c r="D8043" s="250" t="str">
        <f>IF(AND(A8043&lt;&gt;"",ISNUMBER(A8043)),VLOOKUP(A8043,Studies!A:BR,4,FALSE),"")</f>
        <v>Triazolam with ketoconazole Subject 3</v>
      </c>
      <c r="E8043" s="250" t="str">
        <f>IF(AND(A8043&lt;&gt;"",ISNUMBER(A8043)),VLOOKUP(A8043,Studies!A:BR,5,FALSE),"")</f>
        <v>Triazolam</v>
      </c>
      <c r="F8043" s="251" t="str">
        <f>IF(AND(A8043&lt;&gt;"",ISNUMBER(A8043)),VLOOKUP(A8043,Studies!A:BR,6,FALSE),"")</f>
        <v>Plasma</v>
      </c>
      <c r="G8043" s="194">
        <v>73.67</v>
      </c>
      <c r="H8043" s="50" t="s">
        <v>60</v>
      </c>
      <c r="I8043" s="187">
        <v>0.30127290000000001</v>
      </c>
      <c r="J8043" s="41" t="s">
        <v>941</v>
      </c>
      <c r="K8043" s="41" t="s">
        <v>239</v>
      </c>
      <c r="O8043" s="199">
        <v>0.2</v>
      </c>
      <c r="P8043" s="42" t="s">
        <v>2645</v>
      </c>
    </row>
    <row r="8044" spans="1:16" x14ac:dyDescent="0.2">
      <c r="A8044" s="30">
        <v>1061</v>
      </c>
      <c r="B8044" s="249" t="str">
        <f>IF(AND(A8044&lt;&gt;"",ISNUMBER(A8044)),VLOOKUP(A8044,Studies!A:BR,2,FALSE),"")</f>
        <v>Varhe 1994</v>
      </c>
      <c r="C8044" s="250" t="str">
        <f>IF(AND(A8044&lt;&gt;"",ISNUMBER(A8044)),VLOOKUP(A8044,Studies!A:BR,3,FALSE),"")</f>
        <v>https://www.ncbi.nlm.nih.gov/pubmed/7995001</v>
      </c>
      <c r="D8044" s="250" t="str">
        <f>IF(AND(A8044&lt;&gt;"",ISNUMBER(A8044)),VLOOKUP(A8044,Studies!A:BR,4,FALSE),"")</f>
        <v>Triazolam with ketoconazole Subject 3</v>
      </c>
      <c r="E8044" s="250" t="str">
        <f>IF(AND(A8044&lt;&gt;"",ISNUMBER(A8044)),VLOOKUP(A8044,Studies!A:BR,5,FALSE),"")</f>
        <v>Triazolam</v>
      </c>
      <c r="F8044" s="251" t="str">
        <f>IF(AND(A8044&lt;&gt;"",ISNUMBER(A8044)),VLOOKUP(A8044,Studies!A:BR,6,FALSE),"")</f>
        <v>Plasma</v>
      </c>
      <c r="G8044" s="194">
        <v>74</v>
      </c>
      <c r="H8044" s="50" t="s">
        <v>60</v>
      </c>
      <c r="I8044" s="187">
        <v>1.4162870000000001</v>
      </c>
      <c r="J8044" s="41" t="s">
        <v>941</v>
      </c>
      <c r="K8044" s="41" t="s">
        <v>239</v>
      </c>
      <c r="O8044" s="199">
        <v>0.2</v>
      </c>
    </row>
    <row r="8045" spans="1:16" x14ac:dyDescent="0.2">
      <c r="A8045" s="30">
        <v>1061</v>
      </c>
      <c r="B8045" s="249" t="str">
        <f>IF(AND(A8045&lt;&gt;"",ISNUMBER(A8045)),VLOOKUP(A8045,Studies!A:BR,2,FALSE),"")</f>
        <v>Varhe 1994</v>
      </c>
      <c r="C8045" s="250" t="str">
        <f>IF(AND(A8045&lt;&gt;"",ISNUMBER(A8045)),VLOOKUP(A8045,Studies!A:BR,3,FALSE),"")</f>
        <v>https://www.ncbi.nlm.nih.gov/pubmed/7995001</v>
      </c>
      <c r="D8045" s="250" t="str">
        <f>IF(AND(A8045&lt;&gt;"",ISNUMBER(A8045)),VLOOKUP(A8045,Studies!A:BR,4,FALSE),"")</f>
        <v>Triazolam with ketoconazole Subject 3</v>
      </c>
      <c r="E8045" s="250" t="str">
        <f>IF(AND(A8045&lt;&gt;"",ISNUMBER(A8045)),VLOOKUP(A8045,Studies!A:BR,5,FALSE),"")</f>
        <v>Triazolam</v>
      </c>
      <c r="F8045" s="251" t="str">
        <f>IF(AND(A8045&lt;&gt;"",ISNUMBER(A8045)),VLOOKUP(A8045,Studies!A:BR,6,FALSE),"")</f>
        <v>Plasma</v>
      </c>
      <c r="G8045" s="194">
        <v>74.5</v>
      </c>
      <c r="H8045" s="50" t="s">
        <v>60</v>
      </c>
      <c r="I8045" s="187">
        <v>3.2575509999999999</v>
      </c>
      <c r="J8045" s="41" t="s">
        <v>941</v>
      </c>
      <c r="K8045" s="41" t="s">
        <v>239</v>
      </c>
      <c r="O8045" s="199">
        <v>0.2</v>
      </c>
    </row>
    <row r="8046" spans="1:16" x14ac:dyDescent="0.2">
      <c r="A8046" s="30">
        <v>1061</v>
      </c>
      <c r="B8046" s="249" t="str">
        <f>IF(AND(A8046&lt;&gt;"",ISNUMBER(A8046)),VLOOKUP(A8046,Studies!A:BR,2,FALSE),"")</f>
        <v>Varhe 1994</v>
      </c>
      <c r="C8046" s="250" t="str">
        <f>IF(AND(A8046&lt;&gt;"",ISNUMBER(A8046)),VLOOKUP(A8046,Studies!A:BR,3,FALSE),"")</f>
        <v>https://www.ncbi.nlm.nih.gov/pubmed/7995001</v>
      </c>
      <c r="D8046" s="250" t="str">
        <f>IF(AND(A8046&lt;&gt;"",ISNUMBER(A8046)),VLOOKUP(A8046,Studies!A:BR,4,FALSE),"")</f>
        <v>Triazolam with ketoconazole Subject 3</v>
      </c>
      <c r="E8046" s="250" t="str">
        <f>IF(AND(A8046&lt;&gt;"",ISNUMBER(A8046)),VLOOKUP(A8046,Studies!A:BR,5,FALSE),"")</f>
        <v>Triazolam</v>
      </c>
      <c r="F8046" s="251" t="str">
        <f>IF(AND(A8046&lt;&gt;"",ISNUMBER(A8046)),VLOOKUP(A8046,Studies!A:BR,6,FALSE),"")</f>
        <v>Plasma</v>
      </c>
      <c r="G8046" s="194">
        <v>75</v>
      </c>
      <c r="H8046" s="50" t="s">
        <v>60</v>
      </c>
      <c r="I8046" s="187">
        <v>3.4972660000000002</v>
      </c>
      <c r="J8046" s="41" t="s">
        <v>941</v>
      </c>
      <c r="K8046" s="41" t="s">
        <v>239</v>
      </c>
      <c r="O8046" s="199">
        <v>0.2</v>
      </c>
    </row>
    <row r="8047" spans="1:16" x14ac:dyDescent="0.2">
      <c r="A8047" s="30">
        <v>1061</v>
      </c>
      <c r="B8047" s="249" t="str">
        <f>IF(AND(A8047&lt;&gt;"",ISNUMBER(A8047)),VLOOKUP(A8047,Studies!A:BR,2,FALSE),"")</f>
        <v>Varhe 1994</v>
      </c>
      <c r="C8047" s="250" t="str">
        <f>IF(AND(A8047&lt;&gt;"",ISNUMBER(A8047)),VLOOKUP(A8047,Studies!A:BR,3,FALSE),"")</f>
        <v>https://www.ncbi.nlm.nih.gov/pubmed/7995001</v>
      </c>
      <c r="D8047" s="250" t="str">
        <f>IF(AND(A8047&lt;&gt;"",ISNUMBER(A8047)),VLOOKUP(A8047,Studies!A:BR,4,FALSE),"")</f>
        <v>Triazolam with ketoconazole Subject 3</v>
      </c>
      <c r="E8047" s="250" t="str">
        <f>IF(AND(A8047&lt;&gt;"",ISNUMBER(A8047)),VLOOKUP(A8047,Studies!A:BR,5,FALSE),"")</f>
        <v>Triazolam</v>
      </c>
      <c r="F8047" s="251" t="str">
        <f>IF(AND(A8047&lt;&gt;"",ISNUMBER(A8047)),VLOOKUP(A8047,Studies!A:BR,6,FALSE),"")</f>
        <v>Plasma</v>
      </c>
      <c r="G8047" s="194">
        <v>75.5</v>
      </c>
      <c r="H8047" s="50" t="s">
        <v>60</v>
      </c>
      <c r="I8047" s="187">
        <v>3.499622</v>
      </c>
      <c r="J8047" s="41" t="s">
        <v>941</v>
      </c>
      <c r="K8047" s="41" t="s">
        <v>239</v>
      </c>
      <c r="O8047" s="199">
        <v>0.2</v>
      </c>
    </row>
    <row r="8048" spans="1:16" x14ac:dyDescent="0.2">
      <c r="A8048" s="30">
        <v>1061</v>
      </c>
      <c r="B8048" s="249" t="str">
        <f>IF(AND(A8048&lt;&gt;"",ISNUMBER(A8048)),VLOOKUP(A8048,Studies!A:BR,2,FALSE),"")</f>
        <v>Varhe 1994</v>
      </c>
      <c r="C8048" s="250" t="str">
        <f>IF(AND(A8048&lt;&gt;"",ISNUMBER(A8048)),VLOOKUP(A8048,Studies!A:BR,3,FALSE),"")</f>
        <v>https://www.ncbi.nlm.nih.gov/pubmed/7995001</v>
      </c>
      <c r="D8048" s="250" t="str">
        <f>IF(AND(A8048&lt;&gt;"",ISNUMBER(A8048)),VLOOKUP(A8048,Studies!A:BR,4,FALSE),"")</f>
        <v>Triazolam with ketoconazole Subject 3</v>
      </c>
      <c r="E8048" s="250" t="str">
        <f>IF(AND(A8048&lt;&gt;"",ISNUMBER(A8048)),VLOOKUP(A8048,Studies!A:BR,5,FALSE),"")</f>
        <v>Triazolam</v>
      </c>
      <c r="F8048" s="251" t="str">
        <f>IF(AND(A8048&lt;&gt;"",ISNUMBER(A8048)),VLOOKUP(A8048,Studies!A:BR,6,FALSE),"")</f>
        <v>Plasma</v>
      </c>
      <c r="G8048" s="194">
        <v>76</v>
      </c>
      <c r="H8048" s="50" t="s">
        <v>60</v>
      </c>
      <c r="I8048" s="187">
        <v>3.4209499999999999</v>
      </c>
      <c r="J8048" s="41" t="s">
        <v>941</v>
      </c>
      <c r="K8048" s="41" t="s">
        <v>239</v>
      </c>
      <c r="O8048" s="199">
        <v>0.2</v>
      </c>
    </row>
    <row r="8049" spans="1:16" x14ac:dyDescent="0.2">
      <c r="A8049" s="30">
        <v>1061</v>
      </c>
      <c r="B8049" s="249" t="str">
        <f>IF(AND(A8049&lt;&gt;"",ISNUMBER(A8049)),VLOOKUP(A8049,Studies!A:BR,2,FALSE),"")</f>
        <v>Varhe 1994</v>
      </c>
      <c r="C8049" s="250" t="str">
        <f>IF(AND(A8049&lt;&gt;"",ISNUMBER(A8049)),VLOOKUP(A8049,Studies!A:BR,3,FALSE),"")</f>
        <v>https://www.ncbi.nlm.nih.gov/pubmed/7995001</v>
      </c>
      <c r="D8049" s="250" t="str">
        <f>IF(AND(A8049&lt;&gt;"",ISNUMBER(A8049)),VLOOKUP(A8049,Studies!A:BR,4,FALSE),"")</f>
        <v>Triazolam with ketoconazole Subject 3</v>
      </c>
      <c r="E8049" s="250" t="str">
        <f>IF(AND(A8049&lt;&gt;"",ISNUMBER(A8049)),VLOOKUP(A8049,Studies!A:BR,5,FALSE),"")</f>
        <v>Triazolam</v>
      </c>
      <c r="F8049" s="251" t="str">
        <f>IF(AND(A8049&lt;&gt;"",ISNUMBER(A8049)),VLOOKUP(A8049,Studies!A:BR,6,FALSE),"")</f>
        <v>Plasma</v>
      </c>
      <c r="G8049" s="194">
        <v>77</v>
      </c>
      <c r="H8049" s="50" t="s">
        <v>60</v>
      </c>
      <c r="I8049" s="187">
        <v>3.2306689999999998</v>
      </c>
      <c r="J8049" s="41" t="s">
        <v>941</v>
      </c>
      <c r="K8049" s="41" t="s">
        <v>239</v>
      </c>
      <c r="O8049" s="199">
        <v>0.2</v>
      </c>
    </row>
    <row r="8050" spans="1:16" x14ac:dyDescent="0.2">
      <c r="A8050" s="30">
        <v>1061</v>
      </c>
      <c r="B8050" s="249" t="str">
        <f>IF(AND(A8050&lt;&gt;"",ISNUMBER(A8050)),VLOOKUP(A8050,Studies!A:BR,2,FALSE),"")</f>
        <v>Varhe 1994</v>
      </c>
      <c r="C8050" s="250" t="str">
        <f>IF(AND(A8050&lt;&gt;"",ISNUMBER(A8050)),VLOOKUP(A8050,Studies!A:BR,3,FALSE),"")</f>
        <v>https://www.ncbi.nlm.nih.gov/pubmed/7995001</v>
      </c>
      <c r="D8050" s="250" t="str">
        <f>IF(AND(A8050&lt;&gt;"",ISNUMBER(A8050)),VLOOKUP(A8050,Studies!A:BR,4,FALSE),"")</f>
        <v>Triazolam with ketoconazole Subject 3</v>
      </c>
      <c r="E8050" s="250" t="str">
        <f>IF(AND(A8050&lt;&gt;"",ISNUMBER(A8050)),VLOOKUP(A8050,Studies!A:BR,5,FALSE),"")</f>
        <v>Triazolam</v>
      </c>
      <c r="F8050" s="251" t="str">
        <f>IF(AND(A8050&lt;&gt;"",ISNUMBER(A8050)),VLOOKUP(A8050,Studies!A:BR,6,FALSE),"")</f>
        <v>Plasma</v>
      </c>
      <c r="G8050" s="194">
        <v>78</v>
      </c>
      <c r="H8050" s="50" t="s">
        <v>60</v>
      </c>
      <c r="I8050" s="187">
        <v>3.4708600000000001</v>
      </c>
      <c r="J8050" s="41" t="s">
        <v>941</v>
      </c>
      <c r="K8050" s="41" t="s">
        <v>239</v>
      </c>
      <c r="O8050" s="199">
        <v>0.2</v>
      </c>
    </row>
    <row r="8051" spans="1:16" x14ac:dyDescent="0.2">
      <c r="A8051" s="30">
        <v>1061</v>
      </c>
      <c r="B8051" s="249" t="str">
        <f>IF(AND(A8051&lt;&gt;"",ISNUMBER(A8051)),VLOOKUP(A8051,Studies!A:BR,2,FALSE),"")</f>
        <v>Varhe 1994</v>
      </c>
      <c r="C8051" s="250" t="str">
        <f>IF(AND(A8051&lt;&gt;"",ISNUMBER(A8051)),VLOOKUP(A8051,Studies!A:BR,3,FALSE),"")</f>
        <v>https://www.ncbi.nlm.nih.gov/pubmed/7995001</v>
      </c>
      <c r="D8051" s="250" t="str">
        <f>IF(AND(A8051&lt;&gt;"",ISNUMBER(A8051)),VLOOKUP(A8051,Studies!A:BR,4,FALSE),"")</f>
        <v>Triazolam with ketoconazole Subject 3</v>
      </c>
      <c r="E8051" s="250" t="str">
        <f>IF(AND(A8051&lt;&gt;"",ISNUMBER(A8051)),VLOOKUP(A8051,Studies!A:BR,5,FALSE),"")</f>
        <v>Triazolam</v>
      </c>
      <c r="F8051" s="251" t="str">
        <f>IF(AND(A8051&lt;&gt;"",ISNUMBER(A8051)),VLOOKUP(A8051,Studies!A:BR,6,FALSE),"")</f>
        <v>Plasma</v>
      </c>
      <c r="G8051" s="194">
        <v>79</v>
      </c>
      <c r="H8051" s="50" t="s">
        <v>60</v>
      </c>
      <c r="I8051" s="187">
        <v>3.4351530000000001</v>
      </c>
      <c r="J8051" s="41" t="s">
        <v>941</v>
      </c>
      <c r="K8051" s="41" t="s">
        <v>239</v>
      </c>
      <c r="O8051" s="199">
        <v>0.2</v>
      </c>
    </row>
    <row r="8052" spans="1:16" x14ac:dyDescent="0.2">
      <c r="A8052" s="30">
        <v>1061</v>
      </c>
      <c r="B8052" s="249" t="str">
        <f>IF(AND(A8052&lt;&gt;"",ISNUMBER(A8052)),VLOOKUP(A8052,Studies!A:BR,2,FALSE),"")</f>
        <v>Varhe 1994</v>
      </c>
      <c r="C8052" s="250" t="str">
        <f>IF(AND(A8052&lt;&gt;"",ISNUMBER(A8052)),VLOOKUP(A8052,Studies!A:BR,3,FALSE),"")</f>
        <v>https://www.ncbi.nlm.nih.gov/pubmed/7995001</v>
      </c>
      <c r="D8052" s="250" t="str">
        <f>IF(AND(A8052&lt;&gt;"",ISNUMBER(A8052)),VLOOKUP(A8052,Studies!A:BR,4,FALSE),"")</f>
        <v>Triazolam with ketoconazole Subject 3</v>
      </c>
      <c r="E8052" s="250" t="str">
        <f>IF(AND(A8052&lt;&gt;"",ISNUMBER(A8052)),VLOOKUP(A8052,Studies!A:BR,5,FALSE),"")</f>
        <v>Triazolam</v>
      </c>
      <c r="F8052" s="251" t="str">
        <f>IF(AND(A8052&lt;&gt;"",ISNUMBER(A8052)),VLOOKUP(A8052,Studies!A:BR,6,FALSE),"")</f>
        <v>Plasma</v>
      </c>
      <c r="G8052" s="194">
        <v>80</v>
      </c>
      <c r="H8052" s="50" t="s">
        <v>60</v>
      </c>
      <c r="I8052" s="187">
        <v>3.399813</v>
      </c>
      <c r="J8052" s="41" t="s">
        <v>941</v>
      </c>
      <c r="K8052" s="41" t="s">
        <v>239</v>
      </c>
      <c r="O8052" s="199">
        <v>0.2</v>
      </c>
    </row>
    <row r="8053" spans="1:16" x14ac:dyDescent="0.2">
      <c r="A8053" s="30">
        <v>1061</v>
      </c>
      <c r="B8053" s="249" t="str">
        <f>IF(AND(A8053&lt;&gt;"",ISNUMBER(A8053)),VLOOKUP(A8053,Studies!A:BR,2,FALSE),"")</f>
        <v>Varhe 1994</v>
      </c>
      <c r="C8053" s="250" t="str">
        <f>IF(AND(A8053&lt;&gt;"",ISNUMBER(A8053)),VLOOKUP(A8053,Studies!A:BR,3,FALSE),"")</f>
        <v>https://www.ncbi.nlm.nih.gov/pubmed/7995001</v>
      </c>
      <c r="D8053" s="250" t="str">
        <f>IF(AND(A8053&lt;&gt;"",ISNUMBER(A8053)),VLOOKUP(A8053,Studies!A:BR,4,FALSE),"")</f>
        <v>Triazolam with ketoconazole Subject 3</v>
      </c>
      <c r="E8053" s="250" t="str">
        <f>IF(AND(A8053&lt;&gt;"",ISNUMBER(A8053)),VLOOKUP(A8053,Studies!A:BR,5,FALSE),"")</f>
        <v>Triazolam</v>
      </c>
      <c r="F8053" s="251" t="str">
        <f>IF(AND(A8053&lt;&gt;"",ISNUMBER(A8053)),VLOOKUP(A8053,Studies!A:BR,6,FALSE),"")</f>
        <v>Plasma</v>
      </c>
      <c r="G8053" s="194">
        <v>90</v>
      </c>
      <c r="H8053" s="50" t="s">
        <v>60</v>
      </c>
      <c r="I8053" s="187">
        <v>2.287045</v>
      </c>
      <c r="J8053" s="41" t="s">
        <v>941</v>
      </c>
      <c r="K8053" s="41" t="s">
        <v>239</v>
      </c>
      <c r="O8053" s="199">
        <v>0.2</v>
      </c>
    </row>
    <row r="8054" spans="1:16" x14ac:dyDescent="0.2">
      <c r="A8054" s="30">
        <v>1062</v>
      </c>
      <c r="B8054" s="249" t="str">
        <f>IF(AND(A8054&lt;&gt;"",ISNUMBER(A8054)),VLOOKUP(A8054,Studies!A:BR,2,FALSE),"")</f>
        <v>Varhe 1994</v>
      </c>
      <c r="C8054" s="250" t="str">
        <f>IF(AND(A8054&lt;&gt;"",ISNUMBER(A8054)),VLOOKUP(A8054,Studies!A:BR,3,FALSE),"")</f>
        <v>https://www.ncbi.nlm.nih.gov/pubmed/7995001</v>
      </c>
      <c r="D8054" s="250" t="str">
        <f>IF(AND(A8054&lt;&gt;"",ISNUMBER(A8054)),VLOOKUP(A8054,Studies!A:BR,4,FALSE),"")</f>
        <v>Triazolam with ketoconazole Subject 4</v>
      </c>
      <c r="E8054" s="250" t="str">
        <f>IF(AND(A8054&lt;&gt;"",ISNUMBER(A8054)),VLOOKUP(A8054,Studies!A:BR,5,FALSE),"")</f>
        <v>Triazolam</v>
      </c>
      <c r="F8054" s="251" t="str">
        <f>IF(AND(A8054&lt;&gt;"",ISNUMBER(A8054)),VLOOKUP(A8054,Studies!A:BR,6,FALSE),"")</f>
        <v>Plasma</v>
      </c>
      <c r="G8054" s="194">
        <v>74.5</v>
      </c>
      <c r="H8054" s="50" t="s">
        <v>60</v>
      </c>
      <c r="I8054" s="187">
        <v>0.29684719999999998</v>
      </c>
      <c r="J8054" s="41" t="s">
        <v>941</v>
      </c>
      <c r="K8054" s="41" t="s">
        <v>239</v>
      </c>
      <c r="O8054" s="199">
        <v>0.2</v>
      </c>
      <c r="P8054" s="42" t="s">
        <v>2646</v>
      </c>
    </row>
    <row r="8055" spans="1:16" x14ac:dyDescent="0.2">
      <c r="A8055" s="30">
        <v>1062</v>
      </c>
      <c r="B8055" s="249" t="str">
        <f>IF(AND(A8055&lt;&gt;"",ISNUMBER(A8055)),VLOOKUP(A8055,Studies!A:BR,2,FALSE),"")</f>
        <v>Varhe 1994</v>
      </c>
      <c r="C8055" s="250" t="str">
        <f>IF(AND(A8055&lt;&gt;"",ISNUMBER(A8055)),VLOOKUP(A8055,Studies!A:BR,3,FALSE),"")</f>
        <v>https://www.ncbi.nlm.nih.gov/pubmed/7995001</v>
      </c>
      <c r="D8055" s="250" t="str">
        <f>IF(AND(A8055&lt;&gt;"",ISNUMBER(A8055)),VLOOKUP(A8055,Studies!A:BR,4,FALSE),"")</f>
        <v>Triazolam with ketoconazole Subject 4</v>
      </c>
      <c r="E8055" s="250" t="str">
        <f>IF(AND(A8055&lt;&gt;"",ISNUMBER(A8055)),VLOOKUP(A8055,Studies!A:BR,5,FALSE),"")</f>
        <v>Triazolam</v>
      </c>
      <c r="F8055" s="251" t="str">
        <f>IF(AND(A8055&lt;&gt;"",ISNUMBER(A8055)),VLOOKUP(A8055,Studies!A:BR,6,FALSE),"")</f>
        <v>Plasma</v>
      </c>
      <c r="G8055" s="194">
        <v>75</v>
      </c>
      <c r="H8055" s="50" t="s">
        <v>60</v>
      </c>
      <c r="I8055" s="187">
        <v>0.89166579999999995</v>
      </c>
      <c r="J8055" s="41" t="s">
        <v>941</v>
      </c>
      <c r="K8055" s="41" t="s">
        <v>239</v>
      </c>
      <c r="O8055" s="199">
        <v>0.2</v>
      </c>
    </row>
    <row r="8056" spans="1:16" x14ac:dyDescent="0.2">
      <c r="A8056" s="30">
        <v>1062</v>
      </c>
      <c r="B8056" s="249" t="str">
        <f>IF(AND(A8056&lt;&gt;"",ISNUMBER(A8056)),VLOOKUP(A8056,Studies!A:BR,2,FALSE),"")</f>
        <v>Varhe 1994</v>
      </c>
      <c r="C8056" s="250" t="str">
        <f>IF(AND(A8056&lt;&gt;"",ISNUMBER(A8056)),VLOOKUP(A8056,Studies!A:BR,3,FALSE),"")</f>
        <v>https://www.ncbi.nlm.nih.gov/pubmed/7995001</v>
      </c>
      <c r="D8056" s="250" t="str">
        <f>IF(AND(A8056&lt;&gt;"",ISNUMBER(A8056)),VLOOKUP(A8056,Studies!A:BR,4,FALSE),"")</f>
        <v>Triazolam with ketoconazole Subject 4</v>
      </c>
      <c r="E8056" s="250" t="str">
        <f>IF(AND(A8056&lt;&gt;"",ISNUMBER(A8056)),VLOOKUP(A8056,Studies!A:BR,5,FALSE),"")</f>
        <v>Triazolam</v>
      </c>
      <c r="F8056" s="251" t="str">
        <f>IF(AND(A8056&lt;&gt;"",ISNUMBER(A8056)),VLOOKUP(A8056,Studies!A:BR,6,FALSE),"")</f>
        <v>Plasma</v>
      </c>
      <c r="G8056" s="194">
        <v>75.5</v>
      </c>
      <c r="H8056" s="50" t="s">
        <v>60</v>
      </c>
      <c r="I8056" s="187">
        <v>1.482723</v>
      </c>
      <c r="J8056" s="41" t="s">
        <v>941</v>
      </c>
      <c r="K8056" s="41" t="s">
        <v>239</v>
      </c>
      <c r="O8056" s="199">
        <v>0.2</v>
      </c>
    </row>
    <row r="8057" spans="1:16" x14ac:dyDescent="0.2">
      <c r="A8057" s="30">
        <v>1062</v>
      </c>
      <c r="B8057" s="249" t="str">
        <f>IF(AND(A8057&lt;&gt;"",ISNUMBER(A8057)),VLOOKUP(A8057,Studies!A:BR,2,FALSE),"")</f>
        <v>Varhe 1994</v>
      </c>
      <c r="C8057" s="250" t="str">
        <f>IF(AND(A8057&lt;&gt;"",ISNUMBER(A8057)),VLOOKUP(A8057,Studies!A:BR,3,FALSE),"")</f>
        <v>https://www.ncbi.nlm.nih.gov/pubmed/7995001</v>
      </c>
      <c r="D8057" s="250" t="str">
        <f>IF(AND(A8057&lt;&gt;"",ISNUMBER(A8057)),VLOOKUP(A8057,Studies!A:BR,4,FALSE),"")</f>
        <v>Triazolam with ketoconazole Subject 4</v>
      </c>
      <c r="E8057" s="250" t="str">
        <f>IF(AND(A8057&lt;&gt;"",ISNUMBER(A8057)),VLOOKUP(A8057,Studies!A:BR,5,FALSE),"")</f>
        <v>Triazolam</v>
      </c>
      <c r="F8057" s="251" t="str">
        <f>IF(AND(A8057&lt;&gt;"",ISNUMBER(A8057)),VLOOKUP(A8057,Studies!A:BR,6,FALSE),"")</f>
        <v>Plasma</v>
      </c>
      <c r="G8057" s="194">
        <v>76</v>
      </c>
      <c r="H8057" s="50" t="s">
        <v>60</v>
      </c>
      <c r="I8057" s="187">
        <v>1.500362</v>
      </c>
      <c r="J8057" s="41" t="s">
        <v>941</v>
      </c>
      <c r="K8057" s="41" t="s">
        <v>239</v>
      </c>
      <c r="O8057" s="199">
        <v>0.2</v>
      </c>
    </row>
    <row r="8058" spans="1:16" x14ac:dyDescent="0.2">
      <c r="A8058" s="30">
        <v>1062</v>
      </c>
      <c r="B8058" s="249" t="str">
        <f>IF(AND(A8058&lt;&gt;"",ISNUMBER(A8058)),VLOOKUP(A8058,Studies!A:BR,2,FALSE),"")</f>
        <v>Varhe 1994</v>
      </c>
      <c r="C8058" s="250" t="str">
        <f>IF(AND(A8058&lt;&gt;"",ISNUMBER(A8058)),VLOOKUP(A8058,Studies!A:BR,3,FALSE),"")</f>
        <v>https://www.ncbi.nlm.nih.gov/pubmed/7995001</v>
      </c>
      <c r="D8058" s="250" t="str">
        <f>IF(AND(A8058&lt;&gt;"",ISNUMBER(A8058)),VLOOKUP(A8058,Studies!A:BR,4,FALSE),"")</f>
        <v>Triazolam with ketoconazole Subject 4</v>
      </c>
      <c r="E8058" s="250" t="str">
        <f>IF(AND(A8058&lt;&gt;"",ISNUMBER(A8058)),VLOOKUP(A8058,Studies!A:BR,5,FALSE),"")</f>
        <v>Triazolam</v>
      </c>
      <c r="F8058" s="251" t="str">
        <f>IF(AND(A8058&lt;&gt;"",ISNUMBER(A8058)),VLOOKUP(A8058,Studies!A:BR,6,FALSE),"")</f>
        <v>Plasma</v>
      </c>
      <c r="G8058" s="194">
        <v>77</v>
      </c>
      <c r="H8058" s="50" t="s">
        <v>60</v>
      </c>
      <c r="I8058" s="187">
        <v>2.1905610000000002</v>
      </c>
      <c r="J8058" s="41" t="s">
        <v>941</v>
      </c>
      <c r="K8058" s="41" t="s">
        <v>239</v>
      </c>
      <c r="O8058" s="199">
        <v>0.2</v>
      </c>
    </row>
    <row r="8059" spans="1:16" x14ac:dyDescent="0.2">
      <c r="A8059" s="30">
        <v>1062</v>
      </c>
      <c r="B8059" s="249" t="str">
        <f>IF(AND(A8059&lt;&gt;"",ISNUMBER(A8059)),VLOOKUP(A8059,Studies!A:BR,2,FALSE),"")</f>
        <v>Varhe 1994</v>
      </c>
      <c r="C8059" s="250" t="str">
        <f>IF(AND(A8059&lt;&gt;"",ISNUMBER(A8059)),VLOOKUP(A8059,Studies!A:BR,3,FALSE),"")</f>
        <v>https://www.ncbi.nlm.nih.gov/pubmed/7995001</v>
      </c>
      <c r="D8059" s="250" t="str">
        <f>IF(AND(A8059&lt;&gt;"",ISNUMBER(A8059)),VLOOKUP(A8059,Studies!A:BR,4,FALSE),"")</f>
        <v>Triazolam with ketoconazole Subject 4</v>
      </c>
      <c r="E8059" s="250" t="str">
        <f>IF(AND(A8059&lt;&gt;"",ISNUMBER(A8059)),VLOOKUP(A8059,Studies!A:BR,5,FALSE),"")</f>
        <v>Triazolam</v>
      </c>
      <c r="F8059" s="251" t="str">
        <f>IF(AND(A8059&lt;&gt;"",ISNUMBER(A8059)),VLOOKUP(A8059,Studies!A:BR,6,FALSE),"")</f>
        <v>Plasma</v>
      </c>
      <c r="G8059" s="194">
        <v>78</v>
      </c>
      <c r="H8059" s="50" t="s">
        <v>60</v>
      </c>
      <c r="I8059" s="187">
        <v>4.4014199999999999</v>
      </c>
      <c r="J8059" s="41" t="s">
        <v>941</v>
      </c>
      <c r="K8059" s="41" t="s">
        <v>239</v>
      </c>
      <c r="O8059" s="199">
        <v>0.2</v>
      </c>
    </row>
    <row r="8060" spans="1:16" x14ac:dyDescent="0.2">
      <c r="A8060" s="30">
        <v>1062</v>
      </c>
      <c r="B8060" s="249" t="str">
        <f>IF(AND(A8060&lt;&gt;"",ISNUMBER(A8060)),VLOOKUP(A8060,Studies!A:BR,2,FALSE),"")</f>
        <v>Varhe 1994</v>
      </c>
      <c r="C8060" s="250" t="str">
        <f>IF(AND(A8060&lt;&gt;"",ISNUMBER(A8060)),VLOOKUP(A8060,Studies!A:BR,3,FALSE),"")</f>
        <v>https://www.ncbi.nlm.nih.gov/pubmed/7995001</v>
      </c>
      <c r="D8060" s="250" t="str">
        <f>IF(AND(A8060&lt;&gt;"",ISNUMBER(A8060)),VLOOKUP(A8060,Studies!A:BR,4,FALSE),"")</f>
        <v>Triazolam with ketoconazole Subject 4</v>
      </c>
      <c r="E8060" s="250" t="str">
        <f>IF(AND(A8060&lt;&gt;"",ISNUMBER(A8060)),VLOOKUP(A8060,Studies!A:BR,5,FALSE),"")</f>
        <v>Triazolam</v>
      </c>
      <c r="F8060" s="251" t="str">
        <f>IF(AND(A8060&lt;&gt;"",ISNUMBER(A8060)),VLOOKUP(A8060,Studies!A:BR,6,FALSE),"")</f>
        <v>Plasma</v>
      </c>
      <c r="G8060" s="194">
        <v>79</v>
      </c>
      <c r="H8060" s="50" t="s">
        <v>60</v>
      </c>
      <c r="I8060" s="187">
        <v>4.0999210000000001</v>
      </c>
      <c r="J8060" s="41" t="s">
        <v>941</v>
      </c>
      <c r="K8060" s="41" t="s">
        <v>239</v>
      </c>
      <c r="O8060" s="199">
        <v>0.2</v>
      </c>
    </row>
    <row r="8061" spans="1:16" x14ac:dyDescent="0.2">
      <c r="A8061" s="30">
        <v>1062</v>
      </c>
      <c r="B8061" s="249" t="str">
        <f>IF(AND(A8061&lt;&gt;"",ISNUMBER(A8061)),VLOOKUP(A8061,Studies!A:BR,2,FALSE),"")</f>
        <v>Varhe 1994</v>
      </c>
      <c r="C8061" s="250" t="str">
        <f>IF(AND(A8061&lt;&gt;"",ISNUMBER(A8061)),VLOOKUP(A8061,Studies!A:BR,3,FALSE),"")</f>
        <v>https://www.ncbi.nlm.nih.gov/pubmed/7995001</v>
      </c>
      <c r="D8061" s="250" t="str">
        <f>IF(AND(A8061&lt;&gt;"",ISNUMBER(A8061)),VLOOKUP(A8061,Studies!A:BR,4,FALSE),"")</f>
        <v>Triazolam with ketoconazole Subject 4</v>
      </c>
      <c r="E8061" s="250" t="str">
        <f>IF(AND(A8061&lt;&gt;"",ISNUMBER(A8061)),VLOOKUP(A8061,Studies!A:BR,5,FALSE),"")</f>
        <v>Triazolam</v>
      </c>
      <c r="F8061" s="251" t="str">
        <f>IF(AND(A8061&lt;&gt;"",ISNUMBER(A8061)),VLOOKUP(A8061,Studies!A:BR,6,FALSE),"")</f>
        <v>Plasma</v>
      </c>
      <c r="G8061" s="194">
        <v>80</v>
      </c>
      <c r="H8061" s="50" t="s">
        <v>60</v>
      </c>
      <c r="I8061" s="187">
        <v>4.1486970000000003</v>
      </c>
      <c r="J8061" s="41" t="s">
        <v>941</v>
      </c>
      <c r="K8061" s="41" t="s">
        <v>239</v>
      </c>
      <c r="O8061" s="199">
        <v>0.2</v>
      </c>
    </row>
    <row r="8062" spans="1:16" x14ac:dyDescent="0.2">
      <c r="A8062" s="30">
        <v>1062</v>
      </c>
      <c r="B8062" s="249" t="str">
        <f>IF(AND(A8062&lt;&gt;"",ISNUMBER(A8062)),VLOOKUP(A8062,Studies!A:BR,2,FALSE),"")</f>
        <v>Varhe 1994</v>
      </c>
      <c r="C8062" s="250" t="str">
        <f>IF(AND(A8062&lt;&gt;"",ISNUMBER(A8062)),VLOOKUP(A8062,Studies!A:BR,3,FALSE),"")</f>
        <v>https://www.ncbi.nlm.nih.gov/pubmed/7995001</v>
      </c>
      <c r="D8062" s="250" t="str">
        <f>IF(AND(A8062&lt;&gt;"",ISNUMBER(A8062)),VLOOKUP(A8062,Studies!A:BR,4,FALSE),"")</f>
        <v>Triazolam with ketoconazole Subject 4</v>
      </c>
      <c r="E8062" s="250" t="str">
        <f>IF(AND(A8062&lt;&gt;"",ISNUMBER(A8062)),VLOOKUP(A8062,Studies!A:BR,5,FALSE),"")</f>
        <v>Triazolam</v>
      </c>
      <c r="F8062" s="251" t="str">
        <f>IF(AND(A8062&lt;&gt;"",ISNUMBER(A8062)),VLOOKUP(A8062,Studies!A:BR,6,FALSE),"")</f>
        <v>Plasma</v>
      </c>
      <c r="G8062" s="194">
        <v>90</v>
      </c>
      <c r="H8062" s="50" t="s">
        <v>60</v>
      </c>
      <c r="I8062" s="187">
        <v>3.3930940000000001</v>
      </c>
      <c r="J8062" s="41" t="s">
        <v>941</v>
      </c>
      <c r="K8062" s="41" t="s">
        <v>239</v>
      </c>
      <c r="O8062" s="199">
        <v>0.2</v>
      </c>
    </row>
    <row r="8063" spans="1:16" x14ac:dyDescent="0.2">
      <c r="A8063" s="30">
        <v>1063</v>
      </c>
      <c r="B8063" s="249" t="str">
        <f>IF(AND(A8063&lt;&gt;"",ISNUMBER(A8063)),VLOOKUP(A8063,Studies!A:BR,2,FALSE),"")</f>
        <v>Varhe 1994</v>
      </c>
      <c r="C8063" s="250" t="str">
        <f>IF(AND(A8063&lt;&gt;"",ISNUMBER(A8063)),VLOOKUP(A8063,Studies!A:BR,3,FALSE),"")</f>
        <v>https://www.ncbi.nlm.nih.gov/pubmed/7995001</v>
      </c>
      <c r="D8063" s="250" t="str">
        <f>IF(AND(A8063&lt;&gt;"",ISNUMBER(A8063)),VLOOKUP(A8063,Studies!A:BR,4,FALSE),"")</f>
        <v>Triazolam with ketoconazole Subject 5</v>
      </c>
      <c r="E8063" s="250" t="str">
        <f>IF(AND(A8063&lt;&gt;"",ISNUMBER(A8063)),VLOOKUP(A8063,Studies!A:BR,5,FALSE),"")</f>
        <v>Triazolam</v>
      </c>
      <c r="F8063" s="251" t="str">
        <f>IF(AND(A8063&lt;&gt;"",ISNUMBER(A8063)),VLOOKUP(A8063,Studies!A:BR,6,FALSE),"")</f>
        <v>Plasma</v>
      </c>
      <c r="G8063" s="194">
        <v>73.67</v>
      </c>
      <c r="H8063" s="50" t="s">
        <v>60</v>
      </c>
      <c r="I8063" s="187">
        <v>0.30480669999999999</v>
      </c>
      <c r="J8063" s="41" t="s">
        <v>941</v>
      </c>
      <c r="K8063" s="41" t="s">
        <v>239</v>
      </c>
      <c r="O8063" s="199">
        <v>0.2</v>
      </c>
      <c r="P8063" s="42" t="s">
        <v>2645</v>
      </c>
    </row>
    <row r="8064" spans="1:16" x14ac:dyDescent="0.2">
      <c r="A8064" s="30">
        <v>1063</v>
      </c>
      <c r="B8064" s="249" t="str">
        <f>IF(AND(A8064&lt;&gt;"",ISNUMBER(A8064)),VLOOKUP(A8064,Studies!A:BR,2,FALSE),"")</f>
        <v>Varhe 1994</v>
      </c>
      <c r="C8064" s="250" t="str">
        <f>IF(AND(A8064&lt;&gt;"",ISNUMBER(A8064)),VLOOKUP(A8064,Studies!A:BR,3,FALSE),"")</f>
        <v>https://www.ncbi.nlm.nih.gov/pubmed/7995001</v>
      </c>
      <c r="D8064" s="250" t="str">
        <f>IF(AND(A8064&lt;&gt;"",ISNUMBER(A8064)),VLOOKUP(A8064,Studies!A:BR,4,FALSE),"")</f>
        <v>Triazolam with ketoconazole Subject 5</v>
      </c>
      <c r="E8064" s="250" t="str">
        <f>IF(AND(A8064&lt;&gt;"",ISNUMBER(A8064)),VLOOKUP(A8064,Studies!A:BR,5,FALSE),"")</f>
        <v>Triazolam</v>
      </c>
      <c r="F8064" s="251" t="str">
        <f>IF(AND(A8064&lt;&gt;"",ISNUMBER(A8064)),VLOOKUP(A8064,Studies!A:BR,6,FALSE),"")</f>
        <v>Plasma</v>
      </c>
      <c r="G8064" s="194">
        <v>74</v>
      </c>
      <c r="H8064" s="50" t="s">
        <v>60</v>
      </c>
      <c r="I8064" s="187">
        <v>0.30496190000000001</v>
      </c>
      <c r="J8064" s="41" t="s">
        <v>941</v>
      </c>
      <c r="K8064" s="41" t="s">
        <v>239</v>
      </c>
      <c r="O8064" s="199">
        <v>0.2</v>
      </c>
    </row>
    <row r="8065" spans="1:16" x14ac:dyDescent="0.2">
      <c r="A8065" s="30">
        <v>1063</v>
      </c>
      <c r="B8065" s="249" t="str">
        <f>IF(AND(A8065&lt;&gt;"",ISNUMBER(A8065)),VLOOKUP(A8065,Studies!A:BR,2,FALSE),"")</f>
        <v>Varhe 1994</v>
      </c>
      <c r="C8065" s="250" t="str">
        <f>IF(AND(A8065&lt;&gt;"",ISNUMBER(A8065)),VLOOKUP(A8065,Studies!A:BR,3,FALSE),"")</f>
        <v>https://www.ncbi.nlm.nih.gov/pubmed/7995001</v>
      </c>
      <c r="D8065" s="250" t="str">
        <f>IF(AND(A8065&lt;&gt;"",ISNUMBER(A8065)),VLOOKUP(A8065,Studies!A:BR,4,FALSE),"")</f>
        <v>Triazolam with ketoconazole Subject 5</v>
      </c>
      <c r="E8065" s="250" t="str">
        <f>IF(AND(A8065&lt;&gt;"",ISNUMBER(A8065)),VLOOKUP(A8065,Studies!A:BR,5,FALSE),"")</f>
        <v>Triazolam</v>
      </c>
      <c r="F8065" s="251" t="str">
        <f>IF(AND(A8065&lt;&gt;"",ISNUMBER(A8065)),VLOOKUP(A8065,Studies!A:BR,6,FALSE),"")</f>
        <v>Plasma</v>
      </c>
      <c r="G8065" s="194">
        <v>74.5</v>
      </c>
      <c r="H8065" s="50" t="s">
        <v>60</v>
      </c>
      <c r="I8065" s="187">
        <v>0.50517860000000003</v>
      </c>
      <c r="J8065" s="41" t="s">
        <v>941</v>
      </c>
      <c r="K8065" s="41" t="s">
        <v>239</v>
      </c>
      <c r="O8065" s="199">
        <v>0.2</v>
      </c>
    </row>
    <row r="8066" spans="1:16" x14ac:dyDescent="0.2">
      <c r="A8066" s="30">
        <v>1063</v>
      </c>
      <c r="B8066" s="249" t="str">
        <f>IF(AND(A8066&lt;&gt;"",ISNUMBER(A8066)),VLOOKUP(A8066,Studies!A:BR,2,FALSE),"")</f>
        <v>Varhe 1994</v>
      </c>
      <c r="C8066" s="250" t="str">
        <f>IF(AND(A8066&lt;&gt;"",ISNUMBER(A8066)),VLOOKUP(A8066,Studies!A:BR,3,FALSE),"")</f>
        <v>https://www.ncbi.nlm.nih.gov/pubmed/7995001</v>
      </c>
      <c r="D8066" s="250" t="str">
        <f>IF(AND(A8066&lt;&gt;"",ISNUMBER(A8066)),VLOOKUP(A8066,Studies!A:BR,4,FALSE),"")</f>
        <v>Triazolam with ketoconazole Subject 5</v>
      </c>
      <c r="E8066" s="250" t="str">
        <f>IF(AND(A8066&lt;&gt;"",ISNUMBER(A8066)),VLOOKUP(A8066,Studies!A:BR,5,FALSE),"")</f>
        <v>Triazolam</v>
      </c>
      <c r="F8066" s="251" t="str">
        <f>IF(AND(A8066&lt;&gt;"",ISNUMBER(A8066)),VLOOKUP(A8066,Studies!A:BR,6,FALSE),"")</f>
        <v>Plasma</v>
      </c>
      <c r="G8066" s="194">
        <v>75</v>
      </c>
      <c r="H8066" s="50" t="s">
        <v>60</v>
      </c>
      <c r="I8066" s="187">
        <v>0.75305560000000005</v>
      </c>
      <c r="J8066" s="41" t="s">
        <v>941</v>
      </c>
      <c r="K8066" s="41" t="s">
        <v>239</v>
      </c>
      <c r="O8066" s="199">
        <v>0.2</v>
      </c>
    </row>
    <row r="8067" spans="1:16" x14ac:dyDescent="0.2">
      <c r="A8067" s="30">
        <v>1063</v>
      </c>
      <c r="B8067" s="249" t="str">
        <f>IF(AND(A8067&lt;&gt;"",ISNUMBER(A8067)),VLOOKUP(A8067,Studies!A:BR,2,FALSE),"")</f>
        <v>Varhe 1994</v>
      </c>
      <c r="C8067" s="250" t="str">
        <f>IF(AND(A8067&lt;&gt;"",ISNUMBER(A8067)),VLOOKUP(A8067,Studies!A:BR,3,FALSE),"")</f>
        <v>https://www.ncbi.nlm.nih.gov/pubmed/7995001</v>
      </c>
      <c r="D8067" s="250" t="str">
        <f>IF(AND(A8067&lt;&gt;"",ISNUMBER(A8067)),VLOOKUP(A8067,Studies!A:BR,4,FALSE),"")</f>
        <v>Triazolam with ketoconazole Subject 5</v>
      </c>
      <c r="E8067" s="250" t="str">
        <f>IF(AND(A8067&lt;&gt;"",ISNUMBER(A8067)),VLOOKUP(A8067,Studies!A:BR,5,FALSE),"")</f>
        <v>Triazolam</v>
      </c>
      <c r="F8067" s="251" t="str">
        <f>IF(AND(A8067&lt;&gt;"",ISNUMBER(A8067)),VLOOKUP(A8067,Studies!A:BR,6,FALSE),"")</f>
        <v>Plasma</v>
      </c>
      <c r="G8067" s="194">
        <v>75.5</v>
      </c>
      <c r="H8067" s="50" t="s">
        <v>60</v>
      </c>
      <c r="I8067" s="187">
        <v>0.87764109999999995</v>
      </c>
      <c r="J8067" s="41" t="s">
        <v>941</v>
      </c>
      <c r="K8067" s="41" t="s">
        <v>239</v>
      </c>
      <c r="O8067" s="199">
        <v>0.2</v>
      </c>
    </row>
    <row r="8068" spans="1:16" x14ac:dyDescent="0.2">
      <c r="A8068" s="30">
        <v>1063</v>
      </c>
      <c r="B8068" s="249" t="str">
        <f>IF(AND(A8068&lt;&gt;"",ISNUMBER(A8068)),VLOOKUP(A8068,Studies!A:BR,2,FALSE),"")</f>
        <v>Varhe 1994</v>
      </c>
      <c r="C8068" s="250" t="str">
        <f>IF(AND(A8068&lt;&gt;"",ISNUMBER(A8068)),VLOOKUP(A8068,Studies!A:BR,3,FALSE),"")</f>
        <v>https://www.ncbi.nlm.nih.gov/pubmed/7995001</v>
      </c>
      <c r="D8068" s="250" t="str">
        <f>IF(AND(A8068&lt;&gt;"",ISNUMBER(A8068)),VLOOKUP(A8068,Studies!A:BR,4,FALSE),"")</f>
        <v>Triazolam with ketoconazole Subject 5</v>
      </c>
      <c r="E8068" s="250" t="str">
        <f>IF(AND(A8068&lt;&gt;"",ISNUMBER(A8068)),VLOOKUP(A8068,Studies!A:BR,5,FALSE),"")</f>
        <v>Triazolam</v>
      </c>
      <c r="F8068" s="251" t="str">
        <f>IF(AND(A8068&lt;&gt;"",ISNUMBER(A8068)),VLOOKUP(A8068,Studies!A:BR,6,FALSE),"")</f>
        <v>Plasma</v>
      </c>
      <c r="G8068" s="194">
        <v>76</v>
      </c>
      <c r="H8068" s="50" t="s">
        <v>60</v>
      </c>
      <c r="I8068" s="187">
        <v>1.1102300000000001</v>
      </c>
      <c r="J8068" s="41" t="s">
        <v>941</v>
      </c>
      <c r="K8068" s="41" t="s">
        <v>239</v>
      </c>
      <c r="O8068" s="199">
        <v>0.2</v>
      </c>
    </row>
    <row r="8069" spans="1:16" x14ac:dyDescent="0.2">
      <c r="A8069" s="30">
        <v>1063</v>
      </c>
      <c r="B8069" s="249" t="str">
        <f>IF(AND(A8069&lt;&gt;"",ISNUMBER(A8069)),VLOOKUP(A8069,Studies!A:BR,2,FALSE),"")</f>
        <v>Varhe 1994</v>
      </c>
      <c r="C8069" s="250" t="str">
        <f>IF(AND(A8069&lt;&gt;"",ISNUMBER(A8069)),VLOOKUP(A8069,Studies!A:BR,3,FALSE),"")</f>
        <v>https://www.ncbi.nlm.nih.gov/pubmed/7995001</v>
      </c>
      <c r="D8069" s="250" t="str">
        <f>IF(AND(A8069&lt;&gt;"",ISNUMBER(A8069)),VLOOKUP(A8069,Studies!A:BR,4,FALSE),"")</f>
        <v>Triazolam with ketoconazole Subject 5</v>
      </c>
      <c r="E8069" s="250" t="str">
        <f>IF(AND(A8069&lt;&gt;"",ISNUMBER(A8069)),VLOOKUP(A8069,Studies!A:BR,5,FALSE),"")</f>
        <v>Triazolam</v>
      </c>
      <c r="F8069" s="251" t="str">
        <f>IF(AND(A8069&lt;&gt;"",ISNUMBER(A8069)),VLOOKUP(A8069,Studies!A:BR,6,FALSE),"")</f>
        <v>Plasma</v>
      </c>
      <c r="G8069" s="194">
        <v>77</v>
      </c>
      <c r="H8069" s="50" t="s">
        <v>60</v>
      </c>
      <c r="I8069" s="187">
        <v>1.9063779999999999</v>
      </c>
      <c r="J8069" s="41" t="s">
        <v>941</v>
      </c>
      <c r="K8069" s="41" t="s">
        <v>239</v>
      </c>
      <c r="O8069" s="199">
        <v>0.2</v>
      </c>
    </row>
    <row r="8070" spans="1:16" x14ac:dyDescent="0.2">
      <c r="A8070" s="30">
        <v>1063</v>
      </c>
      <c r="B8070" s="249" t="str">
        <f>IF(AND(A8070&lt;&gt;"",ISNUMBER(A8070)),VLOOKUP(A8070,Studies!A:BR,2,FALSE),"")</f>
        <v>Varhe 1994</v>
      </c>
      <c r="C8070" s="250" t="str">
        <f>IF(AND(A8070&lt;&gt;"",ISNUMBER(A8070)),VLOOKUP(A8070,Studies!A:BR,3,FALSE),"")</f>
        <v>https://www.ncbi.nlm.nih.gov/pubmed/7995001</v>
      </c>
      <c r="D8070" s="250" t="str">
        <f>IF(AND(A8070&lt;&gt;"",ISNUMBER(A8070)),VLOOKUP(A8070,Studies!A:BR,4,FALSE),"")</f>
        <v>Triazolam with ketoconazole Subject 5</v>
      </c>
      <c r="E8070" s="250" t="str">
        <f>IF(AND(A8070&lt;&gt;"",ISNUMBER(A8070)),VLOOKUP(A8070,Studies!A:BR,5,FALSE),"")</f>
        <v>Triazolam</v>
      </c>
      <c r="F8070" s="251" t="str">
        <f>IF(AND(A8070&lt;&gt;"",ISNUMBER(A8070)),VLOOKUP(A8070,Studies!A:BR,6,FALSE),"")</f>
        <v>Plasma</v>
      </c>
      <c r="G8070" s="194">
        <v>78</v>
      </c>
      <c r="H8070" s="50" t="s">
        <v>60</v>
      </c>
      <c r="I8070" s="187">
        <v>2.5890749999999998</v>
      </c>
      <c r="J8070" s="41" t="s">
        <v>941</v>
      </c>
      <c r="K8070" s="41" t="s">
        <v>239</v>
      </c>
      <c r="O8070" s="199">
        <v>0.2</v>
      </c>
    </row>
    <row r="8071" spans="1:16" x14ac:dyDescent="0.2">
      <c r="A8071" s="30">
        <v>1063</v>
      </c>
      <c r="B8071" s="249" t="str">
        <f>IF(AND(A8071&lt;&gt;"",ISNUMBER(A8071)),VLOOKUP(A8071,Studies!A:BR,2,FALSE),"")</f>
        <v>Varhe 1994</v>
      </c>
      <c r="C8071" s="250" t="str">
        <f>IF(AND(A8071&lt;&gt;"",ISNUMBER(A8071)),VLOOKUP(A8071,Studies!A:BR,3,FALSE),"")</f>
        <v>https://www.ncbi.nlm.nih.gov/pubmed/7995001</v>
      </c>
      <c r="D8071" s="250" t="str">
        <f>IF(AND(A8071&lt;&gt;"",ISNUMBER(A8071)),VLOOKUP(A8071,Studies!A:BR,4,FALSE),"")</f>
        <v>Triazolam with ketoconazole Subject 5</v>
      </c>
      <c r="E8071" s="250" t="str">
        <f>IF(AND(A8071&lt;&gt;"",ISNUMBER(A8071)),VLOOKUP(A8071,Studies!A:BR,5,FALSE),"")</f>
        <v>Triazolam</v>
      </c>
      <c r="F8071" s="251" t="str">
        <f>IF(AND(A8071&lt;&gt;"",ISNUMBER(A8071)),VLOOKUP(A8071,Studies!A:BR,6,FALSE),"")</f>
        <v>Plasma</v>
      </c>
      <c r="G8071" s="194">
        <v>79</v>
      </c>
      <c r="H8071" s="50" t="s">
        <v>60</v>
      </c>
      <c r="I8071" s="187">
        <v>2.3883519999999998</v>
      </c>
      <c r="J8071" s="41" t="s">
        <v>941</v>
      </c>
      <c r="K8071" s="41" t="s">
        <v>239</v>
      </c>
      <c r="O8071" s="199">
        <v>0.2</v>
      </c>
    </row>
    <row r="8072" spans="1:16" x14ac:dyDescent="0.2">
      <c r="A8072" s="30">
        <v>1063</v>
      </c>
      <c r="B8072" s="249" t="str">
        <f>IF(AND(A8072&lt;&gt;"",ISNUMBER(A8072)),VLOOKUP(A8072,Studies!A:BR,2,FALSE),"")</f>
        <v>Varhe 1994</v>
      </c>
      <c r="C8072" s="250" t="str">
        <f>IF(AND(A8072&lt;&gt;"",ISNUMBER(A8072)),VLOOKUP(A8072,Studies!A:BR,3,FALSE),"")</f>
        <v>https://www.ncbi.nlm.nih.gov/pubmed/7995001</v>
      </c>
      <c r="D8072" s="250" t="str">
        <f>IF(AND(A8072&lt;&gt;"",ISNUMBER(A8072)),VLOOKUP(A8072,Studies!A:BR,4,FALSE),"")</f>
        <v>Triazolam with ketoconazole Subject 5</v>
      </c>
      <c r="E8072" s="250" t="str">
        <f>IF(AND(A8072&lt;&gt;"",ISNUMBER(A8072)),VLOOKUP(A8072,Studies!A:BR,5,FALSE),"")</f>
        <v>Triazolam</v>
      </c>
      <c r="F8072" s="251" t="str">
        <f>IF(AND(A8072&lt;&gt;"",ISNUMBER(A8072)),VLOOKUP(A8072,Studies!A:BR,6,FALSE),"")</f>
        <v>Plasma</v>
      </c>
      <c r="G8072" s="194">
        <v>80</v>
      </c>
      <c r="H8072" s="50" t="s">
        <v>60</v>
      </c>
      <c r="I8072" s="187">
        <v>2.7852760000000001</v>
      </c>
      <c r="J8072" s="41" t="s">
        <v>941</v>
      </c>
      <c r="K8072" s="41" t="s">
        <v>239</v>
      </c>
      <c r="O8072" s="199">
        <v>0.2</v>
      </c>
    </row>
    <row r="8073" spans="1:16" x14ac:dyDescent="0.2">
      <c r="A8073" s="30">
        <v>1063</v>
      </c>
      <c r="B8073" s="249" t="str">
        <f>IF(AND(A8073&lt;&gt;"",ISNUMBER(A8073)),VLOOKUP(A8073,Studies!A:BR,2,FALSE),"")</f>
        <v>Varhe 1994</v>
      </c>
      <c r="C8073" s="250" t="str">
        <f>IF(AND(A8073&lt;&gt;"",ISNUMBER(A8073)),VLOOKUP(A8073,Studies!A:BR,3,FALSE),"")</f>
        <v>https://www.ncbi.nlm.nih.gov/pubmed/7995001</v>
      </c>
      <c r="D8073" s="250" t="str">
        <f>IF(AND(A8073&lt;&gt;"",ISNUMBER(A8073)),VLOOKUP(A8073,Studies!A:BR,4,FALSE),"")</f>
        <v>Triazolam with ketoconazole Subject 5</v>
      </c>
      <c r="E8073" s="250" t="str">
        <f>IF(AND(A8073&lt;&gt;"",ISNUMBER(A8073)),VLOOKUP(A8073,Studies!A:BR,5,FALSE),"")</f>
        <v>Triazolam</v>
      </c>
      <c r="F8073" s="251" t="str">
        <f>IF(AND(A8073&lt;&gt;"",ISNUMBER(A8073)),VLOOKUP(A8073,Studies!A:BR,6,FALSE),"")</f>
        <v>Plasma</v>
      </c>
      <c r="G8073" s="194">
        <v>90</v>
      </c>
      <c r="H8073" s="50" t="s">
        <v>60</v>
      </c>
      <c r="I8073" s="187">
        <v>1.7261</v>
      </c>
      <c r="J8073" s="41" t="s">
        <v>941</v>
      </c>
      <c r="K8073" s="41" t="s">
        <v>239</v>
      </c>
      <c r="O8073" s="199">
        <v>0.2</v>
      </c>
    </row>
    <row r="8074" spans="1:16" x14ac:dyDescent="0.2">
      <c r="A8074" s="30">
        <v>1064</v>
      </c>
      <c r="B8074" s="249" t="str">
        <f>IF(AND(A8074&lt;&gt;"",ISNUMBER(A8074)),VLOOKUP(A8074,Studies!A:BR,2,FALSE),"")</f>
        <v>Varhe 1994</v>
      </c>
      <c r="C8074" s="250" t="str">
        <f>IF(AND(A8074&lt;&gt;"",ISNUMBER(A8074)),VLOOKUP(A8074,Studies!A:BR,3,FALSE),"")</f>
        <v>https://www.ncbi.nlm.nih.gov/pubmed/7995001</v>
      </c>
      <c r="D8074" s="250" t="str">
        <f>IF(AND(A8074&lt;&gt;"",ISNUMBER(A8074)),VLOOKUP(A8074,Studies!A:BR,4,FALSE),"")</f>
        <v>Triazolam with ketoconazole Subject 6</v>
      </c>
      <c r="E8074" s="250" t="str">
        <f>IF(AND(A8074&lt;&gt;"",ISNUMBER(A8074)),VLOOKUP(A8074,Studies!A:BR,5,FALSE),"")</f>
        <v>Triazolam</v>
      </c>
      <c r="F8074" s="251" t="str">
        <f>IF(AND(A8074&lt;&gt;"",ISNUMBER(A8074)),VLOOKUP(A8074,Studies!A:BR,6,FALSE),"")</f>
        <v>Plasma</v>
      </c>
      <c r="G8074" s="194">
        <v>73.67</v>
      </c>
      <c r="H8074" s="50" t="s">
        <v>60</v>
      </c>
      <c r="I8074" s="187">
        <v>0.20255870000000001</v>
      </c>
      <c r="J8074" s="41" t="s">
        <v>941</v>
      </c>
      <c r="K8074" s="41" t="s">
        <v>239</v>
      </c>
      <c r="O8074" s="199">
        <v>0.2</v>
      </c>
      <c r="P8074" s="42" t="s">
        <v>2645</v>
      </c>
    </row>
    <row r="8075" spans="1:16" x14ac:dyDescent="0.2">
      <c r="A8075" s="30">
        <v>1064</v>
      </c>
      <c r="B8075" s="249" t="str">
        <f>IF(AND(A8075&lt;&gt;"",ISNUMBER(A8075)),VLOOKUP(A8075,Studies!A:BR,2,FALSE),"")</f>
        <v>Varhe 1994</v>
      </c>
      <c r="C8075" s="250" t="str">
        <f>IF(AND(A8075&lt;&gt;"",ISNUMBER(A8075)),VLOOKUP(A8075,Studies!A:BR,3,FALSE),"")</f>
        <v>https://www.ncbi.nlm.nih.gov/pubmed/7995001</v>
      </c>
      <c r="D8075" s="250" t="str">
        <f>IF(AND(A8075&lt;&gt;"",ISNUMBER(A8075)),VLOOKUP(A8075,Studies!A:BR,4,FALSE),"")</f>
        <v>Triazolam with ketoconazole Subject 6</v>
      </c>
      <c r="E8075" s="250" t="str">
        <f>IF(AND(A8075&lt;&gt;"",ISNUMBER(A8075)),VLOOKUP(A8075,Studies!A:BR,5,FALSE),"")</f>
        <v>Triazolam</v>
      </c>
      <c r="F8075" s="251" t="str">
        <f>IF(AND(A8075&lt;&gt;"",ISNUMBER(A8075)),VLOOKUP(A8075,Studies!A:BR,6,FALSE),"")</f>
        <v>Plasma</v>
      </c>
      <c r="G8075" s="194">
        <v>74</v>
      </c>
      <c r="H8075" s="50" t="s">
        <v>60</v>
      </c>
      <c r="I8075" s="187">
        <v>1.6211089999999999</v>
      </c>
      <c r="J8075" s="41" t="s">
        <v>941</v>
      </c>
      <c r="K8075" s="41" t="s">
        <v>239</v>
      </c>
      <c r="O8075" s="199">
        <v>0.2</v>
      </c>
    </row>
    <row r="8076" spans="1:16" x14ac:dyDescent="0.2">
      <c r="A8076" s="30">
        <v>1064</v>
      </c>
      <c r="B8076" s="249" t="str">
        <f>IF(AND(A8076&lt;&gt;"",ISNUMBER(A8076)),VLOOKUP(A8076,Studies!A:BR,2,FALSE),"")</f>
        <v>Varhe 1994</v>
      </c>
      <c r="C8076" s="250" t="str">
        <f>IF(AND(A8076&lt;&gt;"",ISNUMBER(A8076)),VLOOKUP(A8076,Studies!A:BR,3,FALSE),"")</f>
        <v>https://www.ncbi.nlm.nih.gov/pubmed/7995001</v>
      </c>
      <c r="D8076" s="250" t="str">
        <f>IF(AND(A8076&lt;&gt;"",ISNUMBER(A8076)),VLOOKUP(A8076,Studies!A:BR,4,FALSE),"")</f>
        <v>Triazolam with ketoconazole Subject 6</v>
      </c>
      <c r="E8076" s="250" t="str">
        <f>IF(AND(A8076&lt;&gt;"",ISNUMBER(A8076)),VLOOKUP(A8076,Studies!A:BR,5,FALSE),"")</f>
        <v>Triazolam</v>
      </c>
      <c r="F8076" s="251" t="str">
        <f>IF(AND(A8076&lt;&gt;"",ISNUMBER(A8076)),VLOOKUP(A8076,Studies!A:BR,6,FALSE),"")</f>
        <v>Plasma</v>
      </c>
      <c r="G8076" s="194">
        <v>74.5</v>
      </c>
      <c r="H8076" s="50" t="s">
        <v>60</v>
      </c>
      <c r="I8076" s="187">
        <v>2.9883329999999999</v>
      </c>
      <c r="J8076" s="41" t="s">
        <v>941</v>
      </c>
      <c r="K8076" s="41" t="s">
        <v>239</v>
      </c>
      <c r="O8076" s="199">
        <v>0.2</v>
      </c>
    </row>
    <row r="8077" spans="1:16" x14ac:dyDescent="0.2">
      <c r="A8077" s="30">
        <v>1064</v>
      </c>
      <c r="B8077" s="249" t="str">
        <f>IF(AND(A8077&lt;&gt;"",ISNUMBER(A8077)),VLOOKUP(A8077,Studies!A:BR,2,FALSE),"")</f>
        <v>Varhe 1994</v>
      </c>
      <c r="C8077" s="250" t="str">
        <f>IF(AND(A8077&lt;&gt;"",ISNUMBER(A8077)),VLOOKUP(A8077,Studies!A:BR,3,FALSE),"")</f>
        <v>https://www.ncbi.nlm.nih.gov/pubmed/7995001</v>
      </c>
      <c r="D8077" s="250" t="str">
        <f>IF(AND(A8077&lt;&gt;"",ISNUMBER(A8077)),VLOOKUP(A8077,Studies!A:BR,4,FALSE),"")</f>
        <v>Triazolam with ketoconazole Subject 6</v>
      </c>
      <c r="E8077" s="250" t="str">
        <f>IF(AND(A8077&lt;&gt;"",ISNUMBER(A8077)),VLOOKUP(A8077,Studies!A:BR,5,FALSE),"")</f>
        <v>Triazolam</v>
      </c>
      <c r="F8077" s="251" t="str">
        <f>IF(AND(A8077&lt;&gt;"",ISNUMBER(A8077)),VLOOKUP(A8077,Studies!A:BR,6,FALSE),"")</f>
        <v>Plasma</v>
      </c>
      <c r="G8077" s="194">
        <v>75</v>
      </c>
      <c r="H8077" s="50" t="s">
        <v>60</v>
      </c>
      <c r="I8077" s="187">
        <v>2.921008</v>
      </c>
      <c r="J8077" s="41" t="s">
        <v>941</v>
      </c>
      <c r="K8077" s="41" t="s">
        <v>239</v>
      </c>
      <c r="O8077" s="199">
        <v>0.2</v>
      </c>
    </row>
    <row r="8078" spans="1:16" x14ac:dyDescent="0.2">
      <c r="A8078" s="30">
        <v>1064</v>
      </c>
      <c r="B8078" s="249" t="str">
        <f>IF(AND(A8078&lt;&gt;"",ISNUMBER(A8078)),VLOOKUP(A8078,Studies!A:BR,2,FALSE),"")</f>
        <v>Varhe 1994</v>
      </c>
      <c r="C8078" s="250" t="str">
        <f>IF(AND(A8078&lt;&gt;"",ISNUMBER(A8078)),VLOOKUP(A8078,Studies!A:BR,3,FALSE),"")</f>
        <v>https://www.ncbi.nlm.nih.gov/pubmed/7995001</v>
      </c>
      <c r="D8078" s="250" t="str">
        <f>IF(AND(A8078&lt;&gt;"",ISNUMBER(A8078)),VLOOKUP(A8078,Studies!A:BR,4,FALSE),"")</f>
        <v>Triazolam with ketoconazole Subject 6</v>
      </c>
      <c r="E8078" s="250" t="str">
        <f>IF(AND(A8078&lt;&gt;"",ISNUMBER(A8078)),VLOOKUP(A8078,Studies!A:BR,5,FALSE),"")</f>
        <v>Triazolam</v>
      </c>
      <c r="F8078" s="251" t="str">
        <f>IF(AND(A8078&lt;&gt;"",ISNUMBER(A8078)),VLOOKUP(A8078,Studies!A:BR,6,FALSE),"")</f>
        <v>Plasma</v>
      </c>
      <c r="G8078" s="194">
        <v>75.5</v>
      </c>
      <c r="H8078" s="50" t="s">
        <v>60</v>
      </c>
      <c r="I8078" s="187">
        <v>3.1736219999999999</v>
      </c>
      <c r="J8078" s="41" t="s">
        <v>941</v>
      </c>
      <c r="K8078" s="41" t="s">
        <v>239</v>
      </c>
      <c r="O8078" s="199">
        <v>0.2</v>
      </c>
    </row>
    <row r="8079" spans="1:16" x14ac:dyDescent="0.2">
      <c r="A8079" s="30">
        <v>1064</v>
      </c>
      <c r="B8079" s="249" t="str">
        <f>IF(AND(A8079&lt;&gt;"",ISNUMBER(A8079)),VLOOKUP(A8079,Studies!A:BR,2,FALSE),"")</f>
        <v>Varhe 1994</v>
      </c>
      <c r="C8079" s="250" t="str">
        <f>IF(AND(A8079&lt;&gt;"",ISNUMBER(A8079)),VLOOKUP(A8079,Studies!A:BR,3,FALSE),"")</f>
        <v>https://www.ncbi.nlm.nih.gov/pubmed/7995001</v>
      </c>
      <c r="D8079" s="250" t="str">
        <f>IF(AND(A8079&lt;&gt;"",ISNUMBER(A8079)),VLOOKUP(A8079,Studies!A:BR,4,FALSE),"")</f>
        <v>Triazolam with ketoconazole Subject 6</v>
      </c>
      <c r="E8079" s="250" t="str">
        <f>IF(AND(A8079&lt;&gt;"",ISNUMBER(A8079)),VLOOKUP(A8079,Studies!A:BR,5,FALSE),"")</f>
        <v>Triazolam</v>
      </c>
      <c r="F8079" s="251" t="str">
        <f>IF(AND(A8079&lt;&gt;"",ISNUMBER(A8079)),VLOOKUP(A8079,Studies!A:BR,6,FALSE),"")</f>
        <v>Plasma</v>
      </c>
      <c r="G8079" s="194">
        <v>76</v>
      </c>
      <c r="H8079" s="50" t="s">
        <v>60</v>
      </c>
      <c r="I8079" s="187">
        <v>3.2131859999999999</v>
      </c>
      <c r="J8079" s="41" t="s">
        <v>941</v>
      </c>
      <c r="K8079" s="41" t="s">
        <v>239</v>
      </c>
      <c r="O8079" s="199">
        <v>0.2</v>
      </c>
    </row>
    <row r="8080" spans="1:16" x14ac:dyDescent="0.2">
      <c r="A8080" s="30">
        <v>1064</v>
      </c>
      <c r="B8080" s="249" t="str">
        <f>IF(AND(A8080&lt;&gt;"",ISNUMBER(A8080)),VLOOKUP(A8080,Studies!A:BR,2,FALSE),"")</f>
        <v>Varhe 1994</v>
      </c>
      <c r="C8080" s="250" t="str">
        <f>IF(AND(A8080&lt;&gt;"",ISNUMBER(A8080)),VLOOKUP(A8080,Studies!A:BR,3,FALSE),"")</f>
        <v>https://www.ncbi.nlm.nih.gov/pubmed/7995001</v>
      </c>
      <c r="D8080" s="250" t="str">
        <f>IF(AND(A8080&lt;&gt;"",ISNUMBER(A8080)),VLOOKUP(A8080,Studies!A:BR,4,FALSE),"")</f>
        <v>Triazolam with ketoconazole Subject 6</v>
      </c>
      <c r="E8080" s="250" t="str">
        <f>IF(AND(A8080&lt;&gt;"",ISNUMBER(A8080)),VLOOKUP(A8080,Studies!A:BR,5,FALSE),"")</f>
        <v>Triazolam</v>
      </c>
      <c r="F8080" s="251" t="str">
        <f>IF(AND(A8080&lt;&gt;"",ISNUMBER(A8080)),VLOOKUP(A8080,Studies!A:BR,6,FALSE),"")</f>
        <v>Plasma</v>
      </c>
      <c r="G8080" s="194">
        <v>77</v>
      </c>
      <c r="H8080" s="50" t="s">
        <v>60</v>
      </c>
      <c r="I8080" s="187">
        <v>3.180164</v>
      </c>
      <c r="J8080" s="41" t="s">
        <v>941</v>
      </c>
      <c r="K8080" s="41" t="s">
        <v>239</v>
      </c>
      <c r="O8080" s="199">
        <v>0.2</v>
      </c>
    </row>
    <row r="8081" spans="1:16" x14ac:dyDescent="0.2">
      <c r="A8081" s="30">
        <v>1064</v>
      </c>
      <c r="B8081" s="249" t="str">
        <f>IF(AND(A8081&lt;&gt;"",ISNUMBER(A8081)),VLOOKUP(A8081,Studies!A:BR,2,FALSE),"")</f>
        <v>Varhe 1994</v>
      </c>
      <c r="C8081" s="250" t="str">
        <f>IF(AND(A8081&lt;&gt;"",ISNUMBER(A8081)),VLOOKUP(A8081,Studies!A:BR,3,FALSE),"")</f>
        <v>https://www.ncbi.nlm.nih.gov/pubmed/7995001</v>
      </c>
      <c r="D8081" s="250" t="str">
        <f>IF(AND(A8081&lt;&gt;"",ISNUMBER(A8081)),VLOOKUP(A8081,Studies!A:BR,4,FALSE),"")</f>
        <v>Triazolam with ketoconazole Subject 6</v>
      </c>
      <c r="E8081" s="250" t="str">
        <f>IF(AND(A8081&lt;&gt;"",ISNUMBER(A8081)),VLOOKUP(A8081,Studies!A:BR,5,FALSE),"")</f>
        <v>Triazolam</v>
      </c>
      <c r="F8081" s="251" t="str">
        <f>IF(AND(A8081&lt;&gt;"",ISNUMBER(A8081)),VLOOKUP(A8081,Studies!A:BR,6,FALSE),"")</f>
        <v>Plasma</v>
      </c>
      <c r="G8081" s="194">
        <v>78</v>
      </c>
      <c r="H8081" s="50" t="s">
        <v>60</v>
      </c>
      <c r="I8081" s="187">
        <v>3.1845690000000002</v>
      </c>
      <c r="J8081" s="41" t="s">
        <v>941</v>
      </c>
      <c r="K8081" s="41" t="s">
        <v>239</v>
      </c>
      <c r="O8081" s="199">
        <v>0.2</v>
      </c>
    </row>
    <row r="8082" spans="1:16" x14ac:dyDescent="0.2">
      <c r="A8082" s="30">
        <v>1064</v>
      </c>
      <c r="B8082" s="249" t="str">
        <f>IF(AND(A8082&lt;&gt;"",ISNUMBER(A8082)),VLOOKUP(A8082,Studies!A:BR,2,FALSE),"")</f>
        <v>Varhe 1994</v>
      </c>
      <c r="C8082" s="250" t="str">
        <f>IF(AND(A8082&lt;&gt;"",ISNUMBER(A8082)),VLOOKUP(A8082,Studies!A:BR,3,FALSE),"")</f>
        <v>https://www.ncbi.nlm.nih.gov/pubmed/7995001</v>
      </c>
      <c r="D8082" s="250" t="str">
        <f>IF(AND(A8082&lt;&gt;"",ISNUMBER(A8082)),VLOOKUP(A8082,Studies!A:BR,4,FALSE),"")</f>
        <v>Triazolam with ketoconazole Subject 6</v>
      </c>
      <c r="E8082" s="250" t="str">
        <f>IF(AND(A8082&lt;&gt;"",ISNUMBER(A8082)),VLOOKUP(A8082,Studies!A:BR,5,FALSE),"")</f>
        <v>Triazolam</v>
      </c>
      <c r="F8082" s="251" t="str">
        <f>IF(AND(A8082&lt;&gt;"",ISNUMBER(A8082)),VLOOKUP(A8082,Studies!A:BR,6,FALSE),"")</f>
        <v>Plasma</v>
      </c>
      <c r="G8082" s="194">
        <v>79</v>
      </c>
      <c r="H8082" s="50" t="s">
        <v>60</v>
      </c>
      <c r="I8082" s="187">
        <v>2.5810680000000001</v>
      </c>
      <c r="J8082" s="41" t="s">
        <v>941</v>
      </c>
      <c r="K8082" s="41" t="s">
        <v>239</v>
      </c>
      <c r="O8082" s="199">
        <v>0.2</v>
      </c>
    </row>
    <row r="8083" spans="1:16" x14ac:dyDescent="0.2">
      <c r="A8083" s="30">
        <v>1064</v>
      </c>
      <c r="B8083" s="249" t="str">
        <f>IF(AND(A8083&lt;&gt;"",ISNUMBER(A8083)),VLOOKUP(A8083,Studies!A:BR,2,FALSE),"")</f>
        <v>Varhe 1994</v>
      </c>
      <c r="C8083" s="250" t="str">
        <f>IF(AND(A8083&lt;&gt;"",ISNUMBER(A8083)),VLOOKUP(A8083,Studies!A:BR,3,FALSE),"")</f>
        <v>https://www.ncbi.nlm.nih.gov/pubmed/7995001</v>
      </c>
      <c r="D8083" s="250" t="str">
        <f>IF(AND(A8083&lt;&gt;"",ISNUMBER(A8083)),VLOOKUP(A8083,Studies!A:BR,4,FALSE),"")</f>
        <v>Triazolam with ketoconazole Subject 6</v>
      </c>
      <c r="E8083" s="250" t="str">
        <f>IF(AND(A8083&lt;&gt;"",ISNUMBER(A8083)),VLOOKUP(A8083,Studies!A:BR,5,FALSE),"")</f>
        <v>Triazolam</v>
      </c>
      <c r="F8083" s="251" t="str">
        <f>IF(AND(A8083&lt;&gt;"",ISNUMBER(A8083)),VLOOKUP(A8083,Studies!A:BR,6,FALSE),"")</f>
        <v>Plasma</v>
      </c>
      <c r="G8083" s="194">
        <v>80</v>
      </c>
      <c r="H8083" s="50" t="s">
        <v>60</v>
      </c>
      <c r="I8083" s="187">
        <v>2.5247069999999998</v>
      </c>
      <c r="J8083" s="41" t="s">
        <v>941</v>
      </c>
      <c r="K8083" s="41" t="s">
        <v>239</v>
      </c>
      <c r="O8083" s="199">
        <v>0.2</v>
      </c>
    </row>
    <row r="8084" spans="1:16" x14ac:dyDescent="0.2">
      <c r="A8084" s="30">
        <v>1064</v>
      </c>
      <c r="B8084" s="249" t="str">
        <f>IF(AND(A8084&lt;&gt;"",ISNUMBER(A8084)),VLOOKUP(A8084,Studies!A:BR,2,FALSE),"")</f>
        <v>Varhe 1994</v>
      </c>
      <c r="C8084" s="250" t="str">
        <f>IF(AND(A8084&lt;&gt;"",ISNUMBER(A8084)),VLOOKUP(A8084,Studies!A:BR,3,FALSE),"")</f>
        <v>https://www.ncbi.nlm.nih.gov/pubmed/7995001</v>
      </c>
      <c r="D8084" s="250" t="str">
        <f>IF(AND(A8084&lt;&gt;"",ISNUMBER(A8084)),VLOOKUP(A8084,Studies!A:BR,4,FALSE),"")</f>
        <v>Triazolam with ketoconazole Subject 6</v>
      </c>
      <c r="E8084" s="250" t="str">
        <f>IF(AND(A8084&lt;&gt;"",ISNUMBER(A8084)),VLOOKUP(A8084,Studies!A:BR,5,FALSE),"")</f>
        <v>Triazolam</v>
      </c>
      <c r="F8084" s="251" t="str">
        <f>IF(AND(A8084&lt;&gt;"",ISNUMBER(A8084)),VLOOKUP(A8084,Studies!A:BR,6,FALSE),"")</f>
        <v>Plasma</v>
      </c>
      <c r="G8084" s="194">
        <v>90</v>
      </c>
      <c r="H8084" s="50" t="s">
        <v>60</v>
      </c>
      <c r="I8084" s="187">
        <v>1.5812729999999999</v>
      </c>
      <c r="J8084" s="41" t="s">
        <v>941</v>
      </c>
      <c r="K8084" s="41" t="s">
        <v>239</v>
      </c>
      <c r="O8084" s="199">
        <v>0.2</v>
      </c>
    </row>
    <row r="8085" spans="1:16" x14ac:dyDescent="0.2">
      <c r="A8085" s="30">
        <v>1065</v>
      </c>
      <c r="B8085" s="249" t="str">
        <f>IF(AND(A8085&lt;&gt;"",ISNUMBER(A8085)),VLOOKUP(A8085,Studies!A:BR,2,FALSE),"")</f>
        <v>Varhe 1994</v>
      </c>
      <c r="C8085" s="250" t="str">
        <f>IF(AND(A8085&lt;&gt;"",ISNUMBER(A8085)),VLOOKUP(A8085,Studies!A:BR,3,FALSE),"")</f>
        <v>https://www.ncbi.nlm.nih.gov/pubmed/7995001</v>
      </c>
      <c r="D8085" s="250" t="str">
        <f>IF(AND(A8085&lt;&gt;"",ISNUMBER(A8085)),VLOOKUP(A8085,Studies!A:BR,4,FALSE),"")</f>
        <v>Triazolam with ketoconazole Subject 7</v>
      </c>
      <c r="E8085" s="250" t="str">
        <f>IF(AND(A8085&lt;&gt;"",ISNUMBER(A8085)),VLOOKUP(A8085,Studies!A:BR,5,FALSE),"")</f>
        <v>Triazolam</v>
      </c>
      <c r="F8085" s="251" t="str">
        <f>IF(AND(A8085&lt;&gt;"",ISNUMBER(A8085)),VLOOKUP(A8085,Studies!A:BR,6,FALSE),"")</f>
        <v>Plasma</v>
      </c>
      <c r="G8085" s="194">
        <v>73.33</v>
      </c>
      <c r="H8085" s="50" t="s">
        <v>60</v>
      </c>
      <c r="I8085" s="187">
        <v>0.20299590000000001</v>
      </c>
      <c r="J8085" s="41" t="s">
        <v>941</v>
      </c>
      <c r="K8085" s="41" t="s">
        <v>239</v>
      </c>
      <c r="O8085" s="199">
        <v>0.2</v>
      </c>
      <c r="P8085" s="42" t="s">
        <v>2643</v>
      </c>
    </row>
    <row r="8086" spans="1:16" x14ac:dyDescent="0.2">
      <c r="A8086" s="30">
        <v>1065</v>
      </c>
      <c r="B8086" s="249" t="str">
        <f>IF(AND(A8086&lt;&gt;"",ISNUMBER(A8086)),VLOOKUP(A8086,Studies!A:BR,2,FALSE),"")</f>
        <v>Varhe 1994</v>
      </c>
      <c r="C8086" s="250" t="str">
        <f>IF(AND(A8086&lt;&gt;"",ISNUMBER(A8086)),VLOOKUP(A8086,Studies!A:BR,3,FALSE),"")</f>
        <v>https://www.ncbi.nlm.nih.gov/pubmed/7995001</v>
      </c>
      <c r="D8086" s="250" t="str">
        <f>IF(AND(A8086&lt;&gt;"",ISNUMBER(A8086)),VLOOKUP(A8086,Studies!A:BR,4,FALSE),"")</f>
        <v>Triazolam with ketoconazole Subject 7</v>
      </c>
      <c r="E8086" s="250" t="str">
        <f>IF(AND(A8086&lt;&gt;"",ISNUMBER(A8086)),VLOOKUP(A8086,Studies!A:BR,5,FALSE),"")</f>
        <v>Triazolam</v>
      </c>
      <c r="F8086" s="251" t="str">
        <f>IF(AND(A8086&lt;&gt;"",ISNUMBER(A8086)),VLOOKUP(A8086,Studies!A:BR,6,FALSE),"")</f>
        <v>Plasma</v>
      </c>
      <c r="G8086" s="194">
        <v>73.67</v>
      </c>
      <c r="H8086" s="50" t="s">
        <v>60</v>
      </c>
      <c r="I8086" s="187">
        <v>5.0283990000000003</v>
      </c>
      <c r="J8086" s="41" t="s">
        <v>941</v>
      </c>
      <c r="K8086" s="41" t="s">
        <v>239</v>
      </c>
      <c r="O8086" s="199">
        <v>0.2</v>
      </c>
    </row>
    <row r="8087" spans="1:16" x14ac:dyDescent="0.2">
      <c r="A8087" s="30">
        <v>1065</v>
      </c>
      <c r="B8087" s="249" t="str">
        <f>IF(AND(A8087&lt;&gt;"",ISNUMBER(A8087)),VLOOKUP(A8087,Studies!A:BR,2,FALSE),"")</f>
        <v>Varhe 1994</v>
      </c>
      <c r="C8087" s="250" t="str">
        <f>IF(AND(A8087&lt;&gt;"",ISNUMBER(A8087)),VLOOKUP(A8087,Studies!A:BR,3,FALSE),"")</f>
        <v>https://www.ncbi.nlm.nih.gov/pubmed/7995001</v>
      </c>
      <c r="D8087" s="250" t="str">
        <f>IF(AND(A8087&lt;&gt;"",ISNUMBER(A8087)),VLOOKUP(A8087,Studies!A:BR,4,FALSE),"")</f>
        <v>Triazolam with ketoconazole Subject 7</v>
      </c>
      <c r="E8087" s="250" t="str">
        <f>IF(AND(A8087&lt;&gt;"",ISNUMBER(A8087)),VLOOKUP(A8087,Studies!A:BR,5,FALSE),"")</f>
        <v>Triazolam</v>
      </c>
      <c r="F8087" s="251" t="str">
        <f>IF(AND(A8087&lt;&gt;"",ISNUMBER(A8087)),VLOOKUP(A8087,Studies!A:BR,6,FALSE),"")</f>
        <v>Plasma</v>
      </c>
      <c r="G8087" s="194">
        <v>74</v>
      </c>
      <c r="H8087" s="50" t="s">
        <v>60</v>
      </c>
      <c r="I8087" s="187">
        <v>5.4613909999999999</v>
      </c>
      <c r="J8087" s="41" t="s">
        <v>941</v>
      </c>
      <c r="K8087" s="41" t="s">
        <v>239</v>
      </c>
      <c r="O8087" s="199">
        <v>0.2</v>
      </c>
    </row>
    <row r="8088" spans="1:16" x14ac:dyDescent="0.2">
      <c r="A8088" s="30">
        <v>1065</v>
      </c>
      <c r="B8088" s="249" t="str">
        <f>IF(AND(A8088&lt;&gt;"",ISNUMBER(A8088)),VLOOKUP(A8088,Studies!A:BR,2,FALSE),"")</f>
        <v>Varhe 1994</v>
      </c>
      <c r="C8088" s="250" t="str">
        <f>IF(AND(A8088&lt;&gt;"",ISNUMBER(A8088)),VLOOKUP(A8088,Studies!A:BR,3,FALSE),"")</f>
        <v>https://www.ncbi.nlm.nih.gov/pubmed/7995001</v>
      </c>
      <c r="D8088" s="250" t="str">
        <f>IF(AND(A8088&lt;&gt;"",ISNUMBER(A8088)),VLOOKUP(A8088,Studies!A:BR,4,FALSE),"")</f>
        <v>Triazolam with ketoconazole Subject 7</v>
      </c>
      <c r="E8088" s="250" t="str">
        <f>IF(AND(A8088&lt;&gt;"",ISNUMBER(A8088)),VLOOKUP(A8088,Studies!A:BR,5,FALSE),"")</f>
        <v>Triazolam</v>
      </c>
      <c r="F8088" s="251" t="str">
        <f>IF(AND(A8088&lt;&gt;"",ISNUMBER(A8088)),VLOOKUP(A8088,Studies!A:BR,6,FALSE),"")</f>
        <v>Plasma</v>
      </c>
      <c r="G8088" s="194">
        <v>74.5</v>
      </c>
      <c r="H8088" s="50" t="s">
        <v>60</v>
      </c>
      <c r="I8088" s="187">
        <v>4.6297360000000003</v>
      </c>
      <c r="J8088" s="41" t="s">
        <v>941</v>
      </c>
      <c r="K8088" s="41" t="s">
        <v>239</v>
      </c>
      <c r="O8088" s="199">
        <v>0.2</v>
      </c>
    </row>
    <row r="8089" spans="1:16" x14ac:dyDescent="0.2">
      <c r="A8089" s="30">
        <v>1065</v>
      </c>
      <c r="B8089" s="249" t="str">
        <f>IF(AND(A8089&lt;&gt;"",ISNUMBER(A8089)),VLOOKUP(A8089,Studies!A:BR,2,FALSE),"")</f>
        <v>Varhe 1994</v>
      </c>
      <c r="C8089" s="250" t="str">
        <f>IF(AND(A8089&lt;&gt;"",ISNUMBER(A8089)),VLOOKUP(A8089,Studies!A:BR,3,FALSE),"")</f>
        <v>https://www.ncbi.nlm.nih.gov/pubmed/7995001</v>
      </c>
      <c r="D8089" s="250" t="str">
        <f>IF(AND(A8089&lt;&gt;"",ISNUMBER(A8089)),VLOOKUP(A8089,Studies!A:BR,4,FALSE),"")</f>
        <v>Triazolam with ketoconazole Subject 7</v>
      </c>
      <c r="E8089" s="250" t="str">
        <f>IF(AND(A8089&lt;&gt;"",ISNUMBER(A8089)),VLOOKUP(A8089,Studies!A:BR,5,FALSE),"")</f>
        <v>Triazolam</v>
      </c>
      <c r="F8089" s="251" t="str">
        <f>IF(AND(A8089&lt;&gt;"",ISNUMBER(A8089)),VLOOKUP(A8089,Studies!A:BR,6,FALSE),"")</f>
        <v>Plasma</v>
      </c>
      <c r="G8089" s="194">
        <v>75</v>
      </c>
      <c r="H8089" s="50" t="s">
        <v>60</v>
      </c>
      <c r="I8089" s="187">
        <v>4.3644780000000001</v>
      </c>
      <c r="J8089" s="41" t="s">
        <v>941</v>
      </c>
      <c r="K8089" s="41" t="s">
        <v>239</v>
      </c>
      <c r="O8089" s="199">
        <v>0.2</v>
      </c>
    </row>
    <row r="8090" spans="1:16" x14ac:dyDescent="0.2">
      <c r="A8090" s="30">
        <v>1065</v>
      </c>
      <c r="B8090" s="249" t="str">
        <f>IF(AND(A8090&lt;&gt;"",ISNUMBER(A8090)),VLOOKUP(A8090,Studies!A:BR,2,FALSE),"")</f>
        <v>Varhe 1994</v>
      </c>
      <c r="C8090" s="250" t="str">
        <f>IF(AND(A8090&lt;&gt;"",ISNUMBER(A8090)),VLOOKUP(A8090,Studies!A:BR,3,FALSE),"")</f>
        <v>https://www.ncbi.nlm.nih.gov/pubmed/7995001</v>
      </c>
      <c r="D8090" s="250" t="str">
        <f>IF(AND(A8090&lt;&gt;"",ISNUMBER(A8090)),VLOOKUP(A8090,Studies!A:BR,4,FALSE),"")</f>
        <v>Triazolam with ketoconazole Subject 7</v>
      </c>
      <c r="E8090" s="250" t="str">
        <f>IF(AND(A8090&lt;&gt;"",ISNUMBER(A8090)),VLOOKUP(A8090,Studies!A:BR,5,FALSE),"")</f>
        <v>Triazolam</v>
      </c>
      <c r="F8090" s="251" t="str">
        <f>IF(AND(A8090&lt;&gt;"",ISNUMBER(A8090)),VLOOKUP(A8090,Studies!A:BR,6,FALSE),"")</f>
        <v>Plasma</v>
      </c>
      <c r="G8090" s="194">
        <v>75.5</v>
      </c>
      <c r="H8090" s="50" t="s">
        <v>60</v>
      </c>
      <c r="I8090" s="187">
        <v>4.5217510000000001</v>
      </c>
      <c r="J8090" s="41" t="s">
        <v>941</v>
      </c>
      <c r="K8090" s="41" t="s">
        <v>239</v>
      </c>
      <c r="O8090" s="199">
        <v>0.2</v>
      </c>
    </row>
    <row r="8091" spans="1:16" x14ac:dyDescent="0.2">
      <c r="A8091" s="30">
        <v>1065</v>
      </c>
      <c r="B8091" s="249" t="str">
        <f>IF(AND(A8091&lt;&gt;"",ISNUMBER(A8091)),VLOOKUP(A8091,Studies!A:BR,2,FALSE),"")</f>
        <v>Varhe 1994</v>
      </c>
      <c r="C8091" s="250" t="str">
        <f>IF(AND(A8091&lt;&gt;"",ISNUMBER(A8091)),VLOOKUP(A8091,Studies!A:BR,3,FALSE),"")</f>
        <v>https://www.ncbi.nlm.nih.gov/pubmed/7995001</v>
      </c>
      <c r="D8091" s="250" t="str">
        <f>IF(AND(A8091&lt;&gt;"",ISNUMBER(A8091)),VLOOKUP(A8091,Studies!A:BR,4,FALSE),"")</f>
        <v>Triazolam with ketoconazole Subject 7</v>
      </c>
      <c r="E8091" s="250" t="str">
        <f>IF(AND(A8091&lt;&gt;"",ISNUMBER(A8091)),VLOOKUP(A8091,Studies!A:BR,5,FALSE),"")</f>
        <v>Triazolam</v>
      </c>
      <c r="F8091" s="251" t="str">
        <f>IF(AND(A8091&lt;&gt;"",ISNUMBER(A8091)),VLOOKUP(A8091,Studies!A:BR,6,FALSE),"")</f>
        <v>Plasma</v>
      </c>
      <c r="G8091" s="194">
        <v>76</v>
      </c>
      <c r="H8091" s="50" t="s">
        <v>60</v>
      </c>
      <c r="I8091" s="187">
        <v>4.2126749999999999</v>
      </c>
      <c r="J8091" s="41" t="s">
        <v>941</v>
      </c>
      <c r="K8091" s="41" t="s">
        <v>239</v>
      </c>
      <c r="O8091" s="199">
        <v>0.2</v>
      </c>
    </row>
    <row r="8092" spans="1:16" x14ac:dyDescent="0.2">
      <c r="A8092" s="30">
        <v>1065</v>
      </c>
      <c r="B8092" s="249" t="str">
        <f>IF(AND(A8092&lt;&gt;"",ISNUMBER(A8092)),VLOOKUP(A8092,Studies!A:BR,2,FALSE),"")</f>
        <v>Varhe 1994</v>
      </c>
      <c r="C8092" s="250" t="str">
        <f>IF(AND(A8092&lt;&gt;"",ISNUMBER(A8092)),VLOOKUP(A8092,Studies!A:BR,3,FALSE),"")</f>
        <v>https://www.ncbi.nlm.nih.gov/pubmed/7995001</v>
      </c>
      <c r="D8092" s="250" t="str">
        <f>IF(AND(A8092&lt;&gt;"",ISNUMBER(A8092)),VLOOKUP(A8092,Studies!A:BR,4,FALSE),"")</f>
        <v>Triazolam with ketoconazole Subject 7</v>
      </c>
      <c r="E8092" s="250" t="str">
        <f>IF(AND(A8092&lt;&gt;"",ISNUMBER(A8092)),VLOOKUP(A8092,Studies!A:BR,5,FALSE),"")</f>
        <v>Triazolam</v>
      </c>
      <c r="F8092" s="251" t="str">
        <f>IF(AND(A8092&lt;&gt;"",ISNUMBER(A8092)),VLOOKUP(A8092,Studies!A:BR,6,FALSE),"")</f>
        <v>Plasma</v>
      </c>
      <c r="G8092" s="194">
        <v>77</v>
      </c>
      <c r="H8092" s="50" t="s">
        <v>60</v>
      </c>
      <c r="I8092" s="187">
        <v>4.2626799999999996</v>
      </c>
      <c r="J8092" s="41" t="s">
        <v>941</v>
      </c>
      <c r="K8092" s="41" t="s">
        <v>239</v>
      </c>
      <c r="O8092" s="199">
        <v>0.2</v>
      </c>
    </row>
    <row r="8093" spans="1:16" x14ac:dyDescent="0.2">
      <c r="A8093" s="30">
        <v>1065</v>
      </c>
      <c r="B8093" s="249" t="str">
        <f>IF(AND(A8093&lt;&gt;"",ISNUMBER(A8093)),VLOOKUP(A8093,Studies!A:BR,2,FALSE),"")</f>
        <v>Varhe 1994</v>
      </c>
      <c r="C8093" s="250" t="str">
        <f>IF(AND(A8093&lt;&gt;"",ISNUMBER(A8093)),VLOOKUP(A8093,Studies!A:BR,3,FALSE),"")</f>
        <v>https://www.ncbi.nlm.nih.gov/pubmed/7995001</v>
      </c>
      <c r="D8093" s="250" t="str">
        <f>IF(AND(A8093&lt;&gt;"",ISNUMBER(A8093)),VLOOKUP(A8093,Studies!A:BR,4,FALSE),"")</f>
        <v>Triazolam with ketoconazole Subject 7</v>
      </c>
      <c r="E8093" s="250" t="str">
        <f>IF(AND(A8093&lt;&gt;"",ISNUMBER(A8093)),VLOOKUP(A8093,Studies!A:BR,5,FALSE),"")</f>
        <v>Triazolam</v>
      </c>
      <c r="F8093" s="251" t="str">
        <f>IF(AND(A8093&lt;&gt;"",ISNUMBER(A8093)),VLOOKUP(A8093,Studies!A:BR,6,FALSE),"")</f>
        <v>Plasma</v>
      </c>
      <c r="G8093" s="194">
        <v>78</v>
      </c>
      <c r="H8093" s="50" t="s">
        <v>60</v>
      </c>
      <c r="I8093" s="187">
        <v>4.4162850000000002</v>
      </c>
      <c r="J8093" s="41" t="s">
        <v>941</v>
      </c>
      <c r="K8093" s="41" t="s">
        <v>239</v>
      </c>
      <c r="O8093" s="199">
        <v>0.2</v>
      </c>
    </row>
    <row r="8094" spans="1:16" x14ac:dyDescent="0.2">
      <c r="A8094" s="30">
        <v>1065</v>
      </c>
      <c r="B8094" s="249" t="str">
        <f>IF(AND(A8094&lt;&gt;"",ISNUMBER(A8094)),VLOOKUP(A8094,Studies!A:BR,2,FALSE),"")</f>
        <v>Varhe 1994</v>
      </c>
      <c r="C8094" s="250" t="str">
        <f>IF(AND(A8094&lt;&gt;"",ISNUMBER(A8094)),VLOOKUP(A8094,Studies!A:BR,3,FALSE),"")</f>
        <v>https://www.ncbi.nlm.nih.gov/pubmed/7995001</v>
      </c>
      <c r="D8094" s="250" t="str">
        <f>IF(AND(A8094&lt;&gt;"",ISNUMBER(A8094)),VLOOKUP(A8094,Studies!A:BR,4,FALSE),"")</f>
        <v>Triazolam with ketoconazole Subject 7</v>
      </c>
      <c r="E8094" s="250" t="str">
        <f>IF(AND(A8094&lt;&gt;"",ISNUMBER(A8094)),VLOOKUP(A8094,Studies!A:BR,5,FALSE),"")</f>
        <v>Triazolam</v>
      </c>
      <c r="F8094" s="251" t="str">
        <f>IF(AND(A8094&lt;&gt;"",ISNUMBER(A8094)),VLOOKUP(A8094,Studies!A:BR,6,FALSE),"")</f>
        <v>Plasma</v>
      </c>
      <c r="G8094" s="194">
        <v>79</v>
      </c>
      <c r="H8094" s="50" t="s">
        <v>60</v>
      </c>
      <c r="I8094" s="187">
        <v>3.7882169999999999</v>
      </c>
      <c r="J8094" s="41" t="s">
        <v>941</v>
      </c>
      <c r="K8094" s="41" t="s">
        <v>239</v>
      </c>
      <c r="O8094" s="199">
        <v>0.2</v>
      </c>
    </row>
    <row r="8095" spans="1:16" x14ac:dyDescent="0.2">
      <c r="A8095" s="30">
        <v>1065</v>
      </c>
      <c r="B8095" s="249" t="str">
        <f>IF(AND(A8095&lt;&gt;"",ISNUMBER(A8095)),VLOOKUP(A8095,Studies!A:BR,2,FALSE),"")</f>
        <v>Varhe 1994</v>
      </c>
      <c r="C8095" s="250" t="str">
        <f>IF(AND(A8095&lt;&gt;"",ISNUMBER(A8095)),VLOOKUP(A8095,Studies!A:BR,3,FALSE),"")</f>
        <v>https://www.ncbi.nlm.nih.gov/pubmed/7995001</v>
      </c>
      <c r="D8095" s="250" t="str">
        <f>IF(AND(A8095&lt;&gt;"",ISNUMBER(A8095)),VLOOKUP(A8095,Studies!A:BR,4,FALSE),"")</f>
        <v>Triazolam with ketoconazole Subject 7</v>
      </c>
      <c r="E8095" s="250" t="str">
        <f>IF(AND(A8095&lt;&gt;"",ISNUMBER(A8095)),VLOOKUP(A8095,Studies!A:BR,5,FALSE),"")</f>
        <v>Triazolam</v>
      </c>
      <c r="F8095" s="251" t="str">
        <f>IF(AND(A8095&lt;&gt;"",ISNUMBER(A8095)),VLOOKUP(A8095,Studies!A:BR,6,FALSE),"")</f>
        <v>Plasma</v>
      </c>
      <c r="G8095" s="194">
        <v>80</v>
      </c>
      <c r="H8095" s="50" t="s">
        <v>60</v>
      </c>
      <c r="I8095" s="187">
        <v>3.924725</v>
      </c>
      <c r="J8095" s="41" t="s">
        <v>941</v>
      </c>
      <c r="K8095" s="41" t="s">
        <v>239</v>
      </c>
      <c r="O8095" s="199">
        <v>0.2</v>
      </c>
    </row>
    <row r="8096" spans="1:16" x14ac:dyDescent="0.2">
      <c r="A8096" s="30">
        <v>1065</v>
      </c>
      <c r="B8096" s="249" t="str">
        <f>IF(AND(A8096&lt;&gt;"",ISNUMBER(A8096)),VLOOKUP(A8096,Studies!A:BR,2,FALSE),"")</f>
        <v>Varhe 1994</v>
      </c>
      <c r="C8096" s="250" t="str">
        <f>IF(AND(A8096&lt;&gt;"",ISNUMBER(A8096)),VLOOKUP(A8096,Studies!A:BR,3,FALSE),"")</f>
        <v>https://www.ncbi.nlm.nih.gov/pubmed/7995001</v>
      </c>
      <c r="D8096" s="250" t="str">
        <f>IF(AND(A8096&lt;&gt;"",ISNUMBER(A8096)),VLOOKUP(A8096,Studies!A:BR,4,FALSE),"")</f>
        <v>Triazolam with ketoconazole Subject 7</v>
      </c>
      <c r="E8096" s="250" t="str">
        <f>IF(AND(A8096&lt;&gt;"",ISNUMBER(A8096)),VLOOKUP(A8096,Studies!A:BR,5,FALSE),"")</f>
        <v>Triazolam</v>
      </c>
      <c r="F8096" s="251" t="str">
        <f>IF(AND(A8096&lt;&gt;"",ISNUMBER(A8096)),VLOOKUP(A8096,Studies!A:BR,6,FALSE),"")</f>
        <v>Plasma</v>
      </c>
      <c r="G8096" s="194">
        <v>90</v>
      </c>
      <c r="H8096" s="50" t="s">
        <v>60</v>
      </c>
      <c r="I8096" s="187">
        <v>2.690394</v>
      </c>
      <c r="J8096" s="41" t="s">
        <v>941</v>
      </c>
      <c r="K8096" s="41" t="s">
        <v>239</v>
      </c>
      <c r="O8096" s="199">
        <v>0.2</v>
      </c>
    </row>
    <row r="8097" spans="1:16" x14ac:dyDescent="0.2">
      <c r="A8097" s="30">
        <v>1066</v>
      </c>
      <c r="B8097" s="249" t="str">
        <f>IF(AND(A8097&lt;&gt;"",ISNUMBER(A8097)),VLOOKUP(A8097,Studies!A:BR,2,FALSE),"")</f>
        <v>Varhe 1994</v>
      </c>
      <c r="C8097" s="250" t="str">
        <f>IF(AND(A8097&lt;&gt;"",ISNUMBER(A8097)),VLOOKUP(A8097,Studies!A:BR,3,FALSE),"")</f>
        <v>https://www.ncbi.nlm.nih.gov/pubmed/7995001</v>
      </c>
      <c r="D8097" s="250" t="str">
        <f>IF(AND(A8097&lt;&gt;"",ISNUMBER(A8097)),VLOOKUP(A8097,Studies!A:BR,4,FALSE),"")</f>
        <v>Triazolam with ketoconazole Subject 8</v>
      </c>
      <c r="E8097" s="250" t="str">
        <f>IF(AND(A8097&lt;&gt;"",ISNUMBER(A8097)),VLOOKUP(A8097,Studies!A:BR,5,FALSE),"")</f>
        <v>Triazolam</v>
      </c>
      <c r="F8097" s="251" t="str">
        <f>IF(AND(A8097&lt;&gt;"",ISNUMBER(A8097)),VLOOKUP(A8097,Studies!A:BR,6,FALSE),"")</f>
        <v>Plasma</v>
      </c>
      <c r="G8097" s="194">
        <v>73.33</v>
      </c>
      <c r="H8097" s="50" t="s">
        <v>60</v>
      </c>
      <c r="I8097" s="187">
        <v>0.19611190000000001</v>
      </c>
      <c r="J8097" s="41" t="s">
        <v>941</v>
      </c>
      <c r="K8097" s="41" t="s">
        <v>239</v>
      </c>
      <c r="O8097" s="199">
        <v>0.2</v>
      </c>
      <c r="P8097" s="42" t="s">
        <v>2643</v>
      </c>
    </row>
    <row r="8098" spans="1:16" x14ac:dyDescent="0.2">
      <c r="A8098" s="30">
        <v>1066</v>
      </c>
      <c r="B8098" s="249" t="str">
        <f>IF(AND(A8098&lt;&gt;"",ISNUMBER(A8098)),VLOOKUP(A8098,Studies!A:BR,2,FALSE),"")</f>
        <v>Varhe 1994</v>
      </c>
      <c r="C8098" s="250" t="str">
        <f>IF(AND(A8098&lt;&gt;"",ISNUMBER(A8098)),VLOOKUP(A8098,Studies!A:BR,3,FALSE),"")</f>
        <v>https://www.ncbi.nlm.nih.gov/pubmed/7995001</v>
      </c>
      <c r="D8098" s="250" t="str">
        <f>IF(AND(A8098&lt;&gt;"",ISNUMBER(A8098)),VLOOKUP(A8098,Studies!A:BR,4,FALSE),"")</f>
        <v>Triazolam with ketoconazole Subject 8</v>
      </c>
      <c r="E8098" s="250" t="str">
        <f>IF(AND(A8098&lt;&gt;"",ISNUMBER(A8098)),VLOOKUP(A8098,Studies!A:BR,5,FALSE),"")</f>
        <v>Triazolam</v>
      </c>
      <c r="F8098" s="251" t="str">
        <f>IF(AND(A8098&lt;&gt;"",ISNUMBER(A8098)),VLOOKUP(A8098,Studies!A:BR,6,FALSE),"")</f>
        <v>Plasma</v>
      </c>
      <c r="G8098" s="194">
        <v>73.67</v>
      </c>
      <c r="H8098" s="50" t="s">
        <v>60</v>
      </c>
      <c r="I8098" s="187">
        <v>2.2055479999999998</v>
      </c>
      <c r="J8098" s="41" t="s">
        <v>941</v>
      </c>
      <c r="K8098" s="41" t="s">
        <v>239</v>
      </c>
      <c r="O8098" s="199">
        <v>0.2</v>
      </c>
    </row>
    <row r="8099" spans="1:16" x14ac:dyDescent="0.2">
      <c r="A8099" s="30">
        <v>1066</v>
      </c>
      <c r="B8099" s="249" t="str">
        <f>IF(AND(A8099&lt;&gt;"",ISNUMBER(A8099)),VLOOKUP(A8099,Studies!A:BR,2,FALSE),"")</f>
        <v>Varhe 1994</v>
      </c>
      <c r="C8099" s="250" t="str">
        <f>IF(AND(A8099&lt;&gt;"",ISNUMBER(A8099)),VLOOKUP(A8099,Studies!A:BR,3,FALSE),"")</f>
        <v>https://www.ncbi.nlm.nih.gov/pubmed/7995001</v>
      </c>
      <c r="D8099" s="250" t="str">
        <f>IF(AND(A8099&lt;&gt;"",ISNUMBER(A8099)),VLOOKUP(A8099,Studies!A:BR,4,FALSE),"")</f>
        <v>Triazolam with ketoconazole Subject 8</v>
      </c>
      <c r="E8099" s="250" t="str">
        <f>IF(AND(A8099&lt;&gt;"",ISNUMBER(A8099)),VLOOKUP(A8099,Studies!A:BR,5,FALSE),"")</f>
        <v>Triazolam</v>
      </c>
      <c r="F8099" s="251" t="str">
        <f>IF(AND(A8099&lt;&gt;"",ISNUMBER(A8099)),VLOOKUP(A8099,Studies!A:BR,6,FALSE),"")</f>
        <v>Plasma</v>
      </c>
      <c r="G8099" s="194">
        <v>74</v>
      </c>
      <c r="H8099" s="50" t="s">
        <v>60</v>
      </c>
      <c r="I8099" s="187">
        <v>2.698458</v>
      </c>
      <c r="J8099" s="41" t="s">
        <v>941</v>
      </c>
      <c r="K8099" s="41" t="s">
        <v>239</v>
      </c>
      <c r="O8099" s="199">
        <v>0.2</v>
      </c>
    </row>
    <row r="8100" spans="1:16" x14ac:dyDescent="0.2">
      <c r="A8100" s="30">
        <v>1066</v>
      </c>
      <c r="B8100" s="249" t="str">
        <f>IF(AND(A8100&lt;&gt;"",ISNUMBER(A8100)),VLOOKUP(A8100,Studies!A:BR,2,FALSE),"")</f>
        <v>Varhe 1994</v>
      </c>
      <c r="C8100" s="250" t="str">
        <f>IF(AND(A8100&lt;&gt;"",ISNUMBER(A8100)),VLOOKUP(A8100,Studies!A:BR,3,FALSE),"")</f>
        <v>https://www.ncbi.nlm.nih.gov/pubmed/7995001</v>
      </c>
      <c r="D8100" s="250" t="str">
        <f>IF(AND(A8100&lt;&gt;"",ISNUMBER(A8100)),VLOOKUP(A8100,Studies!A:BR,4,FALSE),"")</f>
        <v>Triazolam with ketoconazole Subject 8</v>
      </c>
      <c r="E8100" s="250" t="str">
        <f>IF(AND(A8100&lt;&gt;"",ISNUMBER(A8100)),VLOOKUP(A8100,Studies!A:BR,5,FALSE),"")</f>
        <v>Triazolam</v>
      </c>
      <c r="F8100" s="251" t="str">
        <f>IF(AND(A8100&lt;&gt;"",ISNUMBER(A8100)),VLOOKUP(A8100,Studies!A:BR,6,FALSE),"")</f>
        <v>Plasma</v>
      </c>
      <c r="G8100" s="194">
        <v>74.5</v>
      </c>
      <c r="H8100" s="50" t="s">
        <v>60</v>
      </c>
      <c r="I8100" s="187">
        <v>2.1089190000000002</v>
      </c>
      <c r="J8100" s="41" t="s">
        <v>941</v>
      </c>
      <c r="K8100" s="41" t="s">
        <v>239</v>
      </c>
      <c r="O8100" s="199">
        <v>0.2</v>
      </c>
    </row>
    <row r="8101" spans="1:16" x14ac:dyDescent="0.2">
      <c r="A8101" s="30">
        <v>1066</v>
      </c>
      <c r="B8101" s="249" t="str">
        <f>IF(AND(A8101&lt;&gt;"",ISNUMBER(A8101)),VLOOKUP(A8101,Studies!A:BR,2,FALSE),"")</f>
        <v>Varhe 1994</v>
      </c>
      <c r="C8101" s="250" t="str">
        <f>IF(AND(A8101&lt;&gt;"",ISNUMBER(A8101)),VLOOKUP(A8101,Studies!A:BR,3,FALSE),"")</f>
        <v>https://www.ncbi.nlm.nih.gov/pubmed/7995001</v>
      </c>
      <c r="D8101" s="250" t="str">
        <f>IF(AND(A8101&lt;&gt;"",ISNUMBER(A8101)),VLOOKUP(A8101,Studies!A:BR,4,FALSE),"")</f>
        <v>Triazolam with ketoconazole Subject 8</v>
      </c>
      <c r="E8101" s="250" t="str">
        <f>IF(AND(A8101&lt;&gt;"",ISNUMBER(A8101)),VLOOKUP(A8101,Studies!A:BR,5,FALSE),"")</f>
        <v>Triazolam</v>
      </c>
      <c r="F8101" s="251" t="str">
        <f>IF(AND(A8101&lt;&gt;"",ISNUMBER(A8101)),VLOOKUP(A8101,Studies!A:BR,6,FALSE),"")</f>
        <v>Plasma</v>
      </c>
      <c r="G8101" s="194">
        <v>75</v>
      </c>
      <c r="H8101" s="50" t="s">
        <v>60</v>
      </c>
      <c r="I8101" s="187">
        <v>3.229835</v>
      </c>
      <c r="J8101" s="41" t="s">
        <v>941</v>
      </c>
      <c r="K8101" s="41" t="s">
        <v>239</v>
      </c>
      <c r="O8101" s="199">
        <v>0.2</v>
      </c>
    </row>
    <row r="8102" spans="1:16" x14ac:dyDescent="0.2">
      <c r="A8102" s="30">
        <v>1066</v>
      </c>
      <c r="B8102" s="249" t="str">
        <f>IF(AND(A8102&lt;&gt;"",ISNUMBER(A8102)),VLOOKUP(A8102,Studies!A:BR,2,FALSE),"")</f>
        <v>Varhe 1994</v>
      </c>
      <c r="C8102" s="250" t="str">
        <f>IF(AND(A8102&lt;&gt;"",ISNUMBER(A8102)),VLOOKUP(A8102,Studies!A:BR,3,FALSE),"")</f>
        <v>https://www.ncbi.nlm.nih.gov/pubmed/7995001</v>
      </c>
      <c r="D8102" s="250" t="str">
        <f>IF(AND(A8102&lt;&gt;"",ISNUMBER(A8102)),VLOOKUP(A8102,Studies!A:BR,4,FALSE),"")</f>
        <v>Triazolam with ketoconazole Subject 8</v>
      </c>
      <c r="E8102" s="250" t="str">
        <f>IF(AND(A8102&lt;&gt;"",ISNUMBER(A8102)),VLOOKUP(A8102,Studies!A:BR,5,FALSE),"")</f>
        <v>Triazolam</v>
      </c>
      <c r="F8102" s="251" t="str">
        <f>IF(AND(A8102&lt;&gt;"",ISNUMBER(A8102)),VLOOKUP(A8102,Studies!A:BR,6,FALSE),"")</f>
        <v>Plasma</v>
      </c>
      <c r="G8102" s="194">
        <v>75.5</v>
      </c>
      <c r="H8102" s="50" t="s">
        <v>60</v>
      </c>
      <c r="I8102" s="187">
        <v>3.9527450000000002</v>
      </c>
      <c r="J8102" s="41" t="s">
        <v>941</v>
      </c>
      <c r="K8102" s="41" t="s">
        <v>239</v>
      </c>
      <c r="O8102" s="199">
        <v>0.2</v>
      </c>
    </row>
    <row r="8103" spans="1:16" x14ac:dyDescent="0.2">
      <c r="A8103" s="30">
        <v>1066</v>
      </c>
      <c r="B8103" s="249" t="str">
        <f>IF(AND(A8103&lt;&gt;"",ISNUMBER(A8103)),VLOOKUP(A8103,Studies!A:BR,2,FALSE),"")</f>
        <v>Varhe 1994</v>
      </c>
      <c r="C8103" s="250" t="str">
        <f>IF(AND(A8103&lt;&gt;"",ISNUMBER(A8103)),VLOOKUP(A8103,Studies!A:BR,3,FALSE),"")</f>
        <v>https://www.ncbi.nlm.nih.gov/pubmed/7995001</v>
      </c>
      <c r="D8103" s="250" t="str">
        <f>IF(AND(A8103&lt;&gt;"",ISNUMBER(A8103)),VLOOKUP(A8103,Studies!A:BR,4,FALSE),"")</f>
        <v>Triazolam with ketoconazole Subject 8</v>
      </c>
      <c r="E8103" s="250" t="str">
        <f>IF(AND(A8103&lt;&gt;"",ISNUMBER(A8103)),VLOOKUP(A8103,Studies!A:BR,5,FALSE),"")</f>
        <v>Triazolam</v>
      </c>
      <c r="F8103" s="251" t="str">
        <f>IF(AND(A8103&lt;&gt;"",ISNUMBER(A8103)),VLOOKUP(A8103,Studies!A:BR,6,FALSE),"")</f>
        <v>Plasma</v>
      </c>
      <c r="G8103" s="194">
        <v>76</v>
      </c>
      <c r="H8103" s="50" t="s">
        <v>60</v>
      </c>
      <c r="I8103" s="187">
        <v>2.5274969999999999</v>
      </c>
      <c r="J8103" s="41" t="s">
        <v>941</v>
      </c>
      <c r="K8103" s="41" t="s">
        <v>239</v>
      </c>
      <c r="O8103" s="199">
        <v>0.2</v>
      </c>
    </row>
    <row r="8104" spans="1:16" x14ac:dyDescent="0.2">
      <c r="A8104" s="30">
        <v>1066</v>
      </c>
      <c r="B8104" s="249" t="str">
        <f>IF(AND(A8104&lt;&gt;"",ISNUMBER(A8104)),VLOOKUP(A8104,Studies!A:BR,2,FALSE),"")</f>
        <v>Varhe 1994</v>
      </c>
      <c r="C8104" s="250" t="str">
        <f>IF(AND(A8104&lt;&gt;"",ISNUMBER(A8104)),VLOOKUP(A8104,Studies!A:BR,3,FALSE),"")</f>
        <v>https://www.ncbi.nlm.nih.gov/pubmed/7995001</v>
      </c>
      <c r="D8104" s="250" t="str">
        <f>IF(AND(A8104&lt;&gt;"",ISNUMBER(A8104)),VLOOKUP(A8104,Studies!A:BR,4,FALSE),"")</f>
        <v>Triazolam with ketoconazole Subject 8</v>
      </c>
      <c r="E8104" s="250" t="str">
        <f>IF(AND(A8104&lt;&gt;"",ISNUMBER(A8104)),VLOOKUP(A8104,Studies!A:BR,5,FALSE),"")</f>
        <v>Triazolam</v>
      </c>
      <c r="F8104" s="251" t="str">
        <f>IF(AND(A8104&lt;&gt;"",ISNUMBER(A8104)),VLOOKUP(A8104,Studies!A:BR,6,FALSE),"")</f>
        <v>Plasma</v>
      </c>
      <c r="G8104" s="194">
        <v>77</v>
      </c>
      <c r="H8104" s="50" t="s">
        <v>60</v>
      </c>
      <c r="I8104" s="187">
        <v>2.3062870000000002</v>
      </c>
      <c r="J8104" s="41" t="s">
        <v>941</v>
      </c>
      <c r="K8104" s="41" t="s">
        <v>239</v>
      </c>
      <c r="O8104" s="199">
        <v>0.2</v>
      </c>
    </row>
    <row r="8105" spans="1:16" x14ac:dyDescent="0.2">
      <c r="A8105" s="30">
        <v>1066</v>
      </c>
      <c r="B8105" s="249" t="str">
        <f>IF(AND(A8105&lt;&gt;"",ISNUMBER(A8105)),VLOOKUP(A8105,Studies!A:BR,2,FALSE),"")</f>
        <v>Varhe 1994</v>
      </c>
      <c r="C8105" s="250" t="str">
        <f>IF(AND(A8105&lt;&gt;"",ISNUMBER(A8105)),VLOOKUP(A8105,Studies!A:BR,3,FALSE),"")</f>
        <v>https://www.ncbi.nlm.nih.gov/pubmed/7995001</v>
      </c>
      <c r="D8105" s="250" t="str">
        <f>IF(AND(A8105&lt;&gt;"",ISNUMBER(A8105)),VLOOKUP(A8105,Studies!A:BR,4,FALSE),"")</f>
        <v>Triazolam with ketoconazole Subject 8</v>
      </c>
      <c r="E8105" s="250" t="str">
        <f>IF(AND(A8105&lt;&gt;"",ISNUMBER(A8105)),VLOOKUP(A8105,Studies!A:BR,5,FALSE),"")</f>
        <v>Triazolam</v>
      </c>
      <c r="F8105" s="251" t="str">
        <f>IF(AND(A8105&lt;&gt;"",ISNUMBER(A8105)),VLOOKUP(A8105,Studies!A:BR,6,FALSE),"")</f>
        <v>Plasma</v>
      </c>
      <c r="G8105" s="194">
        <v>78</v>
      </c>
      <c r="H8105" s="50" t="s">
        <v>60</v>
      </c>
      <c r="I8105" s="187">
        <v>2.3678539999999999</v>
      </c>
      <c r="J8105" s="41" t="s">
        <v>941</v>
      </c>
      <c r="K8105" s="41" t="s">
        <v>239</v>
      </c>
      <c r="O8105" s="199">
        <v>0.2</v>
      </c>
    </row>
    <row r="8106" spans="1:16" x14ac:dyDescent="0.2">
      <c r="A8106" s="30">
        <v>1066</v>
      </c>
      <c r="B8106" s="249" t="str">
        <f>IF(AND(A8106&lt;&gt;"",ISNUMBER(A8106)),VLOOKUP(A8106,Studies!A:BR,2,FALSE),"")</f>
        <v>Varhe 1994</v>
      </c>
      <c r="C8106" s="250" t="str">
        <f>IF(AND(A8106&lt;&gt;"",ISNUMBER(A8106)),VLOOKUP(A8106,Studies!A:BR,3,FALSE),"")</f>
        <v>https://www.ncbi.nlm.nih.gov/pubmed/7995001</v>
      </c>
      <c r="D8106" s="250" t="str">
        <f>IF(AND(A8106&lt;&gt;"",ISNUMBER(A8106)),VLOOKUP(A8106,Studies!A:BR,4,FALSE),"")</f>
        <v>Triazolam with ketoconazole Subject 8</v>
      </c>
      <c r="E8106" s="250" t="str">
        <f>IF(AND(A8106&lt;&gt;"",ISNUMBER(A8106)),VLOOKUP(A8106,Studies!A:BR,5,FALSE),"")</f>
        <v>Triazolam</v>
      </c>
      <c r="F8106" s="251" t="str">
        <f>IF(AND(A8106&lt;&gt;"",ISNUMBER(A8106)),VLOOKUP(A8106,Studies!A:BR,6,FALSE),"")</f>
        <v>Plasma</v>
      </c>
      <c r="G8106" s="194">
        <v>79</v>
      </c>
      <c r="H8106" s="50" t="s">
        <v>60</v>
      </c>
      <c r="I8106" s="187">
        <v>2.0610019999999998</v>
      </c>
      <c r="J8106" s="41" t="s">
        <v>941</v>
      </c>
      <c r="K8106" s="41" t="s">
        <v>239</v>
      </c>
      <c r="O8106" s="59">
        <v>0.2</v>
      </c>
    </row>
    <row r="8107" spans="1:16" x14ac:dyDescent="0.2">
      <c r="A8107" s="30">
        <v>1066</v>
      </c>
      <c r="B8107" s="249" t="str">
        <f>IF(AND(A8107&lt;&gt;"",ISNUMBER(A8107)),VLOOKUP(A8107,Studies!A:BR,2,FALSE),"")</f>
        <v>Varhe 1994</v>
      </c>
      <c r="C8107" s="250" t="str">
        <f>IF(AND(A8107&lt;&gt;"",ISNUMBER(A8107)),VLOOKUP(A8107,Studies!A:BR,3,FALSE),"")</f>
        <v>https://www.ncbi.nlm.nih.gov/pubmed/7995001</v>
      </c>
      <c r="D8107" s="250" t="str">
        <f>IF(AND(A8107&lt;&gt;"",ISNUMBER(A8107)),VLOOKUP(A8107,Studies!A:BR,4,FALSE),"")</f>
        <v>Triazolam with ketoconazole Subject 8</v>
      </c>
      <c r="E8107" s="250" t="str">
        <f>IF(AND(A8107&lt;&gt;"",ISNUMBER(A8107)),VLOOKUP(A8107,Studies!A:BR,5,FALSE),"")</f>
        <v>Triazolam</v>
      </c>
      <c r="F8107" s="251" t="str">
        <f>IF(AND(A8107&lt;&gt;"",ISNUMBER(A8107)),VLOOKUP(A8107,Studies!A:BR,6,FALSE),"")</f>
        <v>Plasma</v>
      </c>
      <c r="G8107" s="194">
        <v>80</v>
      </c>
      <c r="H8107" s="50" t="s">
        <v>60</v>
      </c>
      <c r="I8107" s="187">
        <v>1.9254</v>
      </c>
      <c r="J8107" s="41" t="s">
        <v>941</v>
      </c>
      <c r="K8107" s="41" t="s">
        <v>239</v>
      </c>
      <c r="O8107" s="199">
        <v>0.2</v>
      </c>
    </row>
    <row r="8108" spans="1:16" x14ac:dyDescent="0.2">
      <c r="A8108" s="30">
        <v>1066</v>
      </c>
      <c r="B8108" s="249" t="str">
        <f>IF(AND(A8108&lt;&gt;"",ISNUMBER(A8108)),VLOOKUP(A8108,Studies!A:BR,2,FALSE),"")</f>
        <v>Varhe 1994</v>
      </c>
      <c r="C8108" s="250" t="str">
        <f>IF(AND(A8108&lt;&gt;"",ISNUMBER(A8108)),VLOOKUP(A8108,Studies!A:BR,3,FALSE),"")</f>
        <v>https://www.ncbi.nlm.nih.gov/pubmed/7995001</v>
      </c>
      <c r="D8108" s="250" t="str">
        <f>IF(AND(A8108&lt;&gt;"",ISNUMBER(A8108)),VLOOKUP(A8108,Studies!A:BR,4,FALSE),"")</f>
        <v>Triazolam with ketoconazole Subject 8</v>
      </c>
      <c r="E8108" s="250" t="str">
        <f>IF(AND(A8108&lt;&gt;"",ISNUMBER(A8108)),VLOOKUP(A8108,Studies!A:BR,5,FALSE),"")</f>
        <v>Triazolam</v>
      </c>
      <c r="F8108" s="251" t="str">
        <f>IF(AND(A8108&lt;&gt;"",ISNUMBER(A8108)),VLOOKUP(A8108,Studies!A:BR,6,FALSE),"")</f>
        <v>Plasma</v>
      </c>
      <c r="G8108" s="194">
        <v>90</v>
      </c>
      <c r="H8108" s="50" t="s">
        <v>60</v>
      </c>
      <c r="I8108" s="187">
        <v>0.4919095</v>
      </c>
      <c r="J8108" s="41" t="s">
        <v>941</v>
      </c>
      <c r="K8108" s="41" t="s">
        <v>239</v>
      </c>
      <c r="O8108" s="199">
        <v>0.2</v>
      </c>
    </row>
    <row r="8109" spans="1:16" x14ac:dyDescent="0.2">
      <c r="A8109" s="30">
        <v>1067</v>
      </c>
      <c r="B8109" s="249" t="str">
        <f>IF(AND(A8109&lt;&gt;"",ISNUMBER(A8109)),VLOOKUP(A8109,Studies!A:BR,2,FALSE),"")</f>
        <v>Varhe 1994</v>
      </c>
      <c r="C8109" s="250" t="str">
        <f>IF(AND(A8109&lt;&gt;"",ISNUMBER(A8109)),VLOOKUP(A8109,Studies!A:BR,3,FALSE),"")</f>
        <v>https://www.ncbi.nlm.nih.gov/pubmed/7995001</v>
      </c>
      <c r="D8109" s="250" t="str">
        <f>IF(AND(A8109&lt;&gt;"",ISNUMBER(A8109)),VLOOKUP(A8109,Studies!A:BR,4,FALSE),"")</f>
        <v>Triazolam with ketoconazole Subject 9</v>
      </c>
      <c r="E8109" s="250" t="str">
        <f>IF(AND(A8109&lt;&gt;"",ISNUMBER(A8109)),VLOOKUP(A8109,Studies!A:BR,5,FALSE),"")</f>
        <v>Triazolam</v>
      </c>
      <c r="F8109" s="251" t="str">
        <f>IF(AND(A8109&lt;&gt;"",ISNUMBER(A8109)),VLOOKUP(A8109,Studies!A:BR,6,FALSE),"")</f>
        <v>Plasma</v>
      </c>
      <c r="G8109" s="194">
        <v>73.33</v>
      </c>
      <c r="H8109" s="50" t="s">
        <v>60</v>
      </c>
      <c r="I8109" s="187">
        <v>0.20249159999999999</v>
      </c>
      <c r="J8109" s="41" t="s">
        <v>941</v>
      </c>
      <c r="K8109" s="41" t="s">
        <v>239</v>
      </c>
      <c r="O8109" s="199">
        <v>0.2</v>
      </c>
      <c r="P8109" s="42" t="s">
        <v>2643</v>
      </c>
    </row>
    <row r="8110" spans="1:16" x14ac:dyDescent="0.2">
      <c r="A8110" s="30">
        <v>1067</v>
      </c>
      <c r="B8110" s="249" t="str">
        <f>IF(AND(A8110&lt;&gt;"",ISNUMBER(A8110)),VLOOKUP(A8110,Studies!A:BR,2,FALSE),"")</f>
        <v>Varhe 1994</v>
      </c>
      <c r="C8110" s="250" t="str">
        <f>IF(AND(A8110&lt;&gt;"",ISNUMBER(A8110)),VLOOKUP(A8110,Studies!A:BR,3,FALSE),"")</f>
        <v>https://www.ncbi.nlm.nih.gov/pubmed/7995001</v>
      </c>
      <c r="D8110" s="250" t="str">
        <f>IF(AND(A8110&lt;&gt;"",ISNUMBER(A8110)),VLOOKUP(A8110,Studies!A:BR,4,FALSE),"")</f>
        <v>Triazolam with ketoconazole Subject 9</v>
      </c>
      <c r="E8110" s="250" t="str">
        <f>IF(AND(A8110&lt;&gt;"",ISNUMBER(A8110)),VLOOKUP(A8110,Studies!A:BR,5,FALSE),"")</f>
        <v>Triazolam</v>
      </c>
      <c r="F8110" s="251" t="str">
        <f>IF(AND(A8110&lt;&gt;"",ISNUMBER(A8110)),VLOOKUP(A8110,Studies!A:BR,6,FALSE),"")</f>
        <v>Plasma</v>
      </c>
      <c r="G8110" s="194">
        <v>73.67</v>
      </c>
      <c r="H8110" s="50" t="s">
        <v>60</v>
      </c>
      <c r="I8110" s="187">
        <v>2.7184819999999998</v>
      </c>
      <c r="J8110" s="41" t="s">
        <v>941</v>
      </c>
      <c r="K8110" s="41" t="s">
        <v>239</v>
      </c>
      <c r="O8110" s="199">
        <v>0.2</v>
      </c>
    </row>
    <row r="8111" spans="1:16" x14ac:dyDescent="0.2">
      <c r="A8111" s="30">
        <v>1067</v>
      </c>
      <c r="B8111" s="249" t="str">
        <f>IF(AND(A8111&lt;&gt;"",ISNUMBER(A8111)),VLOOKUP(A8111,Studies!A:BR,2,FALSE),"")</f>
        <v>Varhe 1994</v>
      </c>
      <c r="C8111" s="250" t="str">
        <f>IF(AND(A8111&lt;&gt;"",ISNUMBER(A8111)),VLOOKUP(A8111,Studies!A:BR,3,FALSE),"")</f>
        <v>https://www.ncbi.nlm.nih.gov/pubmed/7995001</v>
      </c>
      <c r="D8111" s="250" t="str">
        <f>IF(AND(A8111&lt;&gt;"",ISNUMBER(A8111)),VLOOKUP(A8111,Studies!A:BR,4,FALSE),"")</f>
        <v>Triazolam with ketoconazole Subject 9</v>
      </c>
      <c r="E8111" s="250" t="str">
        <f>IF(AND(A8111&lt;&gt;"",ISNUMBER(A8111)),VLOOKUP(A8111,Studies!A:BR,5,FALSE),"")</f>
        <v>Triazolam</v>
      </c>
      <c r="F8111" s="251" t="str">
        <f>IF(AND(A8111&lt;&gt;"",ISNUMBER(A8111)),VLOOKUP(A8111,Studies!A:BR,6,FALSE),"")</f>
        <v>Plasma</v>
      </c>
      <c r="G8111" s="194">
        <v>74</v>
      </c>
      <c r="H8111" s="50" t="s">
        <v>60</v>
      </c>
      <c r="I8111" s="187">
        <v>4.7252999999999998</v>
      </c>
      <c r="J8111" s="41" t="s">
        <v>941</v>
      </c>
      <c r="K8111" s="41" t="s">
        <v>239</v>
      </c>
      <c r="O8111" s="199">
        <v>0.2</v>
      </c>
    </row>
    <row r="8112" spans="1:16" x14ac:dyDescent="0.2">
      <c r="A8112" s="30">
        <v>1067</v>
      </c>
      <c r="B8112" s="249" t="str">
        <f>IF(AND(A8112&lt;&gt;"",ISNUMBER(A8112)),VLOOKUP(A8112,Studies!A:BR,2,FALSE),"")</f>
        <v>Varhe 1994</v>
      </c>
      <c r="C8112" s="250" t="str">
        <f>IF(AND(A8112&lt;&gt;"",ISNUMBER(A8112)),VLOOKUP(A8112,Studies!A:BR,3,FALSE),"")</f>
        <v>https://www.ncbi.nlm.nih.gov/pubmed/7995001</v>
      </c>
      <c r="D8112" s="250" t="str">
        <f>IF(AND(A8112&lt;&gt;"",ISNUMBER(A8112)),VLOOKUP(A8112,Studies!A:BR,4,FALSE),"")</f>
        <v>Triazolam with ketoconazole Subject 9</v>
      </c>
      <c r="E8112" s="250" t="str">
        <f>IF(AND(A8112&lt;&gt;"",ISNUMBER(A8112)),VLOOKUP(A8112,Studies!A:BR,5,FALSE),"")</f>
        <v>Triazolam</v>
      </c>
      <c r="F8112" s="251" t="str">
        <f>IF(AND(A8112&lt;&gt;"",ISNUMBER(A8112)),VLOOKUP(A8112,Studies!A:BR,6,FALSE),"")</f>
        <v>Plasma</v>
      </c>
      <c r="G8112" s="194">
        <v>74.5</v>
      </c>
      <c r="H8112" s="50" t="s">
        <v>60</v>
      </c>
      <c r="I8112" s="187">
        <v>5.075793</v>
      </c>
      <c r="J8112" s="41" t="s">
        <v>941</v>
      </c>
      <c r="K8112" s="41" t="s">
        <v>239</v>
      </c>
      <c r="O8112" s="199">
        <v>0.2</v>
      </c>
    </row>
    <row r="8113" spans="1:16" x14ac:dyDescent="0.2">
      <c r="A8113" s="30">
        <v>1067</v>
      </c>
      <c r="B8113" s="249" t="str">
        <f>IF(AND(A8113&lt;&gt;"",ISNUMBER(A8113)),VLOOKUP(A8113,Studies!A:BR,2,FALSE),"")</f>
        <v>Varhe 1994</v>
      </c>
      <c r="C8113" s="250" t="str">
        <f>IF(AND(A8113&lt;&gt;"",ISNUMBER(A8113)),VLOOKUP(A8113,Studies!A:BR,3,FALSE),"")</f>
        <v>https://www.ncbi.nlm.nih.gov/pubmed/7995001</v>
      </c>
      <c r="D8113" s="250" t="str">
        <f>IF(AND(A8113&lt;&gt;"",ISNUMBER(A8113)),VLOOKUP(A8113,Studies!A:BR,4,FALSE),"")</f>
        <v>Triazolam with ketoconazole Subject 9</v>
      </c>
      <c r="E8113" s="250" t="str">
        <f>IF(AND(A8113&lt;&gt;"",ISNUMBER(A8113)),VLOOKUP(A8113,Studies!A:BR,5,FALSE),"")</f>
        <v>Triazolam</v>
      </c>
      <c r="F8113" s="251" t="str">
        <f>IF(AND(A8113&lt;&gt;"",ISNUMBER(A8113)),VLOOKUP(A8113,Studies!A:BR,6,FALSE),"")</f>
        <v>Plasma</v>
      </c>
      <c r="G8113" s="194">
        <v>75</v>
      </c>
      <c r="H8113" s="50" t="s">
        <v>60</v>
      </c>
      <c r="I8113" s="187">
        <v>4.7910899999999996</v>
      </c>
      <c r="J8113" s="41" t="s">
        <v>941</v>
      </c>
      <c r="K8113" s="41" t="s">
        <v>239</v>
      </c>
      <c r="O8113" s="199">
        <v>0.2</v>
      </c>
    </row>
    <row r="8114" spans="1:16" x14ac:dyDescent="0.2">
      <c r="A8114" s="30">
        <v>1067</v>
      </c>
      <c r="B8114" s="249" t="str">
        <f>IF(AND(A8114&lt;&gt;"",ISNUMBER(A8114)),VLOOKUP(A8114,Studies!A:BR,2,FALSE),"")</f>
        <v>Varhe 1994</v>
      </c>
      <c r="C8114" s="250" t="str">
        <f>IF(AND(A8114&lt;&gt;"",ISNUMBER(A8114)),VLOOKUP(A8114,Studies!A:BR,3,FALSE),"")</f>
        <v>https://www.ncbi.nlm.nih.gov/pubmed/7995001</v>
      </c>
      <c r="D8114" s="250" t="str">
        <f>IF(AND(A8114&lt;&gt;"",ISNUMBER(A8114)),VLOOKUP(A8114,Studies!A:BR,4,FALSE),"")</f>
        <v>Triazolam with ketoconazole Subject 9</v>
      </c>
      <c r="E8114" s="250" t="str">
        <f>IF(AND(A8114&lt;&gt;"",ISNUMBER(A8114)),VLOOKUP(A8114,Studies!A:BR,5,FALSE),"")</f>
        <v>Triazolam</v>
      </c>
      <c r="F8114" s="251" t="str">
        <f>IF(AND(A8114&lt;&gt;"",ISNUMBER(A8114)),VLOOKUP(A8114,Studies!A:BR,6,FALSE),"")</f>
        <v>Plasma</v>
      </c>
      <c r="G8114" s="194">
        <v>75.5</v>
      </c>
      <c r="H8114" s="50" t="s">
        <v>60</v>
      </c>
      <c r="I8114" s="187">
        <v>5.0264430000000004</v>
      </c>
      <c r="J8114" s="41" t="s">
        <v>941</v>
      </c>
      <c r="K8114" s="41" t="s">
        <v>239</v>
      </c>
      <c r="O8114" s="199">
        <v>0.2</v>
      </c>
    </row>
    <row r="8115" spans="1:16" x14ac:dyDescent="0.2">
      <c r="A8115" s="30">
        <v>1067</v>
      </c>
      <c r="B8115" s="249" t="str">
        <f>IF(AND(A8115&lt;&gt;"",ISNUMBER(A8115)),VLOOKUP(A8115,Studies!A:BR,2,FALSE),"")</f>
        <v>Varhe 1994</v>
      </c>
      <c r="C8115" s="250" t="str">
        <f>IF(AND(A8115&lt;&gt;"",ISNUMBER(A8115)),VLOOKUP(A8115,Studies!A:BR,3,FALSE),"")</f>
        <v>https://www.ncbi.nlm.nih.gov/pubmed/7995001</v>
      </c>
      <c r="D8115" s="250" t="str">
        <f>IF(AND(A8115&lt;&gt;"",ISNUMBER(A8115)),VLOOKUP(A8115,Studies!A:BR,4,FALSE),"")</f>
        <v>Triazolam with ketoconazole Subject 9</v>
      </c>
      <c r="E8115" s="250" t="str">
        <f>IF(AND(A8115&lt;&gt;"",ISNUMBER(A8115)),VLOOKUP(A8115,Studies!A:BR,5,FALSE),"")</f>
        <v>Triazolam</v>
      </c>
      <c r="F8115" s="251" t="str">
        <f>IF(AND(A8115&lt;&gt;"",ISNUMBER(A8115)),VLOOKUP(A8115,Studies!A:BR,6,FALSE),"")</f>
        <v>Plasma</v>
      </c>
      <c r="G8115" s="194">
        <v>76</v>
      </c>
      <c r="H8115" s="50" t="s">
        <v>60</v>
      </c>
      <c r="I8115" s="187">
        <v>4.6895720000000001</v>
      </c>
      <c r="J8115" s="41" t="s">
        <v>941</v>
      </c>
      <c r="K8115" s="41" t="s">
        <v>239</v>
      </c>
      <c r="O8115" s="199">
        <v>0.2</v>
      </c>
    </row>
    <row r="8116" spans="1:16" x14ac:dyDescent="0.2">
      <c r="A8116" s="30">
        <v>1067</v>
      </c>
      <c r="B8116" s="249" t="str">
        <f>IF(AND(A8116&lt;&gt;"",ISNUMBER(A8116)),VLOOKUP(A8116,Studies!A:BR,2,FALSE),"")</f>
        <v>Varhe 1994</v>
      </c>
      <c r="C8116" s="250" t="str">
        <f>IF(AND(A8116&lt;&gt;"",ISNUMBER(A8116)),VLOOKUP(A8116,Studies!A:BR,3,FALSE),"")</f>
        <v>https://www.ncbi.nlm.nih.gov/pubmed/7995001</v>
      </c>
      <c r="D8116" s="250" t="str">
        <f>IF(AND(A8116&lt;&gt;"",ISNUMBER(A8116)),VLOOKUP(A8116,Studies!A:BR,4,FALSE),"")</f>
        <v>Triazolam with ketoconazole Subject 9</v>
      </c>
      <c r="E8116" s="250" t="str">
        <f>IF(AND(A8116&lt;&gt;"",ISNUMBER(A8116)),VLOOKUP(A8116,Studies!A:BR,5,FALSE),"")</f>
        <v>Triazolam</v>
      </c>
      <c r="F8116" s="251" t="str">
        <f>IF(AND(A8116&lt;&gt;"",ISNUMBER(A8116)),VLOOKUP(A8116,Studies!A:BR,6,FALSE),"")</f>
        <v>Plasma</v>
      </c>
      <c r="G8116" s="194">
        <v>77</v>
      </c>
      <c r="H8116" s="50" t="s">
        <v>60</v>
      </c>
      <c r="I8116" s="187">
        <v>4.2276210000000001</v>
      </c>
      <c r="J8116" s="41" t="s">
        <v>941</v>
      </c>
      <c r="K8116" s="41" t="s">
        <v>239</v>
      </c>
      <c r="O8116" s="199">
        <v>0.2</v>
      </c>
    </row>
    <row r="8117" spans="1:16" x14ac:dyDescent="0.2">
      <c r="A8117" s="30">
        <v>1067</v>
      </c>
      <c r="B8117" s="249" t="str">
        <f>IF(AND(A8117&lt;&gt;"",ISNUMBER(A8117)),VLOOKUP(A8117,Studies!A:BR,2,FALSE),"")</f>
        <v>Varhe 1994</v>
      </c>
      <c r="C8117" s="250" t="str">
        <f>IF(AND(A8117&lt;&gt;"",ISNUMBER(A8117)),VLOOKUP(A8117,Studies!A:BR,3,FALSE),"")</f>
        <v>https://www.ncbi.nlm.nih.gov/pubmed/7995001</v>
      </c>
      <c r="D8117" s="250" t="str">
        <f>IF(AND(A8117&lt;&gt;"",ISNUMBER(A8117)),VLOOKUP(A8117,Studies!A:BR,4,FALSE),"")</f>
        <v>Triazolam with ketoconazole Subject 9</v>
      </c>
      <c r="E8117" s="250" t="str">
        <f>IF(AND(A8117&lt;&gt;"",ISNUMBER(A8117)),VLOOKUP(A8117,Studies!A:BR,5,FALSE),"")</f>
        <v>Triazolam</v>
      </c>
      <c r="F8117" s="251" t="str">
        <f>IF(AND(A8117&lt;&gt;"",ISNUMBER(A8117)),VLOOKUP(A8117,Studies!A:BR,6,FALSE),"")</f>
        <v>Plasma</v>
      </c>
      <c r="G8117" s="194">
        <v>78</v>
      </c>
      <c r="H8117" s="50" t="s">
        <v>60</v>
      </c>
      <c r="I8117" s="187">
        <v>3.902177</v>
      </c>
      <c r="J8117" s="41" t="s">
        <v>941</v>
      </c>
      <c r="K8117" s="41" t="s">
        <v>239</v>
      </c>
      <c r="O8117" s="199">
        <v>0.2</v>
      </c>
    </row>
    <row r="8118" spans="1:16" x14ac:dyDescent="0.2">
      <c r="A8118" s="30">
        <v>1067</v>
      </c>
      <c r="B8118" s="249" t="str">
        <f>IF(AND(A8118&lt;&gt;"",ISNUMBER(A8118)),VLOOKUP(A8118,Studies!A:BR,2,FALSE),"")</f>
        <v>Varhe 1994</v>
      </c>
      <c r="C8118" s="250" t="str">
        <f>IF(AND(A8118&lt;&gt;"",ISNUMBER(A8118)),VLOOKUP(A8118,Studies!A:BR,3,FALSE),"")</f>
        <v>https://www.ncbi.nlm.nih.gov/pubmed/7995001</v>
      </c>
      <c r="D8118" s="250" t="str">
        <f>IF(AND(A8118&lt;&gt;"",ISNUMBER(A8118)),VLOOKUP(A8118,Studies!A:BR,4,FALSE),"")</f>
        <v>Triazolam with ketoconazole Subject 9</v>
      </c>
      <c r="E8118" s="250" t="str">
        <f>IF(AND(A8118&lt;&gt;"",ISNUMBER(A8118)),VLOOKUP(A8118,Studies!A:BR,5,FALSE),"")</f>
        <v>Triazolam</v>
      </c>
      <c r="F8118" s="251" t="str">
        <f>IF(AND(A8118&lt;&gt;"",ISNUMBER(A8118)),VLOOKUP(A8118,Studies!A:BR,6,FALSE),"")</f>
        <v>Plasma</v>
      </c>
      <c r="G8118" s="194">
        <v>79</v>
      </c>
      <c r="H8118" s="50" t="s">
        <v>60</v>
      </c>
      <c r="I8118" s="187">
        <v>3.687039</v>
      </c>
      <c r="J8118" s="41" t="s">
        <v>941</v>
      </c>
      <c r="K8118" s="41" t="s">
        <v>239</v>
      </c>
      <c r="O8118" s="199">
        <v>0.2</v>
      </c>
    </row>
    <row r="8119" spans="1:16" x14ac:dyDescent="0.2">
      <c r="A8119" s="30">
        <v>1067</v>
      </c>
      <c r="B8119" s="249" t="str">
        <f>IF(AND(A8119&lt;&gt;"",ISNUMBER(A8119)),VLOOKUP(A8119,Studies!A:BR,2,FALSE),"")</f>
        <v>Varhe 1994</v>
      </c>
      <c r="C8119" s="250" t="str">
        <f>IF(AND(A8119&lt;&gt;"",ISNUMBER(A8119)),VLOOKUP(A8119,Studies!A:BR,3,FALSE),"")</f>
        <v>https://www.ncbi.nlm.nih.gov/pubmed/7995001</v>
      </c>
      <c r="D8119" s="250" t="str">
        <f>IF(AND(A8119&lt;&gt;"",ISNUMBER(A8119)),VLOOKUP(A8119,Studies!A:BR,4,FALSE),"")</f>
        <v>Triazolam with ketoconazole Subject 9</v>
      </c>
      <c r="E8119" s="250" t="str">
        <f>IF(AND(A8119&lt;&gt;"",ISNUMBER(A8119)),VLOOKUP(A8119,Studies!A:BR,5,FALSE),"")</f>
        <v>Triazolam</v>
      </c>
      <c r="F8119" s="251" t="str">
        <f>IF(AND(A8119&lt;&gt;"",ISNUMBER(A8119)),VLOOKUP(A8119,Studies!A:BR,6,FALSE),"")</f>
        <v>Plasma</v>
      </c>
      <c r="G8119" s="194">
        <v>80</v>
      </c>
      <c r="H8119" s="50" t="s">
        <v>60</v>
      </c>
      <c r="I8119" s="187">
        <v>3.7825510000000002</v>
      </c>
      <c r="J8119" s="41" t="s">
        <v>941</v>
      </c>
      <c r="K8119" s="41" t="s">
        <v>239</v>
      </c>
      <c r="O8119" s="199">
        <v>0.2</v>
      </c>
    </row>
    <row r="8120" spans="1:16" x14ac:dyDescent="0.2">
      <c r="A8120" s="30">
        <v>1067</v>
      </c>
      <c r="B8120" s="249" t="str">
        <f>IF(AND(A8120&lt;&gt;"",ISNUMBER(A8120)),VLOOKUP(A8120,Studies!A:BR,2,FALSE),"")</f>
        <v>Varhe 1994</v>
      </c>
      <c r="C8120" s="250" t="str">
        <f>IF(AND(A8120&lt;&gt;"",ISNUMBER(A8120)),VLOOKUP(A8120,Studies!A:BR,3,FALSE),"")</f>
        <v>https://www.ncbi.nlm.nih.gov/pubmed/7995001</v>
      </c>
      <c r="D8120" s="250" t="str">
        <f>IF(AND(A8120&lt;&gt;"",ISNUMBER(A8120)),VLOOKUP(A8120,Studies!A:BR,4,FALSE),"")</f>
        <v>Triazolam with ketoconazole Subject 9</v>
      </c>
      <c r="E8120" s="250" t="str">
        <f>IF(AND(A8120&lt;&gt;"",ISNUMBER(A8120)),VLOOKUP(A8120,Studies!A:BR,5,FALSE),"")</f>
        <v>Triazolam</v>
      </c>
      <c r="F8120" s="251" t="str">
        <f>IF(AND(A8120&lt;&gt;"",ISNUMBER(A8120)),VLOOKUP(A8120,Studies!A:BR,6,FALSE),"")</f>
        <v>Plasma</v>
      </c>
      <c r="G8120" s="194">
        <v>90</v>
      </c>
      <c r="H8120" s="50" t="s">
        <v>60</v>
      </c>
      <c r="I8120" s="187">
        <v>2.1974429999999998</v>
      </c>
      <c r="J8120" s="41" t="s">
        <v>941</v>
      </c>
      <c r="K8120" s="41" t="s">
        <v>239</v>
      </c>
      <c r="O8120" s="199">
        <v>0.2</v>
      </c>
    </row>
    <row r="8121" spans="1:16" x14ac:dyDescent="0.2">
      <c r="A8121" s="30">
        <v>1068</v>
      </c>
      <c r="B8121" s="249" t="str">
        <f>IF(AND(A8121&lt;&gt;"",ISNUMBER(A8121)),VLOOKUP(A8121,Studies!A:BR,2,FALSE),"")</f>
        <v>Varhe 1994</v>
      </c>
      <c r="C8121" s="250" t="str">
        <f>IF(AND(A8121&lt;&gt;"",ISNUMBER(A8121)),VLOOKUP(A8121,Studies!A:BR,3,FALSE),"")</f>
        <v>https://www.ncbi.nlm.nih.gov/pubmed/7995001</v>
      </c>
      <c r="D8121" s="250" t="str">
        <f>IF(AND(A8121&lt;&gt;"",ISNUMBER(A8121)),VLOOKUP(A8121,Studies!A:BR,4,FALSE),"")</f>
        <v>Triazolam with Itraconazole Subject 1</v>
      </c>
      <c r="E8121" s="250" t="str">
        <f>IF(AND(A8121&lt;&gt;"",ISNUMBER(A8121)),VLOOKUP(A8121,Studies!A:BR,5,FALSE),"")</f>
        <v>Triazolam</v>
      </c>
      <c r="F8121" s="251" t="str">
        <f>IF(AND(A8121&lt;&gt;"",ISNUMBER(A8121)),VLOOKUP(A8121,Studies!A:BR,6,FALSE),"")</f>
        <v>Plasma</v>
      </c>
      <c r="G8121" s="194">
        <v>73.67</v>
      </c>
      <c r="H8121" s="50" t="s">
        <v>60</v>
      </c>
      <c r="I8121" s="187">
        <v>0.9069855</v>
      </c>
      <c r="J8121" s="41" t="s">
        <v>941</v>
      </c>
      <c r="K8121" s="41" t="s">
        <v>239</v>
      </c>
      <c r="O8121" s="199">
        <v>0.2</v>
      </c>
      <c r="P8121" s="42" t="s">
        <v>2645</v>
      </c>
    </row>
    <row r="8122" spans="1:16" x14ac:dyDescent="0.2">
      <c r="A8122" s="30">
        <v>1068</v>
      </c>
      <c r="B8122" s="249" t="str">
        <f>IF(AND(A8122&lt;&gt;"",ISNUMBER(A8122)),VLOOKUP(A8122,Studies!A:BR,2,FALSE),"")</f>
        <v>Varhe 1994</v>
      </c>
      <c r="C8122" s="250" t="str">
        <f>IF(AND(A8122&lt;&gt;"",ISNUMBER(A8122)),VLOOKUP(A8122,Studies!A:BR,3,FALSE),"")</f>
        <v>https://www.ncbi.nlm.nih.gov/pubmed/7995001</v>
      </c>
      <c r="D8122" s="250" t="str">
        <f>IF(AND(A8122&lt;&gt;"",ISNUMBER(A8122)),VLOOKUP(A8122,Studies!A:BR,4,FALSE),"")</f>
        <v>Triazolam with Itraconazole Subject 1</v>
      </c>
      <c r="E8122" s="250" t="str">
        <f>IF(AND(A8122&lt;&gt;"",ISNUMBER(A8122)),VLOOKUP(A8122,Studies!A:BR,5,FALSE),"")</f>
        <v>Triazolam</v>
      </c>
      <c r="F8122" s="251" t="str">
        <f>IF(AND(A8122&lt;&gt;"",ISNUMBER(A8122)),VLOOKUP(A8122,Studies!A:BR,6,FALSE),"")</f>
        <v>Plasma</v>
      </c>
      <c r="G8122" s="194">
        <v>74</v>
      </c>
      <c r="H8122" s="50" t="s">
        <v>60</v>
      </c>
      <c r="I8122" s="187">
        <v>2.252821</v>
      </c>
      <c r="J8122" s="41" t="s">
        <v>941</v>
      </c>
      <c r="K8122" s="41" t="s">
        <v>239</v>
      </c>
      <c r="O8122" s="199">
        <v>0.2</v>
      </c>
    </row>
    <row r="8123" spans="1:16" x14ac:dyDescent="0.2">
      <c r="A8123" s="30">
        <v>1068</v>
      </c>
      <c r="B8123" s="249" t="str">
        <f>IF(AND(A8123&lt;&gt;"",ISNUMBER(A8123)),VLOOKUP(A8123,Studies!A:BR,2,FALSE),"")</f>
        <v>Varhe 1994</v>
      </c>
      <c r="C8123" s="250" t="str">
        <f>IF(AND(A8123&lt;&gt;"",ISNUMBER(A8123)),VLOOKUP(A8123,Studies!A:BR,3,FALSE),"")</f>
        <v>https://www.ncbi.nlm.nih.gov/pubmed/7995001</v>
      </c>
      <c r="D8123" s="250" t="str">
        <f>IF(AND(A8123&lt;&gt;"",ISNUMBER(A8123)),VLOOKUP(A8123,Studies!A:BR,4,FALSE),"")</f>
        <v>Triazolam with Itraconazole Subject 1</v>
      </c>
      <c r="E8123" s="250" t="str">
        <f>IF(AND(A8123&lt;&gt;"",ISNUMBER(A8123)),VLOOKUP(A8123,Studies!A:BR,5,FALSE),"")</f>
        <v>Triazolam</v>
      </c>
      <c r="F8123" s="251" t="str">
        <f>IF(AND(A8123&lt;&gt;"",ISNUMBER(A8123)),VLOOKUP(A8123,Studies!A:BR,6,FALSE),"")</f>
        <v>Plasma</v>
      </c>
      <c r="G8123" s="194">
        <v>74.5</v>
      </c>
      <c r="H8123" s="50" t="s">
        <v>60</v>
      </c>
      <c r="I8123" s="187">
        <v>4.9741530000000003</v>
      </c>
      <c r="J8123" s="41" t="s">
        <v>941</v>
      </c>
      <c r="K8123" s="41" t="s">
        <v>239</v>
      </c>
      <c r="O8123" s="199">
        <v>0.2</v>
      </c>
    </row>
    <row r="8124" spans="1:16" x14ac:dyDescent="0.2">
      <c r="A8124" s="30">
        <v>1068</v>
      </c>
      <c r="B8124" s="249" t="str">
        <f>IF(AND(A8124&lt;&gt;"",ISNUMBER(A8124)),VLOOKUP(A8124,Studies!A:BR,2,FALSE),"")</f>
        <v>Varhe 1994</v>
      </c>
      <c r="C8124" s="250" t="str">
        <f>IF(AND(A8124&lt;&gt;"",ISNUMBER(A8124)),VLOOKUP(A8124,Studies!A:BR,3,FALSE),"")</f>
        <v>https://www.ncbi.nlm.nih.gov/pubmed/7995001</v>
      </c>
      <c r="D8124" s="250" t="str">
        <f>IF(AND(A8124&lt;&gt;"",ISNUMBER(A8124)),VLOOKUP(A8124,Studies!A:BR,4,FALSE),"")</f>
        <v>Triazolam with Itraconazole Subject 1</v>
      </c>
      <c r="E8124" s="250" t="str">
        <f>IF(AND(A8124&lt;&gt;"",ISNUMBER(A8124)),VLOOKUP(A8124,Studies!A:BR,5,FALSE),"")</f>
        <v>Triazolam</v>
      </c>
      <c r="F8124" s="251" t="str">
        <f>IF(AND(A8124&lt;&gt;"",ISNUMBER(A8124)),VLOOKUP(A8124,Studies!A:BR,6,FALSE),"")</f>
        <v>Plasma</v>
      </c>
      <c r="G8124" s="194">
        <v>75</v>
      </c>
      <c r="H8124" s="50" t="s">
        <v>60</v>
      </c>
      <c r="I8124" s="187">
        <v>7.7975469999999998</v>
      </c>
      <c r="J8124" s="41" t="s">
        <v>941</v>
      </c>
      <c r="K8124" s="41" t="s">
        <v>239</v>
      </c>
      <c r="O8124" s="199">
        <v>0.2</v>
      </c>
    </row>
    <row r="8125" spans="1:16" x14ac:dyDescent="0.2">
      <c r="A8125" s="30">
        <v>1068</v>
      </c>
      <c r="B8125" s="249" t="str">
        <f>IF(AND(A8125&lt;&gt;"",ISNUMBER(A8125)),VLOOKUP(A8125,Studies!A:BR,2,FALSE),"")</f>
        <v>Varhe 1994</v>
      </c>
      <c r="C8125" s="250" t="str">
        <f>IF(AND(A8125&lt;&gt;"",ISNUMBER(A8125)),VLOOKUP(A8125,Studies!A:BR,3,FALSE),"")</f>
        <v>https://www.ncbi.nlm.nih.gov/pubmed/7995001</v>
      </c>
      <c r="D8125" s="250" t="str">
        <f>IF(AND(A8125&lt;&gt;"",ISNUMBER(A8125)),VLOOKUP(A8125,Studies!A:BR,4,FALSE),"")</f>
        <v>Triazolam with Itraconazole Subject 1</v>
      </c>
      <c r="E8125" s="250" t="str">
        <f>IF(AND(A8125&lt;&gt;"",ISNUMBER(A8125)),VLOOKUP(A8125,Studies!A:BR,5,FALSE),"")</f>
        <v>Triazolam</v>
      </c>
      <c r="F8125" s="251" t="str">
        <f>IF(AND(A8125&lt;&gt;"",ISNUMBER(A8125)),VLOOKUP(A8125,Studies!A:BR,6,FALSE),"")</f>
        <v>Plasma</v>
      </c>
      <c r="G8125" s="194">
        <v>75.5</v>
      </c>
      <c r="H8125" s="50" t="s">
        <v>60</v>
      </c>
      <c r="I8125" s="187">
        <v>10.2996</v>
      </c>
      <c r="J8125" s="41" t="s">
        <v>941</v>
      </c>
      <c r="K8125" s="41" t="s">
        <v>239</v>
      </c>
      <c r="O8125" s="199">
        <v>0.2</v>
      </c>
    </row>
    <row r="8126" spans="1:16" x14ac:dyDescent="0.2">
      <c r="A8126" s="30">
        <v>1068</v>
      </c>
      <c r="B8126" s="249" t="str">
        <f>IF(AND(A8126&lt;&gt;"",ISNUMBER(A8126)),VLOOKUP(A8126,Studies!A:BR,2,FALSE),"")</f>
        <v>Varhe 1994</v>
      </c>
      <c r="C8126" s="250" t="str">
        <f>IF(AND(A8126&lt;&gt;"",ISNUMBER(A8126)),VLOOKUP(A8126,Studies!A:BR,3,FALSE),"")</f>
        <v>https://www.ncbi.nlm.nih.gov/pubmed/7995001</v>
      </c>
      <c r="D8126" s="250" t="str">
        <f>IF(AND(A8126&lt;&gt;"",ISNUMBER(A8126)),VLOOKUP(A8126,Studies!A:BR,4,FALSE),"")</f>
        <v>Triazolam with Itraconazole Subject 1</v>
      </c>
      <c r="E8126" s="250" t="str">
        <f>IF(AND(A8126&lt;&gt;"",ISNUMBER(A8126)),VLOOKUP(A8126,Studies!A:BR,5,FALSE),"")</f>
        <v>Triazolam</v>
      </c>
      <c r="F8126" s="251" t="str">
        <f>IF(AND(A8126&lt;&gt;"",ISNUMBER(A8126)),VLOOKUP(A8126,Studies!A:BR,6,FALSE),"")</f>
        <v>Plasma</v>
      </c>
      <c r="G8126" s="194">
        <v>76</v>
      </c>
      <c r="H8126" s="50" t="s">
        <v>60</v>
      </c>
      <c r="I8126" s="187">
        <v>10.75015</v>
      </c>
      <c r="J8126" s="41" t="s">
        <v>941</v>
      </c>
      <c r="K8126" s="41" t="s">
        <v>239</v>
      </c>
      <c r="O8126" s="199">
        <v>0.2</v>
      </c>
    </row>
    <row r="8127" spans="1:16" x14ac:dyDescent="0.2">
      <c r="A8127" s="30">
        <v>1068</v>
      </c>
      <c r="B8127" s="249" t="str">
        <f>IF(AND(A8127&lt;&gt;"",ISNUMBER(A8127)),VLOOKUP(A8127,Studies!A:BR,2,FALSE),"")</f>
        <v>Varhe 1994</v>
      </c>
      <c r="C8127" s="250" t="str">
        <f>IF(AND(A8127&lt;&gt;"",ISNUMBER(A8127)),VLOOKUP(A8127,Studies!A:BR,3,FALSE),"")</f>
        <v>https://www.ncbi.nlm.nih.gov/pubmed/7995001</v>
      </c>
      <c r="D8127" s="250" t="str">
        <f>IF(AND(A8127&lt;&gt;"",ISNUMBER(A8127)),VLOOKUP(A8127,Studies!A:BR,4,FALSE),"")</f>
        <v>Triazolam with Itraconazole Subject 1</v>
      </c>
      <c r="E8127" s="250" t="str">
        <f>IF(AND(A8127&lt;&gt;"",ISNUMBER(A8127)),VLOOKUP(A8127,Studies!A:BR,5,FALSE),"")</f>
        <v>Triazolam</v>
      </c>
      <c r="F8127" s="251" t="str">
        <f>IF(AND(A8127&lt;&gt;"",ISNUMBER(A8127)),VLOOKUP(A8127,Studies!A:BR,6,FALSE),"")</f>
        <v>Plasma</v>
      </c>
      <c r="G8127" s="194">
        <v>77</v>
      </c>
      <c r="H8127" s="50" t="s">
        <v>60</v>
      </c>
      <c r="I8127" s="187">
        <v>11.463190000000001</v>
      </c>
      <c r="J8127" s="41" t="s">
        <v>941</v>
      </c>
      <c r="K8127" s="41" t="s">
        <v>239</v>
      </c>
      <c r="O8127" s="199">
        <v>0.2</v>
      </c>
    </row>
    <row r="8128" spans="1:16" x14ac:dyDescent="0.2">
      <c r="A8128" s="30">
        <v>1068</v>
      </c>
      <c r="B8128" s="249" t="str">
        <f>IF(AND(A8128&lt;&gt;"",ISNUMBER(A8128)),VLOOKUP(A8128,Studies!A:BR,2,FALSE),"")</f>
        <v>Varhe 1994</v>
      </c>
      <c r="C8128" s="250" t="str">
        <f>IF(AND(A8128&lt;&gt;"",ISNUMBER(A8128)),VLOOKUP(A8128,Studies!A:BR,3,FALSE),"")</f>
        <v>https://www.ncbi.nlm.nih.gov/pubmed/7995001</v>
      </c>
      <c r="D8128" s="250" t="str">
        <f>IF(AND(A8128&lt;&gt;"",ISNUMBER(A8128)),VLOOKUP(A8128,Studies!A:BR,4,FALSE),"")</f>
        <v>Triazolam with Itraconazole Subject 1</v>
      </c>
      <c r="E8128" s="250" t="str">
        <f>IF(AND(A8128&lt;&gt;"",ISNUMBER(A8128)),VLOOKUP(A8128,Studies!A:BR,5,FALSE),"")</f>
        <v>Triazolam</v>
      </c>
      <c r="F8128" s="251" t="str">
        <f>IF(AND(A8128&lt;&gt;"",ISNUMBER(A8128)),VLOOKUP(A8128,Studies!A:BR,6,FALSE),"")</f>
        <v>Plasma</v>
      </c>
      <c r="G8128" s="194">
        <v>78</v>
      </c>
      <c r="H8128" s="50" t="s">
        <v>60</v>
      </c>
      <c r="I8128" s="187">
        <v>10.2996</v>
      </c>
      <c r="J8128" s="41" t="s">
        <v>941</v>
      </c>
      <c r="K8128" s="41" t="s">
        <v>239</v>
      </c>
      <c r="O8128" s="199">
        <v>0.2</v>
      </c>
    </row>
    <row r="8129" spans="1:16" x14ac:dyDescent="0.2">
      <c r="A8129" s="30">
        <v>1068</v>
      </c>
      <c r="B8129" s="249" t="str">
        <f>IF(AND(A8129&lt;&gt;"",ISNUMBER(A8129)),VLOOKUP(A8129,Studies!A:BR,2,FALSE),"")</f>
        <v>Varhe 1994</v>
      </c>
      <c r="C8129" s="250" t="str">
        <f>IF(AND(A8129&lt;&gt;"",ISNUMBER(A8129)),VLOOKUP(A8129,Studies!A:BR,3,FALSE),"")</f>
        <v>https://www.ncbi.nlm.nih.gov/pubmed/7995001</v>
      </c>
      <c r="D8129" s="250" t="str">
        <f>IF(AND(A8129&lt;&gt;"",ISNUMBER(A8129)),VLOOKUP(A8129,Studies!A:BR,4,FALSE),"")</f>
        <v>Triazolam with Itraconazole Subject 1</v>
      </c>
      <c r="E8129" s="250" t="str">
        <f>IF(AND(A8129&lt;&gt;"",ISNUMBER(A8129)),VLOOKUP(A8129,Studies!A:BR,5,FALSE),"")</f>
        <v>Triazolam</v>
      </c>
      <c r="F8129" s="251" t="str">
        <f>IF(AND(A8129&lt;&gt;"",ISNUMBER(A8129)),VLOOKUP(A8129,Studies!A:BR,6,FALSE),"")</f>
        <v>Plasma</v>
      </c>
      <c r="G8129" s="194">
        <v>79</v>
      </c>
      <c r="H8129" s="50" t="s">
        <v>60</v>
      </c>
      <c r="I8129" s="187">
        <v>10.18994</v>
      </c>
      <c r="J8129" s="41" t="s">
        <v>941</v>
      </c>
      <c r="K8129" s="41" t="s">
        <v>239</v>
      </c>
      <c r="O8129" s="199">
        <v>0.2</v>
      </c>
    </row>
    <row r="8130" spans="1:16" x14ac:dyDescent="0.2">
      <c r="A8130" s="30">
        <v>1068</v>
      </c>
      <c r="B8130" s="249" t="str">
        <f>IF(AND(A8130&lt;&gt;"",ISNUMBER(A8130)),VLOOKUP(A8130,Studies!A:BR,2,FALSE),"")</f>
        <v>Varhe 1994</v>
      </c>
      <c r="C8130" s="250" t="str">
        <f>IF(AND(A8130&lt;&gt;"",ISNUMBER(A8130)),VLOOKUP(A8130,Studies!A:BR,3,FALSE),"")</f>
        <v>https://www.ncbi.nlm.nih.gov/pubmed/7995001</v>
      </c>
      <c r="D8130" s="250" t="str">
        <f>IF(AND(A8130&lt;&gt;"",ISNUMBER(A8130)),VLOOKUP(A8130,Studies!A:BR,4,FALSE),"")</f>
        <v>Triazolam with Itraconazole Subject 1</v>
      </c>
      <c r="E8130" s="250" t="str">
        <f>IF(AND(A8130&lt;&gt;"",ISNUMBER(A8130)),VLOOKUP(A8130,Studies!A:BR,5,FALSE),"")</f>
        <v>Triazolam</v>
      </c>
      <c r="F8130" s="251" t="str">
        <f>IF(AND(A8130&lt;&gt;"",ISNUMBER(A8130)),VLOOKUP(A8130,Studies!A:BR,6,FALSE),"")</f>
        <v>Plasma</v>
      </c>
      <c r="G8130" s="194">
        <v>80</v>
      </c>
      <c r="H8130" s="50" t="s">
        <v>60</v>
      </c>
      <c r="I8130" s="187">
        <v>9.974119</v>
      </c>
      <c r="J8130" s="41" t="s">
        <v>941</v>
      </c>
      <c r="K8130" s="41" t="s">
        <v>239</v>
      </c>
      <c r="O8130" s="59">
        <v>0.2</v>
      </c>
    </row>
    <row r="8131" spans="1:16" x14ac:dyDescent="0.2">
      <c r="A8131" s="30">
        <v>1068</v>
      </c>
      <c r="B8131" s="249" t="str">
        <f>IF(AND(A8131&lt;&gt;"",ISNUMBER(A8131)),VLOOKUP(A8131,Studies!A:BR,2,FALSE),"")</f>
        <v>Varhe 1994</v>
      </c>
      <c r="C8131" s="250" t="str">
        <f>IF(AND(A8131&lt;&gt;"",ISNUMBER(A8131)),VLOOKUP(A8131,Studies!A:BR,3,FALSE),"")</f>
        <v>https://www.ncbi.nlm.nih.gov/pubmed/7995001</v>
      </c>
      <c r="D8131" s="250" t="str">
        <f>IF(AND(A8131&lt;&gt;"",ISNUMBER(A8131)),VLOOKUP(A8131,Studies!A:BR,4,FALSE),"")</f>
        <v>Triazolam with Itraconazole Subject 1</v>
      </c>
      <c r="E8131" s="250" t="str">
        <f>IF(AND(A8131&lt;&gt;"",ISNUMBER(A8131)),VLOOKUP(A8131,Studies!A:BR,5,FALSE),"")</f>
        <v>Triazolam</v>
      </c>
      <c r="F8131" s="251" t="str">
        <f>IF(AND(A8131&lt;&gt;"",ISNUMBER(A8131)),VLOOKUP(A8131,Studies!A:BR,6,FALSE),"")</f>
        <v>Plasma</v>
      </c>
      <c r="G8131" s="194">
        <v>90</v>
      </c>
      <c r="H8131" s="50" t="s">
        <v>60</v>
      </c>
      <c r="I8131" s="187">
        <v>8.6784750000000006</v>
      </c>
      <c r="J8131" s="41" t="s">
        <v>941</v>
      </c>
      <c r="K8131" s="41" t="s">
        <v>239</v>
      </c>
      <c r="O8131" s="199">
        <v>0.2</v>
      </c>
    </row>
    <row r="8132" spans="1:16" x14ac:dyDescent="0.2">
      <c r="A8132" s="30">
        <v>1069</v>
      </c>
      <c r="B8132" s="249" t="str">
        <f>IF(AND(A8132&lt;&gt;"",ISNUMBER(A8132)),VLOOKUP(A8132,Studies!A:BR,2,FALSE),"")</f>
        <v>Varhe 1994</v>
      </c>
      <c r="C8132" s="250" t="str">
        <f>IF(AND(A8132&lt;&gt;"",ISNUMBER(A8132)),VLOOKUP(A8132,Studies!A:BR,3,FALSE),"")</f>
        <v>https://www.ncbi.nlm.nih.gov/pubmed/7995001</v>
      </c>
      <c r="D8132" s="250" t="str">
        <f>IF(AND(A8132&lt;&gt;"",ISNUMBER(A8132)),VLOOKUP(A8132,Studies!A:BR,4,FALSE),"")</f>
        <v>Triazolam with Itraconazole Subject 2</v>
      </c>
      <c r="E8132" s="250" t="str">
        <f>IF(AND(A8132&lt;&gt;"",ISNUMBER(A8132)),VLOOKUP(A8132,Studies!A:BR,5,FALSE),"")</f>
        <v>Triazolam</v>
      </c>
      <c r="F8132" s="251" t="str">
        <f>IF(AND(A8132&lt;&gt;"",ISNUMBER(A8132)),VLOOKUP(A8132,Studies!A:BR,6,FALSE),"")</f>
        <v>Plasma</v>
      </c>
      <c r="G8132" s="194">
        <v>73.67</v>
      </c>
      <c r="H8132" s="50" t="s">
        <v>60</v>
      </c>
      <c r="I8132" s="187">
        <v>0.3012533</v>
      </c>
      <c r="J8132" s="41" t="s">
        <v>941</v>
      </c>
      <c r="K8132" s="41" t="s">
        <v>239</v>
      </c>
      <c r="O8132" s="199">
        <v>0.2</v>
      </c>
      <c r="P8132" s="42" t="s">
        <v>2645</v>
      </c>
    </row>
    <row r="8133" spans="1:16" x14ac:dyDescent="0.2">
      <c r="A8133" s="30">
        <v>1069</v>
      </c>
      <c r="B8133" s="249" t="str">
        <f>IF(AND(A8133&lt;&gt;"",ISNUMBER(A8133)),VLOOKUP(A8133,Studies!A:BR,2,FALSE),"")</f>
        <v>Varhe 1994</v>
      </c>
      <c r="C8133" s="250" t="str">
        <f>IF(AND(A8133&lt;&gt;"",ISNUMBER(A8133)),VLOOKUP(A8133,Studies!A:BR,3,FALSE),"")</f>
        <v>https://www.ncbi.nlm.nih.gov/pubmed/7995001</v>
      </c>
      <c r="D8133" s="250" t="str">
        <f>IF(AND(A8133&lt;&gt;"",ISNUMBER(A8133)),VLOOKUP(A8133,Studies!A:BR,4,FALSE),"")</f>
        <v>Triazolam with Itraconazole Subject 2</v>
      </c>
      <c r="E8133" s="250" t="str">
        <f>IF(AND(A8133&lt;&gt;"",ISNUMBER(A8133)),VLOOKUP(A8133,Studies!A:BR,5,FALSE),"")</f>
        <v>Triazolam</v>
      </c>
      <c r="F8133" s="251" t="str">
        <f>IF(AND(A8133&lt;&gt;"",ISNUMBER(A8133)),VLOOKUP(A8133,Studies!A:BR,6,FALSE),"")</f>
        <v>Plasma</v>
      </c>
      <c r="G8133" s="194">
        <v>74</v>
      </c>
      <c r="H8133" s="50" t="s">
        <v>60</v>
      </c>
      <c r="I8133" s="187">
        <v>1.501671</v>
      </c>
      <c r="J8133" s="41" t="s">
        <v>941</v>
      </c>
      <c r="K8133" s="41" t="s">
        <v>239</v>
      </c>
      <c r="O8133" s="199">
        <v>0.2</v>
      </c>
    </row>
    <row r="8134" spans="1:16" x14ac:dyDescent="0.2">
      <c r="A8134" s="30">
        <v>1069</v>
      </c>
      <c r="B8134" s="249" t="str">
        <f>IF(AND(A8134&lt;&gt;"",ISNUMBER(A8134)),VLOOKUP(A8134,Studies!A:BR,2,FALSE),"")</f>
        <v>Varhe 1994</v>
      </c>
      <c r="C8134" s="250" t="str">
        <f>IF(AND(A8134&lt;&gt;"",ISNUMBER(A8134)),VLOOKUP(A8134,Studies!A:BR,3,FALSE),"")</f>
        <v>https://www.ncbi.nlm.nih.gov/pubmed/7995001</v>
      </c>
      <c r="D8134" s="250" t="str">
        <f>IF(AND(A8134&lt;&gt;"",ISNUMBER(A8134)),VLOOKUP(A8134,Studies!A:BR,4,FALSE),"")</f>
        <v>Triazolam with Itraconazole Subject 2</v>
      </c>
      <c r="E8134" s="250" t="str">
        <f>IF(AND(A8134&lt;&gt;"",ISNUMBER(A8134)),VLOOKUP(A8134,Studies!A:BR,5,FALSE),"")</f>
        <v>Triazolam</v>
      </c>
      <c r="F8134" s="251" t="str">
        <f>IF(AND(A8134&lt;&gt;"",ISNUMBER(A8134)),VLOOKUP(A8134,Studies!A:BR,6,FALSE),"")</f>
        <v>Plasma</v>
      </c>
      <c r="G8134" s="194">
        <v>74.5</v>
      </c>
      <c r="H8134" s="50" t="s">
        <v>60</v>
      </c>
      <c r="I8134" s="187">
        <v>2.830003</v>
      </c>
      <c r="J8134" s="41" t="s">
        <v>941</v>
      </c>
      <c r="K8134" s="41" t="s">
        <v>239</v>
      </c>
      <c r="O8134" s="199">
        <v>0.2</v>
      </c>
    </row>
    <row r="8135" spans="1:16" x14ac:dyDescent="0.2">
      <c r="A8135" s="30">
        <v>1069</v>
      </c>
      <c r="B8135" s="249" t="str">
        <f>IF(AND(A8135&lt;&gt;"",ISNUMBER(A8135)),VLOOKUP(A8135,Studies!A:BR,2,FALSE),"")</f>
        <v>Varhe 1994</v>
      </c>
      <c r="C8135" s="250" t="str">
        <f>IF(AND(A8135&lt;&gt;"",ISNUMBER(A8135)),VLOOKUP(A8135,Studies!A:BR,3,FALSE),"")</f>
        <v>https://www.ncbi.nlm.nih.gov/pubmed/7995001</v>
      </c>
      <c r="D8135" s="250" t="str">
        <f>IF(AND(A8135&lt;&gt;"",ISNUMBER(A8135)),VLOOKUP(A8135,Studies!A:BR,4,FALSE),"")</f>
        <v>Triazolam with Itraconazole Subject 2</v>
      </c>
      <c r="E8135" s="250" t="str">
        <f>IF(AND(A8135&lt;&gt;"",ISNUMBER(A8135)),VLOOKUP(A8135,Studies!A:BR,5,FALSE),"")</f>
        <v>Triazolam</v>
      </c>
      <c r="F8135" s="251" t="str">
        <f>IF(AND(A8135&lt;&gt;"",ISNUMBER(A8135)),VLOOKUP(A8135,Studies!A:BR,6,FALSE),"")</f>
        <v>Plasma</v>
      </c>
      <c r="G8135" s="194">
        <v>75</v>
      </c>
      <c r="H8135" s="50" t="s">
        <v>60</v>
      </c>
      <c r="I8135" s="187">
        <v>3.0381719999999999</v>
      </c>
      <c r="J8135" s="41" t="s">
        <v>941</v>
      </c>
      <c r="K8135" s="41" t="s">
        <v>239</v>
      </c>
      <c r="O8135" s="199">
        <v>0.2</v>
      </c>
    </row>
    <row r="8136" spans="1:16" x14ac:dyDescent="0.2">
      <c r="A8136" s="30">
        <v>1069</v>
      </c>
      <c r="B8136" s="249" t="str">
        <f>IF(AND(A8136&lt;&gt;"",ISNUMBER(A8136)),VLOOKUP(A8136,Studies!A:BR,2,FALSE),"")</f>
        <v>Varhe 1994</v>
      </c>
      <c r="C8136" s="250" t="str">
        <f>IF(AND(A8136&lt;&gt;"",ISNUMBER(A8136)),VLOOKUP(A8136,Studies!A:BR,3,FALSE),"")</f>
        <v>https://www.ncbi.nlm.nih.gov/pubmed/7995001</v>
      </c>
      <c r="D8136" s="250" t="str">
        <f>IF(AND(A8136&lt;&gt;"",ISNUMBER(A8136)),VLOOKUP(A8136,Studies!A:BR,4,FALSE),"")</f>
        <v>Triazolam with Itraconazole Subject 2</v>
      </c>
      <c r="E8136" s="250" t="str">
        <f>IF(AND(A8136&lt;&gt;"",ISNUMBER(A8136)),VLOOKUP(A8136,Studies!A:BR,5,FALSE),"")</f>
        <v>Triazolam</v>
      </c>
      <c r="F8136" s="251" t="str">
        <f>IF(AND(A8136&lt;&gt;"",ISNUMBER(A8136)),VLOOKUP(A8136,Studies!A:BR,6,FALSE),"")</f>
        <v>Plasma</v>
      </c>
      <c r="G8136" s="194">
        <v>75.5</v>
      </c>
      <c r="H8136" s="50" t="s">
        <v>60</v>
      </c>
      <c r="I8136" s="187">
        <v>2.9010790000000002</v>
      </c>
      <c r="J8136" s="41" t="s">
        <v>941</v>
      </c>
      <c r="K8136" s="41" t="s">
        <v>239</v>
      </c>
      <c r="O8136" s="199">
        <v>0.2</v>
      </c>
    </row>
    <row r="8137" spans="1:16" x14ac:dyDescent="0.2">
      <c r="A8137" s="30">
        <v>1069</v>
      </c>
      <c r="B8137" s="249" t="str">
        <f>IF(AND(A8137&lt;&gt;"",ISNUMBER(A8137)),VLOOKUP(A8137,Studies!A:BR,2,FALSE),"")</f>
        <v>Varhe 1994</v>
      </c>
      <c r="C8137" s="250" t="str">
        <f>IF(AND(A8137&lt;&gt;"",ISNUMBER(A8137)),VLOOKUP(A8137,Studies!A:BR,3,FALSE),"")</f>
        <v>https://www.ncbi.nlm.nih.gov/pubmed/7995001</v>
      </c>
      <c r="D8137" s="250" t="str">
        <f>IF(AND(A8137&lt;&gt;"",ISNUMBER(A8137)),VLOOKUP(A8137,Studies!A:BR,4,FALSE),"")</f>
        <v>Triazolam with Itraconazole Subject 2</v>
      </c>
      <c r="E8137" s="250" t="str">
        <f>IF(AND(A8137&lt;&gt;"",ISNUMBER(A8137)),VLOOKUP(A8137,Studies!A:BR,5,FALSE),"")</f>
        <v>Triazolam</v>
      </c>
      <c r="F8137" s="251" t="str">
        <f>IF(AND(A8137&lt;&gt;"",ISNUMBER(A8137)),VLOOKUP(A8137,Studies!A:BR,6,FALSE),"")</f>
        <v>Plasma</v>
      </c>
      <c r="G8137" s="194">
        <v>76</v>
      </c>
      <c r="H8137" s="50" t="s">
        <v>60</v>
      </c>
      <c r="I8137" s="187">
        <v>3.0424129999999998</v>
      </c>
      <c r="J8137" s="41" t="s">
        <v>941</v>
      </c>
      <c r="K8137" s="41" t="s">
        <v>239</v>
      </c>
      <c r="O8137" s="199">
        <v>0.2</v>
      </c>
    </row>
    <row r="8138" spans="1:16" x14ac:dyDescent="0.2">
      <c r="A8138" s="30">
        <v>1069</v>
      </c>
      <c r="B8138" s="249" t="str">
        <f>IF(AND(A8138&lt;&gt;"",ISNUMBER(A8138)),VLOOKUP(A8138,Studies!A:BR,2,FALSE),"")</f>
        <v>Varhe 1994</v>
      </c>
      <c r="C8138" s="250" t="str">
        <f>IF(AND(A8138&lt;&gt;"",ISNUMBER(A8138)),VLOOKUP(A8138,Studies!A:BR,3,FALSE),"")</f>
        <v>https://www.ncbi.nlm.nih.gov/pubmed/7995001</v>
      </c>
      <c r="D8138" s="250" t="str">
        <f>IF(AND(A8138&lt;&gt;"",ISNUMBER(A8138)),VLOOKUP(A8138,Studies!A:BR,4,FALSE),"")</f>
        <v>Triazolam with Itraconazole Subject 2</v>
      </c>
      <c r="E8138" s="250" t="str">
        <f>IF(AND(A8138&lt;&gt;"",ISNUMBER(A8138)),VLOOKUP(A8138,Studies!A:BR,5,FALSE),"")</f>
        <v>Triazolam</v>
      </c>
      <c r="F8138" s="251" t="str">
        <f>IF(AND(A8138&lt;&gt;"",ISNUMBER(A8138)),VLOOKUP(A8138,Studies!A:BR,6,FALSE),"")</f>
        <v>Plasma</v>
      </c>
      <c r="G8138" s="194">
        <v>77</v>
      </c>
      <c r="H8138" s="50" t="s">
        <v>60</v>
      </c>
      <c r="I8138" s="187">
        <v>3.1189300000000002</v>
      </c>
      <c r="J8138" s="41" t="s">
        <v>941</v>
      </c>
      <c r="K8138" s="41" t="s">
        <v>239</v>
      </c>
      <c r="O8138" s="199">
        <v>0.2</v>
      </c>
    </row>
    <row r="8139" spans="1:16" x14ac:dyDescent="0.2">
      <c r="A8139" s="30">
        <v>1069</v>
      </c>
      <c r="B8139" s="249" t="str">
        <f>IF(AND(A8139&lt;&gt;"",ISNUMBER(A8139)),VLOOKUP(A8139,Studies!A:BR,2,FALSE),"")</f>
        <v>Varhe 1994</v>
      </c>
      <c r="C8139" s="250" t="str">
        <f>IF(AND(A8139&lt;&gt;"",ISNUMBER(A8139)),VLOOKUP(A8139,Studies!A:BR,3,FALSE),"")</f>
        <v>https://www.ncbi.nlm.nih.gov/pubmed/7995001</v>
      </c>
      <c r="D8139" s="250" t="str">
        <f>IF(AND(A8139&lt;&gt;"",ISNUMBER(A8139)),VLOOKUP(A8139,Studies!A:BR,4,FALSE),"")</f>
        <v>Triazolam with Itraconazole Subject 2</v>
      </c>
      <c r="E8139" s="250" t="str">
        <f>IF(AND(A8139&lt;&gt;"",ISNUMBER(A8139)),VLOOKUP(A8139,Studies!A:BR,5,FALSE),"")</f>
        <v>Triazolam</v>
      </c>
      <c r="F8139" s="251" t="str">
        <f>IF(AND(A8139&lt;&gt;"",ISNUMBER(A8139)),VLOOKUP(A8139,Studies!A:BR,6,FALSE),"")</f>
        <v>Plasma</v>
      </c>
      <c r="G8139" s="194">
        <v>78</v>
      </c>
      <c r="H8139" s="50" t="s">
        <v>60</v>
      </c>
      <c r="I8139" s="187">
        <v>3.160002</v>
      </c>
      <c r="J8139" s="41" t="s">
        <v>941</v>
      </c>
      <c r="K8139" s="41" t="s">
        <v>239</v>
      </c>
      <c r="O8139" s="199">
        <v>0.2</v>
      </c>
    </row>
    <row r="8140" spans="1:16" x14ac:dyDescent="0.2">
      <c r="A8140" s="30">
        <v>1069</v>
      </c>
      <c r="B8140" s="249" t="str">
        <f>IF(AND(A8140&lt;&gt;"",ISNUMBER(A8140)),VLOOKUP(A8140,Studies!A:BR,2,FALSE),"")</f>
        <v>Varhe 1994</v>
      </c>
      <c r="C8140" s="250" t="str">
        <f>IF(AND(A8140&lt;&gt;"",ISNUMBER(A8140)),VLOOKUP(A8140,Studies!A:BR,3,FALSE),"")</f>
        <v>https://www.ncbi.nlm.nih.gov/pubmed/7995001</v>
      </c>
      <c r="D8140" s="250" t="str">
        <f>IF(AND(A8140&lt;&gt;"",ISNUMBER(A8140)),VLOOKUP(A8140,Studies!A:BR,4,FALSE),"")</f>
        <v>Triazolam with Itraconazole Subject 2</v>
      </c>
      <c r="E8140" s="250" t="str">
        <f>IF(AND(A8140&lt;&gt;"",ISNUMBER(A8140)),VLOOKUP(A8140,Studies!A:BR,5,FALSE),"")</f>
        <v>Triazolam</v>
      </c>
      <c r="F8140" s="251" t="str">
        <f>IF(AND(A8140&lt;&gt;"",ISNUMBER(A8140)),VLOOKUP(A8140,Studies!A:BR,6,FALSE),"")</f>
        <v>Plasma</v>
      </c>
      <c r="G8140" s="194">
        <v>79</v>
      </c>
      <c r="H8140" s="50" t="s">
        <v>60</v>
      </c>
      <c r="I8140" s="187">
        <v>2.7171479999999999</v>
      </c>
      <c r="J8140" s="41" t="s">
        <v>941</v>
      </c>
      <c r="K8140" s="41" t="s">
        <v>239</v>
      </c>
      <c r="O8140" s="199">
        <v>0.2</v>
      </c>
    </row>
    <row r="8141" spans="1:16" x14ac:dyDescent="0.2">
      <c r="A8141" s="30">
        <v>1069</v>
      </c>
      <c r="B8141" s="249" t="str">
        <f>IF(AND(A8141&lt;&gt;"",ISNUMBER(A8141)),VLOOKUP(A8141,Studies!A:BR,2,FALSE),"")</f>
        <v>Varhe 1994</v>
      </c>
      <c r="C8141" s="250" t="str">
        <f>IF(AND(A8141&lt;&gt;"",ISNUMBER(A8141)),VLOOKUP(A8141,Studies!A:BR,3,FALSE),"")</f>
        <v>https://www.ncbi.nlm.nih.gov/pubmed/7995001</v>
      </c>
      <c r="D8141" s="250" t="str">
        <f>IF(AND(A8141&lt;&gt;"",ISNUMBER(A8141)),VLOOKUP(A8141,Studies!A:BR,4,FALSE),"")</f>
        <v>Triazolam with Itraconazole Subject 2</v>
      </c>
      <c r="E8141" s="250" t="str">
        <f>IF(AND(A8141&lt;&gt;"",ISNUMBER(A8141)),VLOOKUP(A8141,Studies!A:BR,5,FALSE),"")</f>
        <v>Triazolam</v>
      </c>
      <c r="F8141" s="251" t="str">
        <f>IF(AND(A8141&lt;&gt;"",ISNUMBER(A8141)),VLOOKUP(A8141,Studies!A:BR,6,FALSE),"")</f>
        <v>Plasma</v>
      </c>
      <c r="G8141" s="194">
        <v>80</v>
      </c>
      <c r="H8141" s="50" t="s">
        <v>60</v>
      </c>
      <c r="I8141" s="187">
        <v>2.62683</v>
      </c>
      <c r="J8141" s="41" t="s">
        <v>941</v>
      </c>
      <c r="K8141" s="41" t="s">
        <v>239</v>
      </c>
      <c r="O8141" s="199">
        <v>0.2</v>
      </c>
    </row>
    <row r="8142" spans="1:16" x14ac:dyDescent="0.2">
      <c r="A8142" s="30">
        <v>1069</v>
      </c>
      <c r="B8142" s="249" t="str">
        <f>IF(AND(A8142&lt;&gt;"",ISNUMBER(A8142)),VLOOKUP(A8142,Studies!A:BR,2,FALSE),"")</f>
        <v>Varhe 1994</v>
      </c>
      <c r="C8142" s="250" t="str">
        <f>IF(AND(A8142&lt;&gt;"",ISNUMBER(A8142)),VLOOKUP(A8142,Studies!A:BR,3,FALSE),"")</f>
        <v>https://www.ncbi.nlm.nih.gov/pubmed/7995001</v>
      </c>
      <c r="D8142" s="250" t="str">
        <f>IF(AND(A8142&lt;&gt;"",ISNUMBER(A8142)),VLOOKUP(A8142,Studies!A:BR,4,FALSE),"")</f>
        <v>Triazolam with Itraconazole Subject 2</v>
      </c>
      <c r="E8142" s="250" t="str">
        <f>IF(AND(A8142&lt;&gt;"",ISNUMBER(A8142)),VLOOKUP(A8142,Studies!A:BR,5,FALSE),"")</f>
        <v>Triazolam</v>
      </c>
      <c r="F8142" s="251" t="str">
        <f>IF(AND(A8142&lt;&gt;"",ISNUMBER(A8142)),VLOOKUP(A8142,Studies!A:BR,6,FALSE),"")</f>
        <v>Plasma</v>
      </c>
      <c r="G8142" s="194">
        <v>90</v>
      </c>
      <c r="H8142" s="50" t="s">
        <v>60</v>
      </c>
      <c r="I8142" s="187">
        <v>2.286845</v>
      </c>
      <c r="J8142" s="41" t="s">
        <v>941</v>
      </c>
      <c r="K8142" s="41" t="s">
        <v>239</v>
      </c>
      <c r="O8142" s="199">
        <v>0.2</v>
      </c>
    </row>
    <row r="8143" spans="1:16" x14ac:dyDescent="0.2">
      <c r="A8143" s="30">
        <v>1070</v>
      </c>
      <c r="B8143" s="249" t="str">
        <f>IF(AND(A8143&lt;&gt;"",ISNUMBER(A8143)),VLOOKUP(A8143,Studies!A:BR,2,FALSE),"")</f>
        <v>Varhe 1994</v>
      </c>
      <c r="C8143" s="250" t="str">
        <f>IF(AND(A8143&lt;&gt;"",ISNUMBER(A8143)),VLOOKUP(A8143,Studies!A:BR,3,FALSE),"")</f>
        <v>https://www.ncbi.nlm.nih.gov/pubmed/7995001</v>
      </c>
      <c r="D8143" s="250" t="str">
        <f>IF(AND(A8143&lt;&gt;"",ISNUMBER(A8143)),VLOOKUP(A8143,Studies!A:BR,4,FALSE),"")</f>
        <v>Triazolam with Itraconazole Subject 3</v>
      </c>
      <c r="E8143" s="250" t="str">
        <f>IF(AND(A8143&lt;&gt;"",ISNUMBER(A8143)),VLOOKUP(A8143,Studies!A:BR,5,FALSE),"")</f>
        <v>Triazolam</v>
      </c>
      <c r="F8143" s="251" t="str">
        <f>IF(AND(A8143&lt;&gt;"",ISNUMBER(A8143)),VLOOKUP(A8143,Studies!A:BR,6,FALSE),"")</f>
        <v>Plasma</v>
      </c>
      <c r="G8143" s="194">
        <v>73.67</v>
      </c>
      <c r="H8143" s="50" t="s">
        <v>60</v>
      </c>
      <c r="I8143" s="187">
        <v>1.707595</v>
      </c>
      <c r="J8143" s="41" t="s">
        <v>941</v>
      </c>
      <c r="K8143" s="41" t="s">
        <v>239</v>
      </c>
      <c r="O8143" s="199">
        <v>0.2</v>
      </c>
      <c r="P8143" s="42" t="s">
        <v>2645</v>
      </c>
    </row>
    <row r="8144" spans="1:16" x14ac:dyDescent="0.2">
      <c r="A8144" s="30">
        <v>1070</v>
      </c>
      <c r="B8144" s="249" t="str">
        <f>IF(AND(A8144&lt;&gt;"",ISNUMBER(A8144)),VLOOKUP(A8144,Studies!A:BR,2,FALSE),"")</f>
        <v>Varhe 1994</v>
      </c>
      <c r="C8144" s="250" t="str">
        <f>IF(AND(A8144&lt;&gt;"",ISNUMBER(A8144)),VLOOKUP(A8144,Studies!A:BR,3,FALSE),"")</f>
        <v>https://www.ncbi.nlm.nih.gov/pubmed/7995001</v>
      </c>
      <c r="D8144" s="250" t="str">
        <f>IF(AND(A8144&lt;&gt;"",ISNUMBER(A8144)),VLOOKUP(A8144,Studies!A:BR,4,FALSE),"")</f>
        <v>Triazolam with Itraconazole Subject 3</v>
      </c>
      <c r="E8144" s="250" t="str">
        <f>IF(AND(A8144&lt;&gt;"",ISNUMBER(A8144)),VLOOKUP(A8144,Studies!A:BR,5,FALSE),"")</f>
        <v>Triazolam</v>
      </c>
      <c r="F8144" s="251" t="str">
        <f>IF(AND(A8144&lt;&gt;"",ISNUMBER(A8144)),VLOOKUP(A8144,Studies!A:BR,6,FALSE),"")</f>
        <v>Plasma</v>
      </c>
      <c r="G8144" s="194">
        <v>74</v>
      </c>
      <c r="H8144" s="50" t="s">
        <v>60</v>
      </c>
      <c r="I8144" s="187">
        <v>2.5154489999999998</v>
      </c>
      <c r="J8144" s="41" t="s">
        <v>941</v>
      </c>
      <c r="K8144" s="41" t="s">
        <v>239</v>
      </c>
      <c r="O8144" s="199">
        <v>0.2</v>
      </c>
    </row>
    <row r="8145" spans="1:16" x14ac:dyDescent="0.2">
      <c r="A8145" s="30">
        <v>1070</v>
      </c>
      <c r="B8145" s="249" t="str">
        <f>IF(AND(A8145&lt;&gt;"",ISNUMBER(A8145)),VLOOKUP(A8145,Studies!A:BR,2,FALSE),"")</f>
        <v>Varhe 1994</v>
      </c>
      <c r="C8145" s="250" t="str">
        <f>IF(AND(A8145&lt;&gt;"",ISNUMBER(A8145)),VLOOKUP(A8145,Studies!A:BR,3,FALSE),"")</f>
        <v>https://www.ncbi.nlm.nih.gov/pubmed/7995001</v>
      </c>
      <c r="D8145" s="250" t="str">
        <f>IF(AND(A8145&lt;&gt;"",ISNUMBER(A8145)),VLOOKUP(A8145,Studies!A:BR,4,FALSE),"")</f>
        <v>Triazolam with Itraconazole Subject 3</v>
      </c>
      <c r="E8145" s="250" t="str">
        <f>IF(AND(A8145&lt;&gt;"",ISNUMBER(A8145)),VLOOKUP(A8145,Studies!A:BR,5,FALSE),"")</f>
        <v>Triazolam</v>
      </c>
      <c r="F8145" s="251" t="str">
        <f>IF(AND(A8145&lt;&gt;"",ISNUMBER(A8145)),VLOOKUP(A8145,Studies!A:BR,6,FALSE),"")</f>
        <v>Plasma</v>
      </c>
      <c r="G8145" s="194">
        <v>74.5</v>
      </c>
      <c r="H8145" s="50" t="s">
        <v>60</v>
      </c>
      <c r="I8145" s="187">
        <v>2.8634680000000001</v>
      </c>
      <c r="J8145" s="41" t="s">
        <v>941</v>
      </c>
      <c r="K8145" s="41" t="s">
        <v>239</v>
      </c>
      <c r="O8145" s="199">
        <v>0.2</v>
      </c>
    </row>
    <row r="8146" spans="1:16" x14ac:dyDescent="0.2">
      <c r="A8146" s="30">
        <v>1070</v>
      </c>
      <c r="B8146" s="249" t="str">
        <f>IF(AND(A8146&lt;&gt;"",ISNUMBER(A8146)),VLOOKUP(A8146,Studies!A:BR,2,FALSE),"")</f>
        <v>Varhe 1994</v>
      </c>
      <c r="C8146" s="250" t="str">
        <f>IF(AND(A8146&lt;&gt;"",ISNUMBER(A8146)),VLOOKUP(A8146,Studies!A:BR,3,FALSE),"")</f>
        <v>https://www.ncbi.nlm.nih.gov/pubmed/7995001</v>
      </c>
      <c r="D8146" s="250" t="str">
        <f>IF(AND(A8146&lt;&gt;"",ISNUMBER(A8146)),VLOOKUP(A8146,Studies!A:BR,4,FALSE),"")</f>
        <v>Triazolam with Itraconazole Subject 3</v>
      </c>
      <c r="E8146" s="250" t="str">
        <f>IF(AND(A8146&lt;&gt;"",ISNUMBER(A8146)),VLOOKUP(A8146,Studies!A:BR,5,FALSE),"")</f>
        <v>Triazolam</v>
      </c>
      <c r="F8146" s="251" t="str">
        <f>IF(AND(A8146&lt;&gt;"",ISNUMBER(A8146)),VLOOKUP(A8146,Studies!A:BR,6,FALSE),"")</f>
        <v>Plasma</v>
      </c>
      <c r="G8146" s="194">
        <v>75</v>
      </c>
      <c r="H8146" s="50" t="s">
        <v>60</v>
      </c>
      <c r="I8146" s="187">
        <v>2.7990020000000002</v>
      </c>
      <c r="J8146" s="41" t="s">
        <v>941</v>
      </c>
      <c r="K8146" s="41" t="s">
        <v>239</v>
      </c>
      <c r="O8146" s="199">
        <v>0.2</v>
      </c>
    </row>
    <row r="8147" spans="1:16" x14ac:dyDescent="0.2">
      <c r="A8147" s="30">
        <v>1070</v>
      </c>
      <c r="B8147" s="249" t="str">
        <f>IF(AND(A8147&lt;&gt;"",ISNUMBER(A8147)),VLOOKUP(A8147,Studies!A:BR,2,FALSE),"")</f>
        <v>Varhe 1994</v>
      </c>
      <c r="C8147" s="250" t="str">
        <f>IF(AND(A8147&lt;&gt;"",ISNUMBER(A8147)),VLOOKUP(A8147,Studies!A:BR,3,FALSE),"")</f>
        <v>https://www.ncbi.nlm.nih.gov/pubmed/7995001</v>
      </c>
      <c r="D8147" s="250" t="str">
        <f>IF(AND(A8147&lt;&gt;"",ISNUMBER(A8147)),VLOOKUP(A8147,Studies!A:BR,4,FALSE),"")</f>
        <v>Triazolam with Itraconazole Subject 3</v>
      </c>
      <c r="E8147" s="250" t="str">
        <f>IF(AND(A8147&lt;&gt;"",ISNUMBER(A8147)),VLOOKUP(A8147,Studies!A:BR,5,FALSE),"")</f>
        <v>Triazolam</v>
      </c>
      <c r="F8147" s="251" t="str">
        <f>IF(AND(A8147&lt;&gt;"",ISNUMBER(A8147)),VLOOKUP(A8147,Studies!A:BR,6,FALSE),"")</f>
        <v>Plasma</v>
      </c>
      <c r="G8147" s="194">
        <v>75.5</v>
      </c>
      <c r="H8147" s="50" t="s">
        <v>60</v>
      </c>
      <c r="I8147" s="187">
        <v>2.7359879999999999</v>
      </c>
      <c r="J8147" s="41" t="s">
        <v>941</v>
      </c>
      <c r="K8147" s="41" t="s">
        <v>239</v>
      </c>
      <c r="O8147" s="199">
        <v>0.2</v>
      </c>
    </row>
    <row r="8148" spans="1:16" x14ac:dyDescent="0.2">
      <c r="A8148" s="30">
        <v>1070</v>
      </c>
      <c r="B8148" s="249" t="str">
        <f>IF(AND(A8148&lt;&gt;"",ISNUMBER(A8148)),VLOOKUP(A8148,Studies!A:BR,2,FALSE),"")</f>
        <v>Varhe 1994</v>
      </c>
      <c r="C8148" s="250" t="str">
        <f>IF(AND(A8148&lt;&gt;"",ISNUMBER(A8148)),VLOOKUP(A8148,Studies!A:BR,3,FALSE),"")</f>
        <v>https://www.ncbi.nlm.nih.gov/pubmed/7995001</v>
      </c>
      <c r="D8148" s="250" t="str">
        <f>IF(AND(A8148&lt;&gt;"",ISNUMBER(A8148)),VLOOKUP(A8148,Studies!A:BR,4,FALSE),"")</f>
        <v>Triazolam with Itraconazole Subject 3</v>
      </c>
      <c r="E8148" s="250" t="str">
        <f>IF(AND(A8148&lt;&gt;"",ISNUMBER(A8148)),VLOOKUP(A8148,Studies!A:BR,5,FALSE),"")</f>
        <v>Triazolam</v>
      </c>
      <c r="F8148" s="251" t="str">
        <f>IF(AND(A8148&lt;&gt;"",ISNUMBER(A8148)),VLOOKUP(A8148,Studies!A:BR,6,FALSE),"")</f>
        <v>Plasma</v>
      </c>
      <c r="G8148" s="194">
        <v>76</v>
      </c>
      <c r="H8148" s="50" t="s">
        <v>60</v>
      </c>
      <c r="I8148" s="187">
        <v>2.7060179999999998</v>
      </c>
      <c r="J8148" s="41" t="s">
        <v>941</v>
      </c>
      <c r="K8148" s="41" t="s">
        <v>239</v>
      </c>
      <c r="O8148" s="199">
        <v>0.2</v>
      </c>
    </row>
    <row r="8149" spans="1:16" x14ac:dyDescent="0.2">
      <c r="A8149" s="30">
        <v>1070</v>
      </c>
      <c r="B8149" s="249" t="str">
        <f>IF(AND(A8149&lt;&gt;"",ISNUMBER(A8149)),VLOOKUP(A8149,Studies!A:BR,2,FALSE),"")</f>
        <v>Varhe 1994</v>
      </c>
      <c r="C8149" s="250" t="str">
        <f>IF(AND(A8149&lt;&gt;"",ISNUMBER(A8149)),VLOOKUP(A8149,Studies!A:BR,3,FALSE),"")</f>
        <v>https://www.ncbi.nlm.nih.gov/pubmed/7995001</v>
      </c>
      <c r="D8149" s="250" t="str">
        <f>IF(AND(A8149&lt;&gt;"",ISNUMBER(A8149)),VLOOKUP(A8149,Studies!A:BR,4,FALSE),"")</f>
        <v>Triazolam with Itraconazole Subject 3</v>
      </c>
      <c r="E8149" s="250" t="str">
        <f>IF(AND(A8149&lt;&gt;"",ISNUMBER(A8149)),VLOOKUP(A8149,Studies!A:BR,5,FALSE),"")</f>
        <v>Triazolam</v>
      </c>
      <c r="F8149" s="251" t="str">
        <f>IF(AND(A8149&lt;&gt;"",ISNUMBER(A8149)),VLOOKUP(A8149,Studies!A:BR,6,FALSE),"")</f>
        <v>Plasma</v>
      </c>
      <c r="G8149" s="194">
        <v>77</v>
      </c>
      <c r="H8149" s="50" t="s">
        <v>60</v>
      </c>
      <c r="I8149" s="187">
        <v>2.4385279999999998</v>
      </c>
      <c r="J8149" s="41" t="s">
        <v>941</v>
      </c>
      <c r="K8149" s="41" t="s">
        <v>239</v>
      </c>
      <c r="O8149" s="199">
        <v>0.2</v>
      </c>
    </row>
    <row r="8150" spans="1:16" x14ac:dyDescent="0.2">
      <c r="A8150" s="30">
        <v>1070</v>
      </c>
      <c r="B8150" s="249" t="str">
        <f>IF(AND(A8150&lt;&gt;"",ISNUMBER(A8150)),VLOOKUP(A8150,Studies!A:BR,2,FALSE),"")</f>
        <v>Varhe 1994</v>
      </c>
      <c r="C8150" s="250" t="str">
        <f>IF(AND(A8150&lt;&gt;"",ISNUMBER(A8150)),VLOOKUP(A8150,Studies!A:BR,3,FALSE),"")</f>
        <v>https://www.ncbi.nlm.nih.gov/pubmed/7995001</v>
      </c>
      <c r="D8150" s="250" t="str">
        <f>IF(AND(A8150&lt;&gt;"",ISNUMBER(A8150)),VLOOKUP(A8150,Studies!A:BR,4,FALSE),"")</f>
        <v>Triazolam with Itraconazole Subject 3</v>
      </c>
      <c r="E8150" s="250" t="str">
        <f>IF(AND(A8150&lt;&gt;"",ISNUMBER(A8150)),VLOOKUP(A8150,Studies!A:BR,5,FALSE),"")</f>
        <v>Triazolam</v>
      </c>
      <c r="F8150" s="251" t="str">
        <f>IF(AND(A8150&lt;&gt;"",ISNUMBER(A8150)),VLOOKUP(A8150,Studies!A:BR,6,FALSE),"")</f>
        <v>Plasma</v>
      </c>
      <c r="G8150" s="194">
        <v>78</v>
      </c>
      <c r="H8150" s="50" t="s">
        <v>60</v>
      </c>
      <c r="I8150" s="187">
        <v>2.3300450000000001</v>
      </c>
      <c r="J8150" s="41" t="s">
        <v>941</v>
      </c>
      <c r="K8150" s="41" t="s">
        <v>239</v>
      </c>
      <c r="O8150" s="199">
        <v>0.2</v>
      </c>
    </row>
    <row r="8151" spans="1:16" x14ac:dyDescent="0.2">
      <c r="A8151" s="30">
        <v>1070</v>
      </c>
      <c r="B8151" s="249" t="str">
        <f>IF(AND(A8151&lt;&gt;"",ISNUMBER(A8151)),VLOOKUP(A8151,Studies!A:BR,2,FALSE),"")</f>
        <v>Varhe 1994</v>
      </c>
      <c r="C8151" s="250" t="str">
        <f>IF(AND(A8151&lt;&gt;"",ISNUMBER(A8151)),VLOOKUP(A8151,Studies!A:BR,3,FALSE),"")</f>
        <v>https://www.ncbi.nlm.nih.gov/pubmed/7995001</v>
      </c>
      <c r="D8151" s="250" t="str">
        <f>IF(AND(A8151&lt;&gt;"",ISNUMBER(A8151)),VLOOKUP(A8151,Studies!A:BR,4,FALSE),"")</f>
        <v>Triazolam with Itraconazole Subject 3</v>
      </c>
      <c r="E8151" s="250" t="str">
        <f>IF(AND(A8151&lt;&gt;"",ISNUMBER(A8151)),VLOOKUP(A8151,Studies!A:BR,5,FALSE),"")</f>
        <v>Triazolam</v>
      </c>
      <c r="F8151" s="251" t="str">
        <f>IF(AND(A8151&lt;&gt;"",ISNUMBER(A8151)),VLOOKUP(A8151,Studies!A:BR,6,FALSE),"")</f>
        <v>Plasma</v>
      </c>
      <c r="G8151" s="194">
        <v>79</v>
      </c>
      <c r="H8151" s="50" t="s">
        <v>60</v>
      </c>
      <c r="I8151" s="187">
        <v>2.7817080000000001</v>
      </c>
      <c r="J8151" s="41" t="s">
        <v>941</v>
      </c>
      <c r="K8151" s="41" t="s">
        <v>239</v>
      </c>
      <c r="O8151" s="199">
        <v>0.2</v>
      </c>
    </row>
    <row r="8152" spans="1:16" x14ac:dyDescent="0.2">
      <c r="A8152" s="30">
        <v>1070</v>
      </c>
      <c r="B8152" s="249" t="str">
        <f>IF(AND(A8152&lt;&gt;"",ISNUMBER(A8152)),VLOOKUP(A8152,Studies!A:BR,2,FALSE),"")</f>
        <v>Varhe 1994</v>
      </c>
      <c r="C8152" s="250" t="str">
        <f>IF(AND(A8152&lt;&gt;"",ISNUMBER(A8152)),VLOOKUP(A8152,Studies!A:BR,3,FALSE),"")</f>
        <v>https://www.ncbi.nlm.nih.gov/pubmed/7995001</v>
      </c>
      <c r="D8152" s="250" t="str">
        <f>IF(AND(A8152&lt;&gt;"",ISNUMBER(A8152)),VLOOKUP(A8152,Studies!A:BR,4,FALSE),"")</f>
        <v>Triazolam with Itraconazole Subject 3</v>
      </c>
      <c r="E8152" s="250" t="str">
        <f>IF(AND(A8152&lt;&gt;"",ISNUMBER(A8152)),VLOOKUP(A8152,Studies!A:BR,5,FALSE),"")</f>
        <v>Triazolam</v>
      </c>
      <c r="F8152" s="251" t="str">
        <f>IF(AND(A8152&lt;&gt;"",ISNUMBER(A8152)),VLOOKUP(A8152,Studies!A:BR,6,FALSE),"")</f>
        <v>Plasma</v>
      </c>
      <c r="G8152" s="194">
        <v>80</v>
      </c>
      <c r="H8152" s="50" t="s">
        <v>60</v>
      </c>
      <c r="I8152" s="187">
        <v>2.689298</v>
      </c>
      <c r="J8152" s="41" t="s">
        <v>941</v>
      </c>
      <c r="K8152" s="41" t="s">
        <v>239</v>
      </c>
      <c r="O8152" s="199">
        <v>0.2</v>
      </c>
    </row>
    <row r="8153" spans="1:16" x14ac:dyDescent="0.2">
      <c r="A8153" s="30">
        <v>1070</v>
      </c>
      <c r="B8153" s="249" t="str">
        <f>IF(AND(A8153&lt;&gt;"",ISNUMBER(A8153)),VLOOKUP(A8153,Studies!A:BR,2,FALSE),"")</f>
        <v>Varhe 1994</v>
      </c>
      <c r="C8153" s="250" t="str">
        <f>IF(AND(A8153&lt;&gt;"",ISNUMBER(A8153)),VLOOKUP(A8153,Studies!A:BR,3,FALSE),"")</f>
        <v>https://www.ncbi.nlm.nih.gov/pubmed/7995001</v>
      </c>
      <c r="D8153" s="250" t="str">
        <f>IF(AND(A8153&lt;&gt;"",ISNUMBER(A8153)),VLOOKUP(A8153,Studies!A:BR,4,FALSE),"")</f>
        <v>Triazolam with Itraconazole Subject 3</v>
      </c>
      <c r="E8153" s="250" t="str">
        <f>IF(AND(A8153&lt;&gt;"",ISNUMBER(A8153)),VLOOKUP(A8153,Studies!A:BR,5,FALSE),"")</f>
        <v>Triazolam</v>
      </c>
      <c r="F8153" s="251" t="str">
        <f>IF(AND(A8153&lt;&gt;"",ISNUMBER(A8153)),VLOOKUP(A8153,Studies!A:BR,6,FALSE),"")</f>
        <v>Plasma</v>
      </c>
      <c r="G8153" s="194">
        <v>90</v>
      </c>
      <c r="H8153" s="50" t="s">
        <v>60</v>
      </c>
      <c r="I8153" s="187">
        <v>1.4997039999999999</v>
      </c>
      <c r="J8153" s="41" t="s">
        <v>941</v>
      </c>
      <c r="K8153" s="41" t="s">
        <v>239</v>
      </c>
      <c r="O8153" s="199">
        <v>0.2</v>
      </c>
    </row>
    <row r="8154" spans="1:16" x14ac:dyDescent="0.2">
      <c r="A8154" s="30">
        <v>1071</v>
      </c>
      <c r="B8154" s="249" t="str">
        <f>IF(AND(A8154&lt;&gt;"",ISNUMBER(A8154)),VLOOKUP(A8154,Studies!A:BR,2,FALSE),"")</f>
        <v>Varhe 1994</v>
      </c>
      <c r="C8154" s="250" t="str">
        <f>IF(AND(A8154&lt;&gt;"",ISNUMBER(A8154)),VLOOKUP(A8154,Studies!A:BR,3,FALSE),"")</f>
        <v>https://www.ncbi.nlm.nih.gov/pubmed/7995001</v>
      </c>
      <c r="D8154" s="250" t="str">
        <f>IF(AND(A8154&lt;&gt;"",ISNUMBER(A8154)),VLOOKUP(A8154,Studies!A:BR,4,FALSE),"")</f>
        <v>Triazolam with Itraconazole Subject 4</v>
      </c>
      <c r="E8154" s="250" t="str">
        <f>IF(AND(A8154&lt;&gt;"",ISNUMBER(A8154)),VLOOKUP(A8154,Studies!A:BR,5,FALSE),"")</f>
        <v>Triazolam</v>
      </c>
      <c r="F8154" s="251" t="str">
        <f>IF(AND(A8154&lt;&gt;"",ISNUMBER(A8154)),VLOOKUP(A8154,Studies!A:BR,6,FALSE),"")</f>
        <v>Plasma</v>
      </c>
      <c r="G8154" s="194">
        <v>73.33</v>
      </c>
      <c r="H8154" s="50" t="s">
        <v>60</v>
      </c>
      <c r="I8154" s="187">
        <v>0.39427790000000001</v>
      </c>
      <c r="J8154" s="41" t="s">
        <v>941</v>
      </c>
      <c r="K8154" s="41" t="s">
        <v>239</v>
      </c>
      <c r="O8154" s="199">
        <v>0.2</v>
      </c>
      <c r="P8154" s="42" t="s">
        <v>2643</v>
      </c>
    </row>
    <row r="8155" spans="1:16" x14ac:dyDescent="0.2">
      <c r="A8155" s="30">
        <v>1071</v>
      </c>
      <c r="B8155" s="249" t="str">
        <f>IF(AND(A8155&lt;&gt;"",ISNUMBER(A8155)),VLOOKUP(A8155,Studies!A:BR,2,FALSE),"")</f>
        <v>Varhe 1994</v>
      </c>
      <c r="C8155" s="250" t="str">
        <f>IF(AND(A8155&lt;&gt;"",ISNUMBER(A8155)),VLOOKUP(A8155,Studies!A:BR,3,FALSE),"")</f>
        <v>https://www.ncbi.nlm.nih.gov/pubmed/7995001</v>
      </c>
      <c r="D8155" s="250" t="str">
        <f>IF(AND(A8155&lt;&gt;"",ISNUMBER(A8155)),VLOOKUP(A8155,Studies!A:BR,4,FALSE),"")</f>
        <v>Triazolam with Itraconazole Subject 4</v>
      </c>
      <c r="E8155" s="250" t="str">
        <f>IF(AND(A8155&lt;&gt;"",ISNUMBER(A8155)),VLOOKUP(A8155,Studies!A:BR,5,FALSE),"")</f>
        <v>Triazolam</v>
      </c>
      <c r="F8155" s="251" t="str">
        <f>IF(AND(A8155&lt;&gt;"",ISNUMBER(A8155)),VLOOKUP(A8155,Studies!A:BR,6,FALSE),"")</f>
        <v>Plasma</v>
      </c>
      <c r="G8155" s="194">
        <v>73.67</v>
      </c>
      <c r="H8155" s="50" t="s">
        <v>60</v>
      </c>
      <c r="I8155" s="187">
        <v>1.7915939999999999</v>
      </c>
      <c r="J8155" s="41" t="s">
        <v>941</v>
      </c>
      <c r="K8155" s="41" t="s">
        <v>239</v>
      </c>
      <c r="O8155" s="199">
        <v>0.2</v>
      </c>
    </row>
    <row r="8156" spans="1:16" x14ac:dyDescent="0.2">
      <c r="A8156" s="30">
        <v>1071</v>
      </c>
      <c r="B8156" s="249" t="str">
        <f>IF(AND(A8156&lt;&gt;"",ISNUMBER(A8156)),VLOOKUP(A8156,Studies!A:BR,2,FALSE),"")</f>
        <v>Varhe 1994</v>
      </c>
      <c r="C8156" s="250" t="str">
        <f>IF(AND(A8156&lt;&gt;"",ISNUMBER(A8156)),VLOOKUP(A8156,Studies!A:BR,3,FALSE),"")</f>
        <v>https://www.ncbi.nlm.nih.gov/pubmed/7995001</v>
      </c>
      <c r="D8156" s="250" t="str">
        <f>IF(AND(A8156&lt;&gt;"",ISNUMBER(A8156)),VLOOKUP(A8156,Studies!A:BR,4,FALSE),"")</f>
        <v>Triazolam with Itraconazole Subject 4</v>
      </c>
      <c r="E8156" s="250" t="str">
        <f>IF(AND(A8156&lt;&gt;"",ISNUMBER(A8156)),VLOOKUP(A8156,Studies!A:BR,5,FALSE),"")</f>
        <v>Triazolam</v>
      </c>
      <c r="F8156" s="251" t="str">
        <f>IF(AND(A8156&lt;&gt;"",ISNUMBER(A8156)),VLOOKUP(A8156,Studies!A:BR,6,FALSE),"")</f>
        <v>Plasma</v>
      </c>
      <c r="G8156" s="194">
        <v>74</v>
      </c>
      <c r="H8156" s="50" t="s">
        <v>60</v>
      </c>
      <c r="I8156" s="187">
        <v>2.5850119999999999</v>
      </c>
      <c r="J8156" s="41" t="s">
        <v>941</v>
      </c>
      <c r="K8156" s="41" t="s">
        <v>239</v>
      </c>
      <c r="O8156" s="199">
        <v>0.2</v>
      </c>
    </row>
    <row r="8157" spans="1:16" x14ac:dyDescent="0.2">
      <c r="A8157" s="30">
        <v>1071</v>
      </c>
      <c r="B8157" s="249" t="str">
        <f>IF(AND(A8157&lt;&gt;"",ISNUMBER(A8157)),VLOOKUP(A8157,Studies!A:BR,2,FALSE),"")</f>
        <v>Varhe 1994</v>
      </c>
      <c r="C8157" s="250" t="str">
        <f>IF(AND(A8157&lt;&gt;"",ISNUMBER(A8157)),VLOOKUP(A8157,Studies!A:BR,3,FALSE),"")</f>
        <v>https://www.ncbi.nlm.nih.gov/pubmed/7995001</v>
      </c>
      <c r="D8157" s="250" t="str">
        <f>IF(AND(A8157&lt;&gt;"",ISNUMBER(A8157)),VLOOKUP(A8157,Studies!A:BR,4,FALSE),"")</f>
        <v>Triazolam with Itraconazole Subject 4</v>
      </c>
      <c r="E8157" s="250" t="str">
        <f>IF(AND(A8157&lt;&gt;"",ISNUMBER(A8157)),VLOOKUP(A8157,Studies!A:BR,5,FALSE),"")</f>
        <v>Triazolam</v>
      </c>
      <c r="F8157" s="251" t="str">
        <f>IF(AND(A8157&lt;&gt;"",ISNUMBER(A8157)),VLOOKUP(A8157,Studies!A:BR,6,FALSE),"")</f>
        <v>Plasma</v>
      </c>
      <c r="G8157" s="194">
        <v>74.5</v>
      </c>
      <c r="H8157" s="50" t="s">
        <v>60</v>
      </c>
      <c r="I8157" s="187">
        <v>3.0146269999999999</v>
      </c>
      <c r="J8157" s="41" t="s">
        <v>941</v>
      </c>
      <c r="K8157" s="41" t="s">
        <v>239</v>
      </c>
      <c r="O8157" s="199">
        <v>0.2</v>
      </c>
    </row>
    <row r="8158" spans="1:16" x14ac:dyDescent="0.2">
      <c r="A8158" s="30">
        <v>1071</v>
      </c>
      <c r="B8158" s="249" t="str">
        <f>IF(AND(A8158&lt;&gt;"",ISNUMBER(A8158)),VLOOKUP(A8158,Studies!A:BR,2,FALSE),"")</f>
        <v>Varhe 1994</v>
      </c>
      <c r="C8158" s="250" t="str">
        <f>IF(AND(A8158&lt;&gt;"",ISNUMBER(A8158)),VLOOKUP(A8158,Studies!A:BR,3,FALSE),"")</f>
        <v>https://www.ncbi.nlm.nih.gov/pubmed/7995001</v>
      </c>
      <c r="D8158" s="250" t="str">
        <f>IF(AND(A8158&lt;&gt;"",ISNUMBER(A8158)),VLOOKUP(A8158,Studies!A:BR,4,FALSE),"")</f>
        <v>Triazolam with Itraconazole Subject 4</v>
      </c>
      <c r="E8158" s="250" t="str">
        <f>IF(AND(A8158&lt;&gt;"",ISNUMBER(A8158)),VLOOKUP(A8158,Studies!A:BR,5,FALSE),"")</f>
        <v>Triazolam</v>
      </c>
      <c r="F8158" s="251" t="str">
        <f>IF(AND(A8158&lt;&gt;"",ISNUMBER(A8158)),VLOOKUP(A8158,Studies!A:BR,6,FALSE),"")</f>
        <v>Plasma</v>
      </c>
      <c r="G8158" s="194">
        <v>75</v>
      </c>
      <c r="H8158" s="50" t="s">
        <v>60</v>
      </c>
      <c r="I8158" s="187">
        <v>3.198267</v>
      </c>
      <c r="J8158" s="41" t="s">
        <v>941</v>
      </c>
      <c r="K8158" s="41" t="s">
        <v>239</v>
      </c>
      <c r="O8158" s="199">
        <v>0.2</v>
      </c>
    </row>
    <row r="8159" spans="1:16" x14ac:dyDescent="0.2">
      <c r="A8159" s="30">
        <v>1071</v>
      </c>
      <c r="B8159" s="249" t="str">
        <f>IF(AND(A8159&lt;&gt;"",ISNUMBER(A8159)),VLOOKUP(A8159,Studies!A:BR,2,FALSE),"")</f>
        <v>Varhe 1994</v>
      </c>
      <c r="C8159" s="250" t="str">
        <f>IF(AND(A8159&lt;&gt;"",ISNUMBER(A8159)),VLOOKUP(A8159,Studies!A:BR,3,FALSE),"")</f>
        <v>https://www.ncbi.nlm.nih.gov/pubmed/7995001</v>
      </c>
      <c r="D8159" s="250" t="str">
        <f>IF(AND(A8159&lt;&gt;"",ISNUMBER(A8159)),VLOOKUP(A8159,Studies!A:BR,4,FALSE),"")</f>
        <v>Triazolam with Itraconazole Subject 4</v>
      </c>
      <c r="E8159" s="250" t="str">
        <f>IF(AND(A8159&lt;&gt;"",ISNUMBER(A8159)),VLOOKUP(A8159,Studies!A:BR,5,FALSE),"")</f>
        <v>Triazolam</v>
      </c>
      <c r="F8159" s="251" t="str">
        <f>IF(AND(A8159&lt;&gt;"",ISNUMBER(A8159)),VLOOKUP(A8159,Studies!A:BR,6,FALSE),"")</f>
        <v>Plasma</v>
      </c>
      <c r="G8159" s="194">
        <v>75.5</v>
      </c>
      <c r="H8159" s="50" t="s">
        <v>60</v>
      </c>
      <c r="I8159" s="187">
        <v>3.0867819999999999</v>
      </c>
      <c r="J8159" s="41" t="s">
        <v>941</v>
      </c>
      <c r="K8159" s="41" t="s">
        <v>239</v>
      </c>
      <c r="O8159" s="199">
        <v>0.2</v>
      </c>
    </row>
    <row r="8160" spans="1:16" x14ac:dyDescent="0.2">
      <c r="A8160" s="30">
        <v>1071</v>
      </c>
      <c r="B8160" s="249" t="str">
        <f>IF(AND(A8160&lt;&gt;"",ISNUMBER(A8160)),VLOOKUP(A8160,Studies!A:BR,2,FALSE),"")</f>
        <v>Varhe 1994</v>
      </c>
      <c r="C8160" s="250" t="str">
        <f>IF(AND(A8160&lt;&gt;"",ISNUMBER(A8160)),VLOOKUP(A8160,Studies!A:BR,3,FALSE),"")</f>
        <v>https://www.ncbi.nlm.nih.gov/pubmed/7995001</v>
      </c>
      <c r="D8160" s="250" t="str">
        <f>IF(AND(A8160&lt;&gt;"",ISNUMBER(A8160)),VLOOKUP(A8160,Studies!A:BR,4,FALSE),"")</f>
        <v>Triazolam with Itraconazole Subject 4</v>
      </c>
      <c r="E8160" s="250" t="str">
        <f>IF(AND(A8160&lt;&gt;"",ISNUMBER(A8160)),VLOOKUP(A8160,Studies!A:BR,5,FALSE),"")</f>
        <v>Triazolam</v>
      </c>
      <c r="F8160" s="251" t="str">
        <f>IF(AND(A8160&lt;&gt;"",ISNUMBER(A8160)),VLOOKUP(A8160,Studies!A:BR,6,FALSE),"")</f>
        <v>Plasma</v>
      </c>
      <c r="G8160" s="194">
        <v>76</v>
      </c>
      <c r="H8160" s="50" t="s">
        <v>60</v>
      </c>
      <c r="I8160" s="187">
        <v>3.0867819999999999</v>
      </c>
      <c r="J8160" s="41" t="s">
        <v>941</v>
      </c>
      <c r="K8160" s="41" t="s">
        <v>239</v>
      </c>
      <c r="O8160" s="199">
        <v>0.2</v>
      </c>
    </row>
    <row r="8161" spans="1:16" x14ac:dyDescent="0.2">
      <c r="A8161" s="30">
        <v>1071</v>
      </c>
      <c r="B8161" s="249" t="str">
        <f>IF(AND(A8161&lt;&gt;"",ISNUMBER(A8161)),VLOOKUP(A8161,Studies!A:BR,2,FALSE),"")</f>
        <v>Varhe 1994</v>
      </c>
      <c r="C8161" s="250" t="str">
        <f>IF(AND(A8161&lt;&gt;"",ISNUMBER(A8161)),VLOOKUP(A8161,Studies!A:BR,3,FALSE),"")</f>
        <v>https://www.ncbi.nlm.nih.gov/pubmed/7995001</v>
      </c>
      <c r="D8161" s="250" t="str">
        <f>IF(AND(A8161&lt;&gt;"",ISNUMBER(A8161)),VLOOKUP(A8161,Studies!A:BR,4,FALSE),"")</f>
        <v>Triazolam with Itraconazole Subject 4</v>
      </c>
      <c r="E8161" s="250" t="str">
        <f>IF(AND(A8161&lt;&gt;"",ISNUMBER(A8161)),VLOOKUP(A8161,Studies!A:BR,5,FALSE),"")</f>
        <v>Triazolam</v>
      </c>
      <c r="F8161" s="251" t="str">
        <f>IF(AND(A8161&lt;&gt;"",ISNUMBER(A8161)),VLOOKUP(A8161,Studies!A:BR,6,FALSE),"")</f>
        <v>Plasma</v>
      </c>
      <c r="G8161" s="194">
        <v>77</v>
      </c>
      <c r="H8161" s="50" t="s">
        <v>60</v>
      </c>
      <c r="I8161" s="187">
        <v>3.515641</v>
      </c>
      <c r="J8161" s="41" t="s">
        <v>941</v>
      </c>
      <c r="K8161" s="41" t="s">
        <v>239</v>
      </c>
      <c r="O8161" s="199">
        <v>0.2</v>
      </c>
    </row>
    <row r="8162" spans="1:16" x14ac:dyDescent="0.2">
      <c r="A8162" s="30">
        <v>1071</v>
      </c>
      <c r="B8162" s="249" t="str">
        <f>IF(AND(A8162&lt;&gt;"",ISNUMBER(A8162)),VLOOKUP(A8162,Studies!A:BR,2,FALSE),"")</f>
        <v>Varhe 1994</v>
      </c>
      <c r="C8162" s="250" t="str">
        <f>IF(AND(A8162&lt;&gt;"",ISNUMBER(A8162)),VLOOKUP(A8162,Studies!A:BR,3,FALSE),"")</f>
        <v>https://www.ncbi.nlm.nih.gov/pubmed/7995001</v>
      </c>
      <c r="D8162" s="250" t="str">
        <f>IF(AND(A8162&lt;&gt;"",ISNUMBER(A8162)),VLOOKUP(A8162,Studies!A:BR,4,FALSE),"")</f>
        <v>Triazolam with Itraconazole Subject 4</v>
      </c>
      <c r="E8162" s="250" t="str">
        <f>IF(AND(A8162&lt;&gt;"",ISNUMBER(A8162)),VLOOKUP(A8162,Studies!A:BR,5,FALSE),"")</f>
        <v>Triazolam</v>
      </c>
      <c r="F8162" s="251" t="str">
        <f>IF(AND(A8162&lt;&gt;"",ISNUMBER(A8162)),VLOOKUP(A8162,Studies!A:BR,6,FALSE),"")</f>
        <v>Plasma</v>
      </c>
      <c r="G8162" s="194">
        <v>78</v>
      </c>
      <c r="H8162" s="50" t="s">
        <v>60</v>
      </c>
      <c r="I8162" s="187">
        <v>3.6859500000000001</v>
      </c>
      <c r="J8162" s="41" t="s">
        <v>941</v>
      </c>
      <c r="K8162" s="41" t="s">
        <v>239</v>
      </c>
      <c r="O8162" s="199">
        <v>0.2</v>
      </c>
    </row>
    <row r="8163" spans="1:16" x14ac:dyDescent="0.2">
      <c r="A8163" s="30">
        <v>1071</v>
      </c>
      <c r="B8163" s="249" t="str">
        <f>IF(AND(A8163&lt;&gt;"",ISNUMBER(A8163)),VLOOKUP(A8163,Studies!A:BR,2,FALSE),"")</f>
        <v>Varhe 1994</v>
      </c>
      <c r="C8163" s="250" t="str">
        <f>IF(AND(A8163&lt;&gt;"",ISNUMBER(A8163)),VLOOKUP(A8163,Studies!A:BR,3,FALSE),"")</f>
        <v>https://www.ncbi.nlm.nih.gov/pubmed/7995001</v>
      </c>
      <c r="D8163" s="250" t="str">
        <f>IF(AND(A8163&lt;&gt;"",ISNUMBER(A8163)),VLOOKUP(A8163,Studies!A:BR,4,FALSE),"")</f>
        <v>Triazolam with Itraconazole Subject 4</v>
      </c>
      <c r="E8163" s="250" t="str">
        <f>IF(AND(A8163&lt;&gt;"",ISNUMBER(A8163)),VLOOKUP(A8163,Studies!A:BR,5,FALSE),"")</f>
        <v>Triazolam</v>
      </c>
      <c r="F8163" s="251" t="str">
        <f>IF(AND(A8163&lt;&gt;"",ISNUMBER(A8163)),VLOOKUP(A8163,Studies!A:BR,6,FALSE),"")</f>
        <v>Plasma</v>
      </c>
      <c r="G8163" s="194">
        <v>79</v>
      </c>
      <c r="H8163" s="50" t="s">
        <v>60</v>
      </c>
      <c r="I8163" s="187">
        <v>2.8753359999999999</v>
      </c>
      <c r="J8163" s="41" t="s">
        <v>941</v>
      </c>
      <c r="K8163" s="41" t="s">
        <v>239</v>
      </c>
      <c r="O8163" s="199">
        <v>0.2</v>
      </c>
    </row>
    <row r="8164" spans="1:16" x14ac:dyDescent="0.2">
      <c r="A8164" s="30">
        <v>1071</v>
      </c>
      <c r="B8164" s="249" t="str">
        <f>IF(AND(A8164&lt;&gt;"",ISNUMBER(A8164)),VLOOKUP(A8164,Studies!A:BR,2,FALSE),"")</f>
        <v>Varhe 1994</v>
      </c>
      <c r="C8164" s="250" t="str">
        <f>IF(AND(A8164&lt;&gt;"",ISNUMBER(A8164)),VLOOKUP(A8164,Studies!A:BR,3,FALSE),"")</f>
        <v>https://www.ncbi.nlm.nih.gov/pubmed/7995001</v>
      </c>
      <c r="D8164" s="250" t="str">
        <f>IF(AND(A8164&lt;&gt;"",ISNUMBER(A8164)),VLOOKUP(A8164,Studies!A:BR,4,FALSE),"")</f>
        <v>Triazolam with Itraconazole Subject 4</v>
      </c>
      <c r="E8164" s="250" t="str">
        <f>IF(AND(A8164&lt;&gt;"",ISNUMBER(A8164)),VLOOKUP(A8164,Studies!A:BR,5,FALSE),"")</f>
        <v>Triazolam</v>
      </c>
      <c r="F8164" s="251" t="str">
        <f>IF(AND(A8164&lt;&gt;"",ISNUMBER(A8164)),VLOOKUP(A8164,Studies!A:BR,6,FALSE),"")</f>
        <v>Plasma</v>
      </c>
      <c r="G8164" s="194">
        <v>80</v>
      </c>
      <c r="H8164" s="50" t="s">
        <v>60</v>
      </c>
      <c r="I8164" s="187">
        <v>2.8753359999999999</v>
      </c>
      <c r="J8164" s="41" t="s">
        <v>941</v>
      </c>
      <c r="K8164" s="41" t="s">
        <v>239</v>
      </c>
      <c r="O8164" s="199">
        <v>0.2</v>
      </c>
    </row>
    <row r="8165" spans="1:16" x14ac:dyDescent="0.2">
      <c r="A8165" s="30">
        <v>1071</v>
      </c>
      <c r="B8165" s="249" t="str">
        <f>IF(AND(A8165&lt;&gt;"",ISNUMBER(A8165)),VLOOKUP(A8165,Studies!A:BR,2,FALSE),"")</f>
        <v>Varhe 1994</v>
      </c>
      <c r="C8165" s="250" t="str">
        <f>IF(AND(A8165&lt;&gt;"",ISNUMBER(A8165)),VLOOKUP(A8165,Studies!A:BR,3,FALSE),"")</f>
        <v>https://www.ncbi.nlm.nih.gov/pubmed/7995001</v>
      </c>
      <c r="D8165" s="250" t="str">
        <f>IF(AND(A8165&lt;&gt;"",ISNUMBER(A8165)),VLOOKUP(A8165,Studies!A:BR,4,FALSE),"")</f>
        <v>Triazolam with Itraconazole Subject 4</v>
      </c>
      <c r="E8165" s="250" t="str">
        <f>IF(AND(A8165&lt;&gt;"",ISNUMBER(A8165)),VLOOKUP(A8165,Studies!A:BR,5,FALSE),"")</f>
        <v>Triazolam</v>
      </c>
      <c r="F8165" s="251" t="str">
        <f>IF(AND(A8165&lt;&gt;"",ISNUMBER(A8165)),VLOOKUP(A8165,Studies!A:BR,6,FALSE),"")</f>
        <v>Plasma</v>
      </c>
      <c r="G8165" s="194">
        <v>90</v>
      </c>
      <c r="H8165" s="50" t="s">
        <v>60</v>
      </c>
      <c r="I8165" s="187">
        <v>2.4949050000000002</v>
      </c>
      <c r="J8165" s="41" t="s">
        <v>941</v>
      </c>
      <c r="K8165" s="41" t="s">
        <v>239</v>
      </c>
      <c r="O8165" s="199">
        <v>0.2</v>
      </c>
    </row>
    <row r="8166" spans="1:16" x14ac:dyDescent="0.2">
      <c r="A8166" s="30">
        <v>1072</v>
      </c>
      <c r="B8166" s="249" t="str">
        <f>IF(AND(A8166&lt;&gt;"",ISNUMBER(A8166)),VLOOKUP(A8166,Studies!A:BR,2,FALSE),"")</f>
        <v>Varhe 1994</v>
      </c>
      <c r="C8166" s="250" t="str">
        <f>IF(AND(A8166&lt;&gt;"",ISNUMBER(A8166)),VLOOKUP(A8166,Studies!A:BR,3,FALSE),"")</f>
        <v>https://www.ncbi.nlm.nih.gov/pubmed/7995001</v>
      </c>
      <c r="D8166" s="250" t="str">
        <f>IF(AND(A8166&lt;&gt;"",ISNUMBER(A8166)),VLOOKUP(A8166,Studies!A:BR,4,FALSE),"")</f>
        <v>Triazolam with Itraconazole Subject 5</v>
      </c>
      <c r="E8166" s="250" t="str">
        <f>IF(AND(A8166&lt;&gt;"",ISNUMBER(A8166)),VLOOKUP(A8166,Studies!A:BR,5,FALSE),"")</f>
        <v>Triazolam</v>
      </c>
      <c r="F8166" s="251" t="str">
        <f>IF(AND(A8166&lt;&gt;"",ISNUMBER(A8166)),VLOOKUP(A8166,Studies!A:BR,6,FALSE),"")</f>
        <v>Plasma</v>
      </c>
      <c r="G8166" s="194">
        <v>73.67</v>
      </c>
      <c r="H8166" s="50" t="s">
        <v>60</v>
      </c>
      <c r="I8166" s="187">
        <v>0.59458670000000002</v>
      </c>
      <c r="J8166" s="41" t="s">
        <v>941</v>
      </c>
      <c r="K8166" s="41" t="s">
        <v>239</v>
      </c>
      <c r="O8166" s="199">
        <v>0.2</v>
      </c>
      <c r="P8166" s="42" t="s">
        <v>2645</v>
      </c>
    </row>
    <row r="8167" spans="1:16" x14ac:dyDescent="0.2">
      <c r="A8167" s="30">
        <v>1072</v>
      </c>
      <c r="B8167" s="249" t="str">
        <f>IF(AND(A8167&lt;&gt;"",ISNUMBER(A8167)),VLOOKUP(A8167,Studies!A:BR,2,FALSE),"")</f>
        <v>Varhe 1994</v>
      </c>
      <c r="C8167" s="250" t="str">
        <f>IF(AND(A8167&lt;&gt;"",ISNUMBER(A8167)),VLOOKUP(A8167,Studies!A:BR,3,FALSE),"")</f>
        <v>https://www.ncbi.nlm.nih.gov/pubmed/7995001</v>
      </c>
      <c r="D8167" s="250" t="str">
        <f>IF(AND(A8167&lt;&gt;"",ISNUMBER(A8167)),VLOOKUP(A8167,Studies!A:BR,4,FALSE),"")</f>
        <v>Triazolam with Itraconazole Subject 5</v>
      </c>
      <c r="E8167" s="250" t="str">
        <f>IF(AND(A8167&lt;&gt;"",ISNUMBER(A8167)),VLOOKUP(A8167,Studies!A:BR,5,FALSE),"")</f>
        <v>Triazolam</v>
      </c>
      <c r="F8167" s="251" t="str">
        <f>IF(AND(A8167&lt;&gt;"",ISNUMBER(A8167)),VLOOKUP(A8167,Studies!A:BR,6,FALSE),"")</f>
        <v>Plasma</v>
      </c>
      <c r="G8167" s="194">
        <v>74</v>
      </c>
      <c r="H8167" s="50" t="s">
        <v>60</v>
      </c>
      <c r="I8167" s="187">
        <v>1.7083600000000001</v>
      </c>
      <c r="J8167" s="41" t="s">
        <v>941</v>
      </c>
      <c r="K8167" s="41" t="s">
        <v>239</v>
      </c>
      <c r="O8167" s="199">
        <v>0.2</v>
      </c>
    </row>
    <row r="8168" spans="1:16" x14ac:dyDescent="0.2">
      <c r="A8168" s="30">
        <v>1072</v>
      </c>
      <c r="B8168" s="249" t="str">
        <f>IF(AND(A8168&lt;&gt;"",ISNUMBER(A8168)),VLOOKUP(A8168,Studies!A:BR,2,FALSE),"")</f>
        <v>Varhe 1994</v>
      </c>
      <c r="C8168" s="250" t="str">
        <f>IF(AND(A8168&lt;&gt;"",ISNUMBER(A8168)),VLOOKUP(A8168,Studies!A:BR,3,FALSE),"")</f>
        <v>https://www.ncbi.nlm.nih.gov/pubmed/7995001</v>
      </c>
      <c r="D8168" s="250" t="str">
        <f>IF(AND(A8168&lt;&gt;"",ISNUMBER(A8168)),VLOOKUP(A8168,Studies!A:BR,4,FALSE),"")</f>
        <v>Triazolam with Itraconazole Subject 5</v>
      </c>
      <c r="E8168" s="250" t="str">
        <f>IF(AND(A8168&lt;&gt;"",ISNUMBER(A8168)),VLOOKUP(A8168,Studies!A:BR,5,FALSE),"")</f>
        <v>Triazolam</v>
      </c>
      <c r="F8168" s="251" t="str">
        <f>IF(AND(A8168&lt;&gt;"",ISNUMBER(A8168)),VLOOKUP(A8168,Studies!A:BR,6,FALSE),"")</f>
        <v>Plasma</v>
      </c>
      <c r="G8168" s="194">
        <v>74.5</v>
      </c>
      <c r="H8168" s="50" t="s">
        <v>60</v>
      </c>
      <c r="I8168" s="187">
        <v>2.4876809999999998</v>
      </c>
      <c r="J8168" s="41" t="s">
        <v>941</v>
      </c>
      <c r="K8168" s="41" t="s">
        <v>239</v>
      </c>
      <c r="O8168" s="199">
        <v>0.2</v>
      </c>
    </row>
    <row r="8169" spans="1:16" x14ac:dyDescent="0.2">
      <c r="A8169" s="30">
        <v>1072</v>
      </c>
      <c r="B8169" s="249" t="str">
        <f>IF(AND(A8169&lt;&gt;"",ISNUMBER(A8169)),VLOOKUP(A8169,Studies!A:BR,2,FALSE),"")</f>
        <v>Varhe 1994</v>
      </c>
      <c r="C8169" s="250" t="str">
        <f>IF(AND(A8169&lt;&gt;"",ISNUMBER(A8169)),VLOOKUP(A8169,Studies!A:BR,3,FALSE),"")</f>
        <v>https://www.ncbi.nlm.nih.gov/pubmed/7995001</v>
      </c>
      <c r="D8169" s="250" t="str">
        <f>IF(AND(A8169&lt;&gt;"",ISNUMBER(A8169)),VLOOKUP(A8169,Studies!A:BR,4,FALSE),"")</f>
        <v>Triazolam with Itraconazole Subject 5</v>
      </c>
      <c r="E8169" s="250" t="str">
        <f>IF(AND(A8169&lt;&gt;"",ISNUMBER(A8169)),VLOOKUP(A8169,Studies!A:BR,5,FALSE),"")</f>
        <v>Triazolam</v>
      </c>
      <c r="F8169" s="251" t="str">
        <f>IF(AND(A8169&lt;&gt;"",ISNUMBER(A8169)),VLOOKUP(A8169,Studies!A:BR,6,FALSE),"")</f>
        <v>Plasma</v>
      </c>
      <c r="G8169" s="194">
        <v>75</v>
      </c>
      <c r="H8169" s="50" t="s">
        <v>60</v>
      </c>
      <c r="I8169" s="187">
        <v>2.5484200000000001</v>
      </c>
      <c r="J8169" s="41" t="s">
        <v>941</v>
      </c>
      <c r="K8169" s="41" t="s">
        <v>239</v>
      </c>
      <c r="O8169" s="199">
        <v>0.2</v>
      </c>
    </row>
    <row r="8170" spans="1:16" x14ac:dyDescent="0.2">
      <c r="A8170" s="30">
        <v>1072</v>
      </c>
      <c r="B8170" s="249" t="str">
        <f>IF(AND(A8170&lt;&gt;"",ISNUMBER(A8170)),VLOOKUP(A8170,Studies!A:BR,2,FALSE),"")</f>
        <v>Varhe 1994</v>
      </c>
      <c r="C8170" s="250" t="str">
        <f>IF(AND(A8170&lt;&gt;"",ISNUMBER(A8170)),VLOOKUP(A8170,Studies!A:BR,3,FALSE),"")</f>
        <v>https://www.ncbi.nlm.nih.gov/pubmed/7995001</v>
      </c>
      <c r="D8170" s="250" t="str">
        <f>IF(AND(A8170&lt;&gt;"",ISNUMBER(A8170)),VLOOKUP(A8170,Studies!A:BR,4,FALSE),"")</f>
        <v>Triazolam with Itraconazole Subject 5</v>
      </c>
      <c r="E8170" s="250" t="str">
        <f>IF(AND(A8170&lt;&gt;"",ISNUMBER(A8170)),VLOOKUP(A8170,Studies!A:BR,5,FALSE),"")</f>
        <v>Triazolam</v>
      </c>
      <c r="F8170" s="251" t="str">
        <f>IF(AND(A8170&lt;&gt;"",ISNUMBER(A8170)),VLOOKUP(A8170,Studies!A:BR,6,FALSE),"")</f>
        <v>Plasma</v>
      </c>
      <c r="G8170" s="194">
        <v>75.5</v>
      </c>
      <c r="H8170" s="50" t="s">
        <v>60</v>
      </c>
      <c r="I8170" s="187">
        <v>3.0050500000000002</v>
      </c>
      <c r="J8170" s="41" t="s">
        <v>941</v>
      </c>
      <c r="K8170" s="41" t="s">
        <v>239</v>
      </c>
      <c r="O8170" s="199">
        <v>0.2</v>
      </c>
    </row>
    <row r="8171" spans="1:16" x14ac:dyDescent="0.2">
      <c r="A8171" s="30">
        <v>1072</v>
      </c>
      <c r="B8171" s="249" t="str">
        <f>IF(AND(A8171&lt;&gt;"",ISNUMBER(A8171)),VLOOKUP(A8171,Studies!A:BR,2,FALSE),"")</f>
        <v>Varhe 1994</v>
      </c>
      <c r="C8171" s="250" t="str">
        <f>IF(AND(A8171&lt;&gt;"",ISNUMBER(A8171)),VLOOKUP(A8171,Studies!A:BR,3,FALSE),"")</f>
        <v>https://www.ncbi.nlm.nih.gov/pubmed/7995001</v>
      </c>
      <c r="D8171" s="250" t="str">
        <f>IF(AND(A8171&lt;&gt;"",ISNUMBER(A8171)),VLOOKUP(A8171,Studies!A:BR,4,FALSE),"")</f>
        <v>Triazolam with Itraconazole Subject 5</v>
      </c>
      <c r="E8171" s="250" t="str">
        <f>IF(AND(A8171&lt;&gt;"",ISNUMBER(A8171)),VLOOKUP(A8171,Studies!A:BR,5,FALSE),"")</f>
        <v>Triazolam</v>
      </c>
      <c r="F8171" s="251" t="str">
        <f>IF(AND(A8171&lt;&gt;"",ISNUMBER(A8171)),VLOOKUP(A8171,Studies!A:BR,6,FALSE),"")</f>
        <v>Plasma</v>
      </c>
      <c r="G8171" s="194">
        <v>76</v>
      </c>
      <c r="H8171" s="50" t="s">
        <v>60</v>
      </c>
      <c r="I8171" s="187">
        <v>3.7572640000000002</v>
      </c>
      <c r="J8171" s="41" t="s">
        <v>941</v>
      </c>
      <c r="K8171" s="41" t="s">
        <v>239</v>
      </c>
      <c r="O8171" s="199">
        <v>0.2</v>
      </c>
    </row>
    <row r="8172" spans="1:16" x14ac:dyDescent="0.2">
      <c r="A8172" s="30">
        <v>1072</v>
      </c>
      <c r="B8172" s="249" t="str">
        <f>IF(AND(A8172&lt;&gt;"",ISNUMBER(A8172)),VLOOKUP(A8172,Studies!A:BR,2,FALSE),"")</f>
        <v>Varhe 1994</v>
      </c>
      <c r="C8172" s="250" t="str">
        <f>IF(AND(A8172&lt;&gt;"",ISNUMBER(A8172)),VLOOKUP(A8172,Studies!A:BR,3,FALSE),"")</f>
        <v>https://www.ncbi.nlm.nih.gov/pubmed/7995001</v>
      </c>
      <c r="D8172" s="250" t="str">
        <f>IF(AND(A8172&lt;&gt;"",ISNUMBER(A8172)),VLOOKUP(A8172,Studies!A:BR,4,FALSE),"")</f>
        <v>Triazolam with Itraconazole Subject 5</v>
      </c>
      <c r="E8172" s="250" t="str">
        <f>IF(AND(A8172&lt;&gt;"",ISNUMBER(A8172)),VLOOKUP(A8172,Studies!A:BR,5,FALSE),"")</f>
        <v>Triazolam</v>
      </c>
      <c r="F8172" s="251" t="str">
        <f>IF(AND(A8172&lt;&gt;"",ISNUMBER(A8172)),VLOOKUP(A8172,Studies!A:BR,6,FALSE),"")</f>
        <v>Plasma</v>
      </c>
      <c r="G8172" s="194">
        <v>77</v>
      </c>
      <c r="H8172" s="50" t="s">
        <v>60</v>
      </c>
      <c r="I8172" s="187">
        <v>3.4255840000000002</v>
      </c>
      <c r="J8172" s="41" t="s">
        <v>941</v>
      </c>
      <c r="K8172" s="41" t="s">
        <v>239</v>
      </c>
      <c r="O8172" s="199">
        <v>0.2</v>
      </c>
    </row>
    <row r="8173" spans="1:16" x14ac:dyDescent="0.2">
      <c r="A8173" s="30">
        <v>1072</v>
      </c>
      <c r="B8173" s="249" t="str">
        <f>IF(AND(A8173&lt;&gt;"",ISNUMBER(A8173)),VLOOKUP(A8173,Studies!A:BR,2,FALSE),"")</f>
        <v>Varhe 1994</v>
      </c>
      <c r="C8173" s="250" t="str">
        <f>IF(AND(A8173&lt;&gt;"",ISNUMBER(A8173)),VLOOKUP(A8173,Studies!A:BR,3,FALSE),"")</f>
        <v>https://www.ncbi.nlm.nih.gov/pubmed/7995001</v>
      </c>
      <c r="D8173" s="250" t="str">
        <f>IF(AND(A8173&lt;&gt;"",ISNUMBER(A8173)),VLOOKUP(A8173,Studies!A:BR,4,FALSE),"")</f>
        <v>Triazolam with Itraconazole Subject 5</v>
      </c>
      <c r="E8173" s="250" t="str">
        <f>IF(AND(A8173&lt;&gt;"",ISNUMBER(A8173)),VLOOKUP(A8173,Studies!A:BR,5,FALSE),"")</f>
        <v>Triazolam</v>
      </c>
      <c r="F8173" s="251" t="str">
        <f>IF(AND(A8173&lt;&gt;"",ISNUMBER(A8173)),VLOOKUP(A8173,Studies!A:BR,6,FALSE),"")</f>
        <v>Plasma</v>
      </c>
      <c r="G8173" s="194">
        <v>78</v>
      </c>
      <c r="H8173" s="50" t="s">
        <v>60</v>
      </c>
      <c r="I8173" s="187">
        <v>3.5531299999999999</v>
      </c>
      <c r="J8173" s="41" t="s">
        <v>941</v>
      </c>
      <c r="K8173" s="41" t="s">
        <v>239</v>
      </c>
      <c r="O8173" s="199">
        <v>0.2</v>
      </c>
    </row>
    <row r="8174" spans="1:16" x14ac:dyDescent="0.2">
      <c r="A8174" s="30">
        <v>1072</v>
      </c>
      <c r="B8174" s="249" t="str">
        <f>IF(AND(A8174&lt;&gt;"",ISNUMBER(A8174)),VLOOKUP(A8174,Studies!A:BR,2,FALSE),"")</f>
        <v>Varhe 1994</v>
      </c>
      <c r="C8174" s="250" t="str">
        <f>IF(AND(A8174&lt;&gt;"",ISNUMBER(A8174)),VLOOKUP(A8174,Studies!A:BR,3,FALSE),"")</f>
        <v>https://www.ncbi.nlm.nih.gov/pubmed/7995001</v>
      </c>
      <c r="D8174" s="250" t="str">
        <f>IF(AND(A8174&lt;&gt;"",ISNUMBER(A8174)),VLOOKUP(A8174,Studies!A:BR,4,FALSE),"")</f>
        <v>Triazolam with Itraconazole Subject 5</v>
      </c>
      <c r="E8174" s="250" t="str">
        <f>IF(AND(A8174&lt;&gt;"",ISNUMBER(A8174)),VLOOKUP(A8174,Studies!A:BR,5,FALSE),"")</f>
        <v>Triazolam</v>
      </c>
      <c r="F8174" s="251" t="str">
        <f>IF(AND(A8174&lt;&gt;"",ISNUMBER(A8174)),VLOOKUP(A8174,Studies!A:BR,6,FALSE),"")</f>
        <v>Plasma</v>
      </c>
      <c r="G8174" s="194">
        <v>79</v>
      </c>
      <c r="H8174" s="50" t="s">
        <v>60</v>
      </c>
      <c r="I8174" s="187">
        <v>3.7728480000000002</v>
      </c>
      <c r="J8174" s="41" t="s">
        <v>941</v>
      </c>
      <c r="K8174" s="41" t="s">
        <v>239</v>
      </c>
      <c r="O8174" s="199">
        <v>0.2</v>
      </c>
    </row>
    <row r="8175" spans="1:16" x14ac:dyDescent="0.2">
      <c r="A8175" s="30">
        <v>1072</v>
      </c>
      <c r="B8175" s="249" t="str">
        <f>IF(AND(A8175&lt;&gt;"",ISNUMBER(A8175)),VLOOKUP(A8175,Studies!A:BR,2,FALSE),"")</f>
        <v>Varhe 1994</v>
      </c>
      <c r="C8175" s="250" t="str">
        <f>IF(AND(A8175&lt;&gt;"",ISNUMBER(A8175)),VLOOKUP(A8175,Studies!A:BR,3,FALSE),"")</f>
        <v>https://www.ncbi.nlm.nih.gov/pubmed/7995001</v>
      </c>
      <c r="D8175" s="250" t="str">
        <f>IF(AND(A8175&lt;&gt;"",ISNUMBER(A8175)),VLOOKUP(A8175,Studies!A:BR,4,FALSE),"")</f>
        <v>Triazolam with Itraconazole Subject 5</v>
      </c>
      <c r="E8175" s="250" t="str">
        <f>IF(AND(A8175&lt;&gt;"",ISNUMBER(A8175)),VLOOKUP(A8175,Studies!A:BR,5,FALSE),"")</f>
        <v>Triazolam</v>
      </c>
      <c r="F8175" s="251" t="str">
        <f>IF(AND(A8175&lt;&gt;"",ISNUMBER(A8175)),VLOOKUP(A8175,Studies!A:BR,6,FALSE),"")</f>
        <v>Plasma</v>
      </c>
      <c r="G8175" s="194">
        <v>80</v>
      </c>
      <c r="H8175" s="50" t="s">
        <v>60</v>
      </c>
      <c r="I8175" s="187">
        <v>2.7854649999999999</v>
      </c>
      <c r="J8175" s="41" t="s">
        <v>941</v>
      </c>
      <c r="K8175" s="41" t="s">
        <v>239</v>
      </c>
      <c r="O8175" s="199">
        <v>0.2</v>
      </c>
    </row>
    <row r="8176" spans="1:16" x14ac:dyDescent="0.2">
      <c r="A8176" s="30">
        <v>1072</v>
      </c>
      <c r="B8176" s="249" t="str">
        <f>IF(AND(A8176&lt;&gt;"",ISNUMBER(A8176)),VLOOKUP(A8176,Studies!A:BR,2,FALSE),"")</f>
        <v>Varhe 1994</v>
      </c>
      <c r="C8176" s="250" t="str">
        <f>IF(AND(A8176&lt;&gt;"",ISNUMBER(A8176)),VLOOKUP(A8176,Studies!A:BR,3,FALSE),"")</f>
        <v>https://www.ncbi.nlm.nih.gov/pubmed/7995001</v>
      </c>
      <c r="D8176" s="250" t="str">
        <f>IF(AND(A8176&lt;&gt;"",ISNUMBER(A8176)),VLOOKUP(A8176,Studies!A:BR,4,FALSE),"")</f>
        <v>Triazolam with Itraconazole Subject 5</v>
      </c>
      <c r="E8176" s="250" t="str">
        <f>IF(AND(A8176&lt;&gt;"",ISNUMBER(A8176)),VLOOKUP(A8176,Studies!A:BR,5,FALSE),"")</f>
        <v>Triazolam</v>
      </c>
      <c r="F8176" s="251" t="str">
        <f>IF(AND(A8176&lt;&gt;"",ISNUMBER(A8176)),VLOOKUP(A8176,Studies!A:BR,6,FALSE),"")</f>
        <v>Plasma</v>
      </c>
      <c r="G8176" s="194">
        <v>90</v>
      </c>
      <c r="H8176" s="50" t="s">
        <v>60</v>
      </c>
      <c r="I8176" s="187">
        <v>1.6860470000000001</v>
      </c>
      <c r="J8176" s="41" t="s">
        <v>941</v>
      </c>
      <c r="K8176" s="41" t="s">
        <v>239</v>
      </c>
      <c r="O8176" s="199">
        <v>0.2</v>
      </c>
    </row>
    <row r="8177" spans="1:16" x14ac:dyDescent="0.2">
      <c r="A8177" s="30">
        <v>1073</v>
      </c>
      <c r="B8177" s="249" t="str">
        <f>IF(AND(A8177&lt;&gt;"",ISNUMBER(A8177)),VLOOKUP(A8177,Studies!A:BR,2,FALSE),"")</f>
        <v>Varhe 1994</v>
      </c>
      <c r="C8177" s="250" t="str">
        <f>IF(AND(A8177&lt;&gt;"",ISNUMBER(A8177)),VLOOKUP(A8177,Studies!A:BR,3,FALSE),"")</f>
        <v>https://www.ncbi.nlm.nih.gov/pubmed/7995001</v>
      </c>
      <c r="D8177" s="250" t="str">
        <f>IF(AND(A8177&lt;&gt;"",ISNUMBER(A8177)),VLOOKUP(A8177,Studies!A:BR,4,FALSE),"")</f>
        <v>Triazolam with Itraconazole Subject 6</v>
      </c>
      <c r="E8177" s="250" t="str">
        <f>IF(AND(A8177&lt;&gt;"",ISNUMBER(A8177)),VLOOKUP(A8177,Studies!A:BR,5,FALSE),"")</f>
        <v>Triazolam</v>
      </c>
      <c r="F8177" s="251" t="str">
        <f>IF(AND(A8177&lt;&gt;"",ISNUMBER(A8177)),VLOOKUP(A8177,Studies!A:BR,6,FALSE),"")</f>
        <v>Plasma</v>
      </c>
      <c r="G8177" s="194">
        <v>73.67</v>
      </c>
      <c r="H8177" s="50" t="s">
        <v>60</v>
      </c>
      <c r="I8177" s="187">
        <v>0.56292129999999996</v>
      </c>
      <c r="J8177" s="41" t="s">
        <v>941</v>
      </c>
      <c r="K8177" s="41" t="s">
        <v>239</v>
      </c>
      <c r="O8177" s="199">
        <v>0.2</v>
      </c>
      <c r="P8177" s="42" t="s">
        <v>2645</v>
      </c>
    </row>
    <row r="8178" spans="1:16" x14ac:dyDescent="0.2">
      <c r="A8178" s="30">
        <v>1073</v>
      </c>
      <c r="B8178" s="249" t="str">
        <f>IF(AND(A8178&lt;&gt;"",ISNUMBER(A8178)),VLOOKUP(A8178,Studies!A:BR,2,FALSE),"")</f>
        <v>Varhe 1994</v>
      </c>
      <c r="C8178" s="250" t="str">
        <f>IF(AND(A8178&lt;&gt;"",ISNUMBER(A8178)),VLOOKUP(A8178,Studies!A:BR,3,FALSE),"")</f>
        <v>https://www.ncbi.nlm.nih.gov/pubmed/7995001</v>
      </c>
      <c r="D8178" s="250" t="str">
        <f>IF(AND(A8178&lt;&gt;"",ISNUMBER(A8178)),VLOOKUP(A8178,Studies!A:BR,4,FALSE),"")</f>
        <v>Triazolam with Itraconazole Subject 6</v>
      </c>
      <c r="E8178" s="250" t="str">
        <f>IF(AND(A8178&lt;&gt;"",ISNUMBER(A8178)),VLOOKUP(A8178,Studies!A:BR,5,FALSE),"")</f>
        <v>Triazolam</v>
      </c>
      <c r="F8178" s="251" t="str">
        <f>IF(AND(A8178&lt;&gt;"",ISNUMBER(A8178)),VLOOKUP(A8178,Studies!A:BR,6,FALSE),"")</f>
        <v>Plasma</v>
      </c>
      <c r="G8178" s="194">
        <v>74</v>
      </c>
      <c r="H8178" s="50" t="s">
        <v>60</v>
      </c>
      <c r="I8178" s="187">
        <v>1.296886</v>
      </c>
      <c r="J8178" s="41" t="s">
        <v>941</v>
      </c>
      <c r="K8178" s="41" t="s">
        <v>239</v>
      </c>
      <c r="O8178" s="199">
        <v>0.2</v>
      </c>
    </row>
    <row r="8179" spans="1:16" x14ac:dyDescent="0.2">
      <c r="A8179" s="30">
        <v>1073</v>
      </c>
      <c r="B8179" s="249" t="str">
        <f>IF(AND(A8179&lt;&gt;"",ISNUMBER(A8179)),VLOOKUP(A8179,Studies!A:BR,2,FALSE),"")</f>
        <v>Varhe 1994</v>
      </c>
      <c r="C8179" s="250" t="str">
        <f>IF(AND(A8179&lt;&gt;"",ISNUMBER(A8179)),VLOOKUP(A8179,Studies!A:BR,3,FALSE),"")</f>
        <v>https://www.ncbi.nlm.nih.gov/pubmed/7995001</v>
      </c>
      <c r="D8179" s="250" t="str">
        <f>IF(AND(A8179&lt;&gt;"",ISNUMBER(A8179)),VLOOKUP(A8179,Studies!A:BR,4,FALSE),"")</f>
        <v>Triazolam with Itraconazole Subject 6</v>
      </c>
      <c r="E8179" s="250" t="str">
        <f>IF(AND(A8179&lt;&gt;"",ISNUMBER(A8179)),VLOOKUP(A8179,Studies!A:BR,5,FALSE),"")</f>
        <v>Triazolam</v>
      </c>
      <c r="F8179" s="251" t="str">
        <f>IF(AND(A8179&lt;&gt;"",ISNUMBER(A8179)),VLOOKUP(A8179,Studies!A:BR,6,FALSE),"")</f>
        <v>Plasma</v>
      </c>
      <c r="G8179" s="194">
        <v>74.5</v>
      </c>
      <c r="H8179" s="50" t="s">
        <v>60</v>
      </c>
      <c r="I8179" s="187">
        <v>2.2278769999999999</v>
      </c>
      <c r="J8179" s="41" t="s">
        <v>941</v>
      </c>
      <c r="K8179" s="41" t="s">
        <v>239</v>
      </c>
      <c r="O8179" s="199">
        <v>0.2</v>
      </c>
    </row>
    <row r="8180" spans="1:16" x14ac:dyDescent="0.2">
      <c r="A8180" s="30">
        <v>1073</v>
      </c>
      <c r="B8180" s="249" t="str">
        <f>IF(AND(A8180&lt;&gt;"",ISNUMBER(A8180)),VLOOKUP(A8180,Studies!A:BR,2,FALSE),"")</f>
        <v>Varhe 1994</v>
      </c>
      <c r="C8180" s="250" t="str">
        <f>IF(AND(A8180&lt;&gt;"",ISNUMBER(A8180)),VLOOKUP(A8180,Studies!A:BR,3,FALSE),"")</f>
        <v>https://www.ncbi.nlm.nih.gov/pubmed/7995001</v>
      </c>
      <c r="D8180" s="250" t="str">
        <f>IF(AND(A8180&lt;&gt;"",ISNUMBER(A8180)),VLOOKUP(A8180,Studies!A:BR,4,FALSE),"")</f>
        <v>Triazolam with Itraconazole Subject 6</v>
      </c>
      <c r="E8180" s="250" t="str">
        <f>IF(AND(A8180&lt;&gt;"",ISNUMBER(A8180)),VLOOKUP(A8180,Studies!A:BR,5,FALSE),"")</f>
        <v>Triazolam</v>
      </c>
      <c r="F8180" s="251" t="str">
        <f>IF(AND(A8180&lt;&gt;"",ISNUMBER(A8180)),VLOOKUP(A8180,Studies!A:BR,6,FALSE),"")</f>
        <v>Plasma</v>
      </c>
      <c r="G8180" s="194">
        <v>75</v>
      </c>
      <c r="H8180" s="50" t="s">
        <v>60</v>
      </c>
      <c r="I8180" s="187">
        <v>2.3642590000000001</v>
      </c>
      <c r="J8180" s="41" t="s">
        <v>941</v>
      </c>
      <c r="K8180" s="41" t="s">
        <v>239</v>
      </c>
      <c r="O8180" s="199">
        <v>0.2</v>
      </c>
    </row>
    <row r="8181" spans="1:16" x14ac:dyDescent="0.2">
      <c r="A8181" s="30">
        <v>1073</v>
      </c>
      <c r="B8181" s="249" t="str">
        <f>IF(AND(A8181&lt;&gt;"",ISNUMBER(A8181)),VLOOKUP(A8181,Studies!A:BR,2,FALSE),"")</f>
        <v>Varhe 1994</v>
      </c>
      <c r="C8181" s="250" t="str">
        <f>IF(AND(A8181&lt;&gt;"",ISNUMBER(A8181)),VLOOKUP(A8181,Studies!A:BR,3,FALSE),"")</f>
        <v>https://www.ncbi.nlm.nih.gov/pubmed/7995001</v>
      </c>
      <c r="D8181" s="250" t="str">
        <f>IF(AND(A8181&lt;&gt;"",ISNUMBER(A8181)),VLOOKUP(A8181,Studies!A:BR,4,FALSE),"")</f>
        <v>Triazolam with Itraconazole Subject 6</v>
      </c>
      <c r="E8181" s="250" t="str">
        <f>IF(AND(A8181&lt;&gt;"",ISNUMBER(A8181)),VLOOKUP(A8181,Studies!A:BR,5,FALSE),"")</f>
        <v>Triazolam</v>
      </c>
      <c r="F8181" s="251" t="str">
        <f>IF(AND(A8181&lt;&gt;"",ISNUMBER(A8181)),VLOOKUP(A8181,Studies!A:BR,6,FALSE),"")</f>
        <v>Plasma</v>
      </c>
      <c r="G8181" s="194">
        <v>75.5</v>
      </c>
      <c r="H8181" s="50" t="s">
        <v>60</v>
      </c>
      <c r="I8181" s="187">
        <v>2.3938130000000002</v>
      </c>
      <c r="J8181" s="41" t="s">
        <v>941</v>
      </c>
      <c r="K8181" s="41" t="s">
        <v>239</v>
      </c>
      <c r="O8181" s="199">
        <v>0.2</v>
      </c>
    </row>
    <row r="8182" spans="1:16" x14ac:dyDescent="0.2">
      <c r="A8182" s="30">
        <v>1073</v>
      </c>
      <c r="B8182" s="249" t="str">
        <f>IF(AND(A8182&lt;&gt;"",ISNUMBER(A8182)),VLOOKUP(A8182,Studies!A:BR,2,FALSE),"")</f>
        <v>Varhe 1994</v>
      </c>
      <c r="C8182" s="250" t="str">
        <f>IF(AND(A8182&lt;&gt;"",ISNUMBER(A8182)),VLOOKUP(A8182,Studies!A:BR,3,FALSE),"")</f>
        <v>https://www.ncbi.nlm.nih.gov/pubmed/7995001</v>
      </c>
      <c r="D8182" s="250" t="str">
        <f>IF(AND(A8182&lt;&gt;"",ISNUMBER(A8182)),VLOOKUP(A8182,Studies!A:BR,4,FALSE),"")</f>
        <v>Triazolam with Itraconazole Subject 6</v>
      </c>
      <c r="E8182" s="250" t="str">
        <f>IF(AND(A8182&lt;&gt;"",ISNUMBER(A8182)),VLOOKUP(A8182,Studies!A:BR,5,FALSE),"")</f>
        <v>Triazolam</v>
      </c>
      <c r="F8182" s="251" t="str">
        <f>IF(AND(A8182&lt;&gt;"",ISNUMBER(A8182)),VLOOKUP(A8182,Studies!A:BR,6,FALSE),"")</f>
        <v>Plasma</v>
      </c>
      <c r="G8182" s="194">
        <v>76</v>
      </c>
      <c r="H8182" s="50" t="s">
        <v>60</v>
      </c>
      <c r="I8182" s="187">
        <v>2.48136</v>
      </c>
      <c r="J8182" s="41" t="s">
        <v>941</v>
      </c>
      <c r="K8182" s="41" t="s">
        <v>239</v>
      </c>
      <c r="O8182" s="199">
        <v>0.2</v>
      </c>
    </row>
    <row r="8183" spans="1:16" x14ac:dyDescent="0.2">
      <c r="A8183" s="30">
        <v>1073</v>
      </c>
      <c r="B8183" s="249" t="str">
        <f>IF(AND(A8183&lt;&gt;"",ISNUMBER(A8183)),VLOOKUP(A8183,Studies!A:BR,2,FALSE),"")</f>
        <v>Varhe 1994</v>
      </c>
      <c r="C8183" s="250" t="str">
        <f>IF(AND(A8183&lt;&gt;"",ISNUMBER(A8183)),VLOOKUP(A8183,Studies!A:BR,3,FALSE),"")</f>
        <v>https://www.ncbi.nlm.nih.gov/pubmed/7995001</v>
      </c>
      <c r="D8183" s="250" t="str">
        <f>IF(AND(A8183&lt;&gt;"",ISNUMBER(A8183)),VLOOKUP(A8183,Studies!A:BR,4,FALSE),"")</f>
        <v>Triazolam with Itraconazole Subject 6</v>
      </c>
      <c r="E8183" s="250" t="str">
        <f>IF(AND(A8183&lt;&gt;"",ISNUMBER(A8183)),VLOOKUP(A8183,Studies!A:BR,5,FALSE),"")</f>
        <v>Triazolam</v>
      </c>
      <c r="F8183" s="251" t="str">
        <f>IF(AND(A8183&lt;&gt;"",ISNUMBER(A8183)),VLOOKUP(A8183,Studies!A:BR,6,FALSE),"")</f>
        <v>Plasma</v>
      </c>
      <c r="G8183" s="194">
        <v>77</v>
      </c>
      <c r="H8183" s="50" t="s">
        <v>60</v>
      </c>
      <c r="I8183" s="187">
        <v>2.3987479999999999</v>
      </c>
      <c r="J8183" s="41" t="s">
        <v>941</v>
      </c>
      <c r="K8183" s="41" t="s">
        <v>239</v>
      </c>
      <c r="O8183" s="199">
        <v>0.2</v>
      </c>
    </row>
    <row r="8184" spans="1:16" x14ac:dyDescent="0.2">
      <c r="A8184" s="30">
        <v>1073</v>
      </c>
      <c r="B8184" s="249" t="str">
        <f>IF(AND(A8184&lt;&gt;"",ISNUMBER(A8184)),VLOOKUP(A8184,Studies!A:BR,2,FALSE),"")</f>
        <v>Varhe 1994</v>
      </c>
      <c r="C8184" s="250" t="str">
        <f>IF(AND(A8184&lt;&gt;"",ISNUMBER(A8184)),VLOOKUP(A8184,Studies!A:BR,3,FALSE),"")</f>
        <v>https://www.ncbi.nlm.nih.gov/pubmed/7995001</v>
      </c>
      <c r="D8184" s="250" t="str">
        <f>IF(AND(A8184&lt;&gt;"",ISNUMBER(A8184)),VLOOKUP(A8184,Studies!A:BR,4,FALSE),"")</f>
        <v>Triazolam with Itraconazole Subject 6</v>
      </c>
      <c r="E8184" s="250" t="str">
        <f>IF(AND(A8184&lt;&gt;"",ISNUMBER(A8184)),VLOOKUP(A8184,Studies!A:BR,5,FALSE),"")</f>
        <v>Triazolam</v>
      </c>
      <c r="F8184" s="251" t="str">
        <f>IF(AND(A8184&lt;&gt;"",ISNUMBER(A8184)),VLOOKUP(A8184,Studies!A:BR,6,FALSE),"")</f>
        <v>Plasma</v>
      </c>
      <c r="G8184" s="194">
        <v>78</v>
      </c>
      <c r="H8184" s="50" t="s">
        <v>60</v>
      </c>
      <c r="I8184" s="187">
        <v>2.0618569999999998</v>
      </c>
      <c r="J8184" s="41" t="s">
        <v>941</v>
      </c>
      <c r="K8184" s="41" t="s">
        <v>239</v>
      </c>
      <c r="O8184" s="199">
        <v>0.2</v>
      </c>
    </row>
    <row r="8185" spans="1:16" x14ac:dyDescent="0.2">
      <c r="A8185" s="30">
        <v>1073</v>
      </c>
      <c r="B8185" s="249" t="str">
        <f>IF(AND(A8185&lt;&gt;"",ISNUMBER(A8185)),VLOOKUP(A8185,Studies!A:BR,2,FALSE),"")</f>
        <v>Varhe 1994</v>
      </c>
      <c r="C8185" s="250" t="str">
        <f>IF(AND(A8185&lt;&gt;"",ISNUMBER(A8185)),VLOOKUP(A8185,Studies!A:BR,3,FALSE),"")</f>
        <v>https://www.ncbi.nlm.nih.gov/pubmed/7995001</v>
      </c>
      <c r="D8185" s="250" t="str">
        <f>IF(AND(A8185&lt;&gt;"",ISNUMBER(A8185)),VLOOKUP(A8185,Studies!A:BR,4,FALSE),"")</f>
        <v>Triazolam with Itraconazole Subject 6</v>
      </c>
      <c r="E8185" s="250" t="str">
        <f>IF(AND(A8185&lt;&gt;"",ISNUMBER(A8185)),VLOOKUP(A8185,Studies!A:BR,5,FALSE),"")</f>
        <v>Triazolam</v>
      </c>
      <c r="F8185" s="251" t="str">
        <f>IF(AND(A8185&lt;&gt;"",ISNUMBER(A8185)),VLOOKUP(A8185,Studies!A:BR,6,FALSE),"")</f>
        <v>Plasma</v>
      </c>
      <c r="G8185" s="194">
        <v>79</v>
      </c>
      <c r="H8185" s="50" t="s">
        <v>60</v>
      </c>
      <c r="I8185" s="187">
        <v>2.0167660000000001</v>
      </c>
      <c r="J8185" s="41" t="s">
        <v>941</v>
      </c>
      <c r="K8185" s="41" t="s">
        <v>239</v>
      </c>
      <c r="O8185" s="59">
        <v>0.2</v>
      </c>
    </row>
    <row r="8186" spans="1:16" x14ac:dyDescent="0.2">
      <c r="A8186" s="30">
        <v>1073</v>
      </c>
      <c r="B8186" s="249" t="str">
        <f>IF(AND(A8186&lt;&gt;"",ISNUMBER(A8186)),VLOOKUP(A8186,Studies!A:BR,2,FALSE),"")</f>
        <v>Varhe 1994</v>
      </c>
      <c r="C8186" s="250" t="str">
        <f>IF(AND(A8186&lt;&gt;"",ISNUMBER(A8186)),VLOOKUP(A8186,Studies!A:BR,3,FALSE),"")</f>
        <v>https://www.ncbi.nlm.nih.gov/pubmed/7995001</v>
      </c>
      <c r="D8186" s="250" t="str">
        <f>IF(AND(A8186&lt;&gt;"",ISNUMBER(A8186)),VLOOKUP(A8186,Studies!A:BR,4,FALSE),"")</f>
        <v>Triazolam with Itraconazole Subject 6</v>
      </c>
      <c r="E8186" s="250" t="str">
        <f>IF(AND(A8186&lt;&gt;"",ISNUMBER(A8186)),VLOOKUP(A8186,Studies!A:BR,5,FALSE),"")</f>
        <v>Triazolam</v>
      </c>
      <c r="F8186" s="251" t="str">
        <f>IF(AND(A8186&lt;&gt;"",ISNUMBER(A8186)),VLOOKUP(A8186,Studies!A:BR,6,FALSE),"")</f>
        <v>Plasma</v>
      </c>
      <c r="G8186" s="194">
        <v>80</v>
      </c>
      <c r="H8186" s="50" t="s">
        <v>60</v>
      </c>
      <c r="I8186" s="187">
        <v>2.0920049999999999</v>
      </c>
      <c r="J8186" s="41" t="s">
        <v>941</v>
      </c>
      <c r="K8186" s="41" t="s">
        <v>239</v>
      </c>
      <c r="O8186" s="59">
        <v>0.2</v>
      </c>
    </row>
    <row r="8187" spans="1:16" x14ac:dyDescent="0.2">
      <c r="A8187" s="30">
        <v>1073</v>
      </c>
      <c r="B8187" s="249" t="str">
        <f>IF(AND(A8187&lt;&gt;"",ISNUMBER(A8187)),VLOOKUP(A8187,Studies!A:BR,2,FALSE),"")</f>
        <v>Varhe 1994</v>
      </c>
      <c r="C8187" s="250" t="str">
        <f>IF(AND(A8187&lt;&gt;"",ISNUMBER(A8187)),VLOOKUP(A8187,Studies!A:BR,3,FALSE),"")</f>
        <v>https://www.ncbi.nlm.nih.gov/pubmed/7995001</v>
      </c>
      <c r="D8187" s="250" t="str">
        <f>IF(AND(A8187&lt;&gt;"",ISNUMBER(A8187)),VLOOKUP(A8187,Studies!A:BR,4,FALSE),"")</f>
        <v>Triazolam with Itraconazole Subject 6</v>
      </c>
      <c r="E8187" s="250" t="str">
        <f>IF(AND(A8187&lt;&gt;"",ISNUMBER(A8187)),VLOOKUP(A8187,Studies!A:BR,5,FALSE),"")</f>
        <v>Triazolam</v>
      </c>
      <c r="F8187" s="251" t="str">
        <f>IF(AND(A8187&lt;&gt;"",ISNUMBER(A8187)),VLOOKUP(A8187,Studies!A:BR,6,FALSE),"")</f>
        <v>Plasma</v>
      </c>
      <c r="G8187" s="194">
        <v>90</v>
      </c>
      <c r="H8187" s="50" t="s">
        <v>60</v>
      </c>
      <c r="I8187" s="187">
        <v>1.178839</v>
      </c>
      <c r="J8187" s="41" t="s">
        <v>941</v>
      </c>
      <c r="K8187" s="41" t="s">
        <v>239</v>
      </c>
      <c r="O8187" s="59">
        <v>0.2</v>
      </c>
    </row>
    <row r="8188" spans="1:16" x14ac:dyDescent="0.2">
      <c r="A8188" s="30">
        <v>1074</v>
      </c>
      <c r="B8188" s="249" t="str">
        <f>IF(AND(A8188&lt;&gt;"",ISNUMBER(A8188)),VLOOKUP(A8188,Studies!A:BR,2,FALSE),"")</f>
        <v>Varhe 1994</v>
      </c>
      <c r="C8188" s="250" t="str">
        <f>IF(AND(A8188&lt;&gt;"",ISNUMBER(A8188)),VLOOKUP(A8188,Studies!A:BR,3,FALSE),"")</f>
        <v>https://www.ncbi.nlm.nih.gov/pubmed/7995001</v>
      </c>
      <c r="D8188" s="250" t="str">
        <f>IF(AND(A8188&lt;&gt;"",ISNUMBER(A8188)),VLOOKUP(A8188,Studies!A:BR,4,FALSE),"")</f>
        <v>Triazolam with Itraconazole Subject 7</v>
      </c>
      <c r="E8188" s="250" t="str">
        <f>IF(AND(A8188&lt;&gt;"",ISNUMBER(A8188)),VLOOKUP(A8188,Studies!A:BR,5,FALSE),"")</f>
        <v>Triazolam</v>
      </c>
      <c r="F8188" s="251" t="str">
        <f>IF(AND(A8188&lt;&gt;"",ISNUMBER(A8188)),VLOOKUP(A8188,Studies!A:BR,6,FALSE),"")</f>
        <v>Plasma</v>
      </c>
      <c r="G8188" s="194">
        <v>73.67</v>
      </c>
      <c r="H8188" s="50" t="s">
        <v>60</v>
      </c>
      <c r="I8188" s="187">
        <v>0.2006146</v>
      </c>
      <c r="J8188" s="41" t="s">
        <v>941</v>
      </c>
      <c r="K8188" s="41" t="s">
        <v>239</v>
      </c>
      <c r="O8188" s="59">
        <v>0.2</v>
      </c>
      <c r="P8188" s="42" t="s">
        <v>2645</v>
      </c>
    </row>
    <row r="8189" spans="1:16" x14ac:dyDescent="0.2">
      <c r="A8189" s="30">
        <v>1074</v>
      </c>
      <c r="B8189" s="249" t="str">
        <f>IF(AND(A8189&lt;&gt;"",ISNUMBER(A8189)),VLOOKUP(A8189,Studies!A:BR,2,FALSE),"")</f>
        <v>Varhe 1994</v>
      </c>
      <c r="C8189" s="250" t="str">
        <f>IF(AND(A8189&lt;&gt;"",ISNUMBER(A8189)),VLOOKUP(A8189,Studies!A:BR,3,FALSE),"")</f>
        <v>https://www.ncbi.nlm.nih.gov/pubmed/7995001</v>
      </c>
      <c r="D8189" s="250" t="str">
        <f>IF(AND(A8189&lt;&gt;"",ISNUMBER(A8189)),VLOOKUP(A8189,Studies!A:BR,4,FALSE),"")</f>
        <v>Triazolam with Itraconazole Subject 7</v>
      </c>
      <c r="E8189" s="250" t="str">
        <f>IF(AND(A8189&lt;&gt;"",ISNUMBER(A8189)),VLOOKUP(A8189,Studies!A:BR,5,FALSE),"")</f>
        <v>Triazolam</v>
      </c>
      <c r="F8189" s="251" t="str">
        <f>IF(AND(A8189&lt;&gt;"",ISNUMBER(A8189)),VLOOKUP(A8189,Studies!A:BR,6,FALSE),"")</f>
        <v>Plasma</v>
      </c>
      <c r="G8189" s="194">
        <v>74</v>
      </c>
      <c r="H8189" s="50" t="s">
        <v>60</v>
      </c>
      <c r="I8189" s="187">
        <v>0.2006146</v>
      </c>
      <c r="J8189" s="41" t="s">
        <v>941</v>
      </c>
      <c r="K8189" s="41" t="s">
        <v>239</v>
      </c>
      <c r="O8189" s="59">
        <v>0.2</v>
      </c>
    </row>
    <row r="8190" spans="1:16" x14ac:dyDescent="0.2">
      <c r="A8190" s="30">
        <v>1074</v>
      </c>
      <c r="B8190" s="249" t="str">
        <f>IF(AND(A8190&lt;&gt;"",ISNUMBER(A8190)),VLOOKUP(A8190,Studies!A:BR,2,FALSE),"")</f>
        <v>Varhe 1994</v>
      </c>
      <c r="C8190" s="250" t="str">
        <f>IF(AND(A8190&lt;&gt;"",ISNUMBER(A8190)),VLOOKUP(A8190,Studies!A:BR,3,FALSE),"")</f>
        <v>https://www.ncbi.nlm.nih.gov/pubmed/7995001</v>
      </c>
      <c r="D8190" s="250" t="str">
        <f>IF(AND(A8190&lt;&gt;"",ISNUMBER(A8190)),VLOOKUP(A8190,Studies!A:BR,4,FALSE),"")</f>
        <v>Triazolam with Itraconazole Subject 7</v>
      </c>
      <c r="E8190" s="250" t="str">
        <f>IF(AND(A8190&lt;&gt;"",ISNUMBER(A8190)),VLOOKUP(A8190,Studies!A:BR,5,FALSE),"")</f>
        <v>Triazolam</v>
      </c>
      <c r="F8190" s="251" t="str">
        <f>IF(AND(A8190&lt;&gt;"",ISNUMBER(A8190)),VLOOKUP(A8190,Studies!A:BR,6,FALSE),"")</f>
        <v>Plasma</v>
      </c>
      <c r="G8190" s="194">
        <v>74.5</v>
      </c>
      <c r="H8190" s="50" t="s">
        <v>60</v>
      </c>
      <c r="I8190" s="187">
        <v>1.1918059999999999</v>
      </c>
      <c r="J8190" s="41" t="s">
        <v>941</v>
      </c>
      <c r="K8190" s="41" t="s">
        <v>239</v>
      </c>
      <c r="O8190" s="59">
        <v>0.2</v>
      </c>
    </row>
    <row r="8191" spans="1:16" x14ac:dyDescent="0.2">
      <c r="A8191" s="30">
        <v>1074</v>
      </c>
      <c r="B8191" s="249" t="str">
        <f>IF(AND(A8191&lt;&gt;"",ISNUMBER(A8191)),VLOOKUP(A8191,Studies!A:BR,2,FALSE),"")</f>
        <v>Varhe 1994</v>
      </c>
      <c r="C8191" s="250" t="str">
        <f>IF(AND(A8191&lt;&gt;"",ISNUMBER(A8191)),VLOOKUP(A8191,Studies!A:BR,3,FALSE),"")</f>
        <v>https://www.ncbi.nlm.nih.gov/pubmed/7995001</v>
      </c>
      <c r="D8191" s="250" t="str">
        <f>IF(AND(A8191&lt;&gt;"",ISNUMBER(A8191)),VLOOKUP(A8191,Studies!A:BR,4,FALSE),"")</f>
        <v>Triazolam with Itraconazole Subject 7</v>
      </c>
      <c r="E8191" s="250" t="str">
        <f>IF(AND(A8191&lt;&gt;"",ISNUMBER(A8191)),VLOOKUP(A8191,Studies!A:BR,5,FALSE),"")</f>
        <v>Triazolam</v>
      </c>
      <c r="F8191" s="251" t="str">
        <f>IF(AND(A8191&lt;&gt;"",ISNUMBER(A8191)),VLOOKUP(A8191,Studies!A:BR,6,FALSE),"")</f>
        <v>Plasma</v>
      </c>
      <c r="G8191" s="194">
        <v>75</v>
      </c>
      <c r="H8191" s="50" t="s">
        <v>60</v>
      </c>
      <c r="I8191" s="187">
        <v>1.979573</v>
      </c>
      <c r="J8191" s="41" t="s">
        <v>941</v>
      </c>
      <c r="K8191" s="41" t="s">
        <v>239</v>
      </c>
      <c r="O8191" s="59">
        <v>0.2</v>
      </c>
    </row>
    <row r="8192" spans="1:16" x14ac:dyDescent="0.2">
      <c r="A8192" s="30">
        <v>1074</v>
      </c>
      <c r="B8192" s="249" t="str">
        <f>IF(AND(A8192&lt;&gt;"",ISNUMBER(A8192)),VLOOKUP(A8192,Studies!A:BR,2,FALSE),"")</f>
        <v>Varhe 1994</v>
      </c>
      <c r="C8192" s="250" t="str">
        <f>IF(AND(A8192&lt;&gt;"",ISNUMBER(A8192)),VLOOKUP(A8192,Studies!A:BR,3,FALSE),"")</f>
        <v>https://www.ncbi.nlm.nih.gov/pubmed/7995001</v>
      </c>
      <c r="D8192" s="250" t="str">
        <f>IF(AND(A8192&lt;&gt;"",ISNUMBER(A8192)),VLOOKUP(A8192,Studies!A:BR,4,FALSE),"")</f>
        <v>Triazolam with Itraconazole Subject 7</v>
      </c>
      <c r="E8192" s="250" t="str">
        <f>IF(AND(A8192&lt;&gt;"",ISNUMBER(A8192)),VLOOKUP(A8192,Studies!A:BR,5,FALSE),"")</f>
        <v>Triazolam</v>
      </c>
      <c r="F8192" s="251" t="str">
        <f>IF(AND(A8192&lt;&gt;"",ISNUMBER(A8192)),VLOOKUP(A8192,Studies!A:BR,6,FALSE),"")</f>
        <v>Plasma</v>
      </c>
      <c r="G8192" s="194">
        <v>75.5</v>
      </c>
      <c r="H8192" s="50" t="s">
        <v>60</v>
      </c>
      <c r="I8192" s="187">
        <v>2.690394</v>
      </c>
      <c r="J8192" s="41" t="s">
        <v>941</v>
      </c>
      <c r="K8192" s="41" t="s">
        <v>239</v>
      </c>
      <c r="O8192" s="59">
        <v>0.2</v>
      </c>
    </row>
    <row r="8193" spans="1:16" x14ac:dyDescent="0.2">
      <c r="A8193" s="30">
        <v>1074</v>
      </c>
      <c r="B8193" s="249" t="str">
        <f>IF(AND(A8193&lt;&gt;"",ISNUMBER(A8193)),VLOOKUP(A8193,Studies!A:BR,2,FALSE),"")</f>
        <v>Varhe 1994</v>
      </c>
      <c r="C8193" s="250" t="str">
        <f>IF(AND(A8193&lt;&gt;"",ISNUMBER(A8193)),VLOOKUP(A8193,Studies!A:BR,3,FALSE),"")</f>
        <v>https://www.ncbi.nlm.nih.gov/pubmed/7995001</v>
      </c>
      <c r="D8193" s="250" t="str">
        <f>IF(AND(A8193&lt;&gt;"",ISNUMBER(A8193)),VLOOKUP(A8193,Studies!A:BR,4,FALSE),"")</f>
        <v>Triazolam with Itraconazole Subject 7</v>
      </c>
      <c r="E8193" s="250" t="str">
        <f>IF(AND(A8193&lt;&gt;"",ISNUMBER(A8193)),VLOOKUP(A8193,Studies!A:BR,5,FALSE),"")</f>
        <v>Triazolam</v>
      </c>
      <c r="F8193" s="251" t="str">
        <f>IF(AND(A8193&lt;&gt;"",ISNUMBER(A8193)),VLOOKUP(A8193,Studies!A:BR,6,FALSE),"")</f>
        <v>Plasma</v>
      </c>
      <c r="G8193" s="194">
        <v>76</v>
      </c>
      <c r="H8193" s="50" t="s">
        <v>60</v>
      </c>
      <c r="I8193" s="187">
        <v>2.8204289999999999</v>
      </c>
      <c r="J8193" s="41" t="s">
        <v>941</v>
      </c>
      <c r="K8193" s="41" t="s">
        <v>239</v>
      </c>
      <c r="O8193" s="59">
        <v>0.2</v>
      </c>
    </row>
    <row r="8194" spans="1:16" x14ac:dyDescent="0.2">
      <c r="A8194" s="30">
        <v>1074</v>
      </c>
      <c r="B8194" s="249" t="str">
        <f>IF(AND(A8194&lt;&gt;"",ISNUMBER(A8194)),VLOOKUP(A8194,Studies!A:BR,2,FALSE),"")</f>
        <v>Varhe 1994</v>
      </c>
      <c r="C8194" s="250" t="str">
        <f>IF(AND(A8194&lt;&gt;"",ISNUMBER(A8194)),VLOOKUP(A8194,Studies!A:BR,3,FALSE),"")</f>
        <v>https://www.ncbi.nlm.nih.gov/pubmed/7995001</v>
      </c>
      <c r="D8194" s="250" t="str">
        <f>IF(AND(A8194&lt;&gt;"",ISNUMBER(A8194)),VLOOKUP(A8194,Studies!A:BR,4,FALSE),"")</f>
        <v>Triazolam with Itraconazole Subject 7</v>
      </c>
      <c r="E8194" s="250" t="str">
        <f>IF(AND(A8194&lt;&gt;"",ISNUMBER(A8194)),VLOOKUP(A8194,Studies!A:BR,5,FALSE),"")</f>
        <v>Triazolam</v>
      </c>
      <c r="F8194" s="251" t="str">
        <f>IF(AND(A8194&lt;&gt;"",ISNUMBER(A8194)),VLOOKUP(A8194,Studies!A:BR,6,FALSE),"")</f>
        <v>Plasma</v>
      </c>
      <c r="G8194" s="194">
        <v>77</v>
      </c>
      <c r="H8194" s="50" t="s">
        <v>60</v>
      </c>
      <c r="I8194" s="187">
        <v>3.6135630000000001</v>
      </c>
      <c r="J8194" s="41" t="s">
        <v>941</v>
      </c>
      <c r="K8194" s="41" t="s">
        <v>239</v>
      </c>
      <c r="O8194" s="59">
        <v>0.2</v>
      </c>
    </row>
    <row r="8195" spans="1:16" x14ac:dyDescent="0.2">
      <c r="A8195" s="30">
        <v>1074</v>
      </c>
      <c r="B8195" s="249" t="str">
        <f>IF(AND(A8195&lt;&gt;"",ISNUMBER(A8195)),VLOOKUP(A8195,Studies!A:BR,2,FALSE),"")</f>
        <v>Varhe 1994</v>
      </c>
      <c r="C8195" s="250" t="str">
        <f>IF(AND(A8195&lt;&gt;"",ISNUMBER(A8195)),VLOOKUP(A8195,Studies!A:BR,3,FALSE),"")</f>
        <v>https://www.ncbi.nlm.nih.gov/pubmed/7995001</v>
      </c>
      <c r="D8195" s="250" t="str">
        <f>IF(AND(A8195&lt;&gt;"",ISNUMBER(A8195)),VLOOKUP(A8195,Studies!A:BR,4,FALSE),"")</f>
        <v>Triazolam with Itraconazole Subject 7</v>
      </c>
      <c r="E8195" s="250" t="str">
        <f>IF(AND(A8195&lt;&gt;"",ISNUMBER(A8195)),VLOOKUP(A8195,Studies!A:BR,5,FALSE),"")</f>
        <v>Triazolam</v>
      </c>
      <c r="F8195" s="251" t="str">
        <f>IF(AND(A8195&lt;&gt;"",ISNUMBER(A8195)),VLOOKUP(A8195,Studies!A:BR,6,FALSE),"")</f>
        <v>Plasma</v>
      </c>
      <c r="G8195" s="194">
        <v>78</v>
      </c>
      <c r="H8195" s="50" t="s">
        <v>60</v>
      </c>
      <c r="I8195" s="187">
        <v>2.5663550000000002</v>
      </c>
      <c r="J8195" s="41" t="s">
        <v>941</v>
      </c>
      <c r="K8195" s="41" t="s">
        <v>239</v>
      </c>
      <c r="O8195" s="59">
        <v>0.2</v>
      </c>
    </row>
    <row r="8196" spans="1:16" x14ac:dyDescent="0.2">
      <c r="A8196" s="30">
        <v>1074</v>
      </c>
      <c r="B8196" s="249" t="str">
        <f>IF(AND(A8196&lt;&gt;"",ISNUMBER(A8196)),VLOOKUP(A8196,Studies!A:BR,2,FALSE),"")</f>
        <v>Varhe 1994</v>
      </c>
      <c r="C8196" s="250" t="str">
        <f>IF(AND(A8196&lt;&gt;"",ISNUMBER(A8196)),VLOOKUP(A8196,Studies!A:BR,3,FALSE),"")</f>
        <v>https://www.ncbi.nlm.nih.gov/pubmed/7995001</v>
      </c>
      <c r="D8196" s="250" t="str">
        <f>IF(AND(A8196&lt;&gt;"",ISNUMBER(A8196)),VLOOKUP(A8196,Studies!A:BR,4,FALSE),"")</f>
        <v>Triazolam with Itraconazole Subject 7</v>
      </c>
      <c r="E8196" s="250" t="str">
        <f>IF(AND(A8196&lt;&gt;"",ISNUMBER(A8196)),VLOOKUP(A8196,Studies!A:BR,5,FALSE),"")</f>
        <v>Triazolam</v>
      </c>
      <c r="F8196" s="251" t="str">
        <f>IF(AND(A8196&lt;&gt;"",ISNUMBER(A8196)),VLOOKUP(A8196,Studies!A:BR,6,FALSE),"")</f>
        <v>Plasma</v>
      </c>
      <c r="G8196" s="194">
        <v>79</v>
      </c>
      <c r="H8196" s="50" t="s">
        <v>60</v>
      </c>
      <c r="I8196" s="187">
        <v>2.8204289999999999</v>
      </c>
      <c r="J8196" s="41" t="s">
        <v>941</v>
      </c>
      <c r="K8196" s="41" t="s">
        <v>239</v>
      </c>
      <c r="O8196" s="59">
        <v>0.2</v>
      </c>
    </row>
    <row r="8197" spans="1:16" x14ac:dyDescent="0.2">
      <c r="A8197" s="30">
        <v>1074</v>
      </c>
      <c r="B8197" s="249" t="str">
        <f>IF(AND(A8197&lt;&gt;"",ISNUMBER(A8197)),VLOOKUP(A8197,Studies!A:BR,2,FALSE),"")</f>
        <v>Varhe 1994</v>
      </c>
      <c r="C8197" s="250" t="str">
        <f>IF(AND(A8197&lt;&gt;"",ISNUMBER(A8197)),VLOOKUP(A8197,Studies!A:BR,3,FALSE),"")</f>
        <v>https://www.ncbi.nlm.nih.gov/pubmed/7995001</v>
      </c>
      <c r="D8197" s="250" t="str">
        <f>IF(AND(A8197&lt;&gt;"",ISNUMBER(A8197)),VLOOKUP(A8197,Studies!A:BR,4,FALSE),"")</f>
        <v>Triazolam with Itraconazole Subject 7</v>
      </c>
      <c r="E8197" s="250" t="str">
        <f>IF(AND(A8197&lt;&gt;"",ISNUMBER(A8197)),VLOOKUP(A8197,Studies!A:BR,5,FALSE),"")</f>
        <v>Triazolam</v>
      </c>
      <c r="F8197" s="251" t="str">
        <f>IF(AND(A8197&lt;&gt;"",ISNUMBER(A8197)),VLOOKUP(A8197,Studies!A:BR,6,FALSE),"")</f>
        <v>Plasma</v>
      </c>
      <c r="G8197" s="194">
        <v>80</v>
      </c>
      <c r="H8197" s="50" t="s">
        <v>60</v>
      </c>
      <c r="I8197" s="187">
        <v>2.5663550000000002</v>
      </c>
      <c r="J8197" s="41" t="s">
        <v>941</v>
      </c>
      <c r="K8197" s="41" t="s">
        <v>239</v>
      </c>
      <c r="O8197" s="59">
        <v>0.2</v>
      </c>
    </row>
    <row r="8198" spans="1:16" x14ac:dyDescent="0.2">
      <c r="A8198" s="30">
        <v>1074</v>
      </c>
      <c r="B8198" s="249" t="str">
        <f>IF(AND(A8198&lt;&gt;"",ISNUMBER(A8198)),VLOOKUP(A8198,Studies!A:BR,2,FALSE),"")</f>
        <v>Varhe 1994</v>
      </c>
      <c r="C8198" s="250" t="str">
        <f>IF(AND(A8198&lt;&gt;"",ISNUMBER(A8198)),VLOOKUP(A8198,Studies!A:BR,3,FALSE),"")</f>
        <v>https://www.ncbi.nlm.nih.gov/pubmed/7995001</v>
      </c>
      <c r="D8198" s="250" t="str">
        <f>IF(AND(A8198&lt;&gt;"",ISNUMBER(A8198)),VLOOKUP(A8198,Studies!A:BR,4,FALSE),"")</f>
        <v>Triazolam with Itraconazole Subject 7</v>
      </c>
      <c r="E8198" s="250" t="str">
        <f>IF(AND(A8198&lt;&gt;"",ISNUMBER(A8198)),VLOOKUP(A8198,Studies!A:BR,5,FALSE),"")</f>
        <v>Triazolam</v>
      </c>
      <c r="F8198" s="251" t="str">
        <f>IF(AND(A8198&lt;&gt;"",ISNUMBER(A8198)),VLOOKUP(A8198,Studies!A:BR,6,FALSE),"")</f>
        <v>Plasma</v>
      </c>
      <c r="G8198" s="194">
        <v>90</v>
      </c>
      <c r="H8198" s="50" t="s">
        <v>60</v>
      </c>
      <c r="I8198" s="187">
        <v>1.294432</v>
      </c>
      <c r="J8198" s="41" t="s">
        <v>941</v>
      </c>
      <c r="K8198" s="41" t="s">
        <v>239</v>
      </c>
      <c r="O8198" s="59">
        <v>0.2</v>
      </c>
    </row>
    <row r="8199" spans="1:16" x14ac:dyDescent="0.2">
      <c r="A8199" s="30">
        <v>1075</v>
      </c>
      <c r="B8199" s="249" t="str">
        <f>IF(AND(A8199&lt;&gt;"",ISNUMBER(A8199)),VLOOKUP(A8199,Studies!A:BR,2,FALSE),"")</f>
        <v>Varhe 1994</v>
      </c>
      <c r="C8199" s="250" t="str">
        <f>IF(AND(A8199&lt;&gt;"",ISNUMBER(A8199)),VLOOKUP(A8199,Studies!A:BR,3,FALSE),"")</f>
        <v>https://www.ncbi.nlm.nih.gov/pubmed/7995001</v>
      </c>
      <c r="D8199" s="250" t="str">
        <f>IF(AND(A8199&lt;&gt;"",ISNUMBER(A8199)),VLOOKUP(A8199,Studies!A:BR,4,FALSE),"")</f>
        <v>Triazolam with Itraconazole Subject 8</v>
      </c>
      <c r="E8199" s="250" t="str">
        <f>IF(AND(A8199&lt;&gt;"",ISNUMBER(A8199)),VLOOKUP(A8199,Studies!A:BR,5,FALSE),"")</f>
        <v>Triazolam</v>
      </c>
      <c r="F8199" s="251" t="str">
        <f>IF(AND(A8199&lt;&gt;"",ISNUMBER(A8199)),VLOOKUP(A8199,Studies!A:BR,6,FALSE),"")</f>
        <v>Plasma</v>
      </c>
      <c r="G8199" s="194">
        <v>73.67</v>
      </c>
      <c r="H8199" s="50" t="s">
        <v>60</v>
      </c>
      <c r="I8199" s="187">
        <v>1.701139</v>
      </c>
      <c r="J8199" s="41" t="s">
        <v>941</v>
      </c>
      <c r="K8199" s="41" t="s">
        <v>239</v>
      </c>
      <c r="O8199" s="59">
        <v>0.2</v>
      </c>
      <c r="P8199" s="42" t="s">
        <v>2645</v>
      </c>
    </row>
    <row r="8200" spans="1:16" x14ac:dyDescent="0.2">
      <c r="A8200" s="30">
        <v>1075</v>
      </c>
      <c r="B8200" s="249" t="str">
        <f>IF(AND(A8200&lt;&gt;"",ISNUMBER(A8200)),VLOOKUP(A8200,Studies!A:BR,2,FALSE),"")</f>
        <v>Varhe 1994</v>
      </c>
      <c r="C8200" s="250" t="str">
        <f>IF(AND(A8200&lt;&gt;"",ISNUMBER(A8200)),VLOOKUP(A8200,Studies!A:BR,3,FALSE),"")</f>
        <v>https://www.ncbi.nlm.nih.gov/pubmed/7995001</v>
      </c>
      <c r="D8200" s="250" t="str">
        <f>IF(AND(A8200&lt;&gt;"",ISNUMBER(A8200)),VLOOKUP(A8200,Studies!A:BR,4,FALSE),"")</f>
        <v>Triazolam with Itraconazole Subject 8</v>
      </c>
      <c r="E8200" s="250" t="str">
        <f>IF(AND(A8200&lt;&gt;"",ISNUMBER(A8200)),VLOOKUP(A8200,Studies!A:BR,5,FALSE),"")</f>
        <v>Triazolam</v>
      </c>
      <c r="F8200" s="251" t="str">
        <f>IF(AND(A8200&lt;&gt;"",ISNUMBER(A8200)),VLOOKUP(A8200,Studies!A:BR,6,FALSE),"")</f>
        <v>Plasma</v>
      </c>
      <c r="G8200" s="194">
        <v>74</v>
      </c>
      <c r="H8200" s="50" t="s">
        <v>60</v>
      </c>
      <c r="I8200" s="187">
        <v>3.416512</v>
      </c>
      <c r="J8200" s="41" t="s">
        <v>941</v>
      </c>
      <c r="K8200" s="41" t="s">
        <v>239</v>
      </c>
      <c r="O8200" s="59">
        <v>0.2</v>
      </c>
    </row>
    <row r="8201" spans="1:16" x14ac:dyDescent="0.2">
      <c r="A8201" s="30">
        <v>1075</v>
      </c>
      <c r="B8201" s="249" t="str">
        <f>IF(AND(A8201&lt;&gt;"",ISNUMBER(A8201)),VLOOKUP(A8201,Studies!A:BR,2,FALSE),"")</f>
        <v>Varhe 1994</v>
      </c>
      <c r="C8201" s="250" t="str">
        <f>IF(AND(A8201&lt;&gt;"",ISNUMBER(A8201)),VLOOKUP(A8201,Studies!A:BR,3,FALSE),"")</f>
        <v>https://www.ncbi.nlm.nih.gov/pubmed/7995001</v>
      </c>
      <c r="D8201" s="250" t="str">
        <f>IF(AND(A8201&lt;&gt;"",ISNUMBER(A8201)),VLOOKUP(A8201,Studies!A:BR,4,FALSE),"")</f>
        <v>Triazolam with Itraconazole Subject 8</v>
      </c>
      <c r="E8201" s="250" t="str">
        <f>IF(AND(A8201&lt;&gt;"",ISNUMBER(A8201)),VLOOKUP(A8201,Studies!A:BR,5,FALSE),"")</f>
        <v>Triazolam</v>
      </c>
      <c r="F8201" s="251" t="str">
        <f>IF(AND(A8201&lt;&gt;"",ISNUMBER(A8201)),VLOOKUP(A8201,Studies!A:BR,6,FALSE),"")</f>
        <v>Plasma</v>
      </c>
      <c r="G8201" s="194">
        <v>74.5</v>
      </c>
      <c r="H8201" s="50" t="s">
        <v>60</v>
      </c>
      <c r="I8201" s="187">
        <v>3.6719620000000002</v>
      </c>
      <c r="J8201" s="41" t="s">
        <v>941</v>
      </c>
      <c r="K8201" s="41" t="s">
        <v>239</v>
      </c>
      <c r="O8201" s="59">
        <v>0.2</v>
      </c>
    </row>
    <row r="8202" spans="1:16" x14ac:dyDescent="0.2">
      <c r="A8202" s="30">
        <v>1075</v>
      </c>
      <c r="B8202" s="249" t="str">
        <f>IF(AND(A8202&lt;&gt;"",ISNUMBER(A8202)),VLOOKUP(A8202,Studies!A:BR,2,FALSE),"")</f>
        <v>Varhe 1994</v>
      </c>
      <c r="C8202" s="250" t="str">
        <f>IF(AND(A8202&lt;&gt;"",ISNUMBER(A8202)),VLOOKUP(A8202,Studies!A:BR,3,FALSE),"")</f>
        <v>https://www.ncbi.nlm.nih.gov/pubmed/7995001</v>
      </c>
      <c r="D8202" s="250" t="str">
        <f>IF(AND(A8202&lt;&gt;"",ISNUMBER(A8202)),VLOOKUP(A8202,Studies!A:BR,4,FALSE),"")</f>
        <v>Triazolam with Itraconazole Subject 8</v>
      </c>
      <c r="E8202" s="250" t="str">
        <f>IF(AND(A8202&lt;&gt;"",ISNUMBER(A8202)),VLOOKUP(A8202,Studies!A:BR,5,FALSE),"")</f>
        <v>Triazolam</v>
      </c>
      <c r="F8202" s="251" t="str">
        <f>IF(AND(A8202&lt;&gt;"",ISNUMBER(A8202)),VLOOKUP(A8202,Studies!A:BR,6,FALSE),"")</f>
        <v>Plasma</v>
      </c>
      <c r="G8202" s="194">
        <v>75</v>
      </c>
      <c r="H8202" s="50" t="s">
        <v>60</v>
      </c>
      <c r="I8202" s="187">
        <v>3.2677260000000001</v>
      </c>
      <c r="J8202" s="41" t="s">
        <v>941</v>
      </c>
      <c r="K8202" s="41" t="s">
        <v>239</v>
      </c>
      <c r="O8202" s="59">
        <v>0.2</v>
      </c>
    </row>
    <row r="8203" spans="1:16" x14ac:dyDescent="0.2">
      <c r="A8203" s="30">
        <v>1075</v>
      </c>
      <c r="B8203" s="249" t="str">
        <f>IF(AND(A8203&lt;&gt;"",ISNUMBER(A8203)),VLOOKUP(A8203,Studies!A:BR,2,FALSE),"")</f>
        <v>Varhe 1994</v>
      </c>
      <c r="C8203" s="250" t="str">
        <f>IF(AND(A8203&lt;&gt;"",ISNUMBER(A8203)),VLOOKUP(A8203,Studies!A:BR,3,FALSE),"")</f>
        <v>https://www.ncbi.nlm.nih.gov/pubmed/7995001</v>
      </c>
      <c r="D8203" s="250" t="str">
        <f>IF(AND(A8203&lt;&gt;"",ISNUMBER(A8203)),VLOOKUP(A8203,Studies!A:BR,4,FALSE),"")</f>
        <v>Triazolam with Itraconazole Subject 8</v>
      </c>
      <c r="E8203" s="250" t="str">
        <f>IF(AND(A8203&lt;&gt;"",ISNUMBER(A8203)),VLOOKUP(A8203,Studies!A:BR,5,FALSE),"")</f>
        <v>Triazolam</v>
      </c>
      <c r="F8203" s="251" t="str">
        <f>IF(AND(A8203&lt;&gt;"",ISNUMBER(A8203)),VLOOKUP(A8203,Studies!A:BR,6,FALSE),"")</f>
        <v>Plasma</v>
      </c>
      <c r="G8203" s="194">
        <v>75.5</v>
      </c>
      <c r="H8203" s="50" t="s">
        <v>60</v>
      </c>
      <c r="I8203" s="187">
        <v>3.5539839999999998</v>
      </c>
      <c r="J8203" s="41" t="s">
        <v>941</v>
      </c>
      <c r="K8203" s="41" t="s">
        <v>239</v>
      </c>
      <c r="O8203" s="59">
        <v>0.2</v>
      </c>
    </row>
    <row r="8204" spans="1:16" x14ac:dyDescent="0.2">
      <c r="A8204" s="30">
        <v>1075</v>
      </c>
      <c r="B8204" s="249" t="str">
        <f>IF(AND(A8204&lt;&gt;"",ISNUMBER(A8204)),VLOOKUP(A8204,Studies!A:BR,2,FALSE),"")</f>
        <v>Varhe 1994</v>
      </c>
      <c r="C8204" s="250" t="str">
        <f>IF(AND(A8204&lt;&gt;"",ISNUMBER(A8204)),VLOOKUP(A8204,Studies!A:BR,3,FALSE),"")</f>
        <v>https://www.ncbi.nlm.nih.gov/pubmed/7995001</v>
      </c>
      <c r="D8204" s="250" t="str">
        <f>IF(AND(A8204&lt;&gt;"",ISNUMBER(A8204)),VLOOKUP(A8204,Studies!A:BR,4,FALSE),"")</f>
        <v>Triazolam with Itraconazole Subject 8</v>
      </c>
      <c r="E8204" s="250" t="str">
        <f>IF(AND(A8204&lt;&gt;"",ISNUMBER(A8204)),VLOOKUP(A8204,Studies!A:BR,5,FALSE),"")</f>
        <v>Triazolam</v>
      </c>
      <c r="F8204" s="251" t="str">
        <f>IF(AND(A8204&lt;&gt;"",ISNUMBER(A8204)),VLOOKUP(A8204,Studies!A:BR,6,FALSE),"")</f>
        <v>Plasma</v>
      </c>
      <c r="G8204" s="194">
        <v>76</v>
      </c>
      <c r="H8204" s="50" t="s">
        <v>60</v>
      </c>
      <c r="I8204" s="187">
        <v>2.9813209999999999</v>
      </c>
      <c r="J8204" s="41" t="s">
        <v>941</v>
      </c>
      <c r="K8204" s="41" t="s">
        <v>239</v>
      </c>
      <c r="O8204" s="59">
        <v>0.2</v>
      </c>
    </row>
    <row r="8205" spans="1:16" x14ac:dyDescent="0.2">
      <c r="A8205" s="30">
        <v>1075</v>
      </c>
      <c r="B8205" s="249" t="str">
        <f>IF(AND(A8205&lt;&gt;"",ISNUMBER(A8205)),VLOOKUP(A8205,Studies!A:BR,2,FALSE),"")</f>
        <v>Varhe 1994</v>
      </c>
      <c r="C8205" s="250" t="str">
        <f>IF(AND(A8205&lt;&gt;"",ISNUMBER(A8205)),VLOOKUP(A8205,Studies!A:BR,3,FALSE),"")</f>
        <v>https://www.ncbi.nlm.nih.gov/pubmed/7995001</v>
      </c>
      <c r="D8205" s="250" t="str">
        <f>IF(AND(A8205&lt;&gt;"",ISNUMBER(A8205)),VLOOKUP(A8205,Studies!A:BR,4,FALSE),"")</f>
        <v>Triazolam with Itraconazole Subject 8</v>
      </c>
      <c r="E8205" s="250" t="str">
        <f>IF(AND(A8205&lt;&gt;"",ISNUMBER(A8205)),VLOOKUP(A8205,Studies!A:BR,5,FALSE),"")</f>
        <v>Triazolam</v>
      </c>
      <c r="F8205" s="251" t="str">
        <f>IF(AND(A8205&lt;&gt;"",ISNUMBER(A8205)),VLOOKUP(A8205,Studies!A:BR,6,FALSE),"")</f>
        <v>Plasma</v>
      </c>
      <c r="G8205" s="194">
        <v>77</v>
      </c>
      <c r="H8205" s="50" t="s">
        <v>60</v>
      </c>
      <c r="I8205" s="187">
        <v>2.990129</v>
      </c>
      <c r="J8205" s="41" t="s">
        <v>941</v>
      </c>
      <c r="K8205" s="41" t="s">
        <v>239</v>
      </c>
      <c r="O8205" s="59">
        <v>0.2</v>
      </c>
    </row>
    <row r="8206" spans="1:16" x14ac:dyDescent="0.2">
      <c r="A8206" s="30">
        <v>1075</v>
      </c>
      <c r="B8206" s="249" t="str">
        <f>IF(AND(A8206&lt;&gt;"",ISNUMBER(A8206)),VLOOKUP(A8206,Studies!A:BR,2,FALSE),"")</f>
        <v>Varhe 1994</v>
      </c>
      <c r="C8206" s="250" t="str">
        <f>IF(AND(A8206&lt;&gt;"",ISNUMBER(A8206)),VLOOKUP(A8206,Studies!A:BR,3,FALSE),"")</f>
        <v>https://www.ncbi.nlm.nih.gov/pubmed/7995001</v>
      </c>
      <c r="D8206" s="250" t="str">
        <f>IF(AND(A8206&lt;&gt;"",ISNUMBER(A8206)),VLOOKUP(A8206,Studies!A:BR,4,FALSE),"")</f>
        <v>Triazolam with Itraconazole Subject 8</v>
      </c>
      <c r="E8206" s="250" t="str">
        <f>IF(AND(A8206&lt;&gt;"",ISNUMBER(A8206)),VLOOKUP(A8206,Studies!A:BR,5,FALSE),"")</f>
        <v>Triazolam</v>
      </c>
      <c r="F8206" s="251" t="str">
        <f>IF(AND(A8206&lt;&gt;"",ISNUMBER(A8206)),VLOOKUP(A8206,Studies!A:BR,6,FALSE),"")</f>
        <v>Plasma</v>
      </c>
      <c r="G8206" s="194">
        <v>78</v>
      </c>
      <c r="H8206" s="50" t="s">
        <v>60</v>
      </c>
      <c r="I8206" s="187">
        <v>2.7604380000000002</v>
      </c>
      <c r="J8206" s="41" t="s">
        <v>941</v>
      </c>
      <c r="K8206" s="41" t="s">
        <v>239</v>
      </c>
      <c r="O8206" s="59">
        <v>0.2</v>
      </c>
    </row>
    <row r="8207" spans="1:16" x14ac:dyDescent="0.2">
      <c r="A8207" s="30">
        <v>1075</v>
      </c>
      <c r="B8207" s="249" t="str">
        <f>IF(AND(A8207&lt;&gt;"",ISNUMBER(A8207)),VLOOKUP(A8207,Studies!A:BR,2,FALSE),"")</f>
        <v>Varhe 1994</v>
      </c>
      <c r="C8207" s="250" t="str">
        <f>IF(AND(A8207&lt;&gt;"",ISNUMBER(A8207)),VLOOKUP(A8207,Studies!A:BR,3,FALSE),"")</f>
        <v>https://www.ncbi.nlm.nih.gov/pubmed/7995001</v>
      </c>
      <c r="D8207" s="250" t="str">
        <f>IF(AND(A8207&lt;&gt;"",ISNUMBER(A8207)),VLOOKUP(A8207,Studies!A:BR,4,FALSE),"")</f>
        <v>Triazolam with Itraconazole Subject 8</v>
      </c>
      <c r="E8207" s="250" t="str">
        <f>IF(AND(A8207&lt;&gt;"",ISNUMBER(A8207)),VLOOKUP(A8207,Studies!A:BR,5,FALSE),"")</f>
        <v>Triazolam</v>
      </c>
      <c r="F8207" s="251" t="str">
        <f>IF(AND(A8207&lt;&gt;"",ISNUMBER(A8207)),VLOOKUP(A8207,Studies!A:BR,6,FALSE),"")</f>
        <v>Plasma</v>
      </c>
      <c r="G8207" s="194">
        <v>79</v>
      </c>
      <c r="H8207" s="50" t="s">
        <v>60</v>
      </c>
      <c r="I8207" s="187">
        <v>2.609788</v>
      </c>
      <c r="J8207" s="41" t="s">
        <v>941</v>
      </c>
      <c r="K8207" s="41" t="s">
        <v>239</v>
      </c>
      <c r="O8207" s="59">
        <v>0.2</v>
      </c>
    </row>
    <row r="8208" spans="1:16" x14ac:dyDescent="0.2">
      <c r="A8208" s="30">
        <v>1075</v>
      </c>
      <c r="B8208" s="249" t="str">
        <f>IF(AND(A8208&lt;&gt;"",ISNUMBER(A8208)),VLOOKUP(A8208,Studies!A:BR,2,FALSE),"")</f>
        <v>Varhe 1994</v>
      </c>
      <c r="C8208" s="250" t="str">
        <f>IF(AND(A8208&lt;&gt;"",ISNUMBER(A8208)),VLOOKUP(A8208,Studies!A:BR,3,FALSE),"")</f>
        <v>https://www.ncbi.nlm.nih.gov/pubmed/7995001</v>
      </c>
      <c r="D8208" s="250" t="str">
        <f>IF(AND(A8208&lt;&gt;"",ISNUMBER(A8208)),VLOOKUP(A8208,Studies!A:BR,4,FALSE),"")</f>
        <v>Triazolam with Itraconazole Subject 8</v>
      </c>
      <c r="E8208" s="250" t="str">
        <f>IF(AND(A8208&lt;&gt;"",ISNUMBER(A8208)),VLOOKUP(A8208,Studies!A:BR,5,FALSE),"")</f>
        <v>Triazolam</v>
      </c>
      <c r="F8208" s="251" t="str">
        <f>IF(AND(A8208&lt;&gt;"",ISNUMBER(A8208)),VLOOKUP(A8208,Studies!A:BR,6,FALSE),"")</f>
        <v>Plasma</v>
      </c>
      <c r="G8208" s="194">
        <v>80</v>
      </c>
      <c r="H8208" s="50" t="s">
        <v>60</v>
      </c>
      <c r="I8208" s="187">
        <v>2.55592</v>
      </c>
      <c r="J8208" s="41" t="s">
        <v>941</v>
      </c>
      <c r="K8208" s="41" t="s">
        <v>239</v>
      </c>
      <c r="O8208" s="59">
        <v>0.2</v>
      </c>
    </row>
    <row r="8209" spans="1:16" x14ac:dyDescent="0.2">
      <c r="A8209" s="30">
        <v>1075</v>
      </c>
      <c r="B8209" s="249" t="str">
        <f>IF(AND(A8209&lt;&gt;"",ISNUMBER(A8209)),VLOOKUP(A8209,Studies!A:BR,2,FALSE),"")</f>
        <v>Varhe 1994</v>
      </c>
      <c r="C8209" s="250" t="str">
        <f>IF(AND(A8209&lt;&gt;"",ISNUMBER(A8209)),VLOOKUP(A8209,Studies!A:BR,3,FALSE),"")</f>
        <v>https://www.ncbi.nlm.nih.gov/pubmed/7995001</v>
      </c>
      <c r="D8209" s="250" t="str">
        <f>IF(AND(A8209&lt;&gt;"",ISNUMBER(A8209)),VLOOKUP(A8209,Studies!A:BR,4,FALSE),"")</f>
        <v>Triazolam with Itraconazole Subject 8</v>
      </c>
      <c r="E8209" s="250" t="str">
        <f>IF(AND(A8209&lt;&gt;"",ISNUMBER(A8209)),VLOOKUP(A8209,Studies!A:BR,5,FALSE),"")</f>
        <v>Triazolam</v>
      </c>
      <c r="F8209" s="251" t="str">
        <f>IF(AND(A8209&lt;&gt;"",ISNUMBER(A8209)),VLOOKUP(A8209,Studies!A:BR,6,FALSE),"")</f>
        <v>Plasma</v>
      </c>
      <c r="G8209" s="194">
        <v>90</v>
      </c>
      <c r="H8209" s="50" t="s">
        <v>60</v>
      </c>
      <c r="I8209" s="187">
        <v>1.406039</v>
      </c>
      <c r="J8209" s="41" t="s">
        <v>941</v>
      </c>
      <c r="K8209" s="41" t="s">
        <v>239</v>
      </c>
      <c r="O8209" s="59">
        <v>0.2</v>
      </c>
    </row>
    <row r="8210" spans="1:16" x14ac:dyDescent="0.2">
      <c r="A8210" s="30">
        <v>1076</v>
      </c>
      <c r="B8210" s="249" t="str">
        <f>IF(AND(A8210&lt;&gt;"",ISNUMBER(A8210)),VLOOKUP(A8210,Studies!A:BR,2,FALSE),"")</f>
        <v>Varhe 1994</v>
      </c>
      <c r="C8210" s="250" t="str">
        <f>IF(AND(A8210&lt;&gt;"",ISNUMBER(A8210)),VLOOKUP(A8210,Studies!A:BR,3,FALSE),"")</f>
        <v>https://www.ncbi.nlm.nih.gov/pubmed/7995001</v>
      </c>
      <c r="D8210" s="250" t="str">
        <f>IF(AND(A8210&lt;&gt;"",ISNUMBER(A8210)),VLOOKUP(A8210,Studies!A:BR,4,FALSE),"")</f>
        <v>Triazolam with Itraconazole Subject 9</v>
      </c>
      <c r="E8210" s="250" t="str">
        <f>IF(AND(A8210&lt;&gt;"",ISNUMBER(A8210)),VLOOKUP(A8210,Studies!A:BR,5,FALSE),"")</f>
        <v>Triazolam</v>
      </c>
      <c r="F8210" s="251" t="str">
        <f>IF(AND(A8210&lt;&gt;"",ISNUMBER(A8210)),VLOOKUP(A8210,Studies!A:BR,6,FALSE),"")</f>
        <v>Plasma</v>
      </c>
      <c r="G8210" s="194">
        <v>73.67</v>
      </c>
      <c r="H8210" s="50" t="s">
        <v>60</v>
      </c>
      <c r="I8210" s="187">
        <v>0.78255160000000001</v>
      </c>
      <c r="J8210" s="41" t="s">
        <v>941</v>
      </c>
      <c r="K8210" s="41" t="s">
        <v>239</v>
      </c>
      <c r="O8210" s="59">
        <v>0.2</v>
      </c>
      <c r="P8210" s="42" t="s">
        <v>2645</v>
      </c>
    </row>
    <row r="8211" spans="1:16" x14ac:dyDescent="0.2">
      <c r="A8211" s="30">
        <v>1076</v>
      </c>
      <c r="B8211" s="249" t="str">
        <f>IF(AND(A8211&lt;&gt;"",ISNUMBER(A8211)),VLOOKUP(A8211,Studies!A:BR,2,FALSE),"")</f>
        <v>Varhe 1994</v>
      </c>
      <c r="C8211" s="250" t="str">
        <f>IF(AND(A8211&lt;&gt;"",ISNUMBER(A8211)),VLOOKUP(A8211,Studies!A:BR,3,FALSE),"")</f>
        <v>https://www.ncbi.nlm.nih.gov/pubmed/7995001</v>
      </c>
      <c r="D8211" s="250" t="str">
        <f>IF(AND(A8211&lt;&gt;"",ISNUMBER(A8211)),VLOOKUP(A8211,Studies!A:BR,4,FALSE),"")</f>
        <v>Triazolam with Itraconazole Subject 9</v>
      </c>
      <c r="E8211" s="250" t="str">
        <f>IF(AND(A8211&lt;&gt;"",ISNUMBER(A8211)),VLOOKUP(A8211,Studies!A:BR,5,FALSE),"")</f>
        <v>Triazolam</v>
      </c>
      <c r="F8211" s="251" t="str">
        <f>IF(AND(A8211&lt;&gt;"",ISNUMBER(A8211)),VLOOKUP(A8211,Studies!A:BR,6,FALSE),"")</f>
        <v>Plasma</v>
      </c>
      <c r="G8211" s="194">
        <v>74</v>
      </c>
      <c r="H8211" s="50" t="s">
        <v>60</v>
      </c>
      <c r="I8211" s="187">
        <v>1.476753</v>
      </c>
      <c r="J8211" s="41" t="s">
        <v>941</v>
      </c>
      <c r="K8211" s="41" t="s">
        <v>239</v>
      </c>
      <c r="O8211" s="59">
        <v>0.2</v>
      </c>
    </row>
    <row r="8212" spans="1:16" x14ac:dyDescent="0.2">
      <c r="A8212" s="30">
        <v>1076</v>
      </c>
      <c r="B8212" s="249" t="str">
        <f>IF(AND(A8212&lt;&gt;"",ISNUMBER(A8212)),VLOOKUP(A8212,Studies!A:BR,2,FALSE),"")</f>
        <v>Varhe 1994</v>
      </c>
      <c r="C8212" s="250" t="str">
        <f>IF(AND(A8212&lt;&gt;"",ISNUMBER(A8212)),VLOOKUP(A8212,Studies!A:BR,3,FALSE),"")</f>
        <v>https://www.ncbi.nlm.nih.gov/pubmed/7995001</v>
      </c>
      <c r="D8212" s="250" t="str">
        <f>IF(AND(A8212&lt;&gt;"",ISNUMBER(A8212)),VLOOKUP(A8212,Studies!A:BR,4,FALSE),"")</f>
        <v>Triazolam with Itraconazole Subject 9</v>
      </c>
      <c r="E8212" s="250" t="str">
        <f>IF(AND(A8212&lt;&gt;"",ISNUMBER(A8212)),VLOOKUP(A8212,Studies!A:BR,5,FALSE),"")</f>
        <v>Triazolam</v>
      </c>
      <c r="F8212" s="251" t="str">
        <f>IF(AND(A8212&lt;&gt;"",ISNUMBER(A8212)),VLOOKUP(A8212,Studies!A:BR,6,FALSE),"")</f>
        <v>Plasma</v>
      </c>
      <c r="G8212" s="194">
        <v>74.5</v>
      </c>
      <c r="H8212" s="50" t="s">
        <v>60</v>
      </c>
      <c r="I8212" s="187">
        <v>2.3930570000000002</v>
      </c>
      <c r="J8212" s="41" t="s">
        <v>941</v>
      </c>
      <c r="K8212" s="41" t="s">
        <v>239</v>
      </c>
      <c r="O8212" s="59">
        <v>0.2</v>
      </c>
    </row>
    <row r="8213" spans="1:16" x14ac:dyDescent="0.2">
      <c r="A8213" s="30">
        <v>1076</v>
      </c>
      <c r="B8213" s="249" t="str">
        <f>IF(AND(A8213&lt;&gt;"",ISNUMBER(A8213)),VLOOKUP(A8213,Studies!A:BR,2,FALSE),"")</f>
        <v>Varhe 1994</v>
      </c>
      <c r="C8213" s="250" t="str">
        <f>IF(AND(A8213&lt;&gt;"",ISNUMBER(A8213)),VLOOKUP(A8213,Studies!A:BR,3,FALSE),"")</f>
        <v>https://www.ncbi.nlm.nih.gov/pubmed/7995001</v>
      </c>
      <c r="D8213" s="250" t="str">
        <f>IF(AND(A8213&lt;&gt;"",ISNUMBER(A8213)),VLOOKUP(A8213,Studies!A:BR,4,FALSE),"")</f>
        <v>Triazolam with Itraconazole Subject 9</v>
      </c>
      <c r="E8213" s="250" t="str">
        <f>IF(AND(A8213&lt;&gt;"",ISNUMBER(A8213)),VLOOKUP(A8213,Studies!A:BR,5,FALSE),"")</f>
        <v>Triazolam</v>
      </c>
      <c r="F8213" s="251" t="str">
        <f>IF(AND(A8213&lt;&gt;"",ISNUMBER(A8213)),VLOOKUP(A8213,Studies!A:BR,6,FALSE),"")</f>
        <v>Plasma</v>
      </c>
      <c r="G8213" s="194">
        <v>75</v>
      </c>
      <c r="H8213" s="50" t="s">
        <v>60</v>
      </c>
      <c r="I8213" s="187">
        <v>2.8909980000000002</v>
      </c>
      <c r="J8213" s="41" t="s">
        <v>941</v>
      </c>
      <c r="K8213" s="41" t="s">
        <v>239</v>
      </c>
      <c r="O8213" s="59">
        <v>0.2</v>
      </c>
    </row>
    <row r="8214" spans="1:16" x14ac:dyDescent="0.2">
      <c r="A8214" s="30">
        <v>1076</v>
      </c>
      <c r="B8214" s="249" t="str">
        <f>IF(AND(A8214&lt;&gt;"",ISNUMBER(A8214)),VLOOKUP(A8214,Studies!A:BR,2,FALSE),"")</f>
        <v>Varhe 1994</v>
      </c>
      <c r="C8214" s="250" t="str">
        <f>IF(AND(A8214&lt;&gt;"",ISNUMBER(A8214)),VLOOKUP(A8214,Studies!A:BR,3,FALSE),"")</f>
        <v>https://www.ncbi.nlm.nih.gov/pubmed/7995001</v>
      </c>
      <c r="D8214" s="250" t="str">
        <f>IF(AND(A8214&lt;&gt;"",ISNUMBER(A8214)),VLOOKUP(A8214,Studies!A:BR,4,FALSE),"")</f>
        <v>Triazolam with Itraconazole Subject 9</v>
      </c>
      <c r="E8214" s="250" t="str">
        <f>IF(AND(A8214&lt;&gt;"",ISNUMBER(A8214)),VLOOKUP(A8214,Studies!A:BR,5,FALSE),"")</f>
        <v>Triazolam</v>
      </c>
      <c r="F8214" s="251" t="str">
        <f>IF(AND(A8214&lt;&gt;"",ISNUMBER(A8214)),VLOOKUP(A8214,Studies!A:BR,6,FALSE),"")</f>
        <v>Plasma</v>
      </c>
      <c r="G8214" s="194">
        <v>75.5</v>
      </c>
      <c r="H8214" s="50" t="s">
        <v>60</v>
      </c>
      <c r="I8214" s="187">
        <v>3.2165059999999999</v>
      </c>
      <c r="J8214" s="41" t="s">
        <v>941</v>
      </c>
      <c r="K8214" s="41" t="s">
        <v>239</v>
      </c>
      <c r="O8214" s="59">
        <v>0.2</v>
      </c>
    </row>
    <row r="8215" spans="1:16" x14ac:dyDescent="0.2">
      <c r="A8215" s="30">
        <v>1076</v>
      </c>
      <c r="B8215" s="249" t="str">
        <f>IF(AND(A8215&lt;&gt;"",ISNUMBER(A8215)),VLOOKUP(A8215,Studies!A:BR,2,FALSE),"")</f>
        <v>Varhe 1994</v>
      </c>
      <c r="C8215" s="250" t="str">
        <f>IF(AND(A8215&lt;&gt;"",ISNUMBER(A8215)),VLOOKUP(A8215,Studies!A:BR,3,FALSE),"")</f>
        <v>https://www.ncbi.nlm.nih.gov/pubmed/7995001</v>
      </c>
      <c r="D8215" s="250" t="str">
        <f>IF(AND(A8215&lt;&gt;"",ISNUMBER(A8215)),VLOOKUP(A8215,Studies!A:BR,4,FALSE),"")</f>
        <v>Triazolam with Itraconazole Subject 9</v>
      </c>
      <c r="E8215" s="250" t="str">
        <f>IF(AND(A8215&lt;&gt;"",ISNUMBER(A8215)),VLOOKUP(A8215,Studies!A:BR,5,FALSE),"")</f>
        <v>Triazolam</v>
      </c>
      <c r="F8215" s="251" t="str">
        <f>IF(AND(A8215&lt;&gt;"",ISNUMBER(A8215)),VLOOKUP(A8215,Studies!A:BR,6,FALSE),"")</f>
        <v>Plasma</v>
      </c>
      <c r="G8215" s="194">
        <v>76</v>
      </c>
      <c r="H8215" s="50" t="s">
        <v>60</v>
      </c>
      <c r="I8215" s="187">
        <v>3.0722800000000001</v>
      </c>
      <c r="J8215" s="41" t="s">
        <v>941</v>
      </c>
      <c r="K8215" s="41" t="s">
        <v>239</v>
      </c>
      <c r="O8215" s="59">
        <v>0.2</v>
      </c>
    </row>
    <row r="8216" spans="1:16" x14ac:dyDescent="0.2">
      <c r="A8216" s="30">
        <v>1076</v>
      </c>
      <c r="B8216" s="249" t="str">
        <f>IF(AND(A8216&lt;&gt;"",ISNUMBER(A8216)),VLOOKUP(A8216,Studies!A:BR,2,FALSE),"")</f>
        <v>Varhe 1994</v>
      </c>
      <c r="C8216" s="250" t="str">
        <f>IF(AND(A8216&lt;&gt;"",ISNUMBER(A8216)),VLOOKUP(A8216,Studies!A:BR,3,FALSE),"")</f>
        <v>https://www.ncbi.nlm.nih.gov/pubmed/7995001</v>
      </c>
      <c r="D8216" s="250" t="str">
        <f>IF(AND(A8216&lt;&gt;"",ISNUMBER(A8216)),VLOOKUP(A8216,Studies!A:BR,4,FALSE),"")</f>
        <v>Triazolam with Itraconazole Subject 9</v>
      </c>
      <c r="E8216" s="250" t="str">
        <f>IF(AND(A8216&lt;&gt;"",ISNUMBER(A8216)),VLOOKUP(A8216,Studies!A:BR,5,FALSE),"")</f>
        <v>Triazolam</v>
      </c>
      <c r="F8216" s="251" t="str">
        <f>IF(AND(A8216&lt;&gt;"",ISNUMBER(A8216)),VLOOKUP(A8216,Studies!A:BR,6,FALSE),"")</f>
        <v>Plasma</v>
      </c>
      <c r="G8216" s="194">
        <v>77</v>
      </c>
      <c r="H8216" s="50" t="s">
        <v>60</v>
      </c>
      <c r="I8216" s="187">
        <v>3.3031760000000001</v>
      </c>
      <c r="J8216" s="41" t="s">
        <v>941</v>
      </c>
      <c r="K8216" s="41" t="s">
        <v>239</v>
      </c>
      <c r="O8216" s="59">
        <v>0.2</v>
      </c>
    </row>
    <row r="8217" spans="1:16" x14ac:dyDescent="0.2">
      <c r="A8217" s="30">
        <v>1076</v>
      </c>
      <c r="B8217" s="249" t="str">
        <f>IF(AND(A8217&lt;&gt;"",ISNUMBER(A8217)),VLOOKUP(A8217,Studies!A:BR,2,FALSE),"")</f>
        <v>Varhe 1994</v>
      </c>
      <c r="C8217" s="250" t="str">
        <f>IF(AND(A8217&lt;&gt;"",ISNUMBER(A8217)),VLOOKUP(A8217,Studies!A:BR,3,FALSE),"")</f>
        <v>https://www.ncbi.nlm.nih.gov/pubmed/7995001</v>
      </c>
      <c r="D8217" s="250" t="str">
        <f>IF(AND(A8217&lt;&gt;"",ISNUMBER(A8217)),VLOOKUP(A8217,Studies!A:BR,4,FALSE),"")</f>
        <v>Triazolam with Itraconazole Subject 9</v>
      </c>
      <c r="E8217" s="250" t="str">
        <f>IF(AND(A8217&lt;&gt;"",ISNUMBER(A8217)),VLOOKUP(A8217,Studies!A:BR,5,FALSE),"")</f>
        <v>Triazolam</v>
      </c>
      <c r="F8217" s="251" t="str">
        <f>IF(AND(A8217&lt;&gt;"",ISNUMBER(A8217)),VLOOKUP(A8217,Studies!A:BR,6,FALSE),"")</f>
        <v>Plasma</v>
      </c>
      <c r="G8217" s="194">
        <v>78</v>
      </c>
      <c r="H8217" s="50" t="s">
        <v>60</v>
      </c>
      <c r="I8217" s="187">
        <v>2.8080609999999999</v>
      </c>
      <c r="J8217" s="41" t="s">
        <v>941</v>
      </c>
      <c r="K8217" s="41" t="s">
        <v>239</v>
      </c>
      <c r="O8217" s="59">
        <v>0.2</v>
      </c>
    </row>
    <row r="8218" spans="1:16" x14ac:dyDescent="0.2">
      <c r="A8218" s="30">
        <v>1076</v>
      </c>
      <c r="B8218" s="249" t="str">
        <f>IF(AND(A8218&lt;&gt;"",ISNUMBER(A8218)),VLOOKUP(A8218,Studies!A:BR,2,FALSE),"")</f>
        <v>Varhe 1994</v>
      </c>
      <c r="C8218" s="250" t="str">
        <f>IF(AND(A8218&lt;&gt;"",ISNUMBER(A8218)),VLOOKUP(A8218,Studies!A:BR,3,FALSE),"")</f>
        <v>https://www.ncbi.nlm.nih.gov/pubmed/7995001</v>
      </c>
      <c r="D8218" s="250" t="str">
        <f>IF(AND(A8218&lt;&gt;"",ISNUMBER(A8218)),VLOOKUP(A8218,Studies!A:BR,4,FALSE),"")</f>
        <v>Triazolam with Itraconazole Subject 9</v>
      </c>
      <c r="E8218" s="250" t="str">
        <f>IF(AND(A8218&lt;&gt;"",ISNUMBER(A8218)),VLOOKUP(A8218,Studies!A:BR,5,FALSE),"")</f>
        <v>Triazolam</v>
      </c>
      <c r="F8218" s="251" t="str">
        <f>IF(AND(A8218&lt;&gt;"",ISNUMBER(A8218)),VLOOKUP(A8218,Studies!A:BR,6,FALSE),"")</f>
        <v>Plasma</v>
      </c>
      <c r="G8218" s="194">
        <v>79</v>
      </c>
      <c r="H8218" s="50" t="s">
        <v>60</v>
      </c>
      <c r="I8218" s="187">
        <v>2.716736</v>
      </c>
      <c r="J8218" s="41" t="s">
        <v>941</v>
      </c>
      <c r="K8218" s="41" t="s">
        <v>239</v>
      </c>
      <c r="O8218" s="59">
        <v>0.2</v>
      </c>
    </row>
    <row r="8219" spans="1:16" x14ac:dyDescent="0.2">
      <c r="A8219" s="30">
        <v>1076</v>
      </c>
      <c r="B8219" s="249" t="str">
        <f>IF(AND(A8219&lt;&gt;"",ISNUMBER(A8219)),VLOOKUP(A8219,Studies!A:BR,2,FALSE),"")</f>
        <v>Varhe 1994</v>
      </c>
      <c r="C8219" s="250" t="str">
        <f>IF(AND(A8219&lt;&gt;"",ISNUMBER(A8219)),VLOOKUP(A8219,Studies!A:BR,3,FALSE),"")</f>
        <v>https://www.ncbi.nlm.nih.gov/pubmed/7995001</v>
      </c>
      <c r="D8219" s="250" t="str">
        <f>IF(AND(A8219&lt;&gt;"",ISNUMBER(A8219)),VLOOKUP(A8219,Studies!A:BR,4,FALSE),"")</f>
        <v>Triazolam with Itraconazole Subject 9</v>
      </c>
      <c r="E8219" s="250" t="str">
        <f>IF(AND(A8219&lt;&gt;"",ISNUMBER(A8219)),VLOOKUP(A8219,Studies!A:BR,5,FALSE),"")</f>
        <v>Triazolam</v>
      </c>
      <c r="F8219" s="251" t="str">
        <f>IF(AND(A8219&lt;&gt;"",ISNUMBER(A8219)),VLOOKUP(A8219,Studies!A:BR,6,FALSE),"")</f>
        <v>Plasma</v>
      </c>
      <c r="G8219" s="194">
        <v>80</v>
      </c>
      <c r="H8219" s="50" t="s">
        <v>60</v>
      </c>
      <c r="I8219" s="187">
        <v>2.6903220000000001</v>
      </c>
      <c r="J8219" s="41" t="s">
        <v>941</v>
      </c>
      <c r="K8219" s="41" t="s">
        <v>239</v>
      </c>
      <c r="O8219" s="59">
        <v>0.2</v>
      </c>
    </row>
    <row r="8220" spans="1:16" x14ac:dyDescent="0.2">
      <c r="A8220" s="30">
        <v>1076</v>
      </c>
      <c r="B8220" s="249" t="str">
        <f>IF(AND(A8220&lt;&gt;"",ISNUMBER(A8220)),VLOOKUP(A8220,Studies!A:BR,2,FALSE),"")</f>
        <v>Varhe 1994</v>
      </c>
      <c r="C8220" s="250" t="str">
        <f>IF(AND(A8220&lt;&gt;"",ISNUMBER(A8220)),VLOOKUP(A8220,Studies!A:BR,3,FALSE),"")</f>
        <v>https://www.ncbi.nlm.nih.gov/pubmed/7995001</v>
      </c>
      <c r="D8220" s="250" t="str">
        <f>IF(AND(A8220&lt;&gt;"",ISNUMBER(A8220)),VLOOKUP(A8220,Studies!A:BR,4,FALSE),"")</f>
        <v>Triazolam with Itraconazole Subject 9</v>
      </c>
      <c r="E8220" s="250" t="str">
        <f>IF(AND(A8220&lt;&gt;"",ISNUMBER(A8220)),VLOOKUP(A8220,Studies!A:BR,5,FALSE),"")</f>
        <v>Triazolam</v>
      </c>
      <c r="F8220" s="251" t="str">
        <f>IF(AND(A8220&lt;&gt;"",ISNUMBER(A8220)),VLOOKUP(A8220,Studies!A:BR,6,FALSE),"")</f>
        <v>Plasma</v>
      </c>
      <c r="G8220" s="194">
        <v>90</v>
      </c>
      <c r="H8220" s="50" t="s">
        <v>60</v>
      </c>
      <c r="I8220" s="187">
        <v>1.799539</v>
      </c>
      <c r="J8220" s="41" t="s">
        <v>941</v>
      </c>
      <c r="K8220" s="41" t="s">
        <v>239</v>
      </c>
      <c r="O8220" s="59">
        <v>0.2</v>
      </c>
    </row>
    <row r="8221" spans="1:16" x14ac:dyDescent="0.2">
      <c r="A8221" s="30">
        <v>1077</v>
      </c>
      <c r="B8221" s="249" t="str">
        <f>IF(AND(A8221&lt;&gt;"",ISNUMBER(A8221)),VLOOKUP(A8221,Studies!A:BR,2,FALSE),"")</f>
        <v>Neuvonen 1996</v>
      </c>
      <c r="C8221" s="250" t="str">
        <f>IF(AND(A8221&lt;&gt;"",ISNUMBER(A8221)),VLOOKUP(A8221,Studies!A:BR,3,FALSE),"")</f>
        <v>https://www.ncbi.nlm.nih.gov/pubmed/8841155</v>
      </c>
      <c r="D8221" s="250" t="str">
        <f>IF(AND(A8221&lt;&gt;"",ISNUMBER(A8221)),VLOOKUP(A8221,Studies!A:BR,4,FALSE),"")</f>
        <v>Control phase (Triazolam without Itraconazole)</v>
      </c>
      <c r="E8221" s="250" t="str">
        <f>IF(AND(A8221&lt;&gt;"",ISNUMBER(A8221)),VLOOKUP(A8221,Studies!A:BR,5,FALSE),"")</f>
        <v>Triazolam</v>
      </c>
      <c r="F8221" s="251" t="str">
        <f>IF(AND(A8221&lt;&gt;"",ISNUMBER(A8221)),VLOOKUP(A8221,Studies!A:BR,6,FALSE),"")</f>
        <v>Plasma</v>
      </c>
      <c r="G8221" s="194">
        <v>0</v>
      </c>
      <c r="H8221" s="50" t="s">
        <v>60</v>
      </c>
      <c r="I8221" s="187" t="s">
        <v>2611</v>
      </c>
      <c r="J8221" s="41" t="s">
        <v>941</v>
      </c>
      <c r="K8221" s="41" t="s">
        <v>335</v>
      </c>
      <c r="O8221" s="59">
        <v>0.1</v>
      </c>
    </row>
    <row r="8222" spans="1:16" x14ac:dyDescent="0.2">
      <c r="A8222" s="30">
        <v>1077</v>
      </c>
      <c r="B8222" s="249" t="str">
        <f>IF(AND(A8222&lt;&gt;"",ISNUMBER(A8222)),VLOOKUP(A8222,Studies!A:BR,2,FALSE),"")</f>
        <v>Neuvonen 1996</v>
      </c>
      <c r="C8222" s="250" t="str">
        <f>IF(AND(A8222&lt;&gt;"",ISNUMBER(A8222)),VLOOKUP(A8222,Studies!A:BR,3,FALSE),"")</f>
        <v>https://www.ncbi.nlm.nih.gov/pubmed/8841155</v>
      </c>
      <c r="D8222" s="250" t="str">
        <f>IF(AND(A8222&lt;&gt;"",ISNUMBER(A8222)),VLOOKUP(A8222,Studies!A:BR,4,FALSE),"")</f>
        <v>Control phase (Triazolam without Itraconazole)</v>
      </c>
      <c r="E8222" s="250" t="str">
        <f>IF(AND(A8222&lt;&gt;"",ISNUMBER(A8222)),VLOOKUP(A8222,Studies!A:BR,5,FALSE),"")</f>
        <v>Triazolam</v>
      </c>
      <c r="F8222" s="251" t="str">
        <f>IF(AND(A8222&lt;&gt;"",ISNUMBER(A8222)),VLOOKUP(A8222,Studies!A:BR,6,FALSE),"")</f>
        <v>Plasma</v>
      </c>
      <c r="G8222" s="194">
        <v>0.5</v>
      </c>
      <c r="H8222" s="50" t="s">
        <v>60</v>
      </c>
      <c r="I8222" s="187">
        <v>0.4283671</v>
      </c>
      <c r="J8222" s="41" t="s">
        <v>941</v>
      </c>
      <c r="K8222" s="41" t="s">
        <v>335</v>
      </c>
      <c r="O8222" s="59">
        <v>0.1</v>
      </c>
    </row>
    <row r="8223" spans="1:16" x14ac:dyDescent="0.2">
      <c r="A8223" s="30">
        <v>1077</v>
      </c>
      <c r="B8223" s="249" t="str">
        <f>IF(AND(A8223&lt;&gt;"",ISNUMBER(A8223)),VLOOKUP(A8223,Studies!A:BR,2,FALSE),"")</f>
        <v>Neuvonen 1996</v>
      </c>
      <c r="C8223" s="250" t="str">
        <f>IF(AND(A8223&lt;&gt;"",ISNUMBER(A8223)),VLOOKUP(A8223,Studies!A:BR,3,FALSE),"")</f>
        <v>https://www.ncbi.nlm.nih.gov/pubmed/8841155</v>
      </c>
      <c r="D8223" s="250" t="str">
        <f>IF(AND(A8223&lt;&gt;"",ISNUMBER(A8223)),VLOOKUP(A8223,Studies!A:BR,4,FALSE),"")</f>
        <v>Control phase (Triazolam without Itraconazole)</v>
      </c>
      <c r="E8223" s="250" t="str">
        <f>IF(AND(A8223&lt;&gt;"",ISNUMBER(A8223)),VLOOKUP(A8223,Studies!A:BR,5,FALSE),"")</f>
        <v>Triazolam</v>
      </c>
      <c r="F8223" s="251" t="str">
        <f>IF(AND(A8223&lt;&gt;"",ISNUMBER(A8223)),VLOOKUP(A8223,Studies!A:BR,6,FALSE),"")</f>
        <v>Plasma</v>
      </c>
      <c r="G8223" s="194">
        <v>1</v>
      </c>
      <c r="H8223" s="50" t="s">
        <v>60</v>
      </c>
      <c r="I8223" s="187">
        <v>1.2278770000000001</v>
      </c>
      <c r="J8223" s="41" t="s">
        <v>941</v>
      </c>
      <c r="K8223" s="41" t="s">
        <v>335</v>
      </c>
      <c r="O8223" s="59">
        <v>0.1</v>
      </c>
    </row>
    <row r="8224" spans="1:16" x14ac:dyDescent="0.2">
      <c r="A8224" s="30">
        <v>1077</v>
      </c>
      <c r="B8224" s="249" t="str">
        <f>IF(AND(A8224&lt;&gt;"",ISNUMBER(A8224)),VLOOKUP(A8224,Studies!A:BR,2,FALSE),"")</f>
        <v>Neuvonen 1996</v>
      </c>
      <c r="C8224" s="250" t="str">
        <f>IF(AND(A8224&lt;&gt;"",ISNUMBER(A8224)),VLOOKUP(A8224,Studies!A:BR,3,FALSE),"")</f>
        <v>https://www.ncbi.nlm.nih.gov/pubmed/8841155</v>
      </c>
      <c r="D8224" s="250" t="str">
        <f>IF(AND(A8224&lt;&gt;"",ISNUMBER(A8224)),VLOOKUP(A8224,Studies!A:BR,4,FALSE),"")</f>
        <v>Control phase (Triazolam without Itraconazole)</v>
      </c>
      <c r="E8224" s="250" t="str">
        <f>IF(AND(A8224&lt;&gt;"",ISNUMBER(A8224)),VLOOKUP(A8224,Studies!A:BR,5,FALSE),"")</f>
        <v>Triazolam</v>
      </c>
      <c r="F8224" s="251" t="str">
        <f>IF(AND(A8224&lt;&gt;"",ISNUMBER(A8224)),VLOOKUP(A8224,Studies!A:BR,6,FALSE),"")</f>
        <v>Plasma</v>
      </c>
      <c r="G8224" s="194">
        <v>1.5</v>
      </c>
      <c r="H8224" s="50" t="s">
        <v>60</v>
      </c>
      <c r="I8224" s="187">
        <v>1.455052</v>
      </c>
      <c r="J8224" s="41" t="s">
        <v>941</v>
      </c>
      <c r="K8224" s="41" t="s">
        <v>335</v>
      </c>
      <c r="O8224" s="59">
        <v>0.1</v>
      </c>
    </row>
    <row r="8225" spans="1:15" x14ac:dyDescent="0.2">
      <c r="A8225" s="30">
        <v>1077</v>
      </c>
      <c r="B8225" s="249" t="str">
        <f>IF(AND(A8225&lt;&gt;"",ISNUMBER(A8225)),VLOOKUP(A8225,Studies!A:BR,2,FALSE),"")</f>
        <v>Neuvonen 1996</v>
      </c>
      <c r="C8225" s="250" t="str">
        <f>IF(AND(A8225&lt;&gt;"",ISNUMBER(A8225)),VLOOKUP(A8225,Studies!A:BR,3,FALSE),"")</f>
        <v>https://www.ncbi.nlm.nih.gov/pubmed/8841155</v>
      </c>
      <c r="D8225" s="250" t="str">
        <f>IF(AND(A8225&lt;&gt;"",ISNUMBER(A8225)),VLOOKUP(A8225,Studies!A:BR,4,FALSE),"")</f>
        <v>Control phase (Triazolam without Itraconazole)</v>
      </c>
      <c r="E8225" s="250" t="str">
        <f>IF(AND(A8225&lt;&gt;"",ISNUMBER(A8225)),VLOOKUP(A8225,Studies!A:BR,5,FALSE),"")</f>
        <v>Triazolam</v>
      </c>
      <c r="F8225" s="251" t="str">
        <f>IF(AND(A8225&lt;&gt;"",ISNUMBER(A8225)),VLOOKUP(A8225,Studies!A:BR,6,FALSE),"")</f>
        <v>Plasma</v>
      </c>
      <c r="G8225" s="194">
        <v>2</v>
      </c>
      <c r="H8225" s="50" t="s">
        <v>60</v>
      </c>
      <c r="I8225" s="187">
        <v>1.4746440000000001</v>
      </c>
      <c r="J8225" s="41" t="s">
        <v>941</v>
      </c>
      <c r="K8225" s="41" t="s">
        <v>335</v>
      </c>
      <c r="O8225" s="59">
        <v>0.1</v>
      </c>
    </row>
    <row r="8226" spans="1:15" x14ac:dyDescent="0.2">
      <c r="A8226" s="30">
        <v>1077</v>
      </c>
      <c r="B8226" s="249" t="str">
        <f>IF(AND(A8226&lt;&gt;"",ISNUMBER(A8226)),VLOOKUP(A8226,Studies!A:BR,2,FALSE),"")</f>
        <v>Neuvonen 1996</v>
      </c>
      <c r="C8226" s="250" t="str">
        <f>IF(AND(A8226&lt;&gt;"",ISNUMBER(A8226)),VLOOKUP(A8226,Studies!A:BR,3,FALSE),"")</f>
        <v>https://www.ncbi.nlm.nih.gov/pubmed/8841155</v>
      </c>
      <c r="D8226" s="250" t="str">
        <f>IF(AND(A8226&lt;&gt;"",ISNUMBER(A8226)),VLOOKUP(A8226,Studies!A:BR,4,FALSE),"")</f>
        <v>Control phase (Triazolam without Itraconazole)</v>
      </c>
      <c r="E8226" s="250" t="str">
        <f>IF(AND(A8226&lt;&gt;"",ISNUMBER(A8226)),VLOOKUP(A8226,Studies!A:BR,5,FALSE),"")</f>
        <v>Triazolam</v>
      </c>
      <c r="F8226" s="251" t="str">
        <f>IF(AND(A8226&lt;&gt;"",ISNUMBER(A8226)),VLOOKUP(A8226,Studies!A:BR,6,FALSE),"")</f>
        <v>Plasma</v>
      </c>
      <c r="G8226" s="194">
        <v>3</v>
      </c>
      <c r="H8226" s="50" t="s">
        <v>60</v>
      </c>
      <c r="I8226" s="187">
        <v>1.3943639999999999</v>
      </c>
      <c r="J8226" s="41" t="s">
        <v>941</v>
      </c>
      <c r="K8226" s="41" t="s">
        <v>335</v>
      </c>
      <c r="O8226" s="59">
        <v>0.1</v>
      </c>
    </row>
    <row r="8227" spans="1:15" x14ac:dyDescent="0.2">
      <c r="A8227" s="30">
        <v>1077</v>
      </c>
      <c r="B8227" s="249" t="str">
        <f>IF(AND(A8227&lt;&gt;"",ISNUMBER(A8227)),VLOOKUP(A8227,Studies!A:BR,2,FALSE),"")</f>
        <v>Neuvonen 1996</v>
      </c>
      <c r="C8227" s="250" t="str">
        <f>IF(AND(A8227&lt;&gt;"",ISNUMBER(A8227)),VLOOKUP(A8227,Studies!A:BR,3,FALSE),"")</f>
        <v>https://www.ncbi.nlm.nih.gov/pubmed/8841155</v>
      </c>
      <c r="D8227" s="250" t="str">
        <f>IF(AND(A8227&lt;&gt;"",ISNUMBER(A8227)),VLOOKUP(A8227,Studies!A:BR,4,FALSE),"")</f>
        <v>Control phase (Triazolam without Itraconazole)</v>
      </c>
      <c r="E8227" s="250" t="str">
        <f>IF(AND(A8227&lt;&gt;"",ISNUMBER(A8227)),VLOOKUP(A8227,Studies!A:BR,5,FALSE),"")</f>
        <v>Triazolam</v>
      </c>
      <c r="F8227" s="251" t="str">
        <f>IF(AND(A8227&lt;&gt;"",ISNUMBER(A8227)),VLOOKUP(A8227,Studies!A:BR,6,FALSE),"")</f>
        <v>Plasma</v>
      </c>
      <c r="G8227" s="194">
        <v>4</v>
      </c>
      <c r="H8227" s="50" t="s">
        <v>60</v>
      </c>
      <c r="I8227" s="187">
        <v>1.244901</v>
      </c>
      <c r="J8227" s="41" t="s">
        <v>941</v>
      </c>
      <c r="K8227" s="41" t="s">
        <v>335</v>
      </c>
      <c r="O8227" s="59">
        <v>0.1</v>
      </c>
    </row>
    <row r="8228" spans="1:15" x14ac:dyDescent="0.2">
      <c r="A8228" s="30">
        <v>1077</v>
      </c>
      <c r="B8228" s="249" t="str">
        <f>IF(AND(A8228&lt;&gt;"",ISNUMBER(A8228)),VLOOKUP(A8228,Studies!A:BR,2,FALSE),"")</f>
        <v>Neuvonen 1996</v>
      </c>
      <c r="C8228" s="250" t="str">
        <f>IF(AND(A8228&lt;&gt;"",ISNUMBER(A8228)),VLOOKUP(A8228,Studies!A:BR,3,FALSE),"")</f>
        <v>https://www.ncbi.nlm.nih.gov/pubmed/8841155</v>
      </c>
      <c r="D8228" s="250" t="str">
        <f>IF(AND(A8228&lt;&gt;"",ISNUMBER(A8228)),VLOOKUP(A8228,Studies!A:BR,4,FALSE),"")</f>
        <v>Control phase (Triazolam without Itraconazole)</v>
      </c>
      <c r="E8228" s="250" t="str">
        <f>IF(AND(A8228&lt;&gt;"",ISNUMBER(A8228)),VLOOKUP(A8228,Studies!A:BR,5,FALSE),"")</f>
        <v>Triazolam</v>
      </c>
      <c r="F8228" s="251" t="str">
        <f>IF(AND(A8228&lt;&gt;"",ISNUMBER(A8228)),VLOOKUP(A8228,Studies!A:BR,6,FALSE),"")</f>
        <v>Plasma</v>
      </c>
      <c r="G8228" s="194">
        <v>5</v>
      </c>
      <c r="H8228" s="50" t="s">
        <v>60</v>
      </c>
      <c r="I8228" s="187">
        <v>0.97593949999999996</v>
      </c>
      <c r="J8228" s="41" t="s">
        <v>941</v>
      </c>
      <c r="K8228" s="41" t="s">
        <v>335</v>
      </c>
      <c r="O8228" s="59">
        <v>0.1</v>
      </c>
    </row>
    <row r="8229" spans="1:15" x14ac:dyDescent="0.2">
      <c r="A8229" s="30">
        <v>1077</v>
      </c>
      <c r="B8229" s="249" t="str">
        <f>IF(AND(A8229&lt;&gt;"",ISNUMBER(A8229)),VLOOKUP(A8229,Studies!A:BR,2,FALSE),"")</f>
        <v>Neuvonen 1996</v>
      </c>
      <c r="C8229" s="250" t="str">
        <f>IF(AND(A8229&lt;&gt;"",ISNUMBER(A8229)),VLOOKUP(A8229,Studies!A:BR,3,FALSE),"")</f>
        <v>https://www.ncbi.nlm.nih.gov/pubmed/8841155</v>
      </c>
      <c r="D8229" s="250" t="str">
        <f>IF(AND(A8229&lt;&gt;"",ISNUMBER(A8229)),VLOOKUP(A8229,Studies!A:BR,4,FALSE),"")</f>
        <v>Control phase (Triazolam without Itraconazole)</v>
      </c>
      <c r="E8229" s="250" t="str">
        <f>IF(AND(A8229&lt;&gt;"",ISNUMBER(A8229)),VLOOKUP(A8229,Studies!A:BR,5,FALSE),"")</f>
        <v>Triazolam</v>
      </c>
      <c r="F8229" s="251" t="str">
        <f>IF(AND(A8229&lt;&gt;"",ISNUMBER(A8229)),VLOOKUP(A8229,Studies!A:BR,6,FALSE),"")</f>
        <v>Plasma</v>
      </c>
      <c r="G8229" s="194">
        <v>6</v>
      </c>
      <c r="H8229" s="50" t="s">
        <v>60</v>
      </c>
      <c r="I8229" s="187">
        <v>0.82647630000000005</v>
      </c>
      <c r="J8229" s="41" t="s">
        <v>941</v>
      </c>
      <c r="K8229" s="41" t="s">
        <v>335</v>
      </c>
      <c r="O8229" s="59">
        <v>0.1</v>
      </c>
    </row>
    <row r="8230" spans="1:15" x14ac:dyDescent="0.2">
      <c r="A8230" s="30">
        <v>1077</v>
      </c>
      <c r="B8230" s="249" t="str">
        <f>IF(AND(A8230&lt;&gt;"",ISNUMBER(A8230)),VLOOKUP(A8230,Studies!A:BR,2,FALSE),"")</f>
        <v>Neuvonen 1996</v>
      </c>
      <c r="C8230" s="250" t="str">
        <f>IF(AND(A8230&lt;&gt;"",ISNUMBER(A8230)),VLOOKUP(A8230,Studies!A:BR,3,FALSE),"")</f>
        <v>https://www.ncbi.nlm.nih.gov/pubmed/8841155</v>
      </c>
      <c r="D8230" s="250" t="str">
        <f>IF(AND(A8230&lt;&gt;"",ISNUMBER(A8230)),VLOOKUP(A8230,Studies!A:BR,4,FALSE),"")</f>
        <v>Control phase (Triazolam without Itraconazole)</v>
      </c>
      <c r="E8230" s="250" t="str">
        <f>IF(AND(A8230&lt;&gt;"",ISNUMBER(A8230)),VLOOKUP(A8230,Studies!A:BR,5,FALSE),"")</f>
        <v>Triazolam</v>
      </c>
      <c r="F8230" s="251" t="str">
        <f>IF(AND(A8230&lt;&gt;"",ISNUMBER(A8230)),VLOOKUP(A8230,Studies!A:BR,6,FALSE),"")</f>
        <v>Plasma</v>
      </c>
      <c r="G8230" s="194">
        <v>7</v>
      </c>
      <c r="H8230" s="50" t="s">
        <v>60</v>
      </c>
      <c r="I8230" s="187">
        <v>0.72732810000000003</v>
      </c>
      <c r="J8230" s="41" t="s">
        <v>941</v>
      </c>
      <c r="K8230" s="41" t="s">
        <v>335</v>
      </c>
      <c r="O8230" s="59">
        <v>0.1</v>
      </c>
    </row>
    <row r="8231" spans="1:15" x14ac:dyDescent="0.2">
      <c r="A8231" s="30">
        <v>1077</v>
      </c>
      <c r="B8231" s="249" t="str">
        <f>IF(AND(A8231&lt;&gt;"",ISNUMBER(A8231)),VLOOKUP(A8231,Studies!A:BR,2,FALSE),"")</f>
        <v>Neuvonen 1996</v>
      </c>
      <c r="C8231" s="250" t="str">
        <f>IF(AND(A8231&lt;&gt;"",ISNUMBER(A8231)),VLOOKUP(A8231,Studies!A:BR,3,FALSE),"")</f>
        <v>https://www.ncbi.nlm.nih.gov/pubmed/8841155</v>
      </c>
      <c r="D8231" s="250" t="str">
        <f>IF(AND(A8231&lt;&gt;"",ISNUMBER(A8231)),VLOOKUP(A8231,Studies!A:BR,4,FALSE),"")</f>
        <v>Control phase (Triazolam without Itraconazole)</v>
      </c>
      <c r="E8231" s="250" t="str">
        <f>IF(AND(A8231&lt;&gt;"",ISNUMBER(A8231)),VLOOKUP(A8231,Studies!A:BR,5,FALSE),"")</f>
        <v>Triazolam</v>
      </c>
      <c r="F8231" s="251" t="str">
        <f>IF(AND(A8231&lt;&gt;"",ISNUMBER(A8231)),VLOOKUP(A8231,Studies!A:BR,6,FALSE),"")</f>
        <v>Plasma</v>
      </c>
      <c r="G8231" s="194">
        <v>17</v>
      </c>
      <c r="H8231" s="50" t="s">
        <v>60</v>
      </c>
      <c r="I8231" s="187">
        <v>0.11317439999999999</v>
      </c>
      <c r="J8231" s="41" t="s">
        <v>941</v>
      </c>
      <c r="K8231" s="41" t="s">
        <v>335</v>
      </c>
      <c r="O8231" s="59">
        <v>0.1</v>
      </c>
    </row>
    <row r="8232" spans="1:15" x14ac:dyDescent="0.2">
      <c r="A8232" s="30">
        <v>1078</v>
      </c>
      <c r="B8232" s="249" t="str">
        <f>IF(AND(A8232&lt;&gt;"",ISNUMBER(A8232)),VLOOKUP(A8232,Studies!A:BR,2,FALSE),"")</f>
        <v>Neuvonen 1996</v>
      </c>
      <c r="C8232" s="250" t="str">
        <f>IF(AND(A8232&lt;&gt;"",ISNUMBER(A8232)),VLOOKUP(A8232,Studies!A:BR,3,FALSE),"")</f>
        <v>https://www.ncbi.nlm.nih.gov/pubmed/8841155</v>
      </c>
      <c r="D8232" s="250" t="str">
        <f>IF(AND(A8232&lt;&gt;"",ISNUMBER(A8232)),VLOOKUP(A8232,Studies!A:BR,4,FALSE),"")</f>
        <v>Treatment phase (triazolam + ITZ simultaneously)</v>
      </c>
      <c r="E8232" s="250" t="str">
        <f>IF(AND(A8232&lt;&gt;"",ISNUMBER(A8232)),VLOOKUP(A8232,Studies!A:BR,5,FALSE),"")</f>
        <v>Triazolam</v>
      </c>
      <c r="F8232" s="251" t="str">
        <f>IF(AND(A8232&lt;&gt;"",ISNUMBER(A8232)),VLOOKUP(A8232,Studies!A:BR,6,FALSE),"")</f>
        <v>Plasma</v>
      </c>
      <c r="G8232" s="194">
        <v>0</v>
      </c>
      <c r="H8232" s="50" t="s">
        <v>60</v>
      </c>
      <c r="I8232" s="187" t="s">
        <v>2611</v>
      </c>
      <c r="J8232" s="41" t="s">
        <v>941</v>
      </c>
      <c r="K8232" s="41" t="s">
        <v>335</v>
      </c>
      <c r="O8232" s="59">
        <v>0.1</v>
      </c>
    </row>
    <row r="8233" spans="1:15" x14ac:dyDescent="0.2">
      <c r="A8233" s="30">
        <v>1078</v>
      </c>
      <c r="B8233" s="249" t="str">
        <f>IF(AND(A8233&lt;&gt;"",ISNUMBER(A8233)),VLOOKUP(A8233,Studies!A:BR,2,FALSE),"")</f>
        <v>Neuvonen 1996</v>
      </c>
      <c r="C8233" s="250" t="str">
        <f>IF(AND(A8233&lt;&gt;"",ISNUMBER(A8233)),VLOOKUP(A8233,Studies!A:BR,3,FALSE),"")</f>
        <v>https://www.ncbi.nlm.nih.gov/pubmed/8841155</v>
      </c>
      <c r="D8233" s="250" t="str">
        <f>IF(AND(A8233&lt;&gt;"",ISNUMBER(A8233)),VLOOKUP(A8233,Studies!A:BR,4,FALSE),"")</f>
        <v>Treatment phase (triazolam + ITZ simultaneously)</v>
      </c>
      <c r="E8233" s="250" t="str">
        <f>IF(AND(A8233&lt;&gt;"",ISNUMBER(A8233)),VLOOKUP(A8233,Studies!A:BR,5,FALSE),"")</f>
        <v>Triazolam</v>
      </c>
      <c r="F8233" s="251" t="str">
        <f>IF(AND(A8233&lt;&gt;"",ISNUMBER(A8233)),VLOOKUP(A8233,Studies!A:BR,6,FALSE),"")</f>
        <v>Plasma</v>
      </c>
      <c r="G8233" s="194">
        <v>0.5</v>
      </c>
      <c r="H8233" s="50" t="s">
        <v>60</v>
      </c>
      <c r="I8233" s="187">
        <v>0.96925380000000005</v>
      </c>
      <c r="J8233" s="41" t="s">
        <v>941</v>
      </c>
      <c r="K8233" s="41" t="s">
        <v>335</v>
      </c>
      <c r="O8233" s="59">
        <v>0.1</v>
      </c>
    </row>
    <row r="8234" spans="1:15" x14ac:dyDescent="0.2">
      <c r="A8234" s="30">
        <v>1078</v>
      </c>
      <c r="B8234" s="249" t="str">
        <f>IF(AND(A8234&lt;&gt;"",ISNUMBER(A8234)),VLOOKUP(A8234,Studies!A:BR,2,FALSE),"")</f>
        <v>Neuvonen 1996</v>
      </c>
      <c r="C8234" s="250" t="str">
        <f>IF(AND(A8234&lt;&gt;"",ISNUMBER(A8234)),VLOOKUP(A8234,Studies!A:BR,3,FALSE),"")</f>
        <v>https://www.ncbi.nlm.nih.gov/pubmed/8841155</v>
      </c>
      <c r="D8234" s="250" t="str">
        <f>IF(AND(A8234&lt;&gt;"",ISNUMBER(A8234)),VLOOKUP(A8234,Studies!A:BR,4,FALSE),"")</f>
        <v>Treatment phase (triazolam + ITZ simultaneously)</v>
      </c>
      <c r="E8234" s="250" t="str">
        <f>IF(AND(A8234&lt;&gt;"",ISNUMBER(A8234)),VLOOKUP(A8234,Studies!A:BR,5,FALSE),"")</f>
        <v>Triazolam</v>
      </c>
      <c r="F8234" s="251" t="str">
        <f>IF(AND(A8234&lt;&gt;"",ISNUMBER(A8234)),VLOOKUP(A8234,Studies!A:BR,6,FALSE),"")</f>
        <v>Plasma</v>
      </c>
      <c r="G8234" s="194">
        <v>1</v>
      </c>
      <c r="H8234" s="50" t="s">
        <v>60</v>
      </c>
      <c r="I8234" s="187">
        <v>1.687001</v>
      </c>
      <c r="J8234" s="41" t="s">
        <v>941</v>
      </c>
      <c r="K8234" s="41" t="s">
        <v>335</v>
      </c>
      <c r="O8234" s="59">
        <v>0.1</v>
      </c>
    </row>
    <row r="8235" spans="1:15" x14ac:dyDescent="0.2">
      <c r="A8235" s="30">
        <v>1078</v>
      </c>
      <c r="B8235" s="249" t="str">
        <f>IF(AND(A8235&lt;&gt;"",ISNUMBER(A8235)),VLOOKUP(A8235,Studies!A:BR,2,FALSE),"")</f>
        <v>Neuvonen 1996</v>
      </c>
      <c r="C8235" s="250" t="str">
        <f>IF(AND(A8235&lt;&gt;"",ISNUMBER(A8235)),VLOOKUP(A8235,Studies!A:BR,3,FALSE),"")</f>
        <v>https://www.ncbi.nlm.nih.gov/pubmed/8841155</v>
      </c>
      <c r="D8235" s="250" t="str">
        <f>IF(AND(A8235&lt;&gt;"",ISNUMBER(A8235)),VLOOKUP(A8235,Studies!A:BR,4,FALSE),"")</f>
        <v>Treatment phase (triazolam + ITZ simultaneously)</v>
      </c>
      <c r="E8235" s="250" t="str">
        <f>IF(AND(A8235&lt;&gt;"",ISNUMBER(A8235)),VLOOKUP(A8235,Studies!A:BR,5,FALSE),"")</f>
        <v>Triazolam</v>
      </c>
      <c r="F8235" s="251" t="str">
        <f>IF(AND(A8235&lt;&gt;"",ISNUMBER(A8235)),VLOOKUP(A8235,Studies!A:BR,6,FALSE),"")</f>
        <v>Plasma</v>
      </c>
      <c r="G8235" s="194">
        <v>1.5</v>
      </c>
      <c r="H8235" s="50" t="s">
        <v>60</v>
      </c>
      <c r="I8235" s="187">
        <v>2.178331</v>
      </c>
      <c r="J8235" s="41" t="s">
        <v>941</v>
      </c>
      <c r="K8235" s="41" t="s">
        <v>335</v>
      </c>
      <c r="O8235" s="59">
        <v>0.1</v>
      </c>
    </row>
    <row r="8236" spans="1:15" x14ac:dyDescent="0.2">
      <c r="A8236" s="30">
        <v>1078</v>
      </c>
      <c r="B8236" s="249" t="str">
        <f>IF(AND(A8236&lt;&gt;"",ISNUMBER(A8236)),VLOOKUP(A8236,Studies!A:BR,2,FALSE),"")</f>
        <v>Neuvonen 1996</v>
      </c>
      <c r="C8236" s="250" t="str">
        <f>IF(AND(A8236&lt;&gt;"",ISNUMBER(A8236)),VLOOKUP(A8236,Studies!A:BR,3,FALSE),"")</f>
        <v>https://www.ncbi.nlm.nih.gov/pubmed/8841155</v>
      </c>
      <c r="D8236" s="250" t="str">
        <f>IF(AND(A8236&lt;&gt;"",ISNUMBER(A8236)),VLOOKUP(A8236,Studies!A:BR,4,FALSE),"")</f>
        <v>Treatment phase (triazolam + ITZ simultaneously)</v>
      </c>
      <c r="E8236" s="250" t="str">
        <f>IF(AND(A8236&lt;&gt;"",ISNUMBER(A8236)),VLOOKUP(A8236,Studies!A:BR,5,FALSE),"")</f>
        <v>Triazolam</v>
      </c>
      <c r="F8236" s="251" t="str">
        <f>IF(AND(A8236&lt;&gt;"",ISNUMBER(A8236)),VLOOKUP(A8236,Studies!A:BR,6,FALSE),"")</f>
        <v>Plasma</v>
      </c>
      <c r="G8236" s="194">
        <v>2</v>
      </c>
      <c r="H8236" s="50" t="s">
        <v>60</v>
      </c>
      <c r="I8236" s="187">
        <v>2.2922639999999999</v>
      </c>
      <c r="J8236" s="41" t="s">
        <v>941</v>
      </c>
      <c r="K8236" s="41" t="s">
        <v>335</v>
      </c>
      <c r="O8236" s="59">
        <v>0.1</v>
      </c>
    </row>
    <row r="8237" spans="1:15" x14ac:dyDescent="0.2">
      <c r="A8237" s="30">
        <v>1078</v>
      </c>
      <c r="B8237" s="249" t="str">
        <f>IF(AND(A8237&lt;&gt;"",ISNUMBER(A8237)),VLOOKUP(A8237,Studies!A:BR,2,FALSE),"")</f>
        <v>Neuvonen 1996</v>
      </c>
      <c r="C8237" s="250" t="str">
        <f>IF(AND(A8237&lt;&gt;"",ISNUMBER(A8237)),VLOOKUP(A8237,Studies!A:BR,3,FALSE),"")</f>
        <v>https://www.ncbi.nlm.nih.gov/pubmed/8841155</v>
      </c>
      <c r="D8237" s="250" t="str">
        <f>IF(AND(A8237&lt;&gt;"",ISNUMBER(A8237)),VLOOKUP(A8237,Studies!A:BR,4,FALSE),"")</f>
        <v>Treatment phase (triazolam + ITZ simultaneously)</v>
      </c>
      <c r="E8237" s="250" t="str">
        <f>IF(AND(A8237&lt;&gt;"",ISNUMBER(A8237)),VLOOKUP(A8237,Studies!A:BR,5,FALSE),"")</f>
        <v>Triazolam</v>
      </c>
      <c r="F8237" s="251" t="str">
        <f>IF(AND(A8237&lt;&gt;"",ISNUMBER(A8237)),VLOOKUP(A8237,Studies!A:BR,6,FALSE),"")</f>
        <v>Plasma</v>
      </c>
      <c r="G8237" s="194">
        <v>3</v>
      </c>
      <c r="H8237" s="50" t="s">
        <v>60</v>
      </c>
      <c r="I8237" s="187">
        <v>2.0988090000000001</v>
      </c>
      <c r="J8237" s="41" t="s">
        <v>941</v>
      </c>
      <c r="K8237" s="41" t="s">
        <v>335</v>
      </c>
      <c r="O8237" s="59">
        <v>0.1</v>
      </c>
    </row>
    <row r="8238" spans="1:15" x14ac:dyDescent="0.2">
      <c r="A8238" s="30">
        <v>1078</v>
      </c>
      <c r="B8238" s="249" t="str">
        <f>IF(AND(A8238&lt;&gt;"",ISNUMBER(A8238)),VLOOKUP(A8238,Studies!A:BR,2,FALSE),"")</f>
        <v>Neuvonen 1996</v>
      </c>
      <c r="C8238" s="250" t="str">
        <f>IF(AND(A8238&lt;&gt;"",ISNUMBER(A8238)),VLOOKUP(A8238,Studies!A:BR,3,FALSE),"")</f>
        <v>https://www.ncbi.nlm.nih.gov/pubmed/8841155</v>
      </c>
      <c r="D8238" s="250" t="str">
        <f>IF(AND(A8238&lt;&gt;"",ISNUMBER(A8238)),VLOOKUP(A8238,Studies!A:BR,4,FALSE),"")</f>
        <v>Treatment phase (triazolam + ITZ simultaneously)</v>
      </c>
      <c r="E8238" s="250" t="str">
        <f>IF(AND(A8238&lt;&gt;"",ISNUMBER(A8238)),VLOOKUP(A8238,Studies!A:BR,5,FALSE),"")</f>
        <v>Triazolam</v>
      </c>
      <c r="F8238" s="251" t="str">
        <f>IF(AND(A8238&lt;&gt;"",ISNUMBER(A8238)),VLOOKUP(A8238,Studies!A:BR,6,FALSE),"")</f>
        <v>Plasma</v>
      </c>
      <c r="G8238" s="194">
        <v>4</v>
      </c>
      <c r="H8238" s="50" t="s">
        <v>60</v>
      </c>
      <c r="I8238" s="187">
        <v>1.955635</v>
      </c>
      <c r="J8238" s="41" t="s">
        <v>941</v>
      </c>
      <c r="K8238" s="41" t="s">
        <v>335</v>
      </c>
      <c r="O8238" s="59">
        <v>0.1</v>
      </c>
    </row>
    <row r="8239" spans="1:15" x14ac:dyDescent="0.2">
      <c r="A8239" s="30">
        <v>1078</v>
      </c>
      <c r="B8239" s="249" t="str">
        <f>IF(AND(A8239&lt;&gt;"",ISNUMBER(A8239)),VLOOKUP(A8239,Studies!A:BR,2,FALSE),"")</f>
        <v>Neuvonen 1996</v>
      </c>
      <c r="C8239" s="250" t="str">
        <f>IF(AND(A8239&lt;&gt;"",ISNUMBER(A8239)),VLOOKUP(A8239,Studies!A:BR,3,FALSE),"")</f>
        <v>https://www.ncbi.nlm.nih.gov/pubmed/8841155</v>
      </c>
      <c r="D8239" s="250" t="str">
        <f>IF(AND(A8239&lt;&gt;"",ISNUMBER(A8239)),VLOOKUP(A8239,Studies!A:BR,4,FALSE),"")</f>
        <v>Treatment phase (triazolam + ITZ simultaneously)</v>
      </c>
      <c r="E8239" s="250" t="str">
        <f>IF(AND(A8239&lt;&gt;"",ISNUMBER(A8239)),VLOOKUP(A8239,Studies!A:BR,5,FALSE),"")</f>
        <v>Triazolam</v>
      </c>
      <c r="F8239" s="251" t="str">
        <f>IF(AND(A8239&lt;&gt;"",ISNUMBER(A8239)),VLOOKUP(A8239,Studies!A:BR,6,FALSE),"")</f>
        <v>Plasma</v>
      </c>
      <c r="G8239" s="194">
        <v>5</v>
      </c>
      <c r="H8239" s="50" t="s">
        <v>60</v>
      </c>
      <c r="I8239" s="187">
        <v>1.72441</v>
      </c>
      <c r="J8239" s="41" t="s">
        <v>941</v>
      </c>
      <c r="K8239" s="41" t="s">
        <v>335</v>
      </c>
      <c r="O8239" s="59">
        <v>0.1</v>
      </c>
    </row>
    <row r="8240" spans="1:15" x14ac:dyDescent="0.2">
      <c r="A8240" s="30">
        <v>1078</v>
      </c>
      <c r="B8240" s="249" t="str">
        <f>IF(AND(A8240&lt;&gt;"",ISNUMBER(A8240)),VLOOKUP(A8240,Studies!A:BR,2,FALSE),"")</f>
        <v>Neuvonen 1996</v>
      </c>
      <c r="C8240" s="250" t="str">
        <f>IF(AND(A8240&lt;&gt;"",ISNUMBER(A8240)),VLOOKUP(A8240,Studies!A:BR,3,FALSE),"")</f>
        <v>https://www.ncbi.nlm.nih.gov/pubmed/8841155</v>
      </c>
      <c r="D8240" s="250" t="str">
        <f>IF(AND(A8240&lt;&gt;"",ISNUMBER(A8240)),VLOOKUP(A8240,Studies!A:BR,4,FALSE),"")</f>
        <v>Treatment phase (triazolam + ITZ simultaneously)</v>
      </c>
      <c r="E8240" s="250" t="str">
        <f>IF(AND(A8240&lt;&gt;"",ISNUMBER(A8240)),VLOOKUP(A8240,Studies!A:BR,5,FALSE),"")</f>
        <v>Triazolam</v>
      </c>
      <c r="F8240" s="251" t="str">
        <f>IF(AND(A8240&lt;&gt;"",ISNUMBER(A8240)),VLOOKUP(A8240,Studies!A:BR,6,FALSE),"")</f>
        <v>Plasma</v>
      </c>
      <c r="G8240" s="194">
        <v>6</v>
      </c>
      <c r="H8240" s="50" t="s">
        <v>60</v>
      </c>
      <c r="I8240" s="187">
        <v>1.5686580000000001</v>
      </c>
      <c r="J8240" s="41" t="s">
        <v>941</v>
      </c>
      <c r="K8240" s="41" t="s">
        <v>335</v>
      </c>
      <c r="O8240" s="59">
        <v>0.1</v>
      </c>
    </row>
    <row r="8241" spans="1:15" x14ac:dyDescent="0.2">
      <c r="A8241" s="30">
        <v>1078</v>
      </c>
      <c r="B8241" s="249" t="str">
        <f>IF(AND(A8241&lt;&gt;"",ISNUMBER(A8241)),VLOOKUP(A8241,Studies!A:BR,2,FALSE),"")</f>
        <v>Neuvonen 1996</v>
      </c>
      <c r="C8241" s="250" t="str">
        <f>IF(AND(A8241&lt;&gt;"",ISNUMBER(A8241)),VLOOKUP(A8241,Studies!A:BR,3,FALSE),"")</f>
        <v>https://www.ncbi.nlm.nih.gov/pubmed/8841155</v>
      </c>
      <c r="D8241" s="250" t="str">
        <f>IF(AND(A8241&lt;&gt;"",ISNUMBER(A8241)),VLOOKUP(A8241,Studies!A:BR,4,FALSE),"")</f>
        <v>Treatment phase (triazolam + ITZ simultaneously)</v>
      </c>
      <c r="E8241" s="250" t="str">
        <f>IF(AND(A8241&lt;&gt;"",ISNUMBER(A8241)),VLOOKUP(A8241,Studies!A:BR,5,FALSE),"")</f>
        <v>Triazolam</v>
      </c>
      <c r="F8241" s="251" t="str">
        <f>IF(AND(A8241&lt;&gt;"",ISNUMBER(A8241)),VLOOKUP(A8241,Studies!A:BR,6,FALSE),"")</f>
        <v>Plasma</v>
      </c>
      <c r="G8241" s="194">
        <v>7</v>
      </c>
      <c r="H8241" s="50" t="s">
        <v>60</v>
      </c>
      <c r="I8241" s="187">
        <v>1.5386580000000001</v>
      </c>
      <c r="J8241" s="41" t="s">
        <v>941</v>
      </c>
      <c r="K8241" s="41" t="s">
        <v>335</v>
      </c>
      <c r="O8241" s="59">
        <v>0.1</v>
      </c>
    </row>
    <row r="8242" spans="1:15" x14ac:dyDescent="0.2">
      <c r="A8242" s="30">
        <v>1078</v>
      </c>
      <c r="B8242" s="249" t="str">
        <f>IF(AND(A8242&lt;&gt;"",ISNUMBER(A8242)),VLOOKUP(A8242,Studies!A:BR,2,FALSE),"")</f>
        <v>Neuvonen 1996</v>
      </c>
      <c r="C8242" s="250" t="str">
        <f>IF(AND(A8242&lt;&gt;"",ISNUMBER(A8242)),VLOOKUP(A8242,Studies!A:BR,3,FALSE),"")</f>
        <v>https://www.ncbi.nlm.nih.gov/pubmed/8841155</v>
      </c>
      <c r="D8242" s="250" t="str">
        <f>IF(AND(A8242&lt;&gt;"",ISNUMBER(A8242)),VLOOKUP(A8242,Studies!A:BR,4,FALSE),"")</f>
        <v>Treatment phase (triazolam + ITZ simultaneously)</v>
      </c>
      <c r="E8242" s="250" t="str">
        <f>IF(AND(A8242&lt;&gt;"",ISNUMBER(A8242)),VLOOKUP(A8242,Studies!A:BR,5,FALSE),"")</f>
        <v>Triazolam</v>
      </c>
      <c r="F8242" s="251" t="str">
        <f>IF(AND(A8242&lt;&gt;"",ISNUMBER(A8242)),VLOOKUP(A8242,Studies!A:BR,6,FALSE),"")</f>
        <v>Plasma</v>
      </c>
      <c r="G8242" s="194">
        <v>17</v>
      </c>
      <c r="H8242" s="50" t="s">
        <v>60</v>
      </c>
      <c r="I8242" s="187">
        <v>0.80500620000000001</v>
      </c>
      <c r="J8242" s="41" t="s">
        <v>941</v>
      </c>
      <c r="K8242" s="41" t="s">
        <v>335</v>
      </c>
      <c r="O8242" s="59">
        <v>0.1</v>
      </c>
    </row>
    <row r="8243" spans="1:15" x14ac:dyDescent="0.2">
      <c r="A8243" s="30">
        <v>1079</v>
      </c>
      <c r="B8243" s="249" t="str">
        <f>IF(AND(A8243&lt;&gt;"",ISNUMBER(A8243)),VLOOKUP(A8243,Studies!A:BR,2,FALSE),"")</f>
        <v>Neuvonen 1996</v>
      </c>
      <c r="C8243" s="250" t="str">
        <f>IF(AND(A8243&lt;&gt;"",ISNUMBER(A8243)),VLOOKUP(A8243,Studies!A:BR,3,FALSE),"")</f>
        <v>https://www.ncbi.nlm.nih.gov/pubmed/8841155</v>
      </c>
      <c r="D8243" s="250" t="str">
        <f>IF(AND(A8243&lt;&gt;"",ISNUMBER(A8243)),VLOOKUP(A8243,Studies!A:BR,4,FALSE),"")</f>
        <v>Treatment phase (triazolam + ITZ 3 hr before)</v>
      </c>
      <c r="E8243" s="250" t="str">
        <f>IF(AND(A8243&lt;&gt;"",ISNUMBER(A8243)),VLOOKUP(A8243,Studies!A:BR,5,FALSE),"")</f>
        <v>Triazolam</v>
      </c>
      <c r="F8243" s="251" t="str">
        <f>IF(AND(A8243&lt;&gt;"",ISNUMBER(A8243)),VLOOKUP(A8243,Studies!A:BR,6,FALSE),"")</f>
        <v>Plasma</v>
      </c>
      <c r="G8243" s="194">
        <v>3</v>
      </c>
      <c r="H8243" s="50" t="s">
        <v>60</v>
      </c>
      <c r="I8243" s="187" t="s">
        <v>2611</v>
      </c>
      <c r="J8243" s="41" t="s">
        <v>941</v>
      </c>
      <c r="K8243" s="41" t="s">
        <v>335</v>
      </c>
      <c r="O8243" s="59">
        <v>0.1</v>
      </c>
    </row>
    <row r="8244" spans="1:15" x14ac:dyDescent="0.2">
      <c r="A8244" s="30">
        <v>1079</v>
      </c>
      <c r="B8244" s="249" t="str">
        <f>IF(AND(A8244&lt;&gt;"",ISNUMBER(A8244)),VLOOKUP(A8244,Studies!A:BR,2,FALSE),"")</f>
        <v>Neuvonen 1996</v>
      </c>
      <c r="C8244" s="250" t="str">
        <f>IF(AND(A8244&lt;&gt;"",ISNUMBER(A8244)),VLOOKUP(A8244,Studies!A:BR,3,FALSE),"")</f>
        <v>https://www.ncbi.nlm.nih.gov/pubmed/8841155</v>
      </c>
      <c r="D8244" s="250" t="str">
        <f>IF(AND(A8244&lt;&gt;"",ISNUMBER(A8244)),VLOOKUP(A8244,Studies!A:BR,4,FALSE),"")</f>
        <v>Treatment phase (triazolam + ITZ 3 hr before)</v>
      </c>
      <c r="E8244" s="250" t="str">
        <f>IF(AND(A8244&lt;&gt;"",ISNUMBER(A8244)),VLOOKUP(A8244,Studies!A:BR,5,FALSE),"")</f>
        <v>Triazolam</v>
      </c>
      <c r="F8244" s="251" t="str">
        <f>IF(AND(A8244&lt;&gt;"",ISNUMBER(A8244)),VLOOKUP(A8244,Studies!A:BR,6,FALSE),"")</f>
        <v>Plasma</v>
      </c>
      <c r="G8244" s="194">
        <v>3.5</v>
      </c>
      <c r="H8244" s="50" t="s">
        <v>60</v>
      </c>
      <c r="I8244" s="187">
        <v>0.47246169999999998</v>
      </c>
      <c r="J8244" s="41" t="s">
        <v>941</v>
      </c>
      <c r="K8244" s="41" t="s">
        <v>335</v>
      </c>
      <c r="O8244" s="59">
        <v>0.1</v>
      </c>
    </row>
    <row r="8245" spans="1:15" x14ac:dyDescent="0.2">
      <c r="A8245" s="30">
        <v>1079</v>
      </c>
      <c r="B8245" s="249" t="str">
        <f>IF(AND(A8245&lt;&gt;"",ISNUMBER(A8245)),VLOOKUP(A8245,Studies!A:BR,2,FALSE),"")</f>
        <v>Neuvonen 1996</v>
      </c>
      <c r="C8245" s="250" t="str">
        <f>IF(AND(A8245&lt;&gt;"",ISNUMBER(A8245)),VLOOKUP(A8245,Studies!A:BR,3,FALSE),"")</f>
        <v>https://www.ncbi.nlm.nih.gov/pubmed/8841155</v>
      </c>
      <c r="D8245" s="250" t="str">
        <f>IF(AND(A8245&lt;&gt;"",ISNUMBER(A8245)),VLOOKUP(A8245,Studies!A:BR,4,FALSE),"")</f>
        <v>Treatment phase (triazolam + ITZ 3 hr before)</v>
      </c>
      <c r="E8245" s="250" t="str">
        <f>IF(AND(A8245&lt;&gt;"",ISNUMBER(A8245)),VLOOKUP(A8245,Studies!A:BR,5,FALSE),"")</f>
        <v>Triazolam</v>
      </c>
      <c r="F8245" s="251" t="str">
        <f>IF(AND(A8245&lt;&gt;"",ISNUMBER(A8245)),VLOOKUP(A8245,Studies!A:BR,6,FALSE),"")</f>
        <v>Plasma</v>
      </c>
      <c r="G8245" s="194">
        <v>4</v>
      </c>
      <c r="H8245" s="50" t="s">
        <v>60</v>
      </c>
      <c r="I8245" s="187">
        <v>1.2656130000000001</v>
      </c>
      <c r="J8245" s="41" t="s">
        <v>941</v>
      </c>
      <c r="K8245" s="41" t="s">
        <v>335</v>
      </c>
      <c r="O8245" s="59">
        <v>0.1</v>
      </c>
    </row>
    <row r="8246" spans="1:15" x14ac:dyDescent="0.2">
      <c r="A8246" s="30">
        <v>1079</v>
      </c>
      <c r="B8246" s="249" t="str">
        <f>IF(AND(A8246&lt;&gt;"",ISNUMBER(A8246)),VLOOKUP(A8246,Studies!A:BR,2,FALSE),"")</f>
        <v>Neuvonen 1996</v>
      </c>
      <c r="C8246" s="250" t="str">
        <f>IF(AND(A8246&lt;&gt;"",ISNUMBER(A8246)),VLOOKUP(A8246,Studies!A:BR,3,FALSE),"")</f>
        <v>https://www.ncbi.nlm.nih.gov/pubmed/8841155</v>
      </c>
      <c r="D8246" s="250" t="str">
        <f>IF(AND(A8246&lt;&gt;"",ISNUMBER(A8246)),VLOOKUP(A8246,Studies!A:BR,4,FALSE),"")</f>
        <v>Treatment phase (triazolam + ITZ 3 hr before)</v>
      </c>
      <c r="E8246" s="250" t="str">
        <f>IF(AND(A8246&lt;&gt;"",ISNUMBER(A8246)),VLOOKUP(A8246,Studies!A:BR,5,FALSE),"")</f>
        <v>Triazolam</v>
      </c>
      <c r="F8246" s="251" t="str">
        <f>IF(AND(A8246&lt;&gt;"",ISNUMBER(A8246)),VLOOKUP(A8246,Studies!A:BR,6,FALSE),"")</f>
        <v>Plasma</v>
      </c>
      <c r="G8246" s="194">
        <v>4.5</v>
      </c>
      <c r="H8246" s="50" t="s">
        <v>60</v>
      </c>
      <c r="I8246" s="187">
        <v>1.939335</v>
      </c>
      <c r="J8246" s="41" t="s">
        <v>941</v>
      </c>
      <c r="K8246" s="41" t="s">
        <v>335</v>
      </c>
      <c r="O8246" s="59">
        <v>0.1</v>
      </c>
    </row>
    <row r="8247" spans="1:15" x14ac:dyDescent="0.2">
      <c r="A8247" s="30">
        <v>1079</v>
      </c>
      <c r="B8247" s="249" t="str">
        <f>IF(AND(A8247&lt;&gt;"",ISNUMBER(A8247)),VLOOKUP(A8247,Studies!A:BR,2,FALSE),"")</f>
        <v>Neuvonen 1996</v>
      </c>
      <c r="C8247" s="250" t="str">
        <f>IF(AND(A8247&lt;&gt;"",ISNUMBER(A8247)),VLOOKUP(A8247,Studies!A:BR,3,FALSE),"")</f>
        <v>https://www.ncbi.nlm.nih.gov/pubmed/8841155</v>
      </c>
      <c r="D8247" s="250" t="str">
        <f>IF(AND(A8247&lt;&gt;"",ISNUMBER(A8247)),VLOOKUP(A8247,Studies!A:BR,4,FALSE),"")</f>
        <v>Treatment phase (triazolam + ITZ 3 hr before)</v>
      </c>
      <c r="E8247" s="250" t="str">
        <f>IF(AND(A8247&lt;&gt;"",ISNUMBER(A8247)),VLOOKUP(A8247,Studies!A:BR,5,FALSE),"")</f>
        <v>Triazolam</v>
      </c>
      <c r="F8247" s="251" t="str">
        <f>IF(AND(A8247&lt;&gt;"",ISNUMBER(A8247)),VLOOKUP(A8247,Studies!A:BR,6,FALSE),"")</f>
        <v>Plasma</v>
      </c>
      <c r="G8247" s="194">
        <v>5</v>
      </c>
      <c r="H8247" s="50" t="s">
        <v>60</v>
      </c>
      <c r="I8247" s="187">
        <v>2.4809450000000002</v>
      </c>
      <c r="J8247" s="41" t="s">
        <v>941</v>
      </c>
      <c r="K8247" s="41" t="s">
        <v>335</v>
      </c>
      <c r="O8247" s="59">
        <v>0.1</v>
      </c>
    </row>
    <row r="8248" spans="1:15" x14ac:dyDescent="0.2">
      <c r="A8248" s="30">
        <v>1079</v>
      </c>
      <c r="B8248" s="249" t="str">
        <f>IF(AND(A8248&lt;&gt;"",ISNUMBER(A8248)),VLOOKUP(A8248,Studies!A:BR,2,FALSE),"")</f>
        <v>Neuvonen 1996</v>
      </c>
      <c r="C8248" s="250" t="str">
        <f>IF(AND(A8248&lt;&gt;"",ISNUMBER(A8248)),VLOOKUP(A8248,Studies!A:BR,3,FALSE),"")</f>
        <v>https://www.ncbi.nlm.nih.gov/pubmed/8841155</v>
      </c>
      <c r="D8248" s="250" t="str">
        <f>IF(AND(A8248&lt;&gt;"",ISNUMBER(A8248)),VLOOKUP(A8248,Studies!A:BR,4,FALSE),"")</f>
        <v>Treatment phase (triazolam + ITZ 3 hr before)</v>
      </c>
      <c r="E8248" s="250" t="str">
        <f>IF(AND(A8248&lt;&gt;"",ISNUMBER(A8248)),VLOOKUP(A8248,Studies!A:BR,5,FALSE),"")</f>
        <v>Triazolam</v>
      </c>
      <c r="F8248" s="251" t="str">
        <f>IF(AND(A8248&lt;&gt;"",ISNUMBER(A8248)),VLOOKUP(A8248,Studies!A:BR,6,FALSE),"")</f>
        <v>Plasma</v>
      </c>
      <c r="G8248" s="194">
        <v>6</v>
      </c>
      <c r="H8248" s="50" t="s">
        <v>60</v>
      </c>
      <c r="I8248" s="187">
        <v>2.6396959999999998</v>
      </c>
      <c r="J8248" s="41" t="s">
        <v>941</v>
      </c>
      <c r="K8248" s="41" t="s">
        <v>335</v>
      </c>
      <c r="O8248" s="59">
        <v>0.1</v>
      </c>
    </row>
    <row r="8249" spans="1:15" x14ac:dyDescent="0.2">
      <c r="A8249" s="30">
        <v>1079</v>
      </c>
      <c r="B8249" s="249" t="str">
        <f>IF(AND(A8249&lt;&gt;"",ISNUMBER(A8249)),VLOOKUP(A8249,Studies!A:BR,2,FALSE),"")</f>
        <v>Neuvonen 1996</v>
      </c>
      <c r="C8249" s="250" t="str">
        <f>IF(AND(A8249&lt;&gt;"",ISNUMBER(A8249)),VLOOKUP(A8249,Studies!A:BR,3,FALSE),"")</f>
        <v>https://www.ncbi.nlm.nih.gov/pubmed/8841155</v>
      </c>
      <c r="D8249" s="250" t="str">
        <f>IF(AND(A8249&lt;&gt;"",ISNUMBER(A8249)),VLOOKUP(A8249,Studies!A:BR,4,FALSE),"")</f>
        <v>Treatment phase (triazolam + ITZ 3 hr before)</v>
      </c>
      <c r="E8249" s="250" t="str">
        <f>IF(AND(A8249&lt;&gt;"",ISNUMBER(A8249)),VLOOKUP(A8249,Studies!A:BR,5,FALSE),"")</f>
        <v>Triazolam</v>
      </c>
      <c r="F8249" s="251" t="str">
        <f>IF(AND(A8249&lt;&gt;"",ISNUMBER(A8249)),VLOOKUP(A8249,Studies!A:BR,6,FALSE),"")</f>
        <v>Plasma</v>
      </c>
      <c r="G8249" s="194">
        <v>7</v>
      </c>
      <c r="H8249" s="50" t="s">
        <v>60</v>
      </c>
      <c r="I8249" s="187">
        <v>2.6914929999999999</v>
      </c>
      <c r="J8249" s="41" t="s">
        <v>941</v>
      </c>
      <c r="K8249" s="41" t="s">
        <v>335</v>
      </c>
      <c r="O8249" s="59">
        <v>0.1</v>
      </c>
    </row>
    <row r="8250" spans="1:15" x14ac:dyDescent="0.2">
      <c r="A8250" s="30">
        <v>1079</v>
      </c>
      <c r="B8250" s="249" t="str">
        <f>IF(AND(A8250&lt;&gt;"",ISNUMBER(A8250)),VLOOKUP(A8250,Studies!A:BR,2,FALSE),"")</f>
        <v>Neuvonen 1996</v>
      </c>
      <c r="C8250" s="250" t="str">
        <f>IF(AND(A8250&lt;&gt;"",ISNUMBER(A8250)),VLOOKUP(A8250,Studies!A:BR,3,FALSE),"")</f>
        <v>https://www.ncbi.nlm.nih.gov/pubmed/8841155</v>
      </c>
      <c r="D8250" s="250" t="str">
        <f>IF(AND(A8250&lt;&gt;"",ISNUMBER(A8250)),VLOOKUP(A8250,Studies!A:BR,4,FALSE),"")</f>
        <v>Treatment phase (triazolam + ITZ 3 hr before)</v>
      </c>
      <c r="E8250" s="250" t="str">
        <f>IF(AND(A8250&lt;&gt;"",ISNUMBER(A8250)),VLOOKUP(A8250,Studies!A:BR,5,FALSE),"")</f>
        <v>Triazolam</v>
      </c>
      <c r="F8250" s="251" t="str">
        <f>IF(AND(A8250&lt;&gt;"",ISNUMBER(A8250)),VLOOKUP(A8250,Studies!A:BR,6,FALSE),"")</f>
        <v>Plasma</v>
      </c>
      <c r="G8250" s="194">
        <v>8</v>
      </c>
      <c r="H8250" s="50" t="s">
        <v>60</v>
      </c>
      <c r="I8250" s="187">
        <v>2.49797</v>
      </c>
      <c r="J8250" s="41" t="s">
        <v>941</v>
      </c>
      <c r="K8250" s="41" t="s">
        <v>335</v>
      </c>
      <c r="O8250" s="59">
        <v>0.1</v>
      </c>
    </row>
    <row r="8251" spans="1:15" x14ac:dyDescent="0.2">
      <c r="A8251" s="30">
        <v>1079</v>
      </c>
      <c r="B8251" s="249" t="str">
        <f>IF(AND(A8251&lt;&gt;"",ISNUMBER(A8251)),VLOOKUP(A8251,Studies!A:BR,2,FALSE),"")</f>
        <v>Neuvonen 1996</v>
      </c>
      <c r="C8251" s="250" t="str">
        <f>IF(AND(A8251&lt;&gt;"",ISNUMBER(A8251)),VLOOKUP(A8251,Studies!A:BR,3,FALSE),"")</f>
        <v>https://www.ncbi.nlm.nih.gov/pubmed/8841155</v>
      </c>
      <c r="D8251" s="250" t="str">
        <f>IF(AND(A8251&lt;&gt;"",ISNUMBER(A8251)),VLOOKUP(A8251,Studies!A:BR,4,FALSE),"")</f>
        <v>Treatment phase (triazolam + ITZ 3 hr before)</v>
      </c>
      <c r="E8251" s="250" t="str">
        <f>IF(AND(A8251&lt;&gt;"",ISNUMBER(A8251)),VLOOKUP(A8251,Studies!A:BR,5,FALSE),"")</f>
        <v>Triazolam</v>
      </c>
      <c r="F8251" s="251" t="str">
        <f>IF(AND(A8251&lt;&gt;"",ISNUMBER(A8251)),VLOOKUP(A8251,Studies!A:BR,6,FALSE),"")</f>
        <v>Plasma</v>
      </c>
      <c r="G8251" s="194">
        <v>9</v>
      </c>
      <c r="H8251" s="50" t="s">
        <v>60</v>
      </c>
      <c r="I8251" s="187">
        <v>2.3107700000000002</v>
      </c>
      <c r="J8251" s="41" t="s">
        <v>941</v>
      </c>
      <c r="K8251" s="41" t="s">
        <v>335</v>
      </c>
      <c r="O8251" s="59">
        <v>0.1</v>
      </c>
    </row>
    <row r="8252" spans="1:15" x14ac:dyDescent="0.2">
      <c r="A8252" s="30">
        <v>1079</v>
      </c>
      <c r="B8252" s="249" t="str">
        <f>IF(AND(A8252&lt;&gt;"",ISNUMBER(A8252)),VLOOKUP(A8252,Studies!A:BR,2,FALSE),"")</f>
        <v>Neuvonen 1996</v>
      </c>
      <c r="C8252" s="250" t="str">
        <f>IF(AND(A8252&lt;&gt;"",ISNUMBER(A8252)),VLOOKUP(A8252,Studies!A:BR,3,FALSE),"")</f>
        <v>https://www.ncbi.nlm.nih.gov/pubmed/8841155</v>
      </c>
      <c r="D8252" s="250" t="str">
        <f>IF(AND(A8252&lt;&gt;"",ISNUMBER(A8252)),VLOOKUP(A8252,Studies!A:BR,4,FALSE),"")</f>
        <v>Treatment phase (triazolam + ITZ 3 hr before)</v>
      </c>
      <c r="E8252" s="250" t="str">
        <f>IF(AND(A8252&lt;&gt;"",ISNUMBER(A8252)),VLOOKUP(A8252,Studies!A:BR,5,FALSE),"")</f>
        <v>Triazolam</v>
      </c>
      <c r="F8252" s="251" t="str">
        <f>IF(AND(A8252&lt;&gt;"",ISNUMBER(A8252)),VLOOKUP(A8252,Studies!A:BR,6,FALSE),"")</f>
        <v>Plasma</v>
      </c>
      <c r="G8252" s="194">
        <v>10</v>
      </c>
      <c r="H8252" s="50" t="s">
        <v>60</v>
      </c>
      <c r="I8252" s="187">
        <v>2.2808389999999998</v>
      </c>
      <c r="J8252" s="41" t="s">
        <v>941</v>
      </c>
      <c r="K8252" s="41" t="s">
        <v>335</v>
      </c>
      <c r="O8252" s="59">
        <v>0.1</v>
      </c>
    </row>
    <row r="8253" spans="1:15" x14ac:dyDescent="0.2">
      <c r="A8253" s="30">
        <v>1079</v>
      </c>
      <c r="B8253" s="249" t="str">
        <f>IF(AND(A8253&lt;&gt;"",ISNUMBER(A8253)),VLOOKUP(A8253,Studies!A:BR,2,FALSE),"")</f>
        <v>Neuvonen 1996</v>
      </c>
      <c r="C8253" s="250" t="str">
        <f>IF(AND(A8253&lt;&gt;"",ISNUMBER(A8253)),VLOOKUP(A8253,Studies!A:BR,3,FALSE),"")</f>
        <v>https://www.ncbi.nlm.nih.gov/pubmed/8841155</v>
      </c>
      <c r="D8253" s="250" t="str">
        <f>IF(AND(A8253&lt;&gt;"",ISNUMBER(A8253)),VLOOKUP(A8253,Studies!A:BR,4,FALSE),"")</f>
        <v>Treatment phase (triazolam + ITZ 3 hr before)</v>
      </c>
      <c r="E8253" s="250" t="str">
        <f>IF(AND(A8253&lt;&gt;"",ISNUMBER(A8253)),VLOOKUP(A8253,Studies!A:BR,5,FALSE),"")</f>
        <v>Triazolam</v>
      </c>
      <c r="F8253" s="251" t="str">
        <f>IF(AND(A8253&lt;&gt;"",ISNUMBER(A8253)),VLOOKUP(A8253,Studies!A:BR,6,FALSE),"")</f>
        <v>Plasma</v>
      </c>
      <c r="G8253" s="194">
        <v>20</v>
      </c>
      <c r="H8253" s="50" t="s">
        <v>60</v>
      </c>
      <c r="I8253" s="187">
        <v>1.251552</v>
      </c>
      <c r="J8253" s="41" t="s">
        <v>941</v>
      </c>
      <c r="K8253" s="41" t="s">
        <v>335</v>
      </c>
      <c r="O8253" s="59">
        <v>0.1</v>
      </c>
    </row>
    <row r="8254" spans="1:15" x14ac:dyDescent="0.2">
      <c r="A8254" s="30">
        <v>1080</v>
      </c>
      <c r="B8254" s="249" t="str">
        <f>IF(AND(A8254&lt;&gt;"",ISNUMBER(A8254)),VLOOKUP(A8254,Studies!A:BR,2,FALSE),"")</f>
        <v>Neuvonen 1996</v>
      </c>
      <c r="C8254" s="250" t="str">
        <f>IF(AND(A8254&lt;&gt;"",ISNUMBER(A8254)),VLOOKUP(A8254,Studies!A:BR,3,FALSE),"")</f>
        <v>https://www.ncbi.nlm.nih.gov/pubmed/8841155</v>
      </c>
      <c r="D8254" s="250" t="str">
        <f>IF(AND(A8254&lt;&gt;"",ISNUMBER(A8254)),VLOOKUP(A8254,Studies!A:BR,4,FALSE),"")</f>
        <v>Treatment phase (triazolam + ITZ 12 hr before)</v>
      </c>
      <c r="E8254" s="250" t="str">
        <f>IF(AND(A8254&lt;&gt;"",ISNUMBER(A8254)),VLOOKUP(A8254,Studies!A:BR,5,FALSE),"")</f>
        <v>Triazolam</v>
      </c>
      <c r="F8254" s="251" t="str">
        <f>IF(AND(A8254&lt;&gt;"",ISNUMBER(A8254)),VLOOKUP(A8254,Studies!A:BR,6,FALSE),"")</f>
        <v>Plasma</v>
      </c>
      <c r="G8254" s="194">
        <v>12</v>
      </c>
      <c r="H8254" s="50" t="s">
        <v>60</v>
      </c>
      <c r="I8254" s="187" t="s">
        <v>2611</v>
      </c>
      <c r="J8254" s="41" t="s">
        <v>941</v>
      </c>
      <c r="K8254" s="41" t="s">
        <v>335</v>
      </c>
      <c r="O8254" s="59">
        <v>0.1</v>
      </c>
    </row>
    <row r="8255" spans="1:15" x14ac:dyDescent="0.2">
      <c r="A8255" s="30">
        <v>1080</v>
      </c>
      <c r="B8255" s="249" t="str">
        <f>IF(AND(A8255&lt;&gt;"",ISNUMBER(A8255)),VLOOKUP(A8255,Studies!A:BR,2,FALSE),"")</f>
        <v>Neuvonen 1996</v>
      </c>
      <c r="C8255" s="250" t="str">
        <f>IF(AND(A8255&lt;&gt;"",ISNUMBER(A8255)),VLOOKUP(A8255,Studies!A:BR,3,FALSE),"")</f>
        <v>https://www.ncbi.nlm.nih.gov/pubmed/8841155</v>
      </c>
      <c r="D8255" s="250" t="str">
        <f>IF(AND(A8255&lt;&gt;"",ISNUMBER(A8255)),VLOOKUP(A8255,Studies!A:BR,4,FALSE),"")</f>
        <v>Treatment phase (triazolam + ITZ 12 hr before)</v>
      </c>
      <c r="E8255" s="250" t="str">
        <f>IF(AND(A8255&lt;&gt;"",ISNUMBER(A8255)),VLOOKUP(A8255,Studies!A:BR,5,FALSE),"")</f>
        <v>Triazolam</v>
      </c>
      <c r="F8255" s="251" t="str">
        <f>IF(AND(A8255&lt;&gt;"",ISNUMBER(A8255)),VLOOKUP(A8255,Studies!A:BR,6,FALSE),"")</f>
        <v>Plasma</v>
      </c>
      <c r="G8255" s="194">
        <v>12.5</v>
      </c>
      <c r="H8255" s="50" t="s">
        <v>60</v>
      </c>
      <c r="I8255" s="187">
        <v>0.62959279999999995</v>
      </c>
      <c r="J8255" s="41" t="s">
        <v>941</v>
      </c>
      <c r="K8255" s="41" t="s">
        <v>335</v>
      </c>
      <c r="O8255" s="59">
        <v>0.1</v>
      </c>
    </row>
    <row r="8256" spans="1:15" x14ac:dyDescent="0.2">
      <c r="A8256" s="30">
        <v>1080</v>
      </c>
      <c r="B8256" s="249" t="str">
        <f>IF(AND(A8256&lt;&gt;"",ISNUMBER(A8256)),VLOOKUP(A8256,Studies!A:BR,2,FALSE),"")</f>
        <v>Neuvonen 1996</v>
      </c>
      <c r="C8256" s="250" t="str">
        <f>IF(AND(A8256&lt;&gt;"",ISNUMBER(A8256)),VLOOKUP(A8256,Studies!A:BR,3,FALSE),"")</f>
        <v>https://www.ncbi.nlm.nih.gov/pubmed/8841155</v>
      </c>
      <c r="D8256" s="250" t="str">
        <f>IF(AND(A8256&lt;&gt;"",ISNUMBER(A8256)),VLOOKUP(A8256,Studies!A:BR,4,FALSE),"")</f>
        <v>Treatment phase (triazolam + ITZ 12 hr before)</v>
      </c>
      <c r="E8256" s="250" t="str">
        <f>IF(AND(A8256&lt;&gt;"",ISNUMBER(A8256)),VLOOKUP(A8256,Studies!A:BR,5,FALSE),"")</f>
        <v>Triazolam</v>
      </c>
      <c r="F8256" s="251" t="str">
        <f>IF(AND(A8256&lt;&gt;"",ISNUMBER(A8256)),VLOOKUP(A8256,Studies!A:BR,6,FALSE),"")</f>
        <v>Plasma</v>
      </c>
      <c r="G8256" s="194">
        <v>13</v>
      </c>
      <c r="H8256" s="50" t="s">
        <v>60</v>
      </c>
      <c r="I8256" s="187">
        <v>1.6115980000000001</v>
      </c>
      <c r="J8256" s="41" t="s">
        <v>941</v>
      </c>
      <c r="K8256" s="41" t="s">
        <v>335</v>
      </c>
      <c r="O8256" s="59">
        <v>0.1</v>
      </c>
    </row>
    <row r="8257" spans="1:15" x14ac:dyDescent="0.2">
      <c r="A8257" s="30">
        <v>1080</v>
      </c>
      <c r="B8257" s="249" t="str">
        <f>IF(AND(A8257&lt;&gt;"",ISNUMBER(A8257)),VLOOKUP(A8257,Studies!A:BR,2,FALSE),"")</f>
        <v>Neuvonen 1996</v>
      </c>
      <c r="C8257" s="250" t="str">
        <f>IF(AND(A8257&lt;&gt;"",ISNUMBER(A8257)),VLOOKUP(A8257,Studies!A:BR,3,FALSE),"")</f>
        <v>https://www.ncbi.nlm.nih.gov/pubmed/8841155</v>
      </c>
      <c r="D8257" s="250" t="str">
        <f>IF(AND(A8257&lt;&gt;"",ISNUMBER(A8257)),VLOOKUP(A8257,Studies!A:BR,4,FALSE),"")</f>
        <v>Treatment phase (triazolam + ITZ 12 hr before)</v>
      </c>
      <c r="E8257" s="250" t="str">
        <f>IF(AND(A8257&lt;&gt;"",ISNUMBER(A8257)),VLOOKUP(A8257,Studies!A:BR,5,FALSE),"")</f>
        <v>Triazolam</v>
      </c>
      <c r="F8257" s="251" t="str">
        <f>IF(AND(A8257&lt;&gt;"",ISNUMBER(A8257)),VLOOKUP(A8257,Studies!A:BR,6,FALSE),"")</f>
        <v>Plasma</v>
      </c>
      <c r="G8257" s="194">
        <v>13.5</v>
      </c>
      <c r="H8257" s="50" t="s">
        <v>60</v>
      </c>
      <c r="I8257" s="187">
        <v>2.3543989999999999</v>
      </c>
      <c r="J8257" s="41" t="s">
        <v>941</v>
      </c>
      <c r="K8257" s="41" t="s">
        <v>335</v>
      </c>
      <c r="O8257" s="59">
        <v>0.1</v>
      </c>
    </row>
    <row r="8258" spans="1:15" x14ac:dyDescent="0.2">
      <c r="A8258" s="30">
        <v>1080</v>
      </c>
      <c r="B8258" s="249" t="str">
        <f>IF(AND(A8258&lt;&gt;"",ISNUMBER(A8258)),VLOOKUP(A8258,Studies!A:BR,2,FALSE),"")</f>
        <v>Neuvonen 1996</v>
      </c>
      <c r="C8258" s="250" t="str">
        <f>IF(AND(A8258&lt;&gt;"",ISNUMBER(A8258)),VLOOKUP(A8258,Studies!A:BR,3,FALSE),"")</f>
        <v>https://www.ncbi.nlm.nih.gov/pubmed/8841155</v>
      </c>
      <c r="D8258" s="250" t="str">
        <f>IF(AND(A8258&lt;&gt;"",ISNUMBER(A8258)),VLOOKUP(A8258,Studies!A:BR,4,FALSE),"")</f>
        <v>Treatment phase (triazolam + ITZ 12 hr before)</v>
      </c>
      <c r="E8258" s="250" t="str">
        <f>IF(AND(A8258&lt;&gt;"",ISNUMBER(A8258)),VLOOKUP(A8258,Studies!A:BR,5,FALSE),"")</f>
        <v>Triazolam</v>
      </c>
      <c r="F8258" s="251" t="str">
        <f>IF(AND(A8258&lt;&gt;"",ISNUMBER(A8258)),VLOOKUP(A8258,Studies!A:BR,6,FALSE),"")</f>
        <v>Plasma</v>
      </c>
      <c r="G8258" s="194">
        <v>14</v>
      </c>
      <c r="H8258" s="50" t="s">
        <v>60</v>
      </c>
      <c r="I8258" s="187">
        <v>2.7702909999999998</v>
      </c>
      <c r="J8258" s="41" t="s">
        <v>941</v>
      </c>
      <c r="K8258" s="41" t="s">
        <v>335</v>
      </c>
      <c r="O8258" s="59">
        <v>0.1</v>
      </c>
    </row>
    <row r="8259" spans="1:15" x14ac:dyDescent="0.2">
      <c r="A8259" s="30">
        <v>1080</v>
      </c>
      <c r="B8259" s="249" t="str">
        <f>IF(AND(A8259&lt;&gt;"",ISNUMBER(A8259)),VLOOKUP(A8259,Studies!A:BR,2,FALSE),"")</f>
        <v>Neuvonen 1996</v>
      </c>
      <c r="C8259" s="250" t="str">
        <f>IF(AND(A8259&lt;&gt;"",ISNUMBER(A8259)),VLOOKUP(A8259,Studies!A:BR,3,FALSE),"")</f>
        <v>https://www.ncbi.nlm.nih.gov/pubmed/8841155</v>
      </c>
      <c r="D8259" s="250" t="str">
        <f>IF(AND(A8259&lt;&gt;"",ISNUMBER(A8259)),VLOOKUP(A8259,Studies!A:BR,4,FALSE),"")</f>
        <v>Treatment phase (triazolam + ITZ 12 hr before)</v>
      </c>
      <c r="E8259" s="250" t="str">
        <f>IF(AND(A8259&lt;&gt;"",ISNUMBER(A8259)),VLOOKUP(A8259,Studies!A:BR,5,FALSE),"")</f>
        <v>Triazolam</v>
      </c>
      <c r="F8259" s="251" t="str">
        <f>IF(AND(A8259&lt;&gt;"",ISNUMBER(A8259)),VLOOKUP(A8259,Studies!A:BR,6,FALSE),"")</f>
        <v>Plasma</v>
      </c>
      <c r="G8259" s="194">
        <v>15</v>
      </c>
      <c r="H8259" s="50" t="s">
        <v>60</v>
      </c>
      <c r="I8259" s="187">
        <v>2.8283770000000001</v>
      </c>
      <c r="J8259" s="41" t="s">
        <v>941</v>
      </c>
      <c r="K8259" s="41" t="s">
        <v>335</v>
      </c>
      <c r="O8259" s="59">
        <v>0.1</v>
      </c>
    </row>
    <row r="8260" spans="1:15" x14ac:dyDescent="0.2">
      <c r="A8260" s="30">
        <v>1080</v>
      </c>
      <c r="B8260" s="249" t="str">
        <f>IF(AND(A8260&lt;&gt;"",ISNUMBER(A8260)),VLOOKUP(A8260,Studies!A:BR,2,FALSE),"")</f>
        <v>Neuvonen 1996</v>
      </c>
      <c r="C8260" s="250" t="str">
        <f>IF(AND(A8260&lt;&gt;"",ISNUMBER(A8260)),VLOOKUP(A8260,Studies!A:BR,3,FALSE),"")</f>
        <v>https://www.ncbi.nlm.nih.gov/pubmed/8841155</v>
      </c>
      <c r="D8260" s="250" t="str">
        <f>IF(AND(A8260&lt;&gt;"",ISNUMBER(A8260)),VLOOKUP(A8260,Studies!A:BR,4,FALSE),"")</f>
        <v>Treatment phase (triazolam + ITZ 12 hr before)</v>
      </c>
      <c r="E8260" s="250" t="str">
        <f>IF(AND(A8260&lt;&gt;"",ISNUMBER(A8260)),VLOOKUP(A8260,Studies!A:BR,5,FALSE),"")</f>
        <v>Triazolam</v>
      </c>
      <c r="F8260" s="251" t="str">
        <f>IF(AND(A8260&lt;&gt;"",ISNUMBER(A8260)),VLOOKUP(A8260,Studies!A:BR,6,FALSE),"")</f>
        <v>Plasma</v>
      </c>
      <c r="G8260" s="194">
        <v>16</v>
      </c>
      <c r="H8260" s="50" t="s">
        <v>60</v>
      </c>
      <c r="I8260" s="187">
        <v>2.7732549999999998</v>
      </c>
      <c r="J8260" s="41" t="s">
        <v>941</v>
      </c>
      <c r="K8260" s="41" t="s">
        <v>335</v>
      </c>
      <c r="O8260" s="59">
        <v>0.1</v>
      </c>
    </row>
    <row r="8261" spans="1:15" x14ac:dyDescent="0.2">
      <c r="A8261" s="30">
        <v>1080</v>
      </c>
      <c r="B8261" s="249" t="str">
        <f>IF(AND(A8261&lt;&gt;"",ISNUMBER(A8261)),VLOOKUP(A8261,Studies!A:BR,2,FALSE),"")</f>
        <v>Neuvonen 1996</v>
      </c>
      <c r="C8261" s="250" t="str">
        <f>IF(AND(A8261&lt;&gt;"",ISNUMBER(A8261)),VLOOKUP(A8261,Studies!A:BR,3,FALSE),"")</f>
        <v>https://www.ncbi.nlm.nih.gov/pubmed/8841155</v>
      </c>
      <c r="D8261" s="250" t="str">
        <f>IF(AND(A8261&lt;&gt;"",ISNUMBER(A8261)),VLOOKUP(A8261,Studies!A:BR,4,FALSE),"")</f>
        <v>Treatment phase (triazolam + ITZ 12 hr before)</v>
      </c>
      <c r="E8261" s="250" t="str">
        <f>IF(AND(A8261&lt;&gt;"",ISNUMBER(A8261)),VLOOKUP(A8261,Studies!A:BR,5,FALSE),"")</f>
        <v>Triazolam</v>
      </c>
      <c r="F8261" s="251" t="str">
        <f>IF(AND(A8261&lt;&gt;"",ISNUMBER(A8261)),VLOOKUP(A8261,Studies!A:BR,6,FALSE),"")</f>
        <v>Plasma</v>
      </c>
      <c r="G8261" s="194">
        <v>17</v>
      </c>
      <c r="H8261" s="50" t="s">
        <v>60</v>
      </c>
      <c r="I8261" s="187">
        <v>2.5735109999999999</v>
      </c>
      <c r="J8261" s="41" t="s">
        <v>941</v>
      </c>
      <c r="K8261" s="41" t="s">
        <v>335</v>
      </c>
      <c r="O8261" s="59">
        <v>0.1</v>
      </c>
    </row>
    <row r="8262" spans="1:15" x14ac:dyDescent="0.2">
      <c r="A8262" s="30">
        <v>1080</v>
      </c>
      <c r="B8262" s="249" t="str">
        <f>IF(AND(A8262&lt;&gt;"",ISNUMBER(A8262)),VLOOKUP(A8262,Studies!A:BR,2,FALSE),"")</f>
        <v>Neuvonen 1996</v>
      </c>
      <c r="C8262" s="250" t="str">
        <f>IF(AND(A8262&lt;&gt;"",ISNUMBER(A8262)),VLOOKUP(A8262,Studies!A:BR,3,FALSE),"")</f>
        <v>https://www.ncbi.nlm.nih.gov/pubmed/8841155</v>
      </c>
      <c r="D8262" s="250" t="str">
        <f>IF(AND(A8262&lt;&gt;"",ISNUMBER(A8262)),VLOOKUP(A8262,Studies!A:BR,4,FALSE),"")</f>
        <v>Treatment phase (triazolam + ITZ 12 hr before)</v>
      </c>
      <c r="E8262" s="250" t="str">
        <f>IF(AND(A8262&lt;&gt;"",ISNUMBER(A8262)),VLOOKUP(A8262,Studies!A:BR,5,FALSE),"")</f>
        <v>Triazolam</v>
      </c>
      <c r="F8262" s="251" t="str">
        <f>IF(AND(A8262&lt;&gt;"",ISNUMBER(A8262)),VLOOKUP(A8262,Studies!A:BR,6,FALSE),"")</f>
        <v>Plasma</v>
      </c>
      <c r="G8262" s="194">
        <v>18</v>
      </c>
      <c r="H8262" s="50" t="s">
        <v>60</v>
      </c>
      <c r="I8262" s="187">
        <v>2.3611200000000001</v>
      </c>
      <c r="J8262" s="41" t="s">
        <v>941</v>
      </c>
      <c r="K8262" s="41" t="s">
        <v>335</v>
      </c>
      <c r="O8262" s="59">
        <v>0.1</v>
      </c>
    </row>
    <row r="8263" spans="1:15" x14ac:dyDescent="0.2">
      <c r="A8263" s="30">
        <v>1080</v>
      </c>
      <c r="B8263" s="249" t="str">
        <f>IF(AND(A8263&lt;&gt;"",ISNUMBER(A8263)),VLOOKUP(A8263,Studies!A:BR,2,FALSE),"")</f>
        <v>Neuvonen 1996</v>
      </c>
      <c r="C8263" s="250" t="str">
        <f>IF(AND(A8263&lt;&gt;"",ISNUMBER(A8263)),VLOOKUP(A8263,Studies!A:BR,3,FALSE),"")</f>
        <v>https://www.ncbi.nlm.nih.gov/pubmed/8841155</v>
      </c>
      <c r="D8263" s="250" t="str">
        <f>IF(AND(A8263&lt;&gt;"",ISNUMBER(A8263)),VLOOKUP(A8263,Studies!A:BR,4,FALSE),"")</f>
        <v>Treatment phase (triazolam + ITZ 12 hr before)</v>
      </c>
      <c r="E8263" s="250" t="str">
        <f>IF(AND(A8263&lt;&gt;"",ISNUMBER(A8263)),VLOOKUP(A8263,Studies!A:BR,5,FALSE),"")</f>
        <v>Triazolam</v>
      </c>
      <c r="F8263" s="251" t="str">
        <f>IF(AND(A8263&lt;&gt;"",ISNUMBER(A8263)),VLOOKUP(A8263,Studies!A:BR,6,FALSE),"")</f>
        <v>Plasma</v>
      </c>
      <c r="G8263" s="194">
        <v>19</v>
      </c>
      <c r="H8263" s="50" t="s">
        <v>60</v>
      </c>
      <c r="I8263" s="187">
        <v>2.3499880000000002</v>
      </c>
      <c r="J8263" s="41" t="s">
        <v>941</v>
      </c>
      <c r="K8263" s="41" t="s">
        <v>335</v>
      </c>
      <c r="O8263" s="59">
        <v>0.1</v>
      </c>
    </row>
    <row r="8264" spans="1:15" x14ac:dyDescent="0.2">
      <c r="A8264" s="30">
        <v>1080</v>
      </c>
      <c r="B8264" s="249" t="str">
        <f>IF(AND(A8264&lt;&gt;"",ISNUMBER(A8264)),VLOOKUP(A8264,Studies!A:BR,2,FALSE),"")</f>
        <v>Neuvonen 1996</v>
      </c>
      <c r="C8264" s="250" t="str">
        <f>IF(AND(A8264&lt;&gt;"",ISNUMBER(A8264)),VLOOKUP(A8264,Studies!A:BR,3,FALSE),"")</f>
        <v>https://www.ncbi.nlm.nih.gov/pubmed/8841155</v>
      </c>
      <c r="D8264" s="250" t="str">
        <f>IF(AND(A8264&lt;&gt;"",ISNUMBER(A8264)),VLOOKUP(A8264,Studies!A:BR,4,FALSE),"")</f>
        <v>Treatment phase (triazolam + ITZ 12 hr before)</v>
      </c>
      <c r="E8264" s="250" t="str">
        <f>IF(AND(A8264&lt;&gt;"",ISNUMBER(A8264)),VLOOKUP(A8264,Studies!A:BR,5,FALSE),"")</f>
        <v>Triazolam</v>
      </c>
      <c r="F8264" s="251" t="str">
        <f>IF(AND(A8264&lt;&gt;"",ISNUMBER(A8264)),VLOOKUP(A8264,Studies!A:BR,6,FALSE),"")</f>
        <v>Plasma</v>
      </c>
      <c r="G8264" s="194">
        <v>29</v>
      </c>
      <c r="H8264" s="50" t="s">
        <v>60</v>
      </c>
      <c r="I8264" s="187">
        <v>1.163535</v>
      </c>
      <c r="J8264" s="41" t="s">
        <v>941</v>
      </c>
      <c r="K8264" s="41" t="s">
        <v>335</v>
      </c>
      <c r="O8264" s="199">
        <v>0.1</v>
      </c>
    </row>
    <row r="8265" spans="1:15" x14ac:dyDescent="0.2">
      <c r="A8265" s="30">
        <v>1081</v>
      </c>
      <c r="B8265" s="249" t="str">
        <f>IF(AND(A8265&lt;&gt;"",ISNUMBER(A8265)),VLOOKUP(A8265,Studies!A:BR,2,FALSE),"")</f>
        <v>Neuvonen 1996</v>
      </c>
      <c r="C8265" s="250" t="str">
        <f>IF(AND(A8265&lt;&gt;"",ISNUMBER(A8265)),VLOOKUP(A8265,Studies!A:BR,3,FALSE),"")</f>
        <v>https://www.ncbi.nlm.nih.gov/pubmed/8841155</v>
      </c>
      <c r="D8265" s="250" t="str">
        <f>IF(AND(A8265&lt;&gt;"",ISNUMBER(A8265)),VLOOKUP(A8265,Studies!A:BR,4,FALSE),"")</f>
        <v>Treatment phase (triazolam + ITZ 24 hr before)</v>
      </c>
      <c r="E8265" s="250" t="str">
        <f>IF(AND(A8265&lt;&gt;"",ISNUMBER(A8265)),VLOOKUP(A8265,Studies!A:BR,5,FALSE),"")</f>
        <v>Triazolam</v>
      </c>
      <c r="F8265" s="251" t="str">
        <f>IF(AND(A8265&lt;&gt;"",ISNUMBER(A8265)),VLOOKUP(A8265,Studies!A:BR,6,FALSE),"")</f>
        <v>Plasma</v>
      </c>
      <c r="G8265" s="194">
        <v>24</v>
      </c>
      <c r="H8265" s="50" t="s">
        <v>60</v>
      </c>
      <c r="I8265" s="187" t="s">
        <v>2611</v>
      </c>
      <c r="J8265" s="41" t="s">
        <v>941</v>
      </c>
      <c r="K8265" s="41" t="s">
        <v>335</v>
      </c>
      <c r="O8265" s="199">
        <v>0.1</v>
      </c>
    </row>
    <row r="8266" spans="1:15" x14ac:dyDescent="0.2">
      <c r="A8266" s="30">
        <v>1081</v>
      </c>
      <c r="B8266" s="249" t="str">
        <f>IF(AND(A8266&lt;&gt;"",ISNUMBER(A8266)),VLOOKUP(A8266,Studies!A:BR,2,FALSE),"")</f>
        <v>Neuvonen 1996</v>
      </c>
      <c r="C8266" s="250" t="str">
        <f>IF(AND(A8266&lt;&gt;"",ISNUMBER(A8266)),VLOOKUP(A8266,Studies!A:BR,3,FALSE),"")</f>
        <v>https://www.ncbi.nlm.nih.gov/pubmed/8841155</v>
      </c>
      <c r="D8266" s="250" t="str">
        <f>IF(AND(A8266&lt;&gt;"",ISNUMBER(A8266)),VLOOKUP(A8266,Studies!A:BR,4,FALSE),"")</f>
        <v>Treatment phase (triazolam + ITZ 24 hr before)</v>
      </c>
      <c r="E8266" s="250" t="str">
        <f>IF(AND(A8266&lt;&gt;"",ISNUMBER(A8266)),VLOOKUP(A8266,Studies!A:BR,5,FALSE),"")</f>
        <v>Triazolam</v>
      </c>
      <c r="F8266" s="251" t="str">
        <f>IF(AND(A8266&lt;&gt;"",ISNUMBER(A8266)),VLOOKUP(A8266,Studies!A:BR,6,FALSE),"")</f>
        <v>Plasma</v>
      </c>
      <c r="G8266" s="194">
        <v>24.5</v>
      </c>
      <c r="H8266" s="50" t="s">
        <v>60</v>
      </c>
      <c r="I8266" s="187">
        <v>0.84979009999999999</v>
      </c>
      <c r="J8266" s="41" t="s">
        <v>941</v>
      </c>
      <c r="K8266" s="41" t="s">
        <v>335</v>
      </c>
      <c r="O8266" s="199">
        <v>0.1</v>
      </c>
    </row>
    <row r="8267" spans="1:15" x14ac:dyDescent="0.2">
      <c r="A8267" s="30">
        <v>1081</v>
      </c>
      <c r="B8267" s="249" t="str">
        <f>IF(AND(A8267&lt;&gt;"",ISNUMBER(A8267)),VLOOKUP(A8267,Studies!A:BR,2,FALSE),"")</f>
        <v>Neuvonen 1996</v>
      </c>
      <c r="C8267" s="250" t="str">
        <f>IF(AND(A8267&lt;&gt;"",ISNUMBER(A8267)),VLOOKUP(A8267,Studies!A:BR,3,FALSE),"")</f>
        <v>https://www.ncbi.nlm.nih.gov/pubmed/8841155</v>
      </c>
      <c r="D8267" s="250" t="str">
        <f>IF(AND(A8267&lt;&gt;"",ISNUMBER(A8267)),VLOOKUP(A8267,Studies!A:BR,4,FALSE),"")</f>
        <v>Treatment phase (triazolam + ITZ 24 hr before)</v>
      </c>
      <c r="E8267" s="250" t="str">
        <f>IF(AND(A8267&lt;&gt;"",ISNUMBER(A8267)),VLOOKUP(A8267,Studies!A:BR,5,FALSE),"")</f>
        <v>Triazolam</v>
      </c>
      <c r="F8267" s="251" t="str">
        <f>IF(AND(A8267&lt;&gt;"",ISNUMBER(A8267)),VLOOKUP(A8267,Studies!A:BR,6,FALSE),"")</f>
        <v>Plasma</v>
      </c>
      <c r="G8267" s="194">
        <v>25</v>
      </c>
      <c r="H8267" s="50" t="s">
        <v>60</v>
      </c>
      <c r="I8267" s="187">
        <v>1.9951810000000001</v>
      </c>
      <c r="J8267" s="41" t="s">
        <v>941</v>
      </c>
      <c r="K8267" s="41" t="s">
        <v>335</v>
      </c>
      <c r="O8267" s="199">
        <v>0.1</v>
      </c>
    </row>
    <row r="8268" spans="1:15" x14ac:dyDescent="0.2">
      <c r="A8268" s="30">
        <v>1081</v>
      </c>
      <c r="B8268" s="249" t="str">
        <f>IF(AND(A8268&lt;&gt;"",ISNUMBER(A8268)),VLOOKUP(A8268,Studies!A:BR,2,FALSE),"")</f>
        <v>Neuvonen 1996</v>
      </c>
      <c r="C8268" s="250" t="str">
        <f>IF(AND(A8268&lt;&gt;"",ISNUMBER(A8268)),VLOOKUP(A8268,Studies!A:BR,3,FALSE),"")</f>
        <v>https://www.ncbi.nlm.nih.gov/pubmed/8841155</v>
      </c>
      <c r="D8268" s="250" t="str">
        <f>IF(AND(A8268&lt;&gt;"",ISNUMBER(A8268)),VLOOKUP(A8268,Studies!A:BR,4,FALSE),"")</f>
        <v>Treatment phase (triazolam + ITZ 24 hr before)</v>
      </c>
      <c r="E8268" s="250" t="str">
        <f>IF(AND(A8268&lt;&gt;"",ISNUMBER(A8268)),VLOOKUP(A8268,Studies!A:BR,5,FALSE),"")</f>
        <v>Triazolam</v>
      </c>
      <c r="F8268" s="251" t="str">
        <f>IF(AND(A8268&lt;&gt;"",ISNUMBER(A8268)),VLOOKUP(A8268,Studies!A:BR,6,FALSE),"")</f>
        <v>Plasma</v>
      </c>
      <c r="G8268" s="194">
        <v>25.5</v>
      </c>
      <c r="H8268" s="50" t="s">
        <v>60</v>
      </c>
      <c r="I8268" s="187">
        <v>2.4613879999999999</v>
      </c>
      <c r="J8268" s="41" t="s">
        <v>941</v>
      </c>
      <c r="K8268" s="41" t="s">
        <v>335</v>
      </c>
      <c r="O8268" s="199">
        <v>0.1</v>
      </c>
    </row>
    <row r="8269" spans="1:15" x14ac:dyDescent="0.2">
      <c r="A8269" s="30">
        <v>1081</v>
      </c>
      <c r="B8269" s="249" t="str">
        <f>IF(AND(A8269&lt;&gt;"",ISNUMBER(A8269)),VLOOKUP(A8269,Studies!A:BR,2,FALSE),"")</f>
        <v>Neuvonen 1996</v>
      </c>
      <c r="C8269" s="250" t="str">
        <f>IF(AND(A8269&lt;&gt;"",ISNUMBER(A8269)),VLOOKUP(A8269,Studies!A:BR,3,FALSE),"")</f>
        <v>https://www.ncbi.nlm.nih.gov/pubmed/8841155</v>
      </c>
      <c r="D8269" s="250" t="str">
        <f>IF(AND(A8269&lt;&gt;"",ISNUMBER(A8269)),VLOOKUP(A8269,Studies!A:BR,4,FALSE),"")</f>
        <v>Treatment phase (triazolam + ITZ 24 hr before)</v>
      </c>
      <c r="E8269" s="250" t="str">
        <f>IF(AND(A8269&lt;&gt;"",ISNUMBER(A8269)),VLOOKUP(A8269,Studies!A:BR,5,FALSE),"")</f>
        <v>Triazolam</v>
      </c>
      <c r="F8269" s="251" t="str">
        <f>IF(AND(A8269&lt;&gt;"",ISNUMBER(A8269)),VLOOKUP(A8269,Studies!A:BR,6,FALSE),"")</f>
        <v>Plasma</v>
      </c>
      <c r="G8269" s="194">
        <v>26</v>
      </c>
      <c r="H8269" s="50" t="s">
        <v>60</v>
      </c>
      <c r="I8269" s="187">
        <v>2.5690309999999998</v>
      </c>
      <c r="J8269" s="41" t="s">
        <v>941</v>
      </c>
      <c r="K8269" s="41" t="s">
        <v>335</v>
      </c>
      <c r="O8269" s="199">
        <v>0.1</v>
      </c>
    </row>
    <row r="8270" spans="1:15" x14ac:dyDescent="0.2">
      <c r="A8270" s="30">
        <v>1081</v>
      </c>
      <c r="B8270" s="249" t="str">
        <f>IF(AND(A8270&lt;&gt;"",ISNUMBER(A8270)),VLOOKUP(A8270,Studies!A:BR,2,FALSE),"")</f>
        <v>Neuvonen 1996</v>
      </c>
      <c r="C8270" s="250" t="str">
        <f>IF(AND(A8270&lt;&gt;"",ISNUMBER(A8270)),VLOOKUP(A8270,Studies!A:BR,3,FALSE),"")</f>
        <v>https://www.ncbi.nlm.nih.gov/pubmed/8841155</v>
      </c>
      <c r="D8270" s="250" t="str">
        <f>IF(AND(A8270&lt;&gt;"",ISNUMBER(A8270)),VLOOKUP(A8270,Studies!A:BR,4,FALSE),"")</f>
        <v>Treatment phase (triazolam + ITZ 24 hr before)</v>
      </c>
      <c r="E8270" s="250" t="str">
        <f>IF(AND(A8270&lt;&gt;"",ISNUMBER(A8270)),VLOOKUP(A8270,Studies!A:BR,5,FALSE),"")</f>
        <v>Triazolam</v>
      </c>
      <c r="F8270" s="251" t="str">
        <f>IF(AND(A8270&lt;&gt;"",ISNUMBER(A8270)),VLOOKUP(A8270,Studies!A:BR,6,FALSE),"")</f>
        <v>Plasma</v>
      </c>
      <c r="G8270" s="194">
        <v>27</v>
      </c>
      <c r="H8270" s="50" t="s">
        <v>60</v>
      </c>
      <c r="I8270" s="187">
        <v>2.5139079999999998</v>
      </c>
      <c r="J8270" s="41" t="s">
        <v>941</v>
      </c>
      <c r="K8270" s="41" t="s">
        <v>335</v>
      </c>
      <c r="O8270" s="199">
        <v>0.1</v>
      </c>
    </row>
    <row r="8271" spans="1:15" x14ac:dyDescent="0.2">
      <c r="A8271" s="30">
        <v>1081</v>
      </c>
      <c r="B8271" s="249" t="str">
        <f>IF(AND(A8271&lt;&gt;"",ISNUMBER(A8271)),VLOOKUP(A8271,Studies!A:BR,2,FALSE),"")</f>
        <v>Neuvonen 1996</v>
      </c>
      <c r="C8271" s="250" t="str">
        <f>IF(AND(A8271&lt;&gt;"",ISNUMBER(A8271)),VLOOKUP(A8271,Studies!A:BR,3,FALSE),"")</f>
        <v>https://www.ncbi.nlm.nih.gov/pubmed/8841155</v>
      </c>
      <c r="D8271" s="250" t="str">
        <f>IF(AND(A8271&lt;&gt;"",ISNUMBER(A8271)),VLOOKUP(A8271,Studies!A:BR,4,FALSE),"")</f>
        <v>Treatment phase (triazolam + ITZ 24 hr before)</v>
      </c>
      <c r="E8271" s="250" t="str">
        <f>IF(AND(A8271&lt;&gt;"",ISNUMBER(A8271)),VLOOKUP(A8271,Studies!A:BR,5,FALSE),"")</f>
        <v>Triazolam</v>
      </c>
      <c r="F8271" s="251" t="str">
        <f>IF(AND(A8271&lt;&gt;"",ISNUMBER(A8271)),VLOOKUP(A8271,Studies!A:BR,6,FALSE),"")</f>
        <v>Plasma</v>
      </c>
      <c r="G8271" s="194">
        <v>28</v>
      </c>
      <c r="H8271" s="50" t="s">
        <v>60</v>
      </c>
      <c r="I8271" s="187">
        <v>2.4902329999999999</v>
      </c>
      <c r="J8271" s="41" t="s">
        <v>941</v>
      </c>
      <c r="K8271" s="41" t="s">
        <v>335</v>
      </c>
      <c r="O8271" s="199">
        <v>0.1</v>
      </c>
    </row>
    <row r="8272" spans="1:15" x14ac:dyDescent="0.2">
      <c r="A8272" s="30">
        <v>1081</v>
      </c>
      <c r="B8272" s="249" t="str">
        <f>IF(AND(A8272&lt;&gt;"",ISNUMBER(A8272)),VLOOKUP(A8272,Studies!A:BR,2,FALSE),"")</f>
        <v>Neuvonen 1996</v>
      </c>
      <c r="C8272" s="250" t="str">
        <f>IF(AND(A8272&lt;&gt;"",ISNUMBER(A8272)),VLOOKUP(A8272,Studies!A:BR,3,FALSE),"")</f>
        <v>https://www.ncbi.nlm.nih.gov/pubmed/8841155</v>
      </c>
      <c r="D8272" s="250" t="str">
        <f>IF(AND(A8272&lt;&gt;"",ISNUMBER(A8272)),VLOOKUP(A8272,Studies!A:BR,4,FALSE),"")</f>
        <v>Treatment phase (triazolam + ITZ 24 hr before)</v>
      </c>
      <c r="E8272" s="250" t="str">
        <f>IF(AND(A8272&lt;&gt;"",ISNUMBER(A8272)),VLOOKUP(A8272,Studies!A:BR,5,FALSE),"")</f>
        <v>Triazolam</v>
      </c>
      <c r="F8272" s="251" t="str">
        <f>IF(AND(A8272&lt;&gt;"",ISNUMBER(A8272)),VLOOKUP(A8272,Studies!A:BR,6,FALSE),"")</f>
        <v>Plasma</v>
      </c>
      <c r="G8272" s="194">
        <v>29</v>
      </c>
      <c r="H8272" s="50" t="s">
        <v>60</v>
      </c>
      <c r="I8272" s="187">
        <v>2.3659620000000001</v>
      </c>
      <c r="J8272" s="41" t="s">
        <v>941</v>
      </c>
      <c r="K8272" s="41" t="s">
        <v>335</v>
      </c>
      <c r="O8272" s="199">
        <v>0.1</v>
      </c>
    </row>
    <row r="8273" spans="1:15" x14ac:dyDescent="0.2">
      <c r="A8273" s="30">
        <v>1081</v>
      </c>
      <c r="B8273" s="249" t="str">
        <f>IF(AND(A8273&lt;&gt;"",ISNUMBER(A8273)),VLOOKUP(A8273,Studies!A:BR,2,FALSE),"")</f>
        <v>Neuvonen 1996</v>
      </c>
      <c r="C8273" s="250" t="str">
        <f>IF(AND(A8273&lt;&gt;"",ISNUMBER(A8273)),VLOOKUP(A8273,Studies!A:BR,3,FALSE),"")</f>
        <v>https://www.ncbi.nlm.nih.gov/pubmed/8841155</v>
      </c>
      <c r="D8273" s="250" t="str">
        <f>IF(AND(A8273&lt;&gt;"",ISNUMBER(A8273)),VLOOKUP(A8273,Studies!A:BR,4,FALSE),"")</f>
        <v>Treatment phase (triazolam + ITZ 24 hr before)</v>
      </c>
      <c r="E8273" s="250" t="str">
        <f>IF(AND(A8273&lt;&gt;"",ISNUMBER(A8273)),VLOOKUP(A8273,Studies!A:BR,5,FALSE),"")</f>
        <v>Triazolam</v>
      </c>
      <c r="F8273" s="251" t="str">
        <f>IF(AND(A8273&lt;&gt;"",ISNUMBER(A8273)),VLOOKUP(A8273,Studies!A:BR,6,FALSE),"")</f>
        <v>Plasma</v>
      </c>
      <c r="G8273" s="194">
        <v>30</v>
      </c>
      <c r="H8273" s="50" t="s">
        <v>60</v>
      </c>
      <c r="I8273" s="187">
        <v>2.0655190000000001</v>
      </c>
      <c r="J8273" s="41" t="s">
        <v>941</v>
      </c>
      <c r="K8273" s="41" t="s">
        <v>335</v>
      </c>
      <c r="O8273" s="199">
        <v>0.1</v>
      </c>
    </row>
    <row r="8274" spans="1:15" x14ac:dyDescent="0.2">
      <c r="A8274" s="30">
        <v>1081</v>
      </c>
      <c r="B8274" s="249" t="str">
        <f>IF(AND(A8274&lt;&gt;"",ISNUMBER(A8274)),VLOOKUP(A8274,Studies!A:BR,2,FALSE),"")</f>
        <v>Neuvonen 1996</v>
      </c>
      <c r="C8274" s="250" t="str">
        <f>IF(AND(A8274&lt;&gt;"",ISNUMBER(A8274)),VLOOKUP(A8274,Studies!A:BR,3,FALSE),"")</f>
        <v>https://www.ncbi.nlm.nih.gov/pubmed/8841155</v>
      </c>
      <c r="D8274" s="250" t="str">
        <f>IF(AND(A8274&lt;&gt;"",ISNUMBER(A8274)),VLOOKUP(A8274,Studies!A:BR,4,FALSE),"")</f>
        <v>Treatment phase (triazolam + ITZ 24 hr before)</v>
      </c>
      <c r="E8274" s="250" t="str">
        <f>IF(AND(A8274&lt;&gt;"",ISNUMBER(A8274)),VLOOKUP(A8274,Studies!A:BR,5,FALSE),"")</f>
        <v>Triazolam</v>
      </c>
      <c r="F8274" s="251" t="str">
        <f>IF(AND(A8274&lt;&gt;"",ISNUMBER(A8274)),VLOOKUP(A8274,Studies!A:BR,6,FALSE),"")</f>
        <v>Plasma</v>
      </c>
      <c r="G8274" s="194">
        <v>31</v>
      </c>
      <c r="H8274" s="50" t="s">
        <v>60</v>
      </c>
      <c r="I8274" s="187">
        <v>2.0355189999999999</v>
      </c>
      <c r="J8274" s="41" t="s">
        <v>941</v>
      </c>
      <c r="K8274" s="41" t="s">
        <v>335</v>
      </c>
      <c r="O8274" s="199">
        <v>0.1</v>
      </c>
    </row>
    <row r="8275" spans="1:15" x14ac:dyDescent="0.2">
      <c r="A8275" s="30">
        <v>1081</v>
      </c>
      <c r="B8275" s="249" t="str">
        <f>IF(AND(A8275&lt;&gt;"",ISNUMBER(A8275)),VLOOKUP(A8275,Studies!A:BR,2,FALSE),"")</f>
        <v>Neuvonen 1996</v>
      </c>
      <c r="C8275" s="250" t="str">
        <f>IF(AND(A8275&lt;&gt;"",ISNUMBER(A8275)),VLOOKUP(A8275,Studies!A:BR,3,FALSE),"")</f>
        <v>https://www.ncbi.nlm.nih.gov/pubmed/8841155</v>
      </c>
      <c r="D8275" s="250" t="str">
        <f>IF(AND(A8275&lt;&gt;"",ISNUMBER(A8275)),VLOOKUP(A8275,Studies!A:BR,4,FALSE),"")</f>
        <v>Treatment phase (triazolam + ITZ 24 hr before)</v>
      </c>
      <c r="E8275" s="250" t="str">
        <f>IF(AND(A8275&lt;&gt;"",ISNUMBER(A8275)),VLOOKUP(A8275,Studies!A:BR,5,FALSE),"")</f>
        <v>Triazolam</v>
      </c>
      <c r="F8275" s="251" t="str">
        <f>IF(AND(A8275&lt;&gt;"",ISNUMBER(A8275)),VLOOKUP(A8275,Studies!A:BR,6,FALSE),"")</f>
        <v>Plasma</v>
      </c>
      <c r="G8275" s="194">
        <v>41</v>
      </c>
      <c r="H8275" s="50" t="s">
        <v>60</v>
      </c>
      <c r="I8275" s="187">
        <v>0.92453890000000005</v>
      </c>
      <c r="J8275" s="41" t="s">
        <v>941</v>
      </c>
      <c r="K8275" s="41" t="s">
        <v>335</v>
      </c>
      <c r="O8275" s="199">
        <v>0.1</v>
      </c>
    </row>
    <row r="8276" spans="1:15" x14ac:dyDescent="0.2">
      <c r="A8276" s="30">
        <v>1082</v>
      </c>
      <c r="B8276" s="249" t="str">
        <f>IF(AND(A8276&lt;&gt;"",ISNUMBER(A8276)),VLOOKUP(A8276,Studies!A:BR,2,FALSE),"")</f>
        <v>Neuvonen 1996</v>
      </c>
      <c r="C8276" s="250" t="str">
        <f>IF(AND(A8276&lt;&gt;"",ISNUMBER(A8276)),VLOOKUP(A8276,Studies!A:BR,3,FALSE),"")</f>
        <v>https://www.ncbi.nlm.nih.gov/pubmed/8841155</v>
      </c>
      <c r="D8276" s="250" t="str">
        <f>IF(AND(A8276&lt;&gt;"",ISNUMBER(A8276)),VLOOKUP(A8276,Studies!A:BR,4,FALSE),"")</f>
        <v>ITZ simultaneously with triazolam</v>
      </c>
      <c r="E8276" s="250" t="str">
        <f>IF(AND(A8276&lt;&gt;"",ISNUMBER(A8276)),VLOOKUP(A8276,Studies!A:BR,5,FALSE),"")</f>
        <v>Itraconazole</v>
      </c>
      <c r="F8276" s="251" t="str">
        <f>IF(AND(A8276&lt;&gt;"",ISNUMBER(A8276)),VLOOKUP(A8276,Studies!A:BR,6,FALSE),"")</f>
        <v>Plasma</v>
      </c>
      <c r="G8276" s="194">
        <v>0</v>
      </c>
      <c r="H8276" s="50" t="s">
        <v>60</v>
      </c>
      <c r="I8276" s="187">
        <v>0</v>
      </c>
      <c r="J8276" s="41" t="s">
        <v>941</v>
      </c>
      <c r="K8276" s="41" t="s">
        <v>335</v>
      </c>
      <c r="O8276" s="199"/>
    </row>
    <row r="8277" spans="1:15" x14ac:dyDescent="0.2">
      <c r="A8277" s="30">
        <v>1082</v>
      </c>
      <c r="B8277" s="249" t="str">
        <f>IF(AND(A8277&lt;&gt;"",ISNUMBER(A8277)),VLOOKUP(A8277,Studies!A:BR,2,FALSE),"")</f>
        <v>Neuvonen 1996</v>
      </c>
      <c r="C8277" s="250" t="str">
        <f>IF(AND(A8277&lt;&gt;"",ISNUMBER(A8277)),VLOOKUP(A8277,Studies!A:BR,3,FALSE),"")</f>
        <v>https://www.ncbi.nlm.nih.gov/pubmed/8841155</v>
      </c>
      <c r="D8277" s="250" t="str">
        <f>IF(AND(A8277&lt;&gt;"",ISNUMBER(A8277)),VLOOKUP(A8277,Studies!A:BR,4,FALSE),"")</f>
        <v>ITZ simultaneously with triazolam</v>
      </c>
      <c r="E8277" s="250" t="str">
        <f>IF(AND(A8277&lt;&gt;"",ISNUMBER(A8277)),VLOOKUP(A8277,Studies!A:BR,5,FALSE),"")</f>
        <v>Itraconazole</v>
      </c>
      <c r="F8277" s="251" t="str">
        <f>IF(AND(A8277&lt;&gt;"",ISNUMBER(A8277)),VLOOKUP(A8277,Studies!A:BR,6,FALSE),"")</f>
        <v>Plasma</v>
      </c>
      <c r="G8277" s="194">
        <v>0.5</v>
      </c>
      <c r="H8277" s="50" t="s">
        <v>60</v>
      </c>
      <c r="I8277" s="187">
        <v>1.089475</v>
      </c>
      <c r="J8277" s="41" t="s">
        <v>941</v>
      </c>
      <c r="K8277" s="41" t="s">
        <v>335</v>
      </c>
      <c r="O8277" s="199"/>
    </row>
    <row r="8278" spans="1:15" x14ac:dyDescent="0.2">
      <c r="A8278" s="30">
        <v>1082</v>
      </c>
      <c r="B8278" s="249" t="str">
        <f>IF(AND(A8278&lt;&gt;"",ISNUMBER(A8278)),VLOOKUP(A8278,Studies!A:BR,2,FALSE),"")</f>
        <v>Neuvonen 1996</v>
      </c>
      <c r="C8278" s="250" t="str">
        <f>IF(AND(A8278&lt;&gt;"",ISNUMBER(A8278)),VLOOKUP(A8278,Studies!A:BR,3,FALSE),"")</f>
        <v>https://www.ncbi.nlm.nih.gov/pubmed/8841155</v>
      </c>
      <c r="D8278" s="250" t="str">
        <f>IF(AND(A8278&lt;&gt;"",ISNUMBER(A8278)),VLOOKUP(A8278,Studies!A:BR,4,FALSE),"")</f>
        <v>ITZ simultaneously with triazolam</v>
      </c>
      <c r="E8278" s="250" t="str">
        <f>IF(AND(A8278&lt;&gt;"",ISNUMBER(A8278)),VLOOKUP(A8278,Studies!A:BR,5,FALSE),"")</f>
        <v>Itraconazole</v>
      </c>
      <c r="F8278" s="251" t="str">
        <f>IF(AND(A8278&lt;&gt;"",ISNUMBER(A8278)),VLOOKUP(A8278,Studies!A:BR,6,FALSE),"")</f>
        <v>Plasma</v>
      </c>
      <c r="G8278" s="194">
        <v>1</v>
      </c>
      <c r="H8278" s="50" t="s">
        <v>60</v>
      </c>
      <c r="I8278" s="187">
        <v>12.67074</v>
      </c>
      <c r="J8278" s="41" t="s">
        <v>941</v>
      </c>
      <c r="K8278" s="41" t="s">
        <v>335</v>
      </c>
      <c r="O8278" s="199"/>
    </row>
    <row r="8279" spans="1:15" x14ac:dyDescent="0.2">
      <c r="A8279" s="30">
        <v>1082</v>
      </c>
      <c r="B8279" s="249" t="str">
        <f>IF(AND(A8279&lt;&gt;"",ISNUMBER(A8279)),VLOOKUP(A8279,Studies!A:BR,2,FALSE),"")</f>
        <v>Neuvonen 1996</v>
      </c>
      <c r="C8279" s="250" t="str">
        <f>IF(AND(A8279&lt;&gt;"",ISNUMBER(A8279)),VLOOKUP(A8279,Studies!A:BR,3,FALSE),"")</f>
        <v>https://www.ncbi.nlm.nih.gov/pubmed/8841155</v>
      </c>
      <c r="D8279" s="250" t="str">
        <f>IF(AND(A8279&lt;&gt;"",ISNUMBER(A8279)),VLOOKUP(A8279,Studies!A:BR,4,FALSE),"")</f>
        <v>ITZ simultaneously with triazolam</v>
      </c>
      <c r="E8279" s="250" t="str">
        <f>IF(AND(A8279&lt;&gt;"",ISNUMBER(A8279)),VLOOKUP(A8279,Studies!A:BR,5,FALSE),"")</f>
        <v>Itraconazole</v>
      </c>
      <c r="F8279" s="251" t="str">
        <f>IF(AND(A8279&lt;&gt;"",ISNUMBER(A8279)),VLOOKUP(A8279,Studies!A:BR,6,FALSE),"")</f>
        <v>Plasma</v>
      </c>
      <c r="G8279" s="194">
        <v>1.5</v>
      </c>
      <c r="H8279" s="50" t="s">
        <v>60</v>
      </c>
      <c r="I8279" s="187">
        <v>25.65063</v>
      </c>
      <c r="J8279" s="41" t="s">
        <v>941</v>
      </c>
      <c r="K8279" s="41" t="s">
        <v>335</v>
      </c>
      <c r="O8279" s="199"/>
    </row>
    <row r="8280" spans="1:15" x14ac:dyDescent="0.2">
      <c r="A8280" s="30">
        <v>1082</v>
      </c>
      <c r="B8280" s="249" t="str">
        <f>IF(AND(A8280&lt;&gt;"",ISNUMBER(A8280)),VLOOKUP(A8280,Studies!A:BR,2,FALSE),"")</f>
        <v>Neuvonen 1996</v>
      </c>
      <c r="C8280" s="250" t="str">
        <f>IF(AND(A8280&lt;&gt;"",ISNUMBER(A8280)),VLOOKUP(A8280,Studies!A:BR,3,FALSE),"")</f>
        <v>https://www.ncbi.nlm.nih.gov/pubmed/8841155</v>
      </c>
      <c r="D8280" s="250" t="str">
        <f>IF(AND(A8280&lt;&gt;"",ISNUMBER(A8280)),VLOOKUP(A8280,Studies!A:BR,4,FALSE),"")</f>
        <v>ITZ simultaneously with triazolam</v>
      </c>
      <c r="E8280" s="250" t="str">
        <f>IF(AND(A8280&lt;&gt;"",ISNUMBER(A8280)),VLOOKUP(A8280,Studies!A:BR,5,FALSE),"")</f>
        <v>Itraconazole</v>
      </c>
      <c r="F8280" s="251" t="str">
        <f>IF(AND(A8280&lt;&gt;"",ISNUMBER(A8280)),VLOOKUP(A8280,Studies!A:BR,6,FALSE),"")</f>
        <v>Plasma</v>
      </c>
      <c r="G8280" s="194">
        <v>2</v>
      </c>
      <c r="H8280" s="50" t="s">
        <v>60</v>
      </c>
      <c r="I8280" s="187">
        <v>36.882240000000003</v>
      </c>
      <c r="J8280" s="41" t="s">
        <v>941</v>
      </c>
      <c r="K8280" s="41" t="s">
        <v>335</v>
      </c>
      <c r="O8280" s="199"/>
    </row>
    <row r="8281" spans="1:15" x14ac:dyDescent="0.2">
      <c r="A8281" s="30">
        <v>1082</v>
      </c>
      <c r="B8281" s="249" t="str">
        <f>IF(AND(A8281&lt;&gt;"",ISNUMBER(A8281)),VLOOKUP(A8281,Studies!A:BR,2,FALSE),"")</f>
        <v>Neuvonen 1996</v>
      </c>
      <c r="C8281" s="250" t="str">
        <f>IF(AND(A8281&lt;&gt;"",ISNUMBER(A8281)),VLOOKUP(A8281,Studies!A:BR,3,FALSE),"")</f>
        <v>https://www.ncbi.nlm.nih.gov/pubmed/8841155</v>
      </c>
      <c r="D8281" s="250" t="str">
        <f>IF(AND(A8281&lt;&gt;"",ISNUMBER(A8281)),VLOOKUP(A8281,Studies!A:BR,4,FALSE),"")</f>
        <v>ITZ simultaneously with triazolam</v>
      </c>
      <c r="E8281" s="250" t="str">
        <f>IF(AND(A8281&lt;&gt;"",ISNUMBER(A8281)),VLOOKUP(A8281,Studies!A:BR,5,FALSE),"")</f>
        <v>Itraconazole</v>
      </c>
      <c r="F8281" s="251" t="str">
        <f>IF(AND(A8281&lt;&gt;"",ISNUMBER(A8281)),VLOOKUP(A8281,Studies!A:BR,6,FALSE),"")</f>
        <v>Plasma</v>
      </c>
      <c r="G8281" s="194">
        <v>3</v>
      </c>
      <c r="H8281" s="50" t="s">
        <v>60</v>
      </c>
      <c r="I8281" s="187">
        <v>51.299129999999998</v>
      </c>
      <c r="J8281" s="41" t="s">
        <v>941</v>
      </c>
      <c r="K8281" s="41" t="s">
        <v>335</v>
      </c>
      <c r="O8281" s="199"/>
    </row>
    <row r="8282" spans="1:15" x14ac:dyDescent="0.2">
      <c r="A8282" s="30">
        <v>1082</v>
      </c>
      <c r="B8282" s="249" t="str">
        <f>IF(AND(A8282&lt;&gt;"",ISNUMBER(A8282)),VLOOKUP(A8282,Studies!A:BR,2,FALSE),"")</f>
        <v>Neuvonen 1996</v>
      </c>
      <c r="C8282" s="250" t="str">
        <f>IF(AND(A8282&lt;&gt;"",ISNUMBER(A8282)),VLOOKUP(A8282,Studies!A:BR,3,FALSE),"")</f>
        <v>https://www.ncbi.nlm.nih.gov/pubmed/8841155</v>
      </c>
      <c r="D8282" s="250" t="str">
        <f>IF(AND(A8282&lt;&gt;"",ISNUMBER(A8282)),VLOOKUP(A8282,Studies!A:BR,4,FALSE),"")</f>
        <v>ITZ simultaneously with triazolam</v>
      </c>
      <c r="E8282" s="250" t="str">
        <f>IF(AND(A8282&lt;&gt;"",ISNUMBER(A8282)),VLOOKUP(A8282,Studies!A:BR,5,FALSE),"")</f>
        <v>Itraconazole</v>
      </c>
      <c r="F8282" s="251" t="str">
        <f>IF(AND(A8282&lt;&gt;"",ISNUMBER(A8282)),VLOOKUP(A8282,Studies!A:BR,6,FALSE),"")</f>
        <v>Plasma</v>
      </c>
      <c r="G8282" s="194">
        <v>4</v>
      </c>
      <c r="H8282" s="50" t="s">
        <v>60</v>
      </c>
      <c r="I8282" s="187">
        <v>71.310490000000001</v>
      </c>
      <c r="J8282" s="41" t="s">
        <v>941</v>
      </c>
      <c r="K8282" s="41" t="s">
        <v>335</v>
      </c>
      <c r="O8282" s="199"/>
    </row>
    <row r="8283" spans="1:15" x14ac:dyDescent="0.2">
      <c r="A8283" s="30">
        <v>1082</v>
      </c>
      <c r="B8283" s="249" t="str">
        <f>IF(AND(A8283&lt;&gt;"",ISNUMBER(A8283)),VLOOKUP(A8283,Studies!A:BR,2,FALSE),"")</f>
        <v>Neuvonen 1996</v>
      </c>
      <c r="C8283" s="250" t="str">
        <f>IF(AND(A8283&lt;&gt;"",ISNUMBER(A8283)),VLOOKUP(A8283,Studies!A:BR,3,FALSE),"")</f>
        <v>https://www.ncbi.nlm.nih.gov/pubmed/8841155</v>
      </c>
      <c r="D8283" s="250" t="str">
        <f>IF(AND(A8283&lt;&gt;"",ISNUMBER(A8283)),VLOOKUP(A8283,Studies!A:BR,4,FALSE),"")</f>
        <v>ITZ simultaneously with triazolam</v>
      </c>
      <c r="E8283" s="250" t="str">
        <f>IF(AND(A8283&lt;&gt;"",ISNUMBER(A8283)),VLOOKUP(A8283,Studies!A:BR,5,FALSE),"")</f>
        <v>Itraconazole</v>
      </c>
      <c r="F8283" s="251" t="str">
        <f>IF(AND(A8283&lt;&gt;"",ISNUMBER(A8283)),VLOOKUP(A8283,Studies!A:BR,6,FALSE),"")</f>
        <v>Plasma</v>
      </c>
      <c r="G8283" s="194">
        <v>5</v>
      </c>
      <c r="H8283" s="50" t="s">
        <v>60</v>
      </c>
      <c r="I8283" s="187">
        <v>87.827449999999999</v>
      </c>
      <c r="J8283" s="41" t="s">
        <v>941</v>
      </c>
      <c r="K8283" s="41" t="s">
        <v>335</v>
      </c>
      <c r="O8283" s="199"/>
    </row>
    <row r="8284" spans="1:15" x14ac:dyDescent="0.2">
      <c r="A8284" s="30">
        <v>1082</v>
      </c>
      <c r="B8284" s="249" t="str">
        <f>IF(AND(A8284&lt;&gt;"",ISNUMBER(A8284)),VLOOKUP(A8284,Studies!A:BR,2,FALSE),"")</f>
        <v>Neuvonen 1996</v>
      </c>
      <c r="C8284" s="250" t="str">
        <f>IF(AND(A8284&lt;&gt;"",ISNUMBER(A8284)),VLOOKUP(A8284,Studies!A:BR,3,FALSE),"")</f>
        <v>https://www.ncbi.nlm.nih.gov/pubmed/8841155</v>
      </c>
      <c r="D8284" s="250" t="str">
        <f>IF(AND(A8284&lt;&gt;"",ISNUMBER(A8284)),VLOOKUP(A8284,Studies!A:BR,4,FALSE),"")</f>
        <v>ITZ simultaneously with triazolam</v>
      </c>
      <c r="E8284" s="250" t="str">
        <f>IF(AND(A8284&lt;&gt;"",ISNUMBER(A8284)),VLOOKUP(A8284,Studies!A:BR,5,FALSE),"")</f>
        <v>Itraconazole</v>
      </c>
      <c r="F8284" s="251" t="str">
        <f>IF(AND(A8284&lt;&gt;"",ISNUMBER(A8284)),VLOOKUP(A8284,Studies!A:BR,6,FALSE),"")</f>
        <v>Plasma</v>
      </c>
      <c r="G8284" s="194">
        <v>6</v>
      </c>
      <c r="H8284" s="50" t="s">
        <v>60</v>
      </c>
      <c r="I8284" s="187">
        <v>79.868520000000004</v>
      </c>
      <c r="J8284" s="41" t="s">
        <v>941</v>
      </c>
      <c r="K8284" s="41" t="s">
        <v>335</v>
      </c>
      <c r="O8284" s="199"/>
    </row>
    <row r="8285" spans="1:15" x14ac:dyDescent="0.2">
      <c r="A8285" s="30">
        <v>1082</v>
      </c>
      <c r="B8285" s="249" t="str">
        <f>IF(AND(A8285&lt;&gt;"",ISNUMBER(A8285)),VLOOKUP(A8285,Studies!A:BR,2,FALSE),"")</f>
        <v>Neuvonen 1996</v>
      </c>
      <c r="C8285" s="250" t="str">
        <f>IF(AND(A8285&lt;&gt;"",ISNUMBER(A8285)),VLOOKUP(A8285,Studies!A:BR,3,FALSE),"")</f>
        <v>https://www.ncbi.nlm.nih.gov/pubmed/8841155</v>
      </c>
      <c r="D8285" s="250" t="str">
        <f>IF(AND(A8285&lt;&gt;"",ISNUMBER(A8285)),VLOOKUP(A8285,Studies!A:BR,4,FALSE),"")</f>
        <v>ITZ simultaneously with triazolam</v>
      </c>
      <c r="E8285" s="250" t="str">
        <f>IF(AND(A8285&lt;&gt;"",ISNUMBER(A8285)),VLOOKUP(A8285,Studies!A:BR,5,FALSE),"")</f>
        <v>Itraconazole</v>
      </c>
      <c r="F8285" s="251" t="str">
        <f>IF(AND(A8285&lt;&gt;"",ISNUMBER(A8285)),VLOOKUP(A8285,Studies!A:BR,6,FALSE),"")</f>
        <v>Plasma</v>
      </c>
      <c r="G8285" s="194">
        <v>7</v>
      </c>
      <c r="H8285" s="50" t="s">
        <v>60</v>
      </c>
      <c r="I8285" s="187">
        <v>74.352930000000001</v>
      </c>
      <c r="J8285" s="41" t="s">
        <v>941</v>
      </c>
      <c r="K8285" s="41" t="s">
        <v>335</v>
      </c>
      <c r="O8285" s="199"/>
    </row>
    <row r="8286" spans="1:15" x14ac:dyDescent="0.2">
      <c r="A8286" s="30">
        <v>1082</v>
      </c>
      <c r="B8286" s="249" t="str">
        <f>IF(AND(A8286&lt;&gt;"",ISNUMBER(A8286)),VLOOKUP(A8286,Studies!A:BR,2,FALSE),"")</f>
        <v>Neuvonen 1996</v>
      </c>
      <c r="C8286" s="250" t="str">
        <f>IF(AND(A8286&lt;&gt;"",ISNUMBER(A8286)),VLOOKUP(A8286,Studies!A:BR,3,FALSE),"")</f>
        <v>https://www.ncbi.nlm.nih.gov/pubmed/8841155</v>
      </c>
      <c r="D8286" s="250" t="str">
        <f>IF(AND(A8286&lt;&gt;"",ISNUMBER(A8286)),VLOOKUP(A8286,Studies!A:BR,4,FALSE),"")</f>
        <v>ITZ simultaneously with triazolam</v>
      </c>
      <c r="E8286" s="250" t="str">
        <f>IF(AND(A8286&lt;&gt;"",ISNUMBER(A8286)),VLOOKUP(A8286,Studies!A:BR,5,FALSE),"")</f>
        <v>Itraconazole</v>
      </c>
      <c r="F8286" s="251" t="str">
        <f>IF(AND(A8286&lt;&gt;"",ISNUMBER(A8286)),VLOOKUP(A8286,Studies!A:BR,6,FALSE),"")</f>
        <v>Plasma</v>
      </c>
      <c r="G8286" s="194">
        <v>17</v>
      </c>
      <c r="H8286" s="50" t="s">
        <v>60</v>
      </c>
      <c r="I8286" s="187">
        <v>29.019259999999999</v>
      </c>
      <c r="J8286" s="41" t="s">
        <v>941</v>
      </c>
      <c r="K8286" s="41" t="s">
        <v>335</v>
      </c>
      <c r="O8286" s="199"/>
    </row>
    <row r="8287" spans="1:15" x14ac:dyDescent="0.2">
      <c r="A8287" s="30">
        <v>1083</v>
      </c>
      <c r="B8287" s="249" t="str">
        <f>IF(AND(A8287&lt;&gt;"",ISNUMBER(A8287)),VLOOKUP(A8287,Studies!A:BR,2,FALSE),"")</f>
        <v>Neuvonen 1996</v>
      </c>
      <c r="C8287" s="250" t="str">
        <f>IF(AND(A8287&lt;&gt;"",ISNUMBER(A8287)),VLOOKUP(A8287,Studies!A:BR,3,FALSE),"")</f>
        <v>https://www.ncbi.nlm.nih.gov/pubmed/8841155</v>
      </c>
      <c r="D8287" s="250" t="str">
        <f>IF(AND(A8287&lt;&gt;"",ISNUMBER(A8287)),VLOOKUP(A8287,Studies!A:BR,4,FALSE),"")</f>
        <v>ITZ 3 hr before triazolam</v>
      </c>
      <c r="E8287" s="250" t="str">
        <f>IF(AND(A8287&lt;&gt;"",ISNUMBER(A8287)),VLOOKUP(A8287,Studies!A:BR,5,FALSE),"")</f>
        <v>Itraconazole</v>
      </c>
      <c r="F8287" s="251" t="str">
        <f>IF(AND(A8287&lt;&gt;"",ISNUMBER(A8287)),VLOOKUP(A8287,Studies!A:BR,6,FALSE),"")</f>
        <v>Plasma</v>
      </c>
      <c r="G8287" s="194">
        <v>3</v>
      </c>
      <c r="H8287" s="50" t="s">
        <v>60</v>
      </c>
      <c r="I8287" s="187">
        <v>51.399329999999999</v>
      </c>
      <c r="J8287" s="41" t="s">
        <v>941</v>
      </c>
      <c r="K8287" s="41" t="s">
        <v>335</v>
      </c>
      <c r="O8287" s="199"/>
    </row>
    <row r="8288" spans="1:15" x14ac:dyDescent="0.2">
      <c r="A8288" s="30">
        <v>1083</v>
      </c>
      <c r="B8288" s="249" t="str">
        <f>IF(AND(A8288&lt;&gt;"",ISNUMBER(A8288)),VLOOKUP(A8288,Studies!A:BR,2,FALSE),"")</f>
        <v>Neuvonen 1996</v>
      </c>
      <c r="C8288" s="250" t="str">
        <f>IF(AND(A8288&lt;&gt;"",ISNUMBER(A8288)),VLOOKUP(A8288,Studies!A:BR,3,FALSE),"")</f>
        <v>https://www.ncbi.nlm.nih.gov/pubmed/8841155</v>
      </c>
      <c r="D8288" s="250" t="str">
        <f>IF(AND(A8288&lt;&gt;"",ISNUMBER(A8288)),VLOOKUP(A8288,Studies!A:BR,4,FALSE),"")</f>
        <v>ITZ 3 hr before triazolam</v>
      </c>
      <c r="E8288" s="250" t="str">
        <f>IF(AND(A8288&lt;&gt;"",ISNUMBER(A8288)),VLOOKUP(A8288,Studies!A:BR,5,FALSE),"")</f>
        <v>Itraconazole</v>
      </c>
      <c r="F8288" s="251" t="str">
        <f>IF(AND(A8288&lt;&gt;"",ISNUMBER(A8288)),VLOOKUP(A8288,Studies!A:BR,6,FALSE),"")</f>
        <v>Plasma</v>
      </c>
      <c r="G8288" s="194">
        <v>3.5</v>
      </c>
      <c r="H8288" s="50" t="s">
        <v>60</v>
      </c>
      <c r="I8288" s="187">
        <v>99.344750000000005</v>
      </c>
      <c r="J8288" s="41" t="s">
        <v>941</v>
      </c>
      <c r="K8288" s="41" t="s">
        <v>335</v>
      </c>
      <c r="O8288" s="199"/>
    </row>
    <row r="8289" spans="1:15" x14ac:dyDescent="0.2">
      <c r="A8289" s="30">
        <v>1083</v>
      </c>
      <c r="B8289" s="249" t="str">
        <f>IF(AND(A8289&lt;&gt;"",ISNUMBER(A8289)),VLOOKUP(A8289,Studies!A:BR,2,FALSE),"")</f>
        <v>Neuvonen 1996</v>
      </c>
      <c r="C8289" s="250" t="str">
        <f>IF(AND(A8289&lt;&gt;"",ISNUMBER(A8289)),VLOOKUP(A8289,Studies!A:BR,3,FALSE),"")</f>
        <v>https://www.ncbi.nlm.nih.gov/pubmed/8841155</v>
      </c>
      <c r="D8289" s="250" t="str">
        <f>IF(AND(A8289&lt;&gt;"",ISNUMBER(A8289)),VLOOKUP(A8289,Studies!A:BR,4,FALSE),"")</f>
        <v>ITZ 3 hr before triazolam</v>
      </c>
      <c r="E8289" s="250" t="str">
        <f>IF(AND(A8289&lt;&gt;"",ISNUMBER(A8289)),VLOOKUP(A8289,Studies!A:BR,5,FALSE),"")</f>
        <v>Itraconazole</v>
      </c>
      <c r="F8289" s="251" t="str">
        <f>IF(AND(A8289&lt;&gt;"",ISNUMBER(A8289)),VLOOKUP(A8289,Studies!A:BR,6,FALSE),"")</f>
        <v>Plasma</v>
      </c>
      <c r="G8289" s="194">
        <v>4</v>
      </c>
      <c r="H8289" s="50" t="s">
        <v>60</v>
      </c>
      <c r="I8289" s="187">
        <v>115.1219</v>
      </c>
      <c r="J8289" s="41" t="s">
        <v>941</v>
      </c>
      <c r="K8289" s="41" t="s">
        <v>335</v>
      </c>
      <c r="O8289" s="199"/>
    </row>
    <row r="8290" spans="1:15" x14ac:dyDescent="0.2">
      <c r="A8290" s="30">
        <v>1083</v>
      </c>
      <c r="B8290" s="249" t="str">
        <f>IF(AND(A8290&lt;&gt;"",ISNUMBER(A8290)),VLOOKUP(A8290,Studies!A:BR,2,FALSE),"")</f>
        <v>Neuvonen 1996</v>
      </c>
      <c r="C8290" s="250" t="str">
        <f>IF(AND(A8290&lt;&gt;"",ISNUMBER(A8290)),VLOOKUP(A8290,Studies!A:BR,3,FALSE),"")</f>
        <v>https://www.ncbi.nlm.nih.gov/pubmed/8841155</v>
      </c>
      <c r="D8290" s="250" t="str">
        <f>IF(AND(A8290&lt;&gt;"",ISNUMBER(A8290)),VLOOKUP(A8290,Studies!A:BR,4,FALSE),"")</f>
        <v>ITZ 3 hr before triazolam</v>
      </c>
      <c r="E8290" s="250" t="str">
        <f>IF(AND(A8290&lt;&gt;"",ISNUMBER(A8290)),VLOOKUP(A8290,Studies!A:BR,5,FALSE),"")</f>
        <v>Itraconazole</v>
      </c>
      <c r="F8290" s="251" t="str">
        <f>IF(AND(A8290&lt;&gt;"",ISNUMBER(A8290)),VLOOKUP(A8290,Studies!A:BR,6,FALSE),"")</f>
        <v>Plasma</v>
      </c>
      <c r="G8290" s="194">
        <v>4.5</v>
      </c>
      <c r="H8290" s="50" t="s">
        <v>60</v>
      </c>
      <c r="I8290" s="187">
        <v>129.49610000000001</v>
      </c>
      <c r="J8290" s="41" t="s">
        <v>941</v>
      </c>
      <c r="K8290" s="41" t="s">
        <v>335</v>
      </c>
      <c r="O8290" s="199"/>
    </row>
    <row r="8291" spans="1:15" x14ac:dyDescent="0.2">
      <c r="A8291" s="30">
        <v>1083</v>
      </c>
      <c r="B8291" s="249" t="str">
        <f>IF(AND(A8291&lt;&gt;"",ISNUMBER(A8291)),VLOOKUP(A8291,Studies!A:BR,2,FALSE),"")</f>
        <v>Neuvonen 1996</v>
      </c>
      <c r="C8291" s="250" t="str">
        <f>IF(AND(A8291&lt;&gt;"",ISNUMBER(A8291)),VLOOKUP(A8291,Studies!A:BR,3,FALSE),"")</f>
        <v>https://www.ncbi.nlm.nih.gov/pubmed/8841155</v>
      </c>
      <c r="D8291" s="250" t="str">
        <f>IF(AND(A8291&lt;&gt;"",ISNUMBER(A8291)),VLOOKUP(A8291,Studies!A:BR,4,FALSE),"")</f>
        <v>ITZ 3 hr before triazolam</v>
      </c>
      <c r="E8291" s="250" t="str">
        <f>IF(AND(A8291&lt;&gt;"",ISNUMBER(A8291)),VLOOKUP(A8291,Studies!A:BR,5,FALSE),"")</f>
        <v>Itraconazole</v>
      </c>
      <c r="F8291" s="251" t="str">
        <f>IF(AND(A8291&lt;&gt;"",ISNUMBER(A8291)),VLOOKUP(A8291,Studies!A:BR,6,FALSE),"")</f>
        <v>Plasma</v>
      </c>
      <c r="G8291" s="194">
        <v>5</v>
      </c>
      <c r="H8291" s="50" t="s">
        <v>60</v>
      </c>
      <c r="I8291" s="187">
        <v>148.07050000000001</v>
      </c>
      <c r="J8291" s="41" t="s">
        <v>941</v>
      </c>
      <c r="K8291" s="41" t="s">
        <v>335</v>
      </c>
      <c r="O8291" s="199"/>
    </row>
    <row r="8292" spans="1:15" x14ac:dyDescent="0.2">
      <c r="A8292" s="30">
        <v>1083</v>
      </c>
      <c r="B8292" s="249" t="str">
        <f>IF(AND(A8292&lt;&gt;"",ISNUMBER(A8292)),VLOOKUP(A8292,Studies!A:BR,2,FALSE),"")</f>
        <v>Neuvonen 1996</v>
      </c>
      <c r="C8292" s="250" t="str">
        <f>IF(AND(A8292&lt;&gt;"",ISNUMBER(A8292)),VLOOKUP(A8292,Studies!A:BR,3,FALSE),"")</f>
        <v>https://www.ncbi.nlm.nih.gov/pubmed/8841155</v>
      </c>
      <c r="D8292" s="250" t="str">
        <f>IF(AND(A8292&lt;&gt;"",ISNUMBER(A8292)),VLOOKUP(A8292,Studies!A:BR,4,FALSE),"")</f>
        <v>ITZ 3 hr before triazolam</v>
      </c>
      <c r="E8292" s="250" t="str">
        <f>IF(AND(A8292&lt;&gt;"",ISNUMBER(A8292)),VLOOKUP(A8292,Studies!A:BR,5,FALSE),"")</f>
        <v>Itraconazole</v>
      </c>
      <c r="F8292" s="251" t="str">
        <f>IF(AND(A8292&lt;&gt;"",ISNUMBER(A8292)),VLOOKUP(A8292,Studies!A:BR,6,FALSE),"")</f>
        <v>Plasma</v>
      </c>
      <c r="G8292" s="194">
        <v>6</v>
      </c>
      <c r="H8292" s="50" t="s">
        <v>60</v>
      </c>
      <c r="I8292" s="187">
        <v>142.9067</v>
      </c>
      <c r="J8292" s="41" t="s">
        <v>941</v>
      </c>
      <c r="K8292" s="41" t="s">
        <v>335</v>
      </c>
      <c r="O8292" s="199"/>
    </row>
    <row r="8293" spans="1:15" x14ac:dyDescent="0.2">
      <c r="A8293" s="30">
        <v>1083</v>
      </c>
      <c r="B8293" s="249" t="str">
        <f>IF(AND(A8293&lt;&gt;"",ISNUMBER(A8293)),VLOOKUP(A8293,Studies!A:BR,2,FALSE),"")</f>
        <v>Neuvonen 1996</v>
      </c>
      <c r="C8293" s="250" t="str">
        <f>IF(AND(A8293&lt;&gt;"",ISNUMBER(A8293)),VLOOKUP(A8293,Studies!A:BR,3,FALSE),"")</f>
        <v>https://www.ncbi.nlm.nih.gov/pubmed/8841155</v>
      </c>
      <c r="D8293" s="250" t="str">
        <f>IF(AND(A8293&lt;&gt;"",ISNUMBER(A8293)),VLOOKUP(A8293,Studies!A:BR,4,FALSE),"")</f>
        <v>ITZ 3 hr before triazolam</v>
      </c>
      <c r="E8293" s="250" t="str">
        <f>IF(AND(A8293&lt;&gt;"",ISNUMBER(A8293)),VLOOKUP(A8293,Studies!A:BR,5,FALSE),"")</f>
        <v>Itraconazole</v>
      </c>
      <c r="F8293" s="251" t="str">
        <f>IF(AND(A8293&lt;&gt;"",ISNUMBER(A8293)),VLOOKUP(A8293,Studies!A:BR,6,FALSE),"")</f>
        <v>Plasma</v>
      </c>
      <c r="G8293" s="194">
        <v>7</v>
      </c>
      <c r="H8293" s="50" t="s">
        <v>60</v>
      </c>
      <c r="I8293" s="187">
        <v>145.09200000000001</v>
      </c>
      <c r="J8293" s="41" t="s">
        <v>941</v>
      </c>
      <c r="K8293" s="41" t="s">
        <v>335</v>
      </c>
      <c r="O8293" s="199"/>
    </row>
    <row r="8294" spans="1:15" x14ac:dyDescent="0.2">
      <c r="A8294" s="30">
        <v>1083</v>
      </c>
      <c r="B8294" s="249" t="str">
        <f>IF(AND(A8294&lt;&gt;"",ISNUMBER(A8294)),VLOOKUP(A8294,Studies!A:BR,2,FALSE),"")</f>
        <v>Neuvonen 1996</v>
      </c>
      <c r="C8294" s="250" t="str">
        <f>IF(AND(A8294&lt;&gt;"",ISNUMBER(A8294)),VLOOKUP(A8294,Studies!A:BR,3,FALSE),"")</f>
        <v>https://www.ncbi.nlm.nih.gov/pubmed/8841155</v>
      </c>
      <c r="D8294" s="250" t="str">
        <f>IF(AND(A8294&lt;&gt;"",ISNUMBER(A8294)),VLOOKUP(A8294,Studies!A:BR,4,FALSE),"")</f>
        <v>ITZ 3 hr before triazolam</v>
      </c>
      <c r="E8294" s="250" t="str">
        <f>IF(AND(A8294&lt;&gt;"",ISNUMBER(A8294)),VLOOKUP(A8294,Studies!A:BR,5,FALSE),"")</f>
        <v>Itraconazole</v>
      </c>
      <c r="F8294" s="251" t="str">
        <f>IF(AND(A8294&lt;&gt;"",ISNUMBER(A8294)),VLOOKUP(A8294,Studies!A:BR,6,FALSE),"")</f>
        <v>Plasma</v>
      </c>
      <c r="G8294" s="194">
        <v>8</v>
      </c>
      <c r="H8294" s="50" t="s">
        <v>60</v>
      </c>
      <c r="I8294" s="187">
        <v>143.07300000000001</v>
      </c>
      <c r="J8294" s="41" t="s">
        <v>941</v>
      </c>
      <c r="K8294" s="41" t="s">
        <v>335</v>
      </c>
      <c r="O8294" s="199"/>
    </row>
    <row r="8295" spans="1:15" x14ac:dyDescent="0.2">
      <c r="A8295" s="30">
        <v>1083</v>
      </c>
      <c r="B8295" s="249" t="str">
        <f>IF(AND(A8295&lt;&gt;"",ISNUMBER(A8295)),VLOOKUP(A8295,Studies!A:BR,2,FALSE),"")</f>
        <v>Neuvonen 1996</v>
      </c>
      <c r="C8295" s="250" t="str">
        <f>IF(AND(A8295&lt;&gt;"",ISNUMBER(A8295)),VLOOKUP(A8295,Studies!A:BR,3,FALSE),"")</f>
        <v>https://www.ncbi.nlm.nih.gov/pubmed/8841155</v>
      </c>
      <c r="D8295" s="250" t="str">
        <f>IF(AND(A8295&lt;&gt;"",ISNUMBER(A8295)),VLOOKUP(A8295,Studies!A:BR,4,FALSE),"")</f>
        <v>ITZ 3 hr before triazolam</v>
      </c>
      <c r="E8295" s="250" t="str">
        <f>IF(AND(A8295&lt;&gt;"",ISNUMBER(A8295)),VLOOKUP(A8295,Studies!A:BR,5,FALSE),"")</f>
        <v>Itraconazole</v>
      </c>
      <c r="F8295" s="251" t="str">
        <f>IF(AND(A8295&lt;&gt;"",ISNUMBER(A8295)),VLOOKUP(A8295,Studies!A:BR,6,FALSE),"")</f>
        <v>Plasma</v>
      </c>
      <c r="G8295" s="194">
        <v>9</v>
      </c>
      <c r="H8295" s="50" t="s">
        <v>60</v>
      </c>
      <c r="I8295" s="187">
        <v>118.6803</v>
      </c>
      <c r="J8295" s="41" t="s">
        <v>941</v>
      </c>
      <c r="K8295" s="41" t="s">
        <v>335</v>
      </c>
      <c r="O8295" s="199"/>
    </row>
    <row r="8296" spans="1:15" x14ac:dyDescent="0.2">
      <c r="A8296" s="30">
        <v>1083</v>
      </c>
      <c r="B8296" s="249" t="str">
        <f>IF(AND(A8296&lt;&gt;"",ISNUMBER(A8296)),VLOOKUP(A8296,Studies!A:BR,2,FALSE),"")</f>
        <v>Neuvonen 1996</v>
      </c>
      <c r="C8296" s="250" t="str">
        <f>IF(AND(A8296&lt;&gt;"",ISNUMBER(A8296)),VLOOKUP(A8296,Studies!A:BR,3,FALSE),"")</f>
        <v>https://www.ncbi.nlm.nih.gov/pubmed/8841155</v>
      </c>
      <c r="D8296" s="250" t="str">
        <f>IF(AND(A8296&lt;&gt;"",ISNUMBER(A8296)),VLOOKUP(A8296,Studies!A:BR,4,FALSE),"")</f>
        <v>ITZ 3 hr before triazolam</v>
      </c>
      <c r="E8296" s="250" t="str">
        <f>IF(AND(A8296&lt;&gt;"",ISNUMBER(A8296)),VLOOKUP(A8296,Studies!A:BR,5,FALSE),"")</f>
        <v>Itraconazole</v>
      </c>
      <c r="F8296" s="251" t="str">
        <f>IF(AND(A8296&lt;&gt;"",ISNUMBER(A8296)),VLOOKUP(A8296,Studies!A:BR,6,FALSE),"")</f>
        <v>Plasma</v>
      </c>
      <c r="G8296" s="194">
        <v>10</v>
      </c>
      <c r="H8296" s="50" t="s">
        <v>60</v>
      </c>
      <c r="I8296" s="187">
        <v>99.877759999999995</v>
      </c>
      <c r="J8296" s="41" t="s">
        <v>941</v>
      </c>
      <c r="K8296" s="41" t="s">
        <v>335</v>
      </c>
      <c r="O8296" s="199"/>
    </row>
    <row r="8297" spans="1:15" x14ac:dyDescent="0.2">
      <c r="A8297" s="30">
        <v>1083</v>
      </c>
      <c r="B8297" s="249" t="str">
        <f>IF(AND(A8297&lt;&gt;"",ISNUMBER(A8297)),VLOOKUP(A8297,Studies!A:BR,2,FALSE),"")</f>
        <v>Neuvonen 1996</v>
      </c>
      <c r="C8297" s="250" t="str">
        <f>IF(AND(A8297&lt;&gt;"",ISNUMBER(A8297)),VLOOKUP(A8297,Studies!A:BR,3,FALSE),"")</f>
        <v>https://www.ncbi.nlm.nih.gov/pubmed/8841155</v>
      </c>
      <c r="D8297" s="250" t="str">
        <f>IF(AND(A8297&lt;&gt;"",ISNUMBER(A8297)),VLOOKUP(A8297,Studies!A:BR,4,FALSE),"")</f>
        <v>ITZ 3 hr before triazolam</v>
      </c>
      <c r="E8297" s="250" t="str">
        <f>IF(AND(A8297&lt;&gt;"",ISNUMBER(A8297)),VLOOKUP(A8297,Studies!A:BR,5,FALSE),"")</f>
        <v>Itraconazole</v>
      </c>
      <c r="F8297" s="251" t="str">
        <f>IF(AND(A8297&lt;&gt;"",ISNUMBER(A8297)),VLOOKUP(A8297,Studies!A:BR,6,FALSE),"")</f>
        <v>Plasma</v>
      </c>
      <c r="G8297" s="194">
        <v>20</v>
      </c>
      <c r="H8297" s="50" t="s">
        <v>60</v>
      </c>
      <c r="I8297" s="187">
        <v>48.250300000000003</v>
      </c>
      <c r="J8297" s="41" t="s">
        <v>941</v>
      </c>
      <c r="K8297" s="41" t="s">
        <v>335</v>
      </c>
      <c r="O8297" s="199"/>
    </row>
    <row r="8298" spans="1:15" x14ac:dyDescent="0.2">
      <c r="A8298" s="30">
        <v>1084</v>
      </c>
      <c r="B8298" s="249" t="str">
        <f>IF(AND(A8298&lt;&gt;"",ISNUMBER(A8298)),VLOOKUP(A8298,Studies!A:BR,2,FALSE),"")</f>
        <v>Neuvonen 1996</v>
      </c>
      <c r="C8298" s="250" t="str">
        <f>IF(AND(A8298&lt;&gt;"",ISNUMBER(A8298)),VLOOKUP(A8298,Studies!A:BR,3,FALSE),"")</f>
        <v>https://www.ncbi.nlm.nih.gov/pubmed/8841155</v>
      </c>
      <c r="D8298" s="250" t="str">
        <f>IF(AND(A8298&lt;&gt;"",ISNUMBER(A8298)),VLOOKUP(A8298,Studies!A:BR,4,FALSE),"")</f>
        <v>ITZ 12 hr before triazolam</v>
      </c>
      <c r="E8298" s="250" t="str">
        <f>IF(AND(A8298&lt;&gt;"",ISNUMBER(A8298)),VLOOKUP(A8298,Studies!A:BR,5,FALSE),"")</f>
        <v>Itraconazole</v>
      </c>
      <c r="F8298" s="251" t="str">
        <f>IF(AND(A8298&lt;&gt;"",ISNUMBER(A8298)),VLOOKUP(A8298,Studies!A:BR,6,FALSE),"")</f>
        <v>Plasma</v>
      </c>
      <c r="G8298" s="194">
        <v>12</v>
      </c>
      <c r="H8298" s="50" t="s">
        <v>60</v>
      </c>
      <c r="I8298" s="187">
        <v>54.546230000000001</v>
      </c>
      <c r="J8298" s="41" t="s">
        <v>941</v>
      </c>
      <c r="K8298" s="41" t="s">
        <v>335</v>
      </c>
      <c r="O8298" s="199"/>
    </row>
    <row r="8299" spans="1:15" x14ac:dyDescent="0.2">
      <c r="A8299" s="30">
        <v>1084</v>
      </c>
      <c r="B8299" s="249" t="str">
        <f>IF(AND(A8299&lt;&gt;"",ISNUMBER(A8299)),VLOOKUP(A8299,Studies!A:BR,2,FALSE),"")</f>
        <v>Neuvonen 1996</v>
      </c>
      <c r="C8299" s="250" t="str">
        <f>IF(AND(A8299&lt;&gt;"",ISNUMBER(A8299)),VLOOKUP(A8299,Studies!A:BR,3,FALSE),"")</f>
        <v>https://www.ncbi.nlm.nih.gov/pubmed/8841155</v>
      </c>
      <c r="D8299" s="250" t="str">
        <f>IF(AND(A8299&lt;&gt;"",ISNUMBER(A8299)),VLOOKUP(A8299,Studies!A:BR,4,FALSE),"")</f>
        <v>ITZ 12 hr before triazolam</v>
      </c>
      <c r="E8299" s="250" t="str">
        <f>IF(AND(A8299&lt;&gt;"",ISNUMBER(A8299)),VLOOKUP(A8299,Studies!A:BR,5,FALSE),"")</f>
        <v>Itraconazole</v>
      </c>
      <c r="F8299" s="251" t="str">
        <f>IF(AND(A8299&lt;&gt;"",ISNUMBER(A8299)),VLOOKUP(A8299,Studies!A:BR,6,FALSE),"")</f>
        <v>Plasma</v>
      </c>
      <c r="G8299" s="194">
        <v>12.5</v>
      </c>
      <c r="H8299" s="50" t="s">
        <v>60</v>
      </c>
      <c r="I8299" s="187">
        <v>46.896450000000002</v>
      </c>
      <c r="J8299" s="41" t="s">
        <v>941</v>
      </c>
      <c r="K8299" s="41" t="s">
        <v>335</v>
      </c>
      <c r="O8299" s="199"/>
    </row>
    <row r="8300" spans="1:15" x14ac:dyDescent="0.2">
      <c r="A8300" s="30">
        <v>1084</v>
      </c>
      <c r="B8300" s="249" t="str">
        <f>IF(AND(A8300&lt;&gt;"",ISNUMBER(A8300)),VLOOKUP(A8300,Studies!A:BR,2,FALSE),"")</f>
        <v>Neuvonen 1996</v>
      </c>
      <c r="C8300" s="250" t="str">
        <f>IF(AND(A8300&lt;&gt;"",ISNUMBER(A8300)),VLOOKUP(A8300,Studies!A:BR,3,FALSE),"")</f>
        <v>https://www.ncbi.nlm.nih.gov/pubmed/8841155</v>
      </c>
      <c r="D8300" s="250" t="str">
        <f>IF(AND(A8300&lt;&gt;"",ISNUMBER(A8300)),VLOOKUP(A8300,Studies!A:BR,4,FALSE),"")</f>
        <v>ITZ 12 hr before triazolam</v>
      </c>
      <c r="E8300" s="250" t="str">
        <f>IF(AND(A8300&lt;&gt;"",ISNUMBER(A8300)),VLOOKUP(A8300,Studies!A:BR,5,FALSE),"")</f>
        <v>Itraconazole</v>
      </c>
      <c r="F8300" s="251" t="str">
        <f>IF(AND(A8300&lt;&gt;"",ISNUMBER(A8300)),VLOOKUP(A8300,Studies!A:BR,6,FALSE),"")</f>
        <v>Plasma</v>
      </c>
      <c r="G8300" s="194">
        <v>13</v>
      </c>
      <c r="H8300" s="50" t="s">
        <v>60</v>
      </c>
      <c r="I8300" s="187">
        <v>44.841160000000002</v>
      </c>
      <c r="J8300" s="41" t="s">
        <v>941</v>
      </c>
      <c r="K8300" s="41" t="s">
        <v>335</v>
      </c>
      <c r="O8300" s="199"/>
    </row>
    <row r="8301" spans="1:15" x14ac:dyDescent="0.2">
      <c r="A8301" s="30">
        <v>1084</v>
      </c>
      <c r="B8301" s="249" t="str">
        <f>IF(AND(A8301&lt;&gt;"",ISNUMBER(A8301)),VLOOKUP(A8301,Studies!A:BR,2,FALSE),"")</f>
        <v>Neuvonen 1996</v>
      </c>
      <c r="C8301" s="250" t="str">
        <f>IF(AND(A8301&lt;&gt;"",ISNUMBER(A8301)),VLOOKUP(A8301,Studies!A:BR,3,FALSE),"")</f>
        <v>https://www.ncbi.nlm.nih.gov/pubmed/8841155</v>
      </c>
      <c r="D8301" s="250" t="str">
        <f>IF(AND(A8301&lt;&gt;"",ISNUMBER(A8301)),VLOOKUP(A8301,Studies!A:BR,4,FALSE),"")</f>
        <v>ITZ 12 hr before triazolam</v>
      </c>
      <c r="E8301" s="250" t="str">
        <f>IF(AND(A8301&lt;&gt;"",ISNUMBER(A8301)),VLOOKUP(A8301,Studies!A:BR,5,FALSE),"")</f>
        <v>Itraconazole</v>
      </c>
      <c r="F8301" s="251" t="str">
        <f>IF(AND(A8301&lt;&gt;"",ISNUMBER(A8301)),VLOOKUP(A8301,Studies!A:BR,6,FALSE),"")</f>
        <v>Plasma</v>
      </c>
      <c r="G8301" s="194">
        <v>13.5</v>
      </c>
      <c r="H8301" s="50" t="s">
        <v>60</v>
      </c>
      <c r="I8301" s="187">
        <v>45.23133</v>
      </c>
      <c r="J8301" s="41" t="s">
        <v>941</v>
      </c>
      <c r="K8301" s="41" t="s">
        <v>335</v>
      </c>
      <c r="O8301" s="199"/>
    </row>
    <row r="8302" spans="1:15" x14ac:dyDescent="0.2">
      <c r="A8302" s="30">
        <v>1084</v>
      </c>
      <c r="B8302" s="249" t="str">
        <f>IF(AND(A8302&lt;&gt;"",ISNUMBER(A8302)),VLOOKUP(A8302,Studies!A:BR,2,FALSE),"")</f>
        <v>Neuvonen 1996</v>
      </c>
      <c r="C8302" s="250" t="str">
        <f>IF(AND(A8302&lt;&gt;"",ISNUMBER(A8302)),VLOOKUP(A8302,Studies!A:BR,3,FALSE),"")</f>
        <v>https://www.ncbi.nlm.nih.gov/pubmed/8841155</v>
      </c>
      <c r="D8302" s="250" t="str">
        <f>IF(AND(A8302&lt;&gt;"",ISNUMBER(A8302)),VLOOKUP(A8302,Studies!A:BR,4,FALSE),"")</f>
        <v>ITZ 12 hr before triazolam</v>
      </c>
      <c r="E8302" s="250" t="str">
        <f>IF(AND(A8302&lt;&gt;"",ISNUMBER(A8302)),VLOOKUP(A8302,Studies!A:BR,5,FALSE),"")</f>
        <v>Itraconazole</v>
      </c>
      <c r="F8302" s="251" t="str">
        <f>IF(AND(A8302&lt;&gt;"",ISNUMBER(A8302)),VLOOKUP(A8302,Studies!A:BR,6,FALSE),"")</f>
        <v>Plasma</v>
      </c>
      <c r="G8302" s="194">
        <v>14</v>
      </c>
      <c r="H8302" s="50" t="s">
        <v>60</v>
      </c>
      <c r="I8302" s="187">
        <v>43.871079999999999</v>
      </c>
      <c r="J8302" s="41" t="s">
        <v>941</v>
      </c>
      <c r="K8302" s="41" t="s">
        <v>335</v>
      </c>
      <c r="O8302" s="199"/>
    </row>
    <row r="8303" spans="1:15" x14ac:dyDescent="0.2">
      <c r="A8303" s="30">
        <v>1084</v>
      </c>
      <c r="B8303" s="249" t="str">
        <f>IF(AND(A8303&lt;&gt;"",ISNUMBER(A8303)),VLOOKUP(A8303,Studies!A:BR,2,FALSE),"")</f>
        <v>Neuvonen 1996</v>
      </c>
      <c r="C8303" s="250" t="str">
        <f>IF(AND(A8303&lt;&gt;"",ISNUMBER(A8303)),VLOOKUP(A8303,Studies!A:BR,3,FALSE),"")</f>
        <v>https://www.ncbi.nlm.nih.gov/pubmed/8841155</v>
      </c>
      <c r="D8303" s="250" t="str">
        <f>IF(AND(A8303&lt;&gt;"",ISNUMBER(A8303)),VLOOKUP(A8303,Studies!A:BR,4,FALSE),"")</f>
        <v>ITZ 12 hr before triazolam</v>
      </c>
      <c r="E8303" s="250" t="str">
        <f>IF(AND(A8303&lt;&gt;"",ISNUMBER(A8303)),VLOOKUP(A8303,Studies!A:BR,5,FALSE),"")</f>
        <v>Itraconazole</v>
      </c>
      <c r="F8303" s="251" t="str">
        <f>IF(AND(A8303&lt;&gt;"",ISNUMBER(A8303)),VLOOKUP(A8303,Studies!A:BR,6,FALSE),"")</f>
        <v>Plasma</v>
      </c>
      <c r="G8303" s="194">
        <v>15</v>
      </c>
      <c r="H8303" s="50" t="s">
        <v>60</v>
      </c>
      <c r="I8303" s="187">
        <v>41.508780000000002</v>
      </c>
      <c r="J8303" s="41" t="s">
        <v>941</v>
      </c>
      <c r="K8303" s="41" t="s">
        <v>335</v>
      </c>
      <c r="O8303" s="199"/>
    </row>
    <row r="8304" spans="1:15" x14ac:dyDescent="0.2">
      <c r="A8304" s="30">
        <v>1084</v>
      </c>
      <c r="B8304" s="249" t="str">
        <f>IF(AND(A8304&lt;&gt;"",ISNUMBER(A8304)),VLOOKUP(A8304,Studies!A:BR,2,FALSE),"")</f>
        <v>Neuvonen 1996</v>
      </c>
      <c r="C8304" s="250" t="str">
        <f>IF(AND(A8304&lt;&gt;"",ISNUMBER(A8304)),VLOOKUP(A8304,Studies!A:BR,3,FALSE),"")</f>
        <v>https://www.ncbi.nlm.nih.gov/pubmed/8841155</v>
      </c>
      <c r="D8304" s="250" t="str">
        <f>IF(AND(A8304&lt;&gt;"",ISNUMBER(A8304)),VLOOKUP(A8304,Studies!A:BR,4,FALSE),"")</f>
        <v>ITZ 12 hr before triazolam</v>
      </c>
      <c r="E8304" s="250" t="str">
        <f>IF(AND(A8304&lt;&gt;"",ISNUMBER(A8304)),VLOOKUP(A8304,Studies!A:BR,5,FALSE),"")</f>
        <v>Itraconazole</v>
      </c>
      <c r="F8304" s="251" t="str">
        <f>IF(AND(A8304&lt;&gt;"",ISNUMBER(A8304)),VLOOKUP(A8304,Studies!A:BR,6,FALSE),"")</f>
        <v>Plasma</v>
      </c>
      <c r="G8304" s="194">
        <v>16</v>
      </c>
      <c r="H8304" s="50" t="s">
        <v>60</v>
      </c>
      <c r="I8304" s="187">
        <v>40.892620000000001</v>
      </c>
      <c r="J8304" s="41" t="s">
        <v>941</v>
      </c>
      <c r="K8304" s="41" t="s">
        <v>335</v>
      </c>
      <c r="O8304" s="199"/>
    </row>
    <row r="8305" spans="1:16" x14ac:dyDescent="0.2">
      <c r="A8305" s="30">
        <v>1084</v>
      </c>
      <c r="B8305" s="249" t="str">
        <f>IF(AND(A8305&lt;&gt;"",ISNUMBER(A8305)),VLOOKUP(A8305,Studies!A:BR,2,FALSE),"")</f>
        <v>Neuvonen 1996</v>
      </c>
      <c r="C8305" s="250" t="str">
        <f>IF(AND(A8305&lt;&gt;"",ISNUMBER(A8305)),VLOOKUP(A8305,Studies!A:BR,3,FALSE),"")</f>
        <v>https://www.ncbi.nlm.nih.gov/pubmed/8841155</v>
      </c>
      <c r="D8305" s="250" t="str">
        <f>IF(AND(A8305&lt;&gt;"",ISNUMBER(A8305)),VLOOKUP(A8305,Studies!A:BR,4,FALSE),"")</f>
        <v>ITZ 12 hr before triazolam</v>
      </c>
      <c r="E8305" s="250" t="str">
        <f>IF(AND(A8305&lt;&gt;"",ISNUMBER(A8305)),VLOOKUP(A8305,Studies!A:BR,5,FALSE),"")</f>
        <v>Itraconazole</v>
      </c>
      <c r="F8305" s="251" t="str">
        <f>IF(AND(A8305&lt;&gt;"",ISNUMBER(A8305)),VLOOKUP(A8305,Studies!A:BR,6,FALSE),"")</f>
        <v>Plasma</v>
      </c>
      <c r="G8305" s="194">
        <v>17</v>
      </c>
      <c r="H8305" s="50" t="s">
        <v>60</v>
      </c>
      <c r="I8305" s="187">
        <v>31.8826</v>
      </c>
      <c r="J8305" s="41" t="s">
        <v>941</v>
      </c>
      <c r="K8305" s="41" t="s">
        <v>335</v>
      </c>
      <c r="O8305" s="199"/>
    </row>
    <row r="8306" spans="1:16" x14ac:dyDescent="0.2">
      <c r="A8306" s="30">
        <v>1084</v>
      </c>
      <c r="B8306" s="249" t="str">
        <f>IF(AND(A8306&lt;&gt;"",ISNUMBER(A8306)),VLOOKUP(A8306,Studies!A:BR,2,FALSE),"")</f>
        <v>Neuvonen 1996</v>
      </c>
      <c r="C8306" s="250" t="str">
        <f>IF(AND(A8306&lt;&gt;"",ISNUMBER(A8306)),VLOOKUP(A8306,Studies!A:BR,3,FALSE),"")</f>
        <v>https://www.ncbi.nlm.nih.gov/pubmed/8841155</v>
      </c>
      <c r="D8306" s="250" t="str">
        <f>IF(AND(A8306&lt;&gt;"",ISNUMBER(A8306)),VLOOKUP(A8306,Studies!A:BR,4,FALSE),"")</f>
        <v>ITZ 12 hr before triazolam</v>
      </c>
      <c r="E8306" s="250" t="str">
        <f>IF(AND(A8306&lt;&gt;"",ISNUMBER(A8306)),VLOOKUP(A8306,Studies!A:BR,5,FALSE),"")</f>
        <v>Itraconazole</v>
      </c>
      <c r="F8306" s="251" t="str">
        <f>IF(AND(A8306&lt;&gt;"",ISNUMBER(A8306)),VLOOKUP(A8306,Studies!A:BR,6,FALSE),"")</f>
        <v>Plasma</v>
      </c>
      <c r="G8306" s="194">
        <v>18</v>
      </c>
      <c r="H8306" s="50" t="s">
        <v>60</v>
      </c>
      <c r="I8306" s="187">
        <v>27.07057</v>
      </c>
      <c r="J8306" s="41" t="s">
        <v>941</v>
      </c>
      <c r="K8306" s="41" t="s">
        <v>335</v>
      </c>
      <c r="O8306" s="199"/>
    </row>
    <row r="8307" spans="1:16" x14ac:dyDescent="0.2">
      <c r="A8307" s="30">
        <v>1084</v>
      </c>
      <c r="B8307" s="249" t="str">
        <f>IF(AND(A8307&lt;&gt;"",ISNUMBER(A8307)),VLOOKUP(A8307,Studies!A:BR,2,FALSE),"")</f>
        <v>Neuvonen 1996</v>
      </c>
      <c r="C8307" s="250" t="str">
        <f>IF(AND(A8307&lt;&gt;"",ISNUMBER(A8307)),VLOOKUP(A8307,Studies!A:BR,3,FALSE),"")</f>
        <v>https://www.ncbi.nlm.nih.gov/pubmed/8841155</v>
      </c>
      <c r="D8307" s="250" t="str">
        <f>IF(AND(A8307&lt;&gt;"",ISNUMBER(A8307)),VLOOKUP(A8307,Studies!A:BR,4,FALSE),"")</f>
        <v>ITZ 12 hr before triazolam</v>
      </c>
      <c r="E8307" s="250" t="str">
        <f>IF(AND(A8307&lt;&gt;"",ISNUMBER(A8307)),VLOOKUP(A8307,Studies!A:BR,5,FALSE),"")</f>
        <v>Itraconazole</v>
      </c>
      <c r="F8307" s="251" t="str">
        <f>IF(AND(A8307&lt;&gt;"",ISNUMBER(A8307)),VLOOKUP(A8307,Studies!A:BR,6,FALSE),"")</f>
        <v>Plasma</v>
      </c>
      <c r="G8307" s="194">
        <v>19</v>
      </c>
      <c r="H8307" s="50" t="s">
        <v>60</v>
      </c>
      <c r="I8307" s="187">
        <v>27.848769999999998</v>
      </c>
      <c r="J8307" s="41" t="s">
        <v>941</v>
      </c>
      <c r="K8307" s="41" t="s">
        <v>335</v>
      </c>
      <c r="O8307" s="199"/>
    </row>
    <row r="8308" spans="1:16" x14ac:dyDescent="0.2">
      <c r="A8308" s="30">
        <v>1084</v>
      </c>
      <c r="B8308" s="249" t="str">
        <f>IF(AND(A8308&lt;&gt;"",ISNUMBER(A8308)),VLOOKUP(A8308,Studies!A:BR,2,FALSE),"")</f>
        <v>Neuvonen 1996</v>
      </c>
      <c r="C8308" s="250" t="str">
        <f>IF(AND(A8308&lt;&gt;"",ISNUMBER(A8308)),VLOOKUP(A8308,Studies!A:BR,3,FALSE),"")</f>
        <v>https://www.ncbi.nlm.nih.gov/pubmed/8841155</v>
      </c>
      <c r="D8308" s="250" t="str">
        <f>IF(AND(A8308&lt;&gt;"",ISNUMBER(A8308)),VLOOKUP(A8308,Studies!A:BR,4,FALSE),"")</f>
        <v>ITZ 12 hr before triazolam</v>
      </c>
      <c r="E8308" s="250" t="str">
        <f>IF(AND(A8308&lt;&gt;"",ISNUMBER(A8308)),VLOOKUP(A8308,Studies!A:BR,5,FALSE),"")</f>
        <v>Itraconazole</v>
      </c>
      <c r="F8308" s="251" t="str">
        <f>IF(AND(A8308&lt;&gt;"",ISNUMBER(A8308)),VLOOKUP(A8308,Studies!A:BR,6,FALSE),"")</f>
        <v>Plasma</v>
      </c>
      <c r="G8308" s="194">
        <v>29</v>
      </c>
      <c r="H8308" s="50" t="s">
        <v>60</v>
      </c>
      <c r="I8308" s="187">
        <v>21.678629999999998</v>
      </c>
      <c r="J8308" s="41" t="s">
        <v>941</v>
      </c>
      <c r="K8308" s="41" t="s">
        <v>335</v>
      </c>
      <c r="O8308" s="199"/>
    </row>
    <row r="8309" spans="1:16" x14ac:dyDescent="0.2">
      <c r="A8309" s="30">
        <v>1085</v>
      </c>
      <c r="B8309" s="249" t="str">
        <f>IF(AND(A8309&lt;&gt;"",ISNUMBER(A8309)),VLOOKUP(A8309,Studies!A:BR,2,FALSE),"")</f>
        <v>Neuvonen 1996</v>
      </c>
      <c r="C8309" s="250" t="str">
        <f>IF(AND(A8309&lt;&gt;"",ISNUMBER(A8309)),VLOOKUP(A8309,Studies!A:BR,3,FALSE),"")</f>
        <v>https://www.ncbi.nlm.nih.gov/pubmed/8841155</v>
      </c>
      <c r="D8309" s="250" t="str">
        <f>IF(AND(A8309&lt;&gt;"",ISNUMBER(A8309)),VLOOKUP(A8309,Studies!A:BR,4,FALSE),"")</f>
        <v>ITZ 24 hr before triazolam</v>
      </c>
      <c r="E8309" s="250" t="str">
        <f>IF(AND(A8309&lt;&gt;"",ISNUMBER(A8309)),VLOOKUP(A8309,Studies!A:BR,5,FALSE),"")</f>
        <v>Itraconazole</v>
      </c>
      <c r="F8309" s="251" t="str">
        <f>IF(AND(A8309&lt;&gt;"",ISNUMBER(A8309)),VLOOKUP(A8309,Studies!A:BR,6,FALSE),"")</f>
        <v>Plasma</v>
      </c>
      <c r="G8309" s="194">
        <v>24</v>
      </c>
      <c r="H8309" s="50" t="s">
        <v>60</v>
      </c>
      <c r="I8309" s="187">
        <v>41.608980000000003</v>
      </c>
      <c r="J8309" s="41" t="s">
        <v>941</v>
      </c>
      <c r="K8309" s="41" t="s">
        <v>335</v>
      </c>
      <c r="O8309" s="199"/>
    </row>
    <row r="8310" spans="1:16" x14ac:dyDescent="0.2">
      <c r="A8310" s="30">
        <v>1085</v>
      </c>
      <c r="B8310" s="249" t="str">
        <f>IF(AND(A8310&lt;&gt;"",ISNUMBER(A8310)),VLOOKUP(A8310,Studies!A:BR,2,FALSE),"")</f>
        <v>Neuvonen 1996</v>
      </c>
      <c r="C8310" s="250" t="str">
        <f>IF(AND(A8310&lt;&gt;"",ISNUMBER(A8310)),VLOOKUP(A8310,Studies!A:BR,3,FALSE),"")</f>
        <v>https://www.ncbi.nlm.nih.gov/pubmed/8841155</v>
      </c>
      <c r="D8310" s="250" t="str">
        <f>IF(AND(A8310&lt;&gt;"",ISNUMBER(A8310)),VLOOKUP(A8310,Studies!A:BR,4,FALSE),"")</f>
        <v>ITZ 24 hr before triazolam</v>
      </c>
      <c r="E8310" s="250" t="str">
        <f>IF(AND(A8310&lt;&gt;"",ISNUMBER(A8310)),VLOOKUP(A8310,Studies!A:BR,5,FALSE),"")</f>
        <v>Itraconazole</v>
      </c>
      <c r="F8310" s="251" t="str">
        <f>IF(AND(A8310&lt;&gt;"",ISNUMBER(A8310)),VLOOKUP(A8310,Studies!A:BR,6,FALSE),"")</f>
        <v>Plasma</v>
      </c>
      <c r="G8310" s="194">
        <v>24.5</v>
      </c>
      <c r="H8310" s="50" t="s">
        <v>60</v>
      </c>
      <c r="I8310" s="187">
        <v>39.553690000000003</v>
      </c>
      <c r="J8310" s="41" t="s">
        <v>941</v>
      </c>
      <c r="K8310" s="41" t="s">
        <v>335</v>
      </c>
      <c r="O8310" s="199"/>
    </row>
    <row r="8311" spans="1:16" x14ac:dyDescent="0.2">
      <c r="A8311" s="30">
        <v>1085</v>
      </c>
      <c r="B8311" s="249" t="str">
        <f>IF(AND(A8311&lt;&gt;"",ISNUMBER(A8311)),VLOOKUP(A8311,Studies!A:BR,2,FALSE),"")</f>
        <v>Neuvonen 1996</v>
      </c>
      <c r="C8311" s="250" t="str">
        <f>IF(AND(A8311&lt;&gt;"",ISNUMBER(A8311)),VLOOKUP(A8311,Studies!A:BR,3,FALSE),"")</f>
        <v>https://www.ncbi.nlm.nih.gov/pubmed/8841155</v>
      </c>
      <c r="D8311" s="250" t="str">
        <f>IF(AND(A8311&lt;&gt;"",ISNUMBER(A8311)),VLOOKUP(A8311,Studies!A:BR,4,FALSE),"")</f>
        <v>ITZ 24 hr before triazolam</v>
      </c>
      <c r="E8311" s="250" t="str">
        <f>IF(AND(A8311&lt;&gt;"",ISNUMBER(A8311)),VLOOKUP(A8311,Studies!A:BR,5,FALSE),"")</f>
        <v>Itraconazole</v>
      </c>
      <c r="F8311" s="251" t="str">
        <f>IF(AND(A8311&lt;&gt;"",ISNUMBER(A8311)),VLOOKUP(A8311,Studies!A:BR,6,FALSE),"")</f>
        <v>Plasma</v>
      </c>
      <c r="G8311" s="194">
        <v>25</v>
      </c>
      <c r="H8311" s="50" t="s">
        <v>60</v>
      </c>
      <c r="I8311" s="187">
        <v>37.84592</v>
      </c>
      <c r="J8311" s="41" t="s">
        <v>941</v>
      </c>
      <c r="K8311" s="41" t="s">
        <v>335</v>
      </c>
      <c r="O8311" s="199"/>
    </row>
    <row r="8312" spans="1:16" x14ac:dyDescent="0.2">
      <c r="A8312" s="30">
        <v>1085</v>
      </c>
      <c r="B8312" s="249" t="str">
        <f>IF(AND(A8312&lt;&gt;"",ISNUMBER(A8312)),VLOOKUP(A8312,Studies!A:BR,2,FALSE),"")</f>
        <v>Neuvonen 1996</v>
      </c>
      <c r="C8312" s="250" t="str">
        <f>IF(AND(A8312&lt;&gt;"",ISNUMBER(A8312)),VLOOKUP(A8312,Studies!A:BR,3,FALSE),"")</f>
        <v>https://www.ncbi.nlm.nih.gov/pubmed/8841155</v>
      </c>
      <c r="D8312" s="250" t="str">
        <f>IF(AND(A8312&lt;&gt;"",ISNUMBER(A8312)),VLOOKUP(A8312,Studies!A:BR,4,FALSE),"")</f>
        <v>ITZ 24 hr before triazolam</v>
      </c>
      <c r="E8312" s="250" t="str">
        <f>IF(AND(A8312&lt;&gt;"",ISNUMBER(A8312)),VLOOKUP(A8312,Studies!A:BR,5,FALSE),"")</f>
        <v>Itraconazole</v>
      </c>
      <c r="F8312" s="251" t="str">
        <f>IF(AND(A8312&lt;&gt;"",ISNUMBER(A8312)),VLOOKUP(A8312,Studies!A:BR,6,FALSE),"")</f>
        <v>Plasma</v>
      </c>
      <c r="G8312" s="194">
        <v>25.5</v>
      </c>
      <c r="H8312" s="50" t="s">
        <v>60</v>
      </c>
      <c r="I8312" s="187">
        <v>40.336150000000004</v>
      </c>
      <c r="J8312" s="41" t="s">
        <v>941</v>
      </c>
      <c r="K8312" s="41" t="s">
        <v>335</v>
      </c>
      <c r="O8312" s="199"/>
    </row>
    <row r="8313" spans="1:16" x14ac:dyDescent="0.2">
      <c r="A8313" s="30">
        <v>1085</v>
      </c>
      <c r="B8313" s="249" t="str">
        <f>IF(AND(A8313&lt;&gt;"",ISNUMBER(A8313)),VLOOKUP(A8313,Studies!A:BR,2,FALSE),"")</f>
        <v>Neuvonen 1996</v>
      </c>
      <c r="C8313" s="250" t="str">
        <f>IF(AND(A8313&lt;&gt;"",ISNUMBER(A8313)),VLOOKUP(A8313,Studies!A:BR,3,FALSE),"")</f>
        <v>https://www.ncbi.nlm.nih.gov/pubmed/8841155</v>
      </c>
      <c r="D8313" s="250" t="str">
        <f>IF(AND(A8313&lt;&gt;"",ISNUMBER(A8313)),VLOOKUP(A8313,Studies!A:BR,4,FALSE),"")</f>
        <v>ITZ 24 hr before triazolam</v>
      </c>
      <c r="E8313" s="250" t="str">
        <f>IF(AND(A8313&lt;&gt;"",ISNUMBER(A8313)),VLOOKUP(A8313,Studies!A:BR,5,FALSE),"")</f>
        <v>Itraconazole</v>
      </c>
      <c r="F8313" s="251" t="str">
        <f>IF(AND(A8313&lt;&gt;"",ISNUMBER(A8313)),VLOOKUP(A8313,Studies!A:BR,6,FALSE),"")</f>
        <v>Plasma</v>
      </c>
      <c r="G8313" s="194">
        <v>26</v>
      </c>
      <c r="H8313" s="50" t="s">
        <v>60</v>
      </c>
      <c r="I8313" s="187">
        <v>39.327689999999997</v>
      </c>
      <c r="J8313" s="41" t="s">
        <v>941</v>
      </c>
      <c r="K8313" s="41" t="s">
        <v>335</v>
      </c>
      <c r="O8313" s="199"/>
    </row>
    <row r="8314" spans="1:16" x14ac:dyDescent="0.2">
      <c r="A8314" s="30">
        <v>1085</v>
      </c>
      <c r="B8314" s="249" t="str">
        <f>IF(AND(A8314&lt;&gt;"",ISNUMBER(A8314)),VLOOKUP(A8314,Studies!A:BR,2,FALSE),"")</f>
        <v>Neuvonen 1996</v>
      </c>
      <c r="C8314" s="250" t="str">
        <f>IF(AND(A8314&lt;&gt;"",ISNUMBER(A8314)),VLOOKUP(A8314,Studies!A:BR,3,FALSE),"")</f>
        <v>https://www.ncbi.nlm.nih.gov/pubmed/8841155</v>
      </c>
      <c r="D8314" s="250" t="str">
        <f>IF(AND(A8314&lt;&gt;"",ISNUMBER(A8314)),VLOOKUP(A8314,Studies!A:BR,4,FALSE),"")</f>
        <v>ITZ 24 hr before triazolam</v>
      </c>
      <c r="E8314" s="250" t="str">
        <f>IF(AND(A8314&lt;&gt;"",ISNUMBER(A8314)),VLOOKUP(A8314,Studies!A:BR,5,FALSE),"")</f>
        <v>Itraconazole</v>
      </c>
      <c r="F8314" s="251" t="str">
        <f>IF(AND(A8314&lt;&gt;"",ISNUMBER(A8314)),VLOOKUP(A8314,Studies!A:BR,6,FALSE),"")</f>
        <v>Plasma</v>
      </c>
      <c r="G8314" s="194">
        <v>27</v>
      </c>
      <c r="H8314" s="50" t="s">
        <v>60</v>
      </c>
      <c r="I8314" s="187">
        <v>38.010089999999998</v>
      </c>
      <c r="J8314" s="41" t="s">
        <v>941</v>
      </c>
      <c r="K8314" s="41" t="s">
        <v>335</v>
      </c>
      <c r="O8314" s="199"/>
    </row>
    <row r="8315" spans="1:16" x14ac:dyDescent="0.2">
      <c r="A8315" s="30">
        <v>1085</v>
      </c>
      <c r="B8315" s="249" t="str">
        <f>IF(AND(A8315&lt;&gt;"",ISNUMBER(A8315)),VLOOKUP(A8315,Studies!A:BR,2,FALSE),"")</f>
        <v>Neuvonen 1996</v>
      </c>
      <c r="C8315" s="250" t="str">
        <f>IF(AND(A8315&lt;&gt;"",ISNUMBER(A8315)),VLOOKUP(A8315,Studies!A:BR,3,FALSE),"")</f>
        <v>https://www.ncbi.nlm.nih.gov/pubmed/8841155</v>
      </c>
      <c r="D8315" s="250" t="str">
        <f>IF(AND(A8315&lt;&gt;"",ISNUMBER(A8315)),VLOOKUP(A8315,Studies!A:BR,4,FALSE),"")</f>
        <v>ITZ 24 hr before triazolam</v>
      </c>
      <c r="E8315" s="250" t="str">
        <f>IF(AND(A8315&lt;&gt;"",ISNUMBER(A8315)),VLOOKUP(A8315,Studies!A:BR,5,FALSE),"")</f>
        <v>Itraconazole</v>
      </c>
      <c r="F8315" s="251" t="str">
        <f>IF(AND(A8315&lt;&gt;"",ISNUMBER(A8315)),VLOOKUP(A8315,Studies!A:BR,6,FALSE),"")</f>
        <v>Plasma</v>
      </c>
      <c r="G8315" s="194">
        <v>28</v>
      </c>
      <c r="H8315" s="50" t="s">
        <v>60</v>
      </c>
      <c r="I8315" s="187">
        <v>38.442900000000002</v>
      </c>
      <c r="J8315" s="41" t="s">
        <v>941</v>
      </c>
      <c r="K8315" s="41" t="s">
        <v>335</v>
      </c>
      <c r="O8315" s="199"/>
    </row>
    <row r="8316" spans="1:16" x14ac:dyDescent="0.2">
      <c r="A8316" s="30">
        <v>1085</v>
      </c>
      <c r="B8316" s="249" t="str">
        <f>IF(AND(A8316&lt;&gt;"",ISNUMBER(A8316)),VLOOKUP(A8316,Studies!A:BR,2,FALSE),"")</f>
        <v>Neuvonen 1996</v>
      </c>
      <c r="C8316" s="250" t="str">
        <f>IF(AND(A8316&lt;&gt;"",ISNUMBER(A8316)),VLOOKUP(A8316,Studies!A:BR,3,FALSE),"")</f>
        <v>https://www.ncbi.nlm.nih.gov/pubmed/8841155</v>
      </c>
      <c r="D8316" s="250" t="str">
        <f>IF(AND(A8316&lt;&gt;"",ISNUMBER(A8316)),VLOOKUP(A8316,Studies!A:BR,4,FALSE),"")</f>
        <v>ITZ 24 hr before triazolam</v>
      </c>
      <c r="E8316" s="250" t="str">
        <f>IF(AND(A8316&lt;&gt;"",ISNUMBER(A8316)),VLOOKUP(A8316,Studies!A:BR,5,FALSE),"")</f>
        <v>Itraconazole</v>
      </c>
      <c r="F8316" s="251" t="str">
        <f>IF(AND(A8316&lt;&gt;"",ISNUMBER(A8316)),VLOOKUP(A8316,Studies!A:BR,6,FALSE),"")</f>
        <v>Plasma</v>
      </c>
      <c r="G8316" s="194">
        <v>29</v>
      </c>
      <c r="H8316" s="50" t="s">
        <v>60</v>
      </c>
      <c r="I8316" s="187">
        <v>32.232250000000001</v>
      </c>
      <c r="J8316" s="41" t="s">
        <v>941</v>
      </c>
      <c r="K8316" s="41" t="s">
        <v>335</v>
      </c>
      <c r="O8316" s="199"/>
    </row>
    <row r="8317" spans="1:16" x14ac:dyDescent="0.2">
      <c r="A8317" s="30">
        <v>1085</v>
      </c>
      <c r="B8317" s="249" t="str">
        <f>IF(AND(A8317&lt;&gt;"",ISNUMBER(A8317)),VLOOKUP(A8317,Studies!A:BR,2,FALSE),"")</f>
        <v>Neuvonen 1996</v>
      </c>
      <c r="C8317" s="250" t="str">
        <f>IF(AND(A8317&lt;&gt;"",ISNUMBER(A8317)),VLOOKUP(A8317,Studies!A:BR,3,FALSE),"")</f>
        <v>https://www.ncbi.nlm.nih.gov/pubmed/8841155</v>
      </c>
      <c r="D8317" s="250" t="str">
        <f>IF(AND(A8317&lt;&gt;"",ISNUMBER(A8317)),VLOOKUP(A8317,Studies!A:BR,4,FALSE),"")</f>
        <v>ITZ 24 hr before triazolam</v>
      </c>
      <c r="E8317" s="250" t="str">
        <f>IF(AND(A8317&lt;&gt;"",ISNUMBER(A8317)),VLOOKUP(A8317,Studies!A:BR,5,FALSE),"")</f>
        <v>Itraconazole</v>
      </c>
      <c r="F8317" s="251" t="str">
        <f>IF(AND(A8317&lt;&gt;"",ISNUMBER(A8317)),VLOOKUP(A8317,Studies!A:BR,6,FALSE),"")</f>
        <v>Plasma</v>
      </c>
      <c r="G8317" s="194">
        <v>30</v>
      </c>
      <c r="H8317" s="50" t="s">
        <v>60</v>
      </c>
      <c r="I8317" s="187">
        <v>27.418089999999999</v>
      </c>
      <c r="J8317" s="41" t="s">
        <v>941</v>
      </c>
      <c r="K8317" s="41" t="s">
        <v>335</v>
      </c>
    </row>
    <row r="8318" spans="1:16" x14ac:dyDescent="0.2">
      <c r="A8318" s="30">
        <v>1085</v>
      </c>
      <c r="B8318" s="249" t="str">
        <f>IF(AND(A8318&lt;&gt;"",ISNUMBER(A8318)),VLOOKUP(A8318,Studies!A:BR,2,FALSE),"")</f>
        <v>Neuvonen 1996</v>
      </c>
      <c r="C8318" s="250" t="str">
        <f>IF(AND(A8318&lt;&gt;"",ISNUMBER(A8318)),VLOOKUP(A8318,Studies!A:BR,3,FALSE),"")</f>
        <v>https://www.ncbi.nlm.nih.gov/pubmed/8841155</v>
      </c>
      <c r="D8318" s="250" t="str">
        <f>IF(AND(A8318&lt;&gt;"",ISNUMBER(A8318)),VLOOKUP(A8318,Studies!A:BR,4,FALSE),"")</f>
        <v>ITZ 24 hr before triazolam</v>
      </c>
      <c r="E8318" s="250" t="str">
        <f>IF(AND(A8318&lt;&gt;"",ISNUMBER(A8318)),VLOOKUP(A8318,Studies!A:BR,5,FALSE),"")</f>
        <v>Itraconazole</v>
      </c>
      <c r="F8318" s="251" t="str">
        <f>IF(AND(A8318&lt;&gt;"",ISNUMBER(A8318)),VLOOKUP(A8318,Studies!A:BR,6,FALSE),"")</f>
        <v>Plasma</v>
      </c>
      <c r="G8318" s="194">
        <v>31</v>
      </c>
      <c r="H8318" s="50" t="s">
        <v>60</v>
      </c>
      <c r="I8318" s="187">
        <v>28.20055</v>
      </c>
      <c r="J8318" s="41" t="s">
        <v>941</v>
      </c>
      <c r="K8318" s="41" t="s">
        <v>335</v>
      </c>
    </row>
    <row r="8319" spans="1:16" x14ac:dyDescent="0.2">
      <c r="A8319" s="30">
        <v>1085</v>
      </c>
      <c r="B8319" s="249" t="str">
        <f>IF(AND(A8319&lt;&gt;"",ISNUMBER(A8319)),VLOOKUP(A8319,Studies!A:BR,2,FALSE),"")</f>
        <v>Neuvonen 1996</v>
      </c>
      <c r="C8319" s="250" t="str">
        <f>IF(AND(A8319&lt;&gt;"",ISNUMBER(A8319)),VLOOKUP(A8319,Studies!A:BR,3,FALSE),"")</f>
        <v>https://www.ncbi.nlm.nih.gov/pubmed/8841155</v>
      </c>
      <c r="D8319" s="250" t="str">
        <f>IF(AND(A8319&lt;&gt;"",ISNUMBER(A8319)),VLOOKUP(A8319,Studies!A:BR,4,FALSE),"")</f>
        <v>ITZ 24 hr before triazolam</v>
      </c>
      <c r="E8319" s="250" t="str">
        <f>IF(AND(A8319&lt;&gt;"",ISNUMBER(A8319)),VLOOKUP(A8319,Studies!A:BR,5,FALSE),"")</f>
        <v>Itraconazole</v>
      </c>
      <c r="F8319" s="251" t="str">
        <f>IF(AND(A8319&lt;&gt;"",ISNUMBER(A8319)),VLOOKUP(A8319,Studies!A:BR,6,FALSE),"")</f>
        <v>Plasma</v>
      </c>
      <c r="G8319" s="194">
        <v>41</v>
      </c>
      <c r="H8319" s="50" t="s">
        <v>60</v>
      </c>
      <c r="I8319" s="187">
        <v>23.075119999999998</v>
      </c>
      <c r="J8319" s="41" t="s">
        <v>941</v>
      </c>
      <c r="K8319" s="41" t="s">
        <v>335</v>
      </c>
    </row>
    <row r="8320" spans="1:16" x14ac:dyDescent="0.2">
      <c r="A8320" s="30">
        <v>1086</v>
      </c>
      <c r="B8320" s="249" t="str">
        <f>IF(AND(A8320&lt;&gt;"",ISNUMBER(A8320)),VLOOKUP(A8320,Studies!A:BR,2,FALSE),"")</f>
        <v>Lam 2003</v>
      </c>
      <c r="C8320" s="250" t="str">
        <f>IF(AND(A8320&lt;&gt;"",ISNUMBER(A8320)),VLOOKUP(A8320,Studies!A:BR,3,FALSE),"")</f>
        <v>https://www.ncbi.nlm.nih.gov/pubmed/14551182</v>
      </c>
      <c r="D8320" s="250" t="str">
        <f>IF(AND(A8320&lt;&gt;"",ISNUMBER(A8320)),VLOOKUP(A8320,Studies!A:BR,4,FALSE),"")</f>
        <v>Midazolam before Ketoconazole</v>
      </c>
      <c r="E8320" s="250" t="str">
        <f>IF(AND(A8320&lt;&gt;"",ISNUMBER(A8320)),VLOOKUP(A8320,Studies!A:BR,5,FALSE),"")</f>
        <v>Midazolam</v>
      </c>
      <c r="F8320" s="251" t="str">
        <f>IF(AND(A8320&lt;&gt;"",ISNUMBER(A8320)),VLOOKUP(A8320,Studies!A:BR,6,FALSE),"")</f>
        <v>Plasma</v>
      </c>
      <c r="G8320" s="194">
        <v>0.5</v>
      </c>
      <c r="H8320" s="50" t="s">
        <v>60</v>
      </c>
      <c r="I8320" s="187">
        <v>53.835599999999999</v>
      </c>
      <c r="J8320" s="41" t="s">
        <v>941</v>
      </c>
      <c r="K8320" s="41" t="s">
        <v>335</v>
      </c>
      <c r="P8320" s="42" t="s">
        <v>2624</v>
      </c>
    </row>
    <row r="8321" spans="1:11" x14ac:dyDescent="0.2">
      <c r="A8321" s="30">
        <v>1086</v>
      </c>
      <c r="B8321" s="249" t="str">
        <f>IF(AND(A8321&lt;&gt;"",ISNUMBER(A8321)),VLOOKUP(A8321,Studies!A:BR,2,FALSE),"")</f>
        <v>Lam 2003</v>
      </c>
      <c r="C8321" s="250" t="str">
        <f>IF(AND(A8321&lt;&gt;"",ISNUMBER(A8321)),VLOOKUP(A8321,Studies!A:BR,3,FALSE),"")</f>
        <v>https://www.ncbi.nlm.nih.gov/pubmed/14551182</v>
      </c>
      <c r="D8321" s="250" t="str">
        <f>IF(AND(A8321&lt;&gt;"",ISNUMBER(A8321)),VLOOKUP(A8321,Studies!A:BR,4,FALSE),"")</f>
        <v>Midazolam before Ketoconazole</v>
      </c>
      <c r="E8321" s="250" t="str">
        <f>IF(AND(A8321&lt;&gt;"",ISNUMBER(A8321)),VLOOKUP(A8321,Studies!A:BR,5,FALSE),"")</f>
        <v>Midazolam</v>
      </c>
      <c r="F8321" s="251" t="str">
        <f>IF(AND(A8321&lt;&gt;"",ISNUMBER(A8321)),VLOOKUP(A8321,Studies!A:BR,6,FALSE),"")</f>
        <v>Plasma</v>
      </c>
      <c r="G8321" s="194">
        <v>1</v>
      </c>
      <c r="H8321" s="50" t="s">
        <v>60</v>
      </c>
      <c r="I8321" s="187">
        <v>33.825600000000001</v>
      </c>
      <c r="J8321" s="41" t="s">
        <v>941</v>
      </c>
      <c r="K8321" s="41" t="s">
        <v>335</v>
      </c>
    </row>
    <row r="8322" spans="1:11" x14ac:dyDescent="0.2">
      <c r="A8322" s="30">
        <v>1086</v>
      </c>
      <c r="B8322" s="249" t="str">
        <f>IF(AND(A8322&lt;&gt;"",ISNUMBER(A8322)),VLOOKUP(A8322,Studies!A:BR,2,FALSE),"")</f>
        <v>Lam 2003</v>
      </c>
      <c r="C8322" s="250" t="str">
        <f>IF(AND(A8322&lt;&gt;"",ISNUMBER(A8322)),VLOOKUP(A8322,Studies!A:BR,3,FALSE),"")</f>
        <v>https://www.ncbi.nlm.nih.gov/pubmed/14551182</v>
      </c>
      <c r="D8322" s="250" t="str">
        <f>IF(AND(A8322&lt;&gt;"",ISNUMBER(A8322)),VLOOKUP(A8322,Studies!A:BR,4,FALSE),"")</f>
        <v>Midazolam before Ketoconazole</v>
      </c>
      <c r="E8322" s="250" t="str">
        <f>IF(AND(A8322&lt;&gt;"",ISNUMBER(A8322)),VLOOKUP(A8322,Studies!A:BR,5,FALSE),"")</f>
        <v>Midazolam</v>
      </c>
      <c r="F8322" s="251" t="str">
        <f>IF(AND(A8322&lt;&gt;"",ISNUMBER(A8322)),VLOOKUP(A8322,Studies!A:BR,6,FALSE),"")</f>
        <v>Plasma</v>
      </c>
      <c r="G8322" s="194">
        <v>1.5</v>
      </c>
      <c r="H8322" s="50" t="s">
        <v>60</v>
      </c>
      <c r="I8322" s="187">
        <v>28.68356</v>
      </c>
      <c r="J8322" s="41" t="s">
        <v>941</v>
      </c>
      <c r="K8322" s="41" t="s">
        <v>335</v>
      </c>
    </row>
    <row r="8323" spans="1:11" x14ac:dyDescent="0.2">
      <c r="A8323" s="30">
        <v>1086</v>
      </c>
      <c r="B8323" s="249" t="str">
        <f>IF(AND(A8323&lt;&gt;"",ISNUMBER(A8323)),VLOOKUP(A8323,Studies!A:BR,2,FALSE),"")</f>
        <v>Lam 2003</v>
      </c>
      <c r="C8323" s="250" t="str">
        <f>IF(AND(A8323&lt;&gt;"",ISNUMBER(A8323)),VLOOKUP(A8323,Studies!A:BR,3,FALSE),"")</f>
        <v>https://www.ncbi.nlm.nih.gov/pubmed/14551182</v>
      </c>
      <c r="D8323" s="250" t="str">
        <f>IF(AND(A8323&lt;&gt;"",ISNUMBER(A8323)),VLOOKUP(A8323,Studies!A:BR,4,FALSE),"")</f>
        <v>Midazolam before Ketoconazole</v>
      </c>
      <c r="E8323" s="250" t="str">
        <f>IF(AND(A8323&lt;&gt;"",ISNUMBER(A8323)),VLOOKUP(A8323,Studies!A:BR,5,FALSE),"")</f>
        <v>Midazolam</v>
      </c>
      <c r="F8323" s="251" t="str">
        <f>IF(AND(A8323&lt;&gt;"",ISNUMBER(A8323)),VLOOKUP(A8323,Studies!A:BR,6,FALSE),"")</f>
        <v>Plasma</v>
      </c>
      <c r="G8323" s="194">
        <v>2</v>
      </c>
      <c r="H8323" s="50" t="s">
        <v>60</v>
      </c>
      <c r="I8323" s="187">
        <v>21.493770000000001</v>
      </c>
      <c r="J8323" s="41" t="s">
        <v>941</v>
      </c>
      <c r="K8323" s="41" t="s">
        <v>335</v>
      </c>
    </row>
    <row r="8324" spans="1:11" x14ac:dyDescent="0.2">
      <c r="A8324" s="30">
        <v>1086</v>
      </c>
      <c r="B8324" s="249" t="str">
        <f>IF(AND(A8324&lt;&gt;"",ISNUMBER(A8324)),VLOOKUP(A8324,Studies!A:BR,2,FALSE),"")</f>
        <v>Lam 2003</v>
      </c>
      <c r="C8324" s="250" t="str">
        <f>IF(AND(A8324&lt;&gt;"",ISNUMBER(A8324)),VLOOKUP(A8324,Studies!A:BR,3,FALSE),"")</f>
        <v>https://www.ncbi.nlm.nih.gov/pubmed/14551182</v>
      </c>
      <c r="D8324" s="250" t="str">
        <f>IF(AND(A8324&lt;&gt;"",ISNUMBER(A8324)),VLOOKUP(A8324,Studies!A:BR,4,FALSE),"")</f>
        <v>Midazolam before Ketoconazole</v>
      </c>
      <c r="E8324" s="250" t="str">
        <f>IF(AND(A8324&lt;&gt;"",ISNUMBER(A8324)),VLOOKUP(A8324,Studies!A:BR,5,FALSE),"")</f>
        <v>Midazolam</v>
      </c>
      <c r="F8324" s="251" t="str">
        <f>IF(AND(A8324&lt;&gt;"",ISNUMBER(A8324)),VLOOKUP(A8324,Studies!A:BR,6,FALSE),"")</f>
        <v>Plasma</v>
      </c>
      <c r="G8324" s="194">
        <v>4</v>
      </c>
      <c r="H8324" s="50" t="s">
        <v>60</v>
      </c>
      <c r="I8324" s="187">
        <v>9.6584769999999995</v>
      </c>
      <c r="J8324" s="41" t="s">
        <v>941</v>
      </c>
      <c r="K8324" s="41" t="s">
        <v>335</v>
      </c>
    </row>
    <row r="8325" spans="1:11" x14ac:dyDescent="0.2">
      <c r="A8325" s="30">
        <v>1086</v>
      </c>
      <c r="B8325" s="249" t="str">
        <f>IF(AND(A8325&lt;&gt;"",ISNUMBER(A8325)),VLOOKUP(A8325,Studies!A:BR,2,FALSE),"")</f>
        <v>Lam 2003</v>
      </c>
      <c r="C8325" s="250" t="str">
        <f>IF(AND(A8325&lt;&gt;"",ISNUMBER(A8325)),VLOOKUP(A8325,Studies!A:BR,3,FALSE),"")</f>
        <v>https://www.ncbi.nlm.nih.gov/pubmed/14551182</v>
      </c>
      <c r="D8325" s="250" t="str">
        <f>IF(AND(A8325&lt;&gt;"",ISNUMBER(A8325)),VLOOKUP(A8325,Studies!A:BR,4,FALSE),"")</f>
        <v>Midazolam before Ketoconazole</v>
      </c>
      <c r="E8325" s="250" t="str">
        <f>IF(AND(A8325&lt;&gt;"",ISNUMBER(A8325)),VLOOKUP(A8325,Studies!A:BR,5,FALSE),"")</f>
        <v>Midazolam</v>
      </c>
      <c r="F8325" s="251" t="str">
        <f>IF(AND(A8325&lt;&gt;"",ISNUMBER(A8325)),VLOOKUP(A8325,Studies!A:BR,6,FALSE),"")</f>
        <v>Plasma</v>
      </c>
      <c r="G8325" s="194">
        <v>8</v>
      </c>
      <c r="H8325" s="50" t="s">
        <v>60</v>
      </c>
      <c r="I8325" s="187">
        <v>5.4722840000000001</v>
      </c>
      <c r="J8325" s="41" t="s">
        <v>941</v>
      </c>
      <c r="K8325" s="41" t="s">
        <v>335</v>
      </c>
    </row>
    <row r="8326" spans="1:11" x14ac:dyDescent="0.2">
      <c r="A8326" s="30">
        <v>1087</v>
      </c>
      <c r="B8326" s="249" t="str">
        <f>IF(AND(A8326&lt;&gt;"",ISNUMBER(A8326)),VLOOKUP(A8326,Studies!A:BR,2,FALSE),"")</f>
        <v>Lam 2003</v>
      </c>
      <c r="C8326" s="250" t="str">
        <f>IF(AND(A8326&lt;&gt;"",ISNUMBER(A8326)),VLOOKUP(A8326,Studies!A:BR,3,FALSE),"")</f>
        <v>https://www.ncbi.nlm.nih.gov/pubmed/14551182</v>
      </c>
      <c r="D8326" s="250" t="str">
        <f>IF(AND(A8326&lt;&gt;"",ISNUMBER(A8326)),VLOOKUP(A8326,Studies!A:BR,4,FALSE),"")</f>
        <v>Midazolam after Ketoconazole</v>
      </c>
      <c r="E8326" s="250" t="str">
        <f>IF(AND(A8326&lt;&gt;"",ISNUMBER(A8326)),VLOOKUP(A8326,Studies!A:BR,5,FALSE),"")</f>
        <v>Midazolam</v>
      </c>
      <c r="F8326" s="251" t="str">
        <f>IF(AND(A8326&lt;&gt;"",ISNUMBER(A8326)),VLOOKUP(A8326,Studies!A:BR,6,FALSE),"")</f>
        <v>Plasma</v>
      </c>
      <c r="G8326" s="194">
        <v>265</v>
      </c>
      <c r="H8326" s="50" t="s">
        <v>60</v>
      </c>
      <c r="I8326" s="187">
        <v>0</v>
      </c>
      <c r="J8326" s="41" t="s">
        <v>941</v>
      </c>
      <c r="K8326" s="41" t="s">
        <v>335</v>
      </c>
    </row>
    <row r="8327" spans="1:11" x14ac:dyDescent="0.2">
      <c r="A8327" s="30">
        <v>1087</v>
      </c>
      <c r="B8327" s="249" t="str">
        <f>IF(AND(A8327&lt;&gt;"",ISNUMBER(A8327)),VLOOKUP(A8327,Studies!A:BR,2,FALSE),"")</f>
        <v>Lam 2003</v>
      </c>
      <c r="C8327" s="250" t="str">
        <f>IF(AND(A8327&lt;&gt;"",ISNUMBER(A8327)),VLOOKUP(A8327,Studies!A:BR,3,FALSE),"")</f>
        <v>https://www.ncbi.nlm.nih.gov/pubmed/14551182</v>
      </c>
      <c r="D8327" s="250" t="str">
        <f>IF(AND(A8327&lt;&gt;"",ISNUMBER(A8327)),VLOOKUP(A8327,Studies!A:BR,4,FALSE),"")</f>
        <v>Midazolam after Ketoconazole</v>
      </c>
      <c r="E8327" s="250" t="str">
        <f>IF(AND(A8327&lt;&gt;"",ISNUMBER(A8327)),VLOOKUP(A8327,Studies!A:BR,5,FALSE),"")</f>
        <v>Midazolam</v>
      </c>
      <c r="F8327" s="251" t="str">
        <f>IF(AND(A8327&lt;&gt;"",ISNUMBER(A8327)),VLOOKUP(A8327,Studies!A:BR,6,FALSE),"")</f>
        <v>Plasma</v>
      </c>
      <c r="G8327" s="194">
        <v>265.25</v>
      </c>
      <c r="H8327" s="50" t="s">
        <v>60</v>
      </c>
      <c r="I8327" s="187">
        <v>145.63419999999999</v>
      </c>
      <c r="J8327" s="41" t="s">
        <v>941</v>
      </c>
      <c r="K8327" s="41" t="s">
        <v>335</v>
      </c>
    </row>
    <row r="8328" spans="1:11" x14ac:dyDescent="0.2">
      <c r="A8328" s="30">
        <v>1087</v>
      </c>
      <c r="B8328" s="249" t="str">
        <f>IF(AND(A8328&lt;&gt;"",ISNUMBER(A8328)),VLOOKUP(A8328,Studies!A:BR,2,FALSE),"")</f>
        <v>Lam 2003</v>
      </c>
      <c r="C8328" s="250" t="str">
        <f>IF(AND(A8328&lt;&gt;"",ISNUMBER(A8328)),VLOOKUP(A8328,Studies!A:BR,3,FALSE),"")</f>
        <v>https://www.ncbi.nlm.nih.gov/pubmed/14551182</v>
      </c>
      <c r="D8328" s="250" t="str">
        <f>IF(AND(A8328&lt;&gt;"",ISNUMBER(A8328)),VLOOKUP(A8328,Studies!A:BR,4,FALSE),"")</f>
        <v>Midazolam after Ketoconazole</v>
      </c>
      <c r="E8328" s="250" t="str">
        <f>IF(AND(A8328&lt;&gt;"",ISNUMBER(A8328)),VLOOKUP(A8328,Studies!A:BR,5,FALSE),"")</f>
        <v>Midazolam</v>
      </c>
      <c r="F8328" s="251" t="str">
        <f>IF(AND(A8328&lt;&gt;"",ISNUMBER(A8328)),VLOOKUP(A8328,Studies!A:BR,6,FALSE),"")</f>
        <v>Plasma</v>
      </c>
      <c r="G8328" s="194">
        <v>265.5</v>
      </c>
      <c r="H8328" s="50" t="s">
        <v>60</v>
      </c>
      <c r="I8328" s="187">
        <v>170.756</v>
      </c>
      <c r="J8328" s="41" t="s">
        <v>941</v>
      </c>
      <c r="K8328" s="41" t="s">
        <v>335</v>
      </c>
    </row>
    <row r="8329" spans="1:11" x14ac:dyDescent="0.2">
      <c r="A8329" s="30">
        <v>1087</v>
      </c>
      <c r="B8329" s="249" t="str">
        <f>IF(AND(A8329&lt;&gt;"",ISNUMBER(A8329)),VLOOKUP(A8329,Studies!A:BR,2,FALSE),"")</f>
        <v>Lam 2003</v>
      </c>
      <c r="C8329" s="250" t="str">
        <f>IF(AND(A8329&lt;&gt;"",ISNUMBER(A8329)),VLOOKUP(A8329,Studies!A:BR,3,FALSE),"")</f>
        <v>https://www.ncbi.nlm.nih.gov/pubmed/14551182</v>
      </c>
      <c r="D8329" s="250" t="str">
        <f>IF(AND(A8329&lt;&gt;"",ISNUMBER(A8329)),VLOOKUP(A8329,Studies!A:BR,4,FALSE),"")</f>
        <v>Midazolam after Ketoconazole</v>
      </c>
      <c r="E8329" s="250" t="str">
        <f>IF(AND(A8329&lt;&gt;"",ISNUMBER(A8329)),VLOOKUP(A8329,Studies!A:BR,5,FALSE),"")</f>
        <v>Midazolam</v>
      </c>
      <c r="F8329" s="251" t="str">
        <f>IF(AND(A8329&lt;&gt;"",ISNUMBER(A8329)),VLOOKUP(A8329,Studies!A:BR,6,FALSE),"")</f>
        <v>Plasma</v>
      </c>
      <c r="G8329" s="194">
        <v>266</v>
      </c>
      <c r="H8329" s="50" t="s">
        <v>60</v>
      </c>
      <c r="I8329" s="187">
        <v>123.05549999999999</v>
      </c>
      <c r="J8329" s="41" t="s">
        <v>941</v>
      </c>
      <c r="K8329" s="41" t="s">
        <v>335</v>
      </c>
    </row>
    <row r="8330" spans="1:11" x14ac:dyDescent="0.2">
      <c r="A8330" s="30">
        <v>1087</v>
      </c>
      <c r="B8330" s="249" t="str">
        <f>IF(AND(A8330&lt;&gt;"",ISNUMBER(A8330)),VLOOKUP(A8330,Studies!A:BR,2,FALSE),"")</f>
        <v>Lam 2003</v>
      </c>
      <c r="C8330" s="250" t="str">
        <f>IF(AND(A8330&lt;&gt;"",ISNUMBER(A8330)),VLOOKUP(A8330,Studies!A:BR,3,FALSE),"")</f>
        <v>https://www.ncbi.nlm.nih.gov/pubmed/14551182</v>
      </c>
      <c r="D8330" s="250" t="str">
        <f>IF(AND(A8330&lt;&gt;"",ISNUMBER(A8330)),VLOOKUP(A8330,Studies!A:BR,4,FALSE),"")</f>
        <v>Midazolam after Ketoconazole</v>
      </c>
      <c r="E8330" s="250" t="str">
        <f>IF(AND(A8330&lt;&gt;"",ISNUMBER(A8330)),VLOOKUP(A8330,Studies!A:BR,5,FALSE),"")</f>
        <v>Midazolam</v>
      </c>
      <c r="F8330" s="251" t="str">
        <f>IF(AND(A8330&lt;&gt;"",ISNUMBER(A8330)),VLOOKUP(A8330,Studies!A:BR,6,FALSE),"")</f>
        <v>Plasma</v>
      </c>
      <c r="G8330" s="194">
        <v>266.5</v>
      </c>
      <c r="H8330" s="50" t="s">
        <v>60</v>
      </c>
      <c r="I8330" s="187">
        <v>117.9134</v>
      </c>
      <c r="J8330" s="41" t="s">
        <v>941</v>
      </c>
      <c r="K8330" s="41" t="s">
        <v>335</v>
      </c>
    </row>
    <row r="8331" spans="1:11" x14ac:dyDescent="0.2">
      <c r="A8331" s="30">
        <v>1087</v>
      </c>
      <c r="B8331" s="249" t="str">
        <f>IF(AND(A8331&lt;&gt;"",ISNUMBER(A8331)),VLOOKUP(A8331,Studies!A:BR,2,FALSE),"")</f>
        <v>Lam 2003</v>
      </c>
      <c r="C8331" s="250" t="str">
        <f>IF(AND(A8331&lt;&gt;"",ISNUMBER(A8331)),VLOOKUP(A8331,Studies!A:BR,3,FALSE),"")</f>
        <v>https://www.ncbi.nlm.nih.gov/pubmed/14551182</v>
      </c>
      <c r="D8331" s="250" t="str">
        <f>IF(AND(A8331&lt;&gt;"",ISNUMBER(A8331)),VLOOKUP(A8331,Studies!A:BR,4,FALSE),"")</f>
        <v>Midazolam after Ketoconazole</v>
      </c>
      <c r="E8331" s="250" t="str">
        <f>IF(AND(A8331&lt;&gt;"",ISNUMBER(A8331)),VLOOKUP(A8331,Studies!A:BR,5,FALSE),"")</f>
        <v>Midazolam</v>
      </c>
      <c r="F8331" s="251" t="str">
        <f>IF(AND(A8331&lt;&gt;"",ISNUMBER(A8331)),VLOOKUP(A8331,Studies!A:BR,6,FALSE),"")</f>
        <v>Plasma</v>
      </c>
      <c r="G8331" s="194">
        <v>267</v>
      </c>
      <c r="H8331" s="50" t="s">
        <v>60</v>
      </c>
      <c r="I8331" s="187">
        <v>118.4134</v>
      </c>
      <c r="J8331" s="41" t="s">
        <v>941</v>
      </c>
      <c r="K8331" s="41" t="s">
        <v>335</v>
      </c>
    </row>
    <row r="8332" spans="1:11" x14ac:dyDescent="0.2">
      <c r="A8332" s="30">
        <v>1087</v>
      </c>
      <c r="B8332" s="249" t="str">
        <f>IF(AND(A8332&lt;&gt;"",ISNUMBER(A8332)),VLOOKUP(A8332,Studies!A:BR,2,FALSE),"")</f>
        <v>Lam 2003</v>
      </c>
      <c r="C8332" s="250" t="str">
        <f>IF(AND(A8332&lt;&gt;"",ISNUMBER(A8332)),VLOOKUP(A8332,Studies!A:BR,3,FALSE),"")</f>
        <v>https://www.ncbi.nlm.nih.gov/pubmed/14551182</v>
      </c>
      <c r="D8332" s="250" t="str">
        <f>IF(AND(A8332&lt;&gt;"",ISNUMBER(A8332)),VLOOKUP(A8332,Studies!A:BR,4,FALSE),"")</f>
        <v>Midazolam after Ketoconazole</v>
      </c>
      <c r="E8332" s="250" t="str">
        <f>IF(AND(A8332&lt;&gt;"",ISNUMBER(A8332)),VLOOKUP(A8332,Studies!A:BR,5,FALSE),"")</f>
        <v>Midazolam</v>
      </c>
      <c r="F8332" s="251" t="str">
        <f>IF(AND(A8332&lt;&gt;"",ISNUMBER(A8332)),VLOOKUP(A8332,Studies!A:BR,6,FALSE),"")</f>
        <v>Plasma</v>
      </c>
      <c r="G8332" s="194">
        <v>269</v>
      </c>
      <c r="H8332" s="50" t="s">
        <v>60</v>
      </c>
      <c r="I8332" s="187">
        <v>81.964489999999998</v>
      </c>
      <c r="J8332" s="41" t="s">
        <v>941</v>
      </c>
      <c r="K8332" s="41" t="s">
        <v>335</v>
      </c>
    </row>
    <row r="8333" spans="1:11" x14ac:dyDescent="0.2">
      <c r="A8333" s="30">
        <v>1087</v>
      </c>
      <c r="B8333" s="249" t="str">
        <f>IF(AND(A8333&lt;&gt;"",ISNUMBER(A8333)),VLOOKUP(A8333,Studies!A:BR,2,FALSE),"")</f>
        <v>Lam 2003</v>
      </c>
      <c r="C8333" s="250" t="str">
        <f>IF(AND(A8333&lt;&gt;"",ISNUMBER(A8333)),VLOOKUP(A8333,Studies!A:BR,3,FALSE),"")</f>
        <v>https://www.ncbi.nlm.nih.gov/pubmed/14551182</v>
      </c>
      <c r="D8333" s="250" t="str">
        <f>IF(AND(A8333&lt;&gt;"",ISNUMBER(A8333)),VLOOKUP(A8333,Studies!A:BR,4,FALSE),"")</f>
        <v>Midazolam after Ketoconazole</v>
      </c>
      <c r="E8333" s="250" t="str">
        <f>IF(AND(A8333&lt;&gt;"",ISNUMBER(A8333)),VLOOKUP(A8333,Studies!A:BR,5,FALSE),"")</f>
        <v>Midazolam</v>
      </c>
      <c r="F8333" s="251" t="str">
        <f>IF(AND(A8333&lt;&gt;"",ISNUMBER(A8333)),VLOOKUP(A8333,Studies!A:BR,6,FALSE),"")</f>
        <v>Plasma</v>
      </c>
      <c r="G8333" s="194">
        <v>273</v>
      </c>
      <c r="H8333" s="50" t="s">
        <v>60</v>
      </c>
      <c r="I8333" s="187">
        <v>54.699579999999997</v>
      </c>
      <c r="J8333" s="41" t="s">
        <v>941</v>
      </c>
      <c r="K8333" s="41" t="s">
        <v>335</v>
      </c>
    </row>
    <row r="8334" spans="1:11" x14ac:dyDescent="0.2">
      <c r="A8334" s="30">
        <v>1087</v>
      </c>
      <c r="B8334" s="249" t="str">
        <f>IF(AND(A8334&lt;&gt;"",ISNUMBER(A8334)),VLOOKUP(A8334,Studies!A:BR,2,FALSE),"")</f>
        <v>Lam 2003</v>
      </c>
      <c r="C8334" s="250" t="str">
        <f>IF(AND(A8334&lt;&gt;"",ISNUMBER(A8334)),VLOOKUP(A8334,Studies!A:BR,3,FALSE),"")</f>
        <v>https://www.ncbi.nlm.nih.gov/pubmed/14551182</v>
      </c>
      <c r="D8334" s="250" t="str">
        <f>IF(AND(A8334&lt;&gt;"",ISNUMBER(A8334)),VLOOKUP(A8334,Studies!A:BR,4,FALSE),"")</f>
        <v>Midazolam after Ketoconazole</v>
      </c>
      <c r="E8334" s="250" t="str">
        <f>IF(AND(A8334&lt;&gt;"",ISNUMBER(A8334)),VLOOKUP(A8334,Studies!A:BR,5,FALSE),"")</f>
        <v>Midazolam</v>
      </c>
      <c r="F8334" s="251" t="str">
        <f>IF(AND(A8334&lt;&gt;"",ISNUMBER(A8334)),VLOOKUP(A8334,Studies!A:BR,6,FALSE),"")</f>
        <v>Plasma</v>
      </c>
      <c r="G8334" s="194">
        <v>275</v>
      </c>
      <c r="H8334" s="50" t="s">
        <v>60</v>
      </c>
      <c r="I8334" s="187">
        <v>41.83634</v>
      </c>
      <c r="J8334" s="41" t="s">
        <v>941</v>
      </c>
      <c r="K8334" s="41" t="s">
        <v>335</v>
      </c>
    </row>
    <row r="8335" spans="1:11" x14ac:dyDescent="0.2">
      <c r="A8335" s="30">
        <v>1087</v>
      </c>
      <c r="B8335" s="249" t="str">
        <f>IF(AND(A8335&lt;&gt;"",ISNUMBER(A8335)),VLOOKUP(A8335,Studies!A:BR,2,FALSE),"")</f>
        <v>Lam 2003</v>
      </c>
      <c r="C8335" s="250" t="str">
        <f>IF(AND(A8335&lt;&gt;"",ISNUMBER(A8335)),VLOOKUP(A8335,Studies!A:BR,3,FALSE),"")</f>
        <v>https://www.ncbi.nlm.nih.gov/pubmed/14551182</v>
      </c>
      <c r="D8335" s="250" t="str">
        <f>IF(AND(A8335&lt;&gt;"",ISNUMBER(A8335)),VLOOKUP(A8335,Studies!A:BR,4,FALSE),"")</f>
        <v>Midazolam after Ketoconazole</v>
      </c>
      <c r="E8335" s="250" t="str">
        <f>IF(AND(A8335&lt;&gt;"",ISNUMBER(A8335)),VLOOKUP(A8335,Studies!A:BR,5,FALSE),"")</f>
        <v>Midazolam</v>
      </c>
      <c r="F8335" s="251" t="str">
        <f>IF(AND(A8335&lt;&gt;"",ISNUMBER(A8335)),VLOOKUP(A8335,Studies!A:BR,6,FALSE),"")</f>
        <v>Plasma</v>
      </c>
      <c r="G8335" s="194">
        <v>277</v>
      </c>
      <c r="H8335" s="50" t="s">
        <v>60</v>
      </c>
      <c r="I8335" s="187">
        <v>34.100029999999997</v>
      </c>
      <c r="J8335" s="41" t="s">
        <v>941</v>
      </c>
      <c r="K8335" s="41" t="s">
        <v>335</v>
      </c>
    </row>
    <row r="8336" spans="1:11" x14ac:dyDescent="0.2">
      <c r="A8336" s="30">
        <v>1087</v>
      </c>
      <c r="B8336" s="249" t="str">
        <f>IF(AND(A8336&lt;&gt;"",ISNUMBER(A8336)),VLOOKUP(A8336,Studies!A:BR,2,FALSE),"")</f>
        <v>Lam 2003</v>
      </c>
      <c r="C8336" s="250" t="str">
        <f>IF(AND(A8336&lt;&gt;"",ISNUMBER(A8336)),VLOOKUP(A8336,Studies!A:BR,3,FALSE),"")</f>
        <v>https://www.ncbi.nlm.nih.gov/pubmed/14551182</v>
      </c>
      <c r="D8336" s="250" t="str">
        <f>IF(AND(A8336&lt;&gt;"",ISNUMBER(A8336)),VLOOKUP(A8336,Studies!A:BR,4,FALSE),"")</f>
        <v>Midazolam after Ketoconazole</v>
      </c>
      <c r="E8336" s="250" t="str">
        <f>IF(AND(A8336&lt;&gt;"",ISNUMBER(A8336)),VLOOKUP(A8336,Studies!A:BR,5,FALSE),"")</f>
        <v>Midazolam</v>
      </c>
      <c r="F8336" s="251" t="str">
        <f>IF(AND(A8336&lt;&gt;"",ISNUMBER(A8336)),VLOOKUP(A8336,Studies!A:BR,6,FALSE),"")</f>
        <v>Plasma</v>
      </c>
      <c r="G8336" s="194">
        <v>289</v>
      </c>
      <c r="H8336" s="50" t="s">
        <v>60</v>
      </c>
      <c r="I8336" s="187">
        <v>10.76549</v>
      </c>
      <c r="J8336" s="41" t="s">
        <v>941</v>
      </c>
      <c r="K8336" s="41" t="s">
        <v>335</v>
      </c>
    </row>
    <row r="8337" spans="1:16" x14ac:dyDescent="0.2">
      <c r="A8337" s="30">
        <v>1088</v>
      </c>
      <c r="B8337" s="249" t="str">
        <f>IF(AND(A8337&lt;&gt;"",ISNUMBER(A8337)),VLOOKUP(A8337,Studies!A:BR,2,FALSE),"")</f>
        <v>Lam 2003</v>
      </c>
      <c r="C8337" s="250" t="str">
        <f>IF(AND(A8337&lt;&gt;"",ISNUMBER(A8337)),VLOOKUP(A8337,Studies!A:BR,3,FALSE),"")</f>
        <v>https://www.ncbi.nlm.nih.gov/pubmed/14551182</v>
      </c>
      <c r="D8337" s="250" t="str">
        <f>IF(AND(A8337&lt;&gt;"",ISNUMBER(A8337)),VLOOKUP(A8337,Studies!A:BR,4,FALSE),"")</f>
        <v>Midazolam before Fluvoxamine</v>
      </c>
      <c r="E8337" s="250" t="str">
        <f>IF(AND(A8337&lt;&gt;"",ISNUMBER(A8337)),VLOOKUP(A8337,Studies!A:BR,5,FALSE),"")</f>
        <v>Midazolam</v>
      </c>
      <c r="F8337" s="251" t="str">
        <f>IF(AND(A8337&lt;&gt;"",ISNUMBER(A8337)),VLOOKUP(A8337,Studies!A:BR,6,FALSE),"")</f>
        <v>Plasma</v>
      </c>
      <c r="G8337" s="194">
        <v>0.25</v>
      </c>
      <c r="H8337" s="50" t="s">
        <v>60</v>
      </c>
      <c r="I8337" s="187">
        <v>63.190370000000001</v>
      </c>
      <c r="J8337" s="41" t="s">
        <v>941</v>
      </c>
      <c r="K8337" s="41" t="s">
        <v>335</v>
      </c>
      <c r="P8337" s="42" t="s">
        <v>2625</v>
      </c>
    </row>
    <row r="8338" spans="1:16" x14ac:dyDescent="0.2">
      <c r="A8338" s="30">
        <v>1088</v>
      </c>
      <c r="B8338" s="249" t="str">
        <f>IF(AND(A8338&lt;&gt;"",ISNUMBER(A8338)),VLOOKUP(A8338,Studies!A:BR,2,FALSE),"")</f>
        <v>Lam 2003</v>
      </c>
      <c r="C8338" s="250" t="str">
        <f>IF(AND(A8338&lt;&gt;"",ISNUMBER(A8338)),VLOOKUP(A8338,Studies!A:BR,3,FALSE),"")</f>
        <v>https://www.ncbi.nlm.nih.gov/pubmed/14551182</v>
      </c>
      <c r="D8338" s="250" t="str">
        <f>IF(AND(A8338&lt;&gt;"",ISNUMBER(A8338)),VLOOKUP(A8338,Studies!A:BR,4,FALSE),"")</f>
        <v>Midazolam before Fluvoxamine</v>
      </c>
      <c r="E8338" s="250" t="str">
        <f>IF(AND(A8338&lt;&gt;"",ISNUMBER(A8338)),VLOOKUP(A8338,Studies!A:BR,5,FALSE),"")</f>
        <v>Midazolam</v>
      </c>
      <c r="F8338" s="251" t="str">
        <f>IF(AND(A8338&lt;&gt;"",ISNUMBER(A8338)),VLOOKUP(A8338,Studies!A:BR,6,FALSE),"")</f>
        <v>Plasma</v>
      </c>
      <c r="G8338" s="194">
        <v>0.5</v>
      </c>
      <c r="H8338" s="50" t="s">
        <v>60</v>
      </c>
      <c r="I8338" s="187">
        <v>63.765140000000002</v>
      </c>
      <c r="J8338" s="41" t="s">
        <v>941</v>
      </c>
      <c r="K8338" s="41" t="s">
        <v>335</v>
      </c>
    </row>
    <row r="8339" spans="1:16" x14ac:dyDescent="0.2">
      <c r="A8339" s="30">
        <v>1088</v>
      </c>
      <c r="B8339" s="249" t="str">
        <f>IF(AND(A8339&lt;&gt;"",ISNUMBER(A8339)),VLOOKUP(A8339,Studies!A:BR,2,FALSE),"")</f>
        <v>Lam 2003</v>
      </c>
      <c r="C8339" s="250" t="str">
        <f>IF(AND(A8339&lt;&gt;"",ISNUMBER(A8339)),VLOOKUP(A8339,Studies!A:BR,3,FALSE),"")</f>
        <v>https://www.ncbi.nlm.nih.gov/pubmed/14551182</v>
      </c>
      <c r="D8339" s="250" t="str">
        <f>IF(AND(A8339&lt;&gt;"",ISNUMBER(A8339)),VLOOKUP(A8339,Studies!A:BR,4,FALSE),"")</f>
        <v>Midazolam before Fluvoxamine</v>
      </c>
      <c r="E8339" s="250" t="str">
        <f>IF(AND(A8339&lt;&gt;"",ISNUMBER(A8339)),VLOOKUP(A8339,Studies!A:BR,5,FALSE),"")</f>
        <v>Midazolam</v>
      </c>
      <c r="F8339" s="251" t="str">
        <f>IF(AND(A8339&lt;&gt;"",ISNUMBER(A8339)),VLOOKUP(A8339,Studies!A:BR,6,FALSE),"")</f>
        <v>Plasma</v>
      </c>
      <c r="G8339" s="194">
        <v>1</v>
      </c>
      <c r="H8339" s="50" t="s">
        <v>60</v>
      </c>
      <c r="I8339" s="187">
        <v>36.071019999999997</v>
      </c>
      <c r="J8339" s="41" t="s">
        <v>941</v>
      </c>
      <c r="K8339" s="41" t="s">
        <v>335</v>
      </c>
    </row>
    <row r="8340" spans="1:16" x14ac:dyDescent="0.2">
      <c r="A8340" s="30">
        <v>1088</v>
      </c>
      <c r="B8340" s="249" t="str">
        <f>IF(AND(A8340&lt;&gt;"",ISNUMBER(A8340)),VLOOKUP(A8340,Studies!A:BR,2,FALSE),"")</f>
        <v>Lam 2003</v>
      </c>
      <c r="C8340" s="250" t="str">
        <f>IF(AND(A8340&lt;&gt;"",ISNUMBER(A8340)),VLOOKUP(A8340,Studies!A:BR,3,FALSE),"")</f>
        <v>https://www.ncbi.nlm.nih.gov/pubmed/14551182</v>
      </c>
      <c r="D8340" s="250" t="str">
        <f>IF(AND(A8340&lt;&gt;"",ISNUMBER(A8340)),VLOOKUP(A8340,Studies!A:BR,4,FALSE),"")</f>
        <v>Midazolam before Fluvoxamine</v>
      </c>
      <c r="E8340" s="250" t="str">
        <f>IF(AND(A8340&lt;&gt;"",ISNUMBER(A8340)),VLOOKUP(A8340,Studies!A:BR,5,FALSE),"")</f>
        <v>Midazolam</v>
      </c>
      <c r="F8340" s="251" t="str">
        <f>IF(AND(A8340&lt;&gt;"",ISNUMBER(A8340)),VLOOKUP(A8340,Studies!A:BR,6,FALSE),"")</f>
        <v>Plasma</v>
      </c>
      <c r="G8340" s="194">
        <v>1.5</v>
      </c>
      <c r="H8340" s="50" t="s">
        <v>60</v>
      </c>
      <c r="I8340" s="187">
        <v>29.06005</v>
      </c>
      <c r="J8340" s="41" t="s">
        <v>941</v>
      </c>
      <c r="K8340" s="41" t="s">
        <v>335</v>
      </c>
    </row>
    <row r="8341" spans="1:16" x14ac:dyDescent="0.2">
      <c r="A8341" s="30">
        <v>1088</v>
      </c>
      <c r="B8341" s="249" t="str">
        <f>IF(AND(A8341&lt;&gt;"",ISNUMBER(A8341)),VLOOKUP(A8341,Studies!A:BR,2,FALSE),"")</f>
        <v>Lam 2003</v>
      </c>
      <c r="C8341" s="250" t="str">
        <f>IF(AND(A8341&lt;&gt;"",ISNUMBER(A8341)),VLOOKUP(A8341,Studies!A:BR,3,FALSE),"")</f>
        <v>https://www.ncbi.nlm.nih.gov/pubmed/14551182</v>
      </c>
      <c r="D8341" s="250" t="str">
        <f>IF(AND(A8341&lt;&gt;"",ISNUMBER(A8341)),VLOOKUP(A8341,Studies!A:BR,4,FALSE),"")</f>
        <v>Midazolam before Fluvoxamine</v>
      </c>
      <c r="E8341" s="250" t="str">
        <f>IF(AND(A8341&lt;&gt;"",ISNUMBER(A8341)),VLOOKUP(A8341,Studies!A:BR,5,FALSE),"")</f>
        <v>Midazolam</v>
      </c>
      <c r="F8341" s="251" t="str">
        <f>IF(AND(A8341&lt;&gt;"",ISNUMBER(A8341)),VLOOKUP(A8341,Studies!A:BR,6,FALSE),"")</f>
        <v>Plasma</v>
      </c>
      <c r="G8341" s="194">
        <v>2</v>
      </c>
      <c r="H8341" s="50" t="s">
        <v>60</v>
      </c>
      <c r="I8341" s="187">
        <v>22.238109999999999</v>
      </c>
      <c r="J8341" s="41" t="s">
        <v>941</v>
      </c>
      <c r="K8341" s="41" t="s">
        <v>335</v>
      </c>
    </row>
    <row r="8342" spans="1:16" x14ac:dyDescent="0.2">
      <c r="A8342" s="30">
        <v>1088</v>
      </c>
      <c r="B8342" s="249" t="str">
        <f>IF(AND(A8342&lt;&gt;"",ISNUMBER(A8342)),VLOOKUP(A8342,Studies!A:BR,2,FALSE),"")</f>
        <v>Lam 2003</v>
      </c>
      <c r="C8342" s="250" t="str">
        <f>IF(AND(A8342&lt;&gt;"",ISNUMBER(A8342)),VLOOKUP(A8342,Studies!A:BR,3,FALSE),"")</f>
        <v>https://www.ncbi.nlm.nih.gov/pubmed/14551182</v>
      </c>
      <c r="D8342" s="250" t="str">
        <f>IF(AND(A8342&lt;&gt;"",ISNUMBER(A8342)),VLOOKUP(A8342,Studies!A:BR,4,FALSE),"")</f>
        <v>Midazolam before Fluvoxamine</v>
      </c>
      <c r="E8342" s="250" t="str">
        <f>IF(AND(A8342&lt;&gt;"",ISNUMBER(A8342)),VLOOKUP(A8342,Studies!A:BR,5,FALSE),"")</f>
        <v>Midazolam</v>
      </c>
      <c r="F8342" s="251" t="str">
        <f>IF(AND(A8342&lt;&gt;"",ISNUMBER(A8342)),VLOOKUP(A8342,Studies!A:BR,6,FALSE),"")</f>
        <v>Plasma</v>
      </c>
      <c r="G8342" s="194">
        <v>4</v>
      </c>
      <c r="H8342" s="50" t="s">
        <v>60</v>
      </c>
      <c r="I8342" s="187">
        <v>7.4749140000000001</v>
      </c>
      <c r="J8342" s="41" t="s">
        <v>941</v>
      </c>
      <c r="K8342" s="41" t="s">
        <v>335</v>
      </c>
    </row>
    <row r="8343" spans="1:16" x14ac:dyDescent="0.2">
      <c r="A8343" s="30">
        <v>1088</v>
      </c>
      <c r="B8343" s="249" t="str">
        <f>IF(AND(A8343&lt;&gt;"",ISNUMBER(A8343)),VLOOKUP(A8343,Studies!A:BR,2,FALSE),"")</f>
        <v>Lam 2003</v>
      </c>
      <c r="C8343" s="250" t="str">
        <f>IF(AND(A8343&lt;&gt;"",ISNUMBER(A8343)),VLOOKUP(A8343,Studies!A:BR,3,FALSE),"")</f>
        <v>https://www.ncbi.nlm.nih.gov/pubmed/14551182</v>
      </c>
      <c r="D8343" s="250" t="str">
        <f>IF(AND(A8343&lt;&gt;"",ISNUMBER(A8343)),VLOOKUP(A8343,Studies!A:BR,4,FALSE),"")</f>
        <v>Midazolam before Fluvoxamine</v>
      </c>
      <c r="E8343" s="250" t="str">
        <f>IF(AND(A8343&lt;&gt;"",ISNUMBER(A8343)),VLOOKUP(A8343,Studies!A:BR,5,FALSE),"")</f>
        <v>Midazolam</v>
      </c>
      <c r="F8343" s="251" t="str">
        <f>IF(AND(A8343&lt;&gt;"",ISNUMBER(A8343)),VLOOKUP(A8343,Studies!A:BR,6,FALSE),"")</f>
        <v>Plasma</v>
      </c>
      <c r="G8343" s="194">
        <v>8</v>
      </c>
      <c r="H8343" s="50" t="s">
        <v>60</v>
      </c>
      <c r="I8343" s="187">
        <v>2.237676</v>
      </c>
      <c r="J8343" s="41" t="s">
        <v>941</v>
      </c>
      <c r="K8343" s="41" t="s">
        <v>335</v>
      </c>
    </row>
    <row r="8344" spans="1:16" x14ac:dyDescent="0.2">
      <c r="A8344" s="30">
        <v>1088</v>
      </c>
      <c r="B8344" s="249" t="str">
        <f>IF(AND(A8344&lt;&gt;"",ISNUMBER(A8344)),VLOOKUP(A8344,Studies!A:BR,2,FALSE),"")</f>
        <v>Lam 2003</v>
      </c>
      <c r="C8344" s="250" t="str">
        <f>IF(AND(A8344&lt;&gt;"",ISNUMBER(A8344)),VLOOKUP(A8344,Studies!A:BR,3,FALSE),"")</f>
        <v>https://www.ncbi.nlm.nih.gov/pubmed/14551182</v>
      </c>
      <c r="D8344" s="250" t="str">
        <f>IF(AND(A8344&lt;&gt;"",ISNUMBER(A8344)),VLOOKUP(A8344,Studies!A:BR,4,FALSE),"")</f>
        <v>Midazolam before Fluvoxamine</v>
      </c>
      <c r="E8344" s="250" t="str">
        <f>IF(AND(A8344&lt;&gt;"",ISNUMBER(A8344)),VLOOKUP(A8344,Studies!A:BR,5,FALSE),"")</f>
        <v>Midazolam</v>
      </c>
      <c r="F8344" s="251" t="str">
        <f>IF(AND(A8344&lt;&gt;"",ISNUMBER(A8344)),VLOOKUP(A8344,Studies!A:BR,6,FALSE),"")</f>
        <v>Plasma</v>
      </c>
      <c r="G8344" s="194">
        <v>10</v>
      </c>
      <c r="H8344" s="50" t="s">
        <v>60</v>
      </c>
      <c r="I8344" s="187">
        <v>1.5160929999999999</v>
      </c>
      <c r="J8344" s="41" t="s">
        <v>941</v>
      </c>
      <c r="K8344" s="41" t="s">
        <v>335</v>
      </c>
    </row>
    <row r="8345" spans="1:16" x14ac:dyDescent="0.2">
      <c r="A8345" s="30">
        <v>1089</v>
      </c>
      <c r="B8345" s="249" t="str">
        <f>IF(AND(A8345&lt;&gt;"",ISNUMBER(A8345)),VLOOKUP(A8345,Studies!A:BR,2,FALSE),"")</f>
        <v>Lam 2003</v>
      </c>
      <c r="C8345" s="250" t="str">
        <f>IF(AND(A8345&lt;&gt;"",ISNUMBER(A8345)),VLOOKUP(A8345,Studies!A:BR,3,FALSE),"")</f>
        <v>https://www.ncbi.nlm.nih.gov/pubmed/14551182</v>
      </c>
      <c r="D8345" s="250" t="str">
        <f>IF(AND(A8345&lt;&gt;"",ISNUMBER(A8345)),VLOOKUP(A8345,Studies!A:BR,4,FALSE),"")</f>
        <v>Midazolam after Fluvoxamine</v>
      </c>
      <c r="E8345" s="250" t="str">
        <f>IF(AND(A8345&lt;&gt;"",ISNUMBER(A8345)),VLOOKUP(A8345,Studies!A:BR,5,FALSE),"")</f>
        <v>Midazolam</v>
      </c>
      <c r="F8345" s="251" t="str">
        <f>IF(AND(A8345&lt;&gt;"",ISNUMBER(A8345)),VLOOKUP(A8345,Studies!A:BR,6,FALSE),"")</f>
        <v>Plasma</v>
      </c>
      <c r="G8345" s="194">
        <v>265</v>
      </c>
      <c r="H8345" s="50" t="s">
        <v>60</v>
      </c>
      <c r="I8345" s="187">
        <v>0</v>
      </c>
      <c r="J8345" s="41" t="s">
        <v>941</v>
      </c>
      <c r="K8345" s="41" t="s">
        <v>335</v>
      </c>
      <c r="P8345" s="42" t="s">
        <v>2626</v>
      </c>
    </row>
    <row r="8346" spans="1:16" x14ac:dyDescent="0.2">
      <c r="A8346" s="30">
        <v>1089</v>
      </c>
      <c r="B8346" s="249" t="str">
        <f>IF(AND(A8346&lt;&gt;"",ISNUMBER(A8346)),VLOOKUP(A8346,Studies!A:BR,2,FALSE),"")</f>
        <v>Lam 2003</v>
      </c>
      <c r="C8346" s="250" t="str">
        <f>IF(AND(A8346&lt;&gt;"",ISNUMBER(A8346)),VLOOKUP(A8346,Studies!A:BR,3,FALSE),"")</f>
        <v>https://www.ncbi.nlm.nih.gov/pubmed/14551182</v>
      </c>
      <c r="D8346" s="250" t="str">
        <f>IF(AND(A8346&lt;&gt;"",ISNUMBER(A8346)),VLOOKUP(A8346,Studies!A:BR,4,FALSE),"")</f>
        <v>Midazolam after Fluvoxamine</v>
      </c>
      <c r="E8346" s="250" t="str">
        <f>IF(AND(A8346&lt;&gt;"",ISNUMBER(A8346)),VLOOKUP(A8346,Studies!A:BR,5,FALSE),"")</f>
        <v>Midazolam</v>
      </c>
      <c r="F8346" s="251" t="str">
        <f>IF(AND(A8346&lt;&gt;"",ISNUMBER(A8346)),VLOOKUP(A8346,Studies!A:BR,6,FALSE),"")</f>
        <v>Plasma</v>
      </c>
      <c r="G8346" s="194">
        <v>265.25</v>
      </c>
      <c r="H8346" s="50" t="s">
        <v>60</v>
      </c>
      <c r="I8346" s="187">
        <v>89.188720000000004</v>
      </c>
      <c r="J8346" s="41" t="s">
        <v>941</v>
      </c>
      <c r="K8346" s="41" t="s">
        <v>335</v>
      </c>
    </row>
    <row r="8347" spans="1:16" x14ac:dyDescent="0.2">
      <c r="A8347" s="30">
        <v>1089</v>
      </c>
      <c r="B8347" s="249" t="str">
        <f>IF(AND(A8347&lt;&gt;"",ISNUMBER(A8347)),VLOOKUP(A8347,Studies!A:BR,2,FALSE),"")</f>
        <v>Lam 2003</v>
      </c>
      <c r="C8347" s="250" t="str">
        <f>IF(AND(A8347&lt;&gt;"",ISNUMBER(A8347)),VLOOKUP(A8347,Studies!A:BR,3,FALSE),"")</f>
        <v>https://www.ncbi.nlm.nih.gov/pubmed/14551182</v>
      </c>
      <c r="D8347" s="250" t="str">
        <f>IF(AND(A8347&lt;&gt;"",ISNUMBER(A8347)),VLOOKUP(A8347,Studies!A:BR,4,FALSE),"")</f>
        <v>Midazolam after Fluvoxamine</v>
      </c>
      <c r="E8347" s="250" t="str">
        <f>IF(AND(A8347&lt;&gt;"",ISNUMBER(A8347)),VLOOKUP(A8347,Studies!A:BR,5,FALSE),"")</f>
        <v>Midazolam</v>
      </c>
      <c r="F8347" s="251" t="str">
        <f>IF(AND(A8347&lt;&gt;"",ISNUMBER(A8347)),VLOOKUP(A8347,Studies!A:BR,6,FALSE),"")</f>
        <v>Plasma</v>
      </c>
      <c r="G8347" s="194">
        <v>265.5</v>
      </c>
      <c r="H8347" s="50" t="s">
        <v>60</v>
      </c>
      <c r="I8347" s="187">
        <v>78.755510000000001</v>
      </c>
      <c r="J8347" s="41" t="s">
        <v>941</v>
      </c>
      <c r="K8347" s="41" t="s">
        <v>335</v>
      </c>
    </row>
    <row r="8348" spans="1:16" x14ac:dyDescent="0.2">
      <c r="A8348" s="30">
        <v>1089</v>
      </c>
      <c r="B8348" s="249" t="str">
        <f>IF(AND(A8348&lt;&gt;"",ISNUMBER(A8348)),VLOOKUP(A8348,Studies!A:BR,2,FALSE),"")</f>
        <v>Lam 2003</v>
      </c>
      <c r="C8348" s="250" t="str">
        <f>IF(AND(A8348&lt;&gt;"",ISNUMBER(A8348)),VLOOKUP(A8348,Studies!A:BR,3,FALSE),"")</f>
        <v>https://www.ncbi.nlm.nih.gov/pubmed/14551182</v>
      </c>
      <c r="D8348" s="250" t="str">
        <f>IF(AND(A8348&lt;&gt;"",ISNUMBER(A8348)),VLOOKUP(A8348,Studies!A:BR,4,FALSE),"")</f>
        <v>Midazolam after Fluvoxamine</v>
      </c>
      <c r="E8348" s="250" t="str">
        <f>IF(AND(A8348&lt;&gt;"",ISNUMBER(A8348)),VLOOKUP(A8348,Studies!A:BR,5,FALSE),"")</f>
        <v>Midazolam</v>
      </c>
      <c r="F8348" s="251" t="str">
        <f>IF(AND(A8348&lt;&gt;"",ISNUMBER(A8348)),VLOOKUP(A8348,Studies!A:BR,6,FALSE),"")</f>
        <v>Plasma</v>
      </c>
      <c r="G8348" s="194">
        <v>266</v>
      </c>
      <c r="H8348" s="50" t="s">
        <v>60</v>
      </c>
      <c r="I8348" s="187">
        <v>51.251620000000003</v>
      </c>
      <c r="J8348" s="41" t="s">
        <v>941</v>
      </c>
      <c r="K8348" s="41" t="s">
        <v>335</v>
      </c>
    </row>
    <row r="8349" spans="1:16" x14ac:dyDescent="0.2">
      <c r="A8349" s="183">
        <v>1089</v>
      </c>
      <c r="B8349" s="249" t="str">
        <f>IF(AND(A8349&lt;&gt;"",ISNUMBER(A8349)),VLOOKUP(A8349,Studies!A:BR,2,FALSE),"")</f>
        <v>Lam 2003</v>
      </c>
      <c r="C8349" s="250" t="str">
        <f>IF(AND(A8349&lt;&gt;"",ISNUMBER(A8349)),VLOOKUP(A8349,Studies!A:BR,3,FALSE),"")</f>
        <v>https://www.ncbi.nlm.nih.gov/pubmed/14551182</v>
      </c>
      <c r="D8349" s="250" t="str">
        <f>IF(AND(A8349&lt;&gt;"",ISNUMBER(A8349)),VLOOKUP(A8349,Studies!A:BR,4,FALSE),"")</f>
        <v>Midazolam after Fluvoxamine</v>
      </c>
      <c r="E8349" s="250" t="str">
        <f>IF(AND(A8349&lt;&gt;"",ISNUMBER(A8349)),VLOOKUP(A8349,Studies!A:BR,5,FALSE),"")</f>
        <v>Midazolam</v>
      </c>
      <c r="F8349" s="251" t="str">
        <f>IF(AND(A8349&lt;&gt;"",ISNUMBER(A8349)),VLOOKUP(A8349,Studies!A:BR,6,FALSE),"")</f>
        <v>Plasma</v>
      </c>
      <c r="G8349" s="194">
        <v>266.5</v>
      </c>
      <c r="H8349" s="50" t="s">
        <v>60</v>
      </c>
      <c r="I8349" s="187">
        <v>40.823920000000001</v>
      </c>
      <c r="J8349" s="41" t="s">
        <v>941</v>
      </c>
      <c r="K8349" s="41" t="s">
        <v>335</v>
      </c>
    </row>
    <row r="8350" spans="1:16" x14ac:dyDescent="0.2">
      <c r="A8350" s="183">
        <v>1089</v>
      </c>
      <c r="B8350" s="249" t="str">
        <f>IF(AND(A8350&lt;&gt;"",ISNUMBER(A8350)),VLOOKUP(A8350,Studies!A:BR,2,FALSE),"")</f>
        <v>Lam 2003</v>
      </c>
      <c r="C8350" s="250" t="str">
        <f>IF(AND(A8350&lt;&gt;"",ISNUMBER(A8350)),VLOOKUP(A8350,Studies!A:BR,3,FALSE),"")</f>
        <v>https://www.ncbi.nlm.nih.gov/pubmed/14551182</v>
      </c>
      <c r="D8350" s="250" t="str">
        <f>IF(AND(A8350&lt;&gt;"",ISNUMBER(A8350)),VLOOKUP(A8350,Studies!A:BR,4,FALSE),"")</f>
        <v>Midazolam after Fluvoxamine</v>
      </c>
      <c r="E8350" s="250" t="str">
        <f>IF(AND(A8350&lt;&gt;"",ISNUMBER(A8350)),VLOOKUP(A8350,Studies!A:BR,5,FALSE),"")</f>
        <v>Midazolam</v>
      </c>
      <c r="F8350" s="251" t="str">
        <f>IF(AND(A8350&lt;&gt;"",ISNUMBER(A8350)),VLOOKUP(A8350,Studies!A:BR,6,FALSE),"")</f>
        <v>Plasma</v>
      </c>
      <c r="G8350" s="194">
        <v>267</v>
      </c>
      <c r="H8350" s="50" t="s">
        <v>60</v>
      </c>
      <c r="I8350" s="187">
        <v>31.726400000000002</v>
      </c>
      <c r="J8350" s="41" t="s">
        <v>941</v>
      </c>
      <c r="K8350" s="41" t="s">
        <v>335</v>
      </c>
    </row>
    <row r="8351" spans="1:16" x14ac:dyDescent="0.2">
      <c r="A8351" s="183">
        <v>1089</v>
      </c>
      <c r="B8351" s="249" t="str">
        <f>IF(AND(A8351&lt;&gt;"",ISNUMBER(A8351)),VLOOKUP(A8351,Studies!A:BR,2,FALSE),"")</f>
        <v>Lam 2003</v>
      </c>
      <c r="C8351" s="250" t="str">
        <f>IF(AND(A8351&lt;&gt;"",ISNUMBER(A8351)),VLOOKUP(A8351,Studies!A:BR,3,FALSE),"")</f>
        <v>https://www.ncbi.nlm.nih.gov/pubmed/14551182</v>
      </c>
      <c r="D8351" s="250" t="str">
        <f>IF(AND(A8351&lt;&gt;"",ISNUMBER(A8351)),VLOOKUP(A8351,Studies!A:BR,4,FALSE),"")</f>
        <v>Midazolam after Fluvoxamine</v>
      </c>
      <c r="E8351" s="250" t="str">
        <f>IF(AND(A8351&lt;&gt;"",ISNUMBER(A8351)),VLOOKUP(A8351,Studies!A:BR,5,FALSE),"")</f>
        <v>Midazolam</v>
      </c>
      <c r="F8351" s="251" t="str">
        <f>IF(AND(A8351&lt;&gt;"",ISNUMBER(A8351)),VLOOKUP(A8351,Studies!A:BR,6,FALSE),"")</f>
        <v>Plasma</v>
      </c>
      <c r="G8351" s="194">
        <v>269</v>
      </c>
      <c r="H8351" s="50" t="s">
        <v>60</v>
      </c>
      <c r="I8351" s="187">
        <v>9.9421630000000007</v>
      </c>
      <c r="J8351" s="41" t="s">
        <v>941</v>
      </c>
      <c r="K8351" s="41" t="s">
        <v>335</v>
      </c>
    </row>
    <row r="8352" spans="1:16" x14ac:dyDescent="0.2">
      <c r="A8352" s="183">
        <v>1089</v>
      </c>
      <c r="B8352" s="249" t="str">
        <f>IF(AND(A8352&lt;&gt;"",ISNUMBER(A8352)),VLOOKUP(A8352,Studies!A:BR,2,FALSE),"")</f>
        <v>Lam 2003</v>
      </c>
      <c r="C8352" s="250" t="str">
        <f>IF(AND(A8352&lt;&gt;"",ISNUMBER(A8352)),VLOOKUP(A8352,Studies!A:BR,3,FALSE),"")</f>
        <v>https://www.ncbi.nlm.nih.gov/pubmed/14551182</v>
      </c>
      <c r="D8352" s="250" t="str">
        <f>IF(AND(A8352&lt;&gt;"",ISNUMBER(A8352)),VLOOKUP(A8352,Studies!A:BR,4,FALSE),"")</f>
        <v>Midazolam after Fluvoxamine</v>
      </c>
      <c r="E8352" s="250" t="str">
        <f>IF(AND(A8352&lt;&gt;"",ISNUMBER(A8352)),VLOOKUP(A8352,Studies!A:BR,5,FALSE),"")</f>
        <v>Midazolam</v>
      </c>
      <c r="F8352" s="251" t="str">
        <f>IF(AND(A8352&lt;&gt;"",ISNUMBER(A8352)),VLOOKUP(A8352,Studies!A:BR,6,FALSE),"")</f>
        <v>Plasma</v>
      </c>
      <c r="G8352" s="194">
        <v>273</v>
      </c>
      <c r="H8352" s="50" t="s">
        <v>60</v>
      </c>
      <c r="I8352" s="187">
        <v>4.7044459999999999</v>
      </c>
      <c r="J8352" s="41" t="s">
        <v>941</v>
      </c>
      <c r="K8352" s="41" t="s">
        <v>335</v>
      </c>
    </row>
    <row r="8353" spans="1:15" x14ac:dyDescent="0.2">
      <c r="A8353" s="183">
        <v>1089</v>
      </c>
      <c r="B8353" s="249" t="str">
        <f>IF(AND(A8353&lt;&gt;"",ISNUMBER(A8353)),VLOOKUP(A8353,Studies!A:BR,2,FALSE),"")</f>
        <v>Lam 2003</v>
      </c>
      <c r="C8353" s="250" t="str">
        <f>IF(AND(A8353&lt;&gt;"",ISNUMBER(A8353)),VLOOKUP(A8353,Studies!A:BR,3,FALSE),"")</f>
        <v>https://www.ncbi.nlm.nih.gov/pubmed/14551182</v>
      </c>
      <c r="D8353" s="250" t="str">
        <f>IF(AND(A8353&lt;&gt;"",ISNUMBER(A8353)),VLOOKUP(A8353,Studies!A:BR,4,FALSE),"")</f>
        <v>Midazolam after Fluvoxamine</v>
      </c>
      <c r="E8353" s="250" t="str">
        <f>IF(AND(A8353&lt;&gt;"",ISNUMBER(A8353)),VLOOKUP(A8353,Studies!A:BR,5,FALSE),"")</f>
        <v>Midazolam</v>
      </c>
      <c r="F8353" s="251" t="str">
        <f>IF(AND(A8353&lt;&gt;"",ISNUMBER(A8353)),VLOOKUP(A8353,Studies!A:BR,6,FALSE),"")</f>
        <v>Plasma</v>
      </c>
      <c r="G8353" s="194">
        <v>275</v>
      </c>
      <c r="H8353" s="50" t="s">
        <v>60</v>
      </c>
      <c r="I8353" s="187">
        <v>3.7935910000000002</v>
      </c>
      <c r="J8353" s="41" t="s">
        <v>941</v>
      </c>
      <c r="K8353" s="41" t="s">
        <v>335</v>
      </c>
    </row>
    <row r="8354" spans="1:15" x14ac:dyDescent="0.2">
      <c r="A8354" s="183">
        <v>1090</v>
      </c>
      <c r="B8354" s="249" t="str">
        <f>IF(AND(A8354&lt;&gt;"",ISNUMBER(A8354)),VLOOKUP(A8354,Studies!A:BR,2,FALSE),"")</f>
        <v>Shin 2013</v>
      </c>
      <c r="C8354" s="250" t="str">
        <f>IF(AND(A8354&lt;&gt;"",ISNUMBER(A8354)),VLOOKUP(A8354,Studies!A:BR,3,FALSE),"")</f>
        <v>https://www.ncbi.nlm.nih.gov/pubmed/23784264</v>
      </c>
      <c r="D8354" s="250" t="str">
        <f>IF(AND(A8354&lt;&gt;"",ISNUMBER(A8354)),VLOOKUP(A8354,Studies!A:BR,4,FALSE),"")</f>
        <v>Control phase (Midazolam alone)</v>
      </c>
      <c r="E8354" s="250" t="str">
        <f>IF(AND(A8354&lt;&gt;"",ISNUMBER(A8354)),VLOOKUP(A8354,Studies!A:BR,5,FALSE),"")</f>
        <v>Midazolam</v>
      </c>
      <c r="F8354" s="251" t="str">
        <f>IF(AND(A8354&lt;&gt;"",ISNUMBER(A8354)),VLOOKUP(A8354,Studies!A:BR,6,FALSE),"")</f>
        <v>Plasma</v>
      </c>
      <c r="G8354" s="194">
        <v>0.16666666666666666</v>
      </c>
      <c r="H8354" s="50" t="s">
        <v>60</v>
      </c>
      <c r="I8354" s="187">
        <v>18.434850000000001</v>
      </c>
      <c r="J8354" s="41" t="s">
        <v>941</v>
      </c>
      <c r="K8354" s="41" t="s">
        <v>116</v>
      </c>
      <c r="O8354" s="59">
        <v>0.1</v>
      </c>
    </row>
    <row r="8355" spans="1:15" x14ac:dyDescent="0.2">
      <c r="A8355" s="183">
        <v>1090</v>
      </c>
      <c r="B8355" s="249" t="str">
        <f>IF(AND(A8355&lt;&gt;"",ISNUMBER(A8355)),VLOOKUP(A8355,Studies!A:BR,2,FALSE),"")</f>
        <v>Shin 2013</v>
      </c>
      <c r="C8355" s="250" t="str">
        <f>IF(AND(A8355&lt;&gt;"",ISNUMBER(A8355)),VLOOKUP(A8355,Studies!A:BR,3,FALSE),"")</f>
        <v>https://www.ncbi.nlm.nih.gov/pubmed/23784264</v>
      </c>
      <c r="D8355" s="250" t="str">
        <f>IF(AND(A8355&lt;&gt;"",ISNUMBER(A8355)),VLOOKUP(A8355,Studies!A:BR,4,FALSE),"")</f>
        <v>Control phase (Midazolam alone)</v>
      </c>
      <c r="E8355" s="250" t="str">
        <f>IF(AND(A8355&lt;&gt;"",ISNUMBER(A8355)),VLOOKUP(A8355,Studies!A:BR,5,FALSE),"")</f>
        <v>Midazolam</v>
      </c>
      <c r="F8355" s="251" t="str">
        <f>IF(AND(A8355&lt;&gt;"",ISNUMBER(A8355)),VLOOKUP(A8355,Studies!A:BR,6,FALSE),"")</f>
        <v>Plasma</v>
      </c>
      <c r="G8355" s="194">
        <v>1</v>
      </c>
      <c r="H8355" s="50" t="s">
        <v>60</v>
      </c>
      <c r="I8355" s="187">
        <v>8.1578900000000001</v>
      </c>
      <c r="J8355" s="41" t="s">
        <v>941</v>
      </c>
      <c r="K8355" s="41" t="s">
        <v>116</v>
      </c>
      <c r="O8355" s="59">
        <v>0.1</v>
      </c>
    </row>
    <row r="8356" spans="1:15" x14ac:dyDescent="0.2">
      <c r="A8356" s="183">
        <v>1090</v>
      </c>
      <c r="B8356" s="249" t="str">
        <f>IF(AND(A8356&lt;&gt;"",ISNUMBER(A8356)),VLOOKUP(A8356,Studies!A:BR,2,FALSE),"")</f>
        <v>Shin 2013</v>
      </c>
      <c r="C8356" s="250" t="str">
        <f>IF(AND(A8356&lt;&gt;"",ISNUMBER(A8356)),VLOOKUP(A8356,Studies!A:BR,3,FALSE),"")</f>
        <v>https://www.ncbi.nlm.nih.gov/pubmed/23784264</v>
      </c>
      <c r="D8356" s="250" t="str">
        <f>IF(AND(A8356&lt;&gt;"",ISNUMBER(A8356)),VLOOKUP(A8356,Studies!A:BR,4,FALSE),"")</f>
        <v>Control phase (Midazolam alone)</v>
      </c>
      <c r="E8356" s="250" t="str">
        <f>IF(AND(A8356&lt;&gt;"",ISNUMBER(A8356)),VLOOKUP(A8356,Studies!A:BR,5,FALSE),"")</f>
        <v>Midazolam</v>
      </c>
      <c r="F8356" s="251" t="str">
        <f>IF(AND(A8356&lt;&gt;"",ISNUMBER(A8356)),VLOOKUP(A8356,Studies!A:BR,6,FALSE),"")</f>
        <v>Plasma</v>
      </c>
      <c r="G8356" s="194">
        <v>2</v>
      </c>
      <c r="H8356" s="50" t="s">
        <v>60</v>
      </c>
      <c r="I8356" s="187">
        <v>5.0505959999999996</v>
      </c>
      <c r="J8356" s="41" t="s">
        <v>941</v>
      </c>
      <c r="K8356" s="41" t="s">
        <v>116</v>
      </c>
      <c r="O8356" s="59">
        <v>0.1</v>
      </c>
    </row>
    <row r="8357" spans="1:15" x14ac:dyDescent="0.2">
      <c r="A8357" s="183">
        <v>1090</v>
      </c>
      <c r="B8357" s="249" t="str">
        <f>IF(AND(A8357&lt;&gt;"",ISNUMBER(A8357)),VLOOKUP(A8357,Studies!A:BR,2,FALSE),"")</f>
        <v>Shin 2013</v>
      </c>
      <c r="C8357" s="250" t="str">
        <f>IF(AND(A8357&lt;&gt;"",ISNUMBER(A8357)),VLOOKUP(A8357,Studies!A:BR,3,FALSE),"")</f>
        <v>https://www.ncbi.nlm.nih.gov/pubmed/23784264</v>
      </c>
      <c r="D8357" s="250" t="str">
        <f>IF(AND(A8357&lt;&gt;"",ISNUMBER(A8357)),VLOOKUP(A8357,Studies!A:BR,4,FALSE),"")</f>
        <v>Control phase (Midazolam alone)</v>
      </c>
      <c r="E8357" s="250" t="str">
        <f>IF(AND(A8357&lt;&gt;"",ISNUMBER(A8357)),VLOOKUP(A8357,Studies!A:BR,5,FALSE),"")</f>
        <v>Midazolam</v>
      </c>
      <c r="F8357" s="251" t="str">
        <f>IF(AND(A8357&lt;&gt;"",ISNUMBER(A8357)),VLOOKUP(A8357,Studies!A:BR,6,FALSE),"")</f>
        <v>Plasma</v>
      </c>
      <c r="G8357" s="194">
        <v>3</v>
      </c>
      <c r="H8357" s="50" t="s">
        <v>60</v>
      </c>
      <c r="I8357" s="187">
        <v>3.483336</v>
      </c>
      <c r="J8357" s="41" t="s">
        <v>941</v>
      </c>
      <c r="K8357" s="41" t="s">
        <v>116</v>
      </c>
      <c r="O8357" s="59">
        <v>0.1</v>
      </c>
    </row>
    <row r="8358" spans="1:15" x14ac:dyDescent="0.2">
      <c r="A8358" s="183">
        <v>1090</v>
      </c>
      <c r="B8358" s="249" t="str">
        <f>IF(AND(A8358&lt;&gt;"",ISNUMBER(A8358)),VLOOKUP(A8358,Studies!A:BR,2,FALSE),"")</f>
        <v>Shin 2013</v>
      </c>
      <c r="C8358" s="250" t="str">
        <f>IF(AND(A8358&lt;&gt;"",ISNUMBER(A8358)),VLOOKUP(A8358,Studies!A:BR,3,FALSE),"")</f>
        <v>https://www.ncbi.nlm.nih.gov/pubmed/23784264</v>
      </c>
      <c r="D8358" s="250" t="str">
        <f>IF(AND(A8358&lt;&gt;"",ISNUMBER(A8358)),VLOOKUP(A8358,Studies!A:BR,4,FALSE),"")</f>
        <v>Control phase (Midazolam alone)</v>
      </c>
      <c r="E8358" s="250" t="str">
        <f>IF(AND(A8358&lt;&gt;"",ISNUMBER(A8358)),VLOOKUP(A8358,Studies!A:BR,5,FALSE),"")</f>
        <v>Midazolam</v>
      </c>
      <c r="F8358" s="251" t="str">
        <f>IF(AND(A8358&lt;&gt;"",ISNUMBER(A8358)),VLOOKUP(A8358,Studies!A:BR,6,FALSE),"")</f>
        <v>Plasma</v>
      </c>
      <c r="G8358" s="194">
        <v>4</v>
      </c>
      <c r="H8358" s="50" t="s">
        <v>60</v>
      </c>
      <c r="I8358" s="187">
        <v>2.6443240000000001</v>
      </c>
      <c r="J8358" s="41" t="s">
        <v>941</v>
      </c>
      <c r="K8358" s="41" t="s">
        <v>116</v>
      </c>
      <c r="O8358" s="59">
        <v>0.1</v>
      </c>
    </row>
    <row r="8359" spans="1:15" x14ac:dyDescent="0.2">
      <c r="A8359" s="183">
        <v>1090</v>
      </c>
      <c r="B8359" s="249" t="str">
        <f>IF(AND(A8359&lt;&gt;"",ISNUMBER(A8359)),VLOOKUP(A8359,Studies!A:BR,2,FALSE),"")</f>
        <v>Shin 2013</v>
      </c>
      <c r="C8359" s="250" t="str">
        <f>IF(AND(A8359&lt;&gt;"",ISNUMBER(A8359)),VLOOKUP(A8359,Studies!A:BR,3,FALSE),"")</f>
        <v>https://www.ncbi.nlm.nih.gov/pubmed/23784264</v>
      </c>
      <c r="D8359" s="250" t="str">
        <f>IF(AND(A8359&lt;&gt;"",ISNUMBER(A8359)),VLOOKUP(A8359,Studies!A:BR,4,FALSE),"")</f>
        <v>Control phase (Midazolam alone)</v>
      </c>
      <c r="E8359" s="250" t="str">
        <f>IF(AND(A8359&lt;&gt;"",ISNUMBER(A8359)),VLOOKUP(A8359,Studies!A:BR,5,FALSE),"")</f>
        <v>Midazolam</v>
      </c>
      <c r="F8359" s="251" t="str">
        <f>IF(AND(A8359&lt;&gt;"",ISNUMBER(A8359)),VLOOKUP(A8359,Studies!A:BR,6,FALSE),"")</f>
        <v>Plasma</v>
      </c>
      <c r="G8359" s="194">
        <v>6</v>
      </c>
      <c r="H8359" s="50" t="s">
        <v>60</v>
      </c>
      <c r="I8359" s="187">
        <v>1.351647</v>
      </c>
      <c r="J8359" s="41" t="s">
        <v>941</v>
      </c>
      <c r="K8359" s="41" t="s">
        <v>116</v>
      </c>
      <c r="O8359" s="59">
        <v>0.1</v>
      </c>
    </row>
    <row r="8360" spans="1:15" x14ac:dyDescent="0.2">
      <c r="A8360" s="183">
        <v>1090</v>
      </c>
      <c r="B8360" s="249" t="str">
        <f>IF(AND(A8360&lt;&gt;"",ISNUMBER(A8360)),VLOOKUP(A8360,Studies!A:BR,2,FALSE),"")</f>
        <v>Shin 2013</v>
      </c>
      <c r="C8360" s="250" t="str">
        <f>IF(AND(A8360&lt;&gt;"",ISNUMBER(A8360)),VLOOKUP(A8360,Studies!A:BR,3,FALSE),"")</f>
        <v>https://www.ncbi.nlm.nih.gov/pubmed/23784264</v>
      </c>
      <c r="D8360" s="250" t="str">
        <f>IF(AND(A8360&lt;&gt;"",ISNUMBER(A8360)),VLOOKUP(A8360,Studies!A:BR,4,FALSE),"")</f>
        <v>Control phase (Midazolam alone)</v>
      </c>
      <c r="E8360" s="250" t="str">
        <f>IF(AND(A8360&lt;&gt;"",ISNUMBER(A8360)),VLOOKUP(A8360,Studies!A:BR,5,FALSE),"")</f>
        <v>Midazolam</v>
      </c>
      <c r="F8360" s="251" t="str">
        <f>IF(AND(A8360&lt;&gt;"",ISNUMBER(A8360)),VLOOKUP(A8360,Studies!A:BR,6,FALSE),"")</f>
        <v>Plasma</v>
      </c>
      <c r="G8360" s="194">
        <v>8</v>
      </c>
      <c r="H8360" s="50" t="s">
        <v>60</v>
      </c>
      <c r="I8360" s="187">
        <v>0.88876520000000003</v>
      </c>
      <c r="J8360" s="41" t="s">
        <v>941</v>
      </c>
      <c r="K8360" s="41" t="s">
        <v>116</v>
      </c>
      <c r="O8360" s="59">
        <v>0.1</v>
      </c>
    </row>
    <row r="8361" spans="1:15" x14ac:dyDescent="0.2">
      <c r="A8361" s="183">
        <v>1090</v>
      </c>
      <c r="B8361" s="249" t="str">
        <f>IF(AND(A8361&lt;&gt;"",ISNUMBER(A8361)),VLOOKUP(A8361,Studies!A:BR,2,FALSE),"")</f>
        <v>Shin 2013</v>
      </c>
      <c r="C8361" s="250" t="str">
        <f>IF(AND(A8361&lt;&gt;"",ISNUMBER(A8361)),VLOOKUP(A8361,Studies!A:BR,3,FALSE),"")</f>
        <v>https://www.ncbi.nlm.nih.gov/pubmed/23784264</v>
      </c>
      <c r="D8361" s="250" t="str">
        <f>IF(AND(A8361&lt;&gt;"",ISNUMBER(A8361)),VLOOKUP(A8361,Studies!A:BR,4,FALSE),"")</f>
        <v>Control phase (Midazolam alone)</v>
      </c>
      <c r="E8361" s="250" t="str">
        <f>IF(AND(A8361&lt;&gt;"",ISNUMBER(A8361)),VLOOKUP(A8361,Studies!A:BR,5,FALSE),"")</f>
        <v>Midazolam</v>
      </c>
      <c r="F8361" s="251" t="str">
        <f>IF(AND(A8361&lt;&gt;"",ISNUMBER(A8361)),VLOOKUP(A8361,Studies!A:BR,6,FALSE),"")</f>
        <v>Plasma</v>
      </c>
      <c r="G8361" s="194">
        <v>12</v>
      </c>
      <c r="H8361" s="50" t="s">
        <v>60</v>
      </c>
      <c r="I8361" s="187">
        <v>0.41294350000000002</v>
      </c>
      <c r="J8361" s="41" t="s">
        <v>941</v>
      </c>
      <c r="K8361" s="41" t="s">
        <v>116</v>
      </c>
      <c r="O8361" s="59">
        <v>0.1</v>
      </c>
    </row>
    <row r="8362" spans="1:15" x14ac:dyDescent="0.2">
      <c r="A8362" s="183">
        <v>1090</v>
      </c>
      <c r="B8362" s="249" t="str">
        <f>IF(AND(A8362&lt;&gt;"",ISNUMBER(A8362)),VLOOKUP(A8362,Studies!A:BR,2,FALSE),"")</f>
        <v>Shin 2013</v>
      </c>
      <c r="C8362" s="250" t="str">
        <f>IF(AND(A8362&lt;&gt;"",ISNUMBER(A8362)),VLOOKUP(A8362,Studies!A:BR,3,FALSE),"")</f>
        <v>https://www.ncbi.nlm.nih.gov/pubmed/23784264</v>
      </c>
      <c r="D8362" s="250" t="str">
        <f>IF(AND(A8362&lt;&gt;"",ISNUMBER(A8362)),VLOOKUP(A8362,Studies!A:BR,4,FALSE),"")</f>
        <v>Control phase (Midazolam alone)</v>
      </c>
      <c r="E8362" s="250" t="str">
        <f>IF(AND(A8362&lt;&gt;"",ISNUMBER(A8362)),VLOOKUP(A8362,Studies!A:BR,5,FALSE),"")</f>
        <v>Midazolam</v>
      </c>
      <c r="F8362" s="251" t="str">
        <f>IF(AND(A8362&lt;&gt;"",ISNUMBER(A8362)),VLOOKUP(A8362,Studies!A:BR,6,FALSE),"")</f>
        <v>Plasma</v>
      </c>
      <c r="G8362" s="194">
        <v>24</v>
      </c>
      <c r="H8362" s="50" t="s">
        <v>60</v>
      </c>
      <c r="I8362" s="187">
        <v>0.20908280000000001</v>
      </c>
      <c r="J8362" s="41" t="s">
        <v>941</v>
      </c>
      <c r="K8362" s="41" t="s">
        <v>116</v>
      </c>
      <c r="O8362" s="59">
        <v>0.1</v>
      </c>
    </row>
    <row r="8363" spans="1:15" x14ac:dyDescent="0.2">
      <c r="A8363" s="183">
        <v>1091</v>
      </c>
      <c r="B8363" s="249" t="str">
        <f>IF(AND(A8363&lt;&gt;"",ISNUMBER(A8363)),VLOOKUP(A8363,Studies!A:BR,2,FALSE),"")</f>
        <v>Shin 2013</v>
      </c>
      <c r="C8363" s="250" t="str">
        <f>IF(AND(A8363&lt;&gt;"",ISNUMBER(A8363)),VLOOKUP(A8363,Studies!A:BR,3,FALSE),"")</f>
        <v>https://www.ncbi.nlm.nih.gov/pubmed/23784264</v>
      </c>
      <c r="D8363" s="250" t="str">
        <f>IF(AND(A8363&lt;&gt;"",ISNUMBER(A8363)),VLOOKUP(A8363,Studies!A:BR,4,FALSE),"")</f>
        <v>CYP3A4 inhibited phase (Midazolam + ketoconazole)</v>
      </c>
      <c r="E8363" s="250" t="str">
        <f>IF(AND(A8363&lt;&gt;"",ISNUMBER(A8363)),VLOOKUP(A8363,Studies!A:BR,5,FALSE),"")</f>
        <v>Midazolam</v>
      </c>
      <c r="F8363" s="251" t="str">
        <f>IF(AND(A8363&lt;&gt;"",ISNUMBER(A8363)),VLOOKUP(A8363,Studies!A:BR,6,FALSE),"")</f>
        <v>Plasma</v>
      </c>
      <c r="G8363" s="194">
        <v>73.166666666666671</v>
      </c>
      <c r="H8363" s="50" t="s">
        <v>60</v>
      </c>
      <c r="I8363" s="187">
        <v>12.864599999999999</v>
      </c>
      <c r="J8363" s="41" t="s">
        <v>941</v>
      </c>
      <c r="K8363" s="41" t="s">
        <v>116</v>
      </c>
      <c r="O8363" s="59">
        <v>0.1</v>
      </c>
    </row>
    <row r="8364" spans="1:15" x14ac:dyDescent="0.2">
      <c r="A8364" s="183">
        <v>1091</v>
      </c>
      <c r="B8364" s="249" t="str">
        <f>IF(AND(A8364&lt;&gt;"",ISNUMBER(A8364)),VLOOKUP(A8364,Studies!A:BR,2,FALSE),"")</f>
        <v>Shin 2013</v>
      </c>
      <c r="C8364" s="250" t="str">
        <f>IF(AND(A8364&lt;&gt;"",ISNUMBER(A8364)),VLOOKUP(A8364,Studies!A:BR,3,FALSE),"")</f>
        <v>https://www.ncbi.nlm.nih.gov/pubmed/23784264</v>
      </c>
      <c r="D8364" s="250" t="str">
        <f>IF(AND(A8364&lt;&gt;"",ISNUMBER(A8364)),VLOOKUP(A8364,Studies!A:BR,4,FALSE),"")</f>
        <v>CYP3A4 inhibited phase (Midazolam + ketoconazole)</v>
      </c>
      <c r="E8364" s="250" t="str">
        <f>IF(AND(A8364&lt;&gt;"",ISNUMBER(A8364)),VLOOKUP(A8364,Studies!A:BR,5,FALSE),"")</f>
        <v>Midazolam</v>
      </c>
      <c r="F8364" s="251" t="str">
        <f>IF(AND(A8364&lt;&gt;"",ISNUMBER(A8364)),VLOOKUP(A8364,Studies!A:BR,6,FALSE),"")</f>
        <v>Plasma</v>
      </c>
      <c r="G8364" s="194">
        <v>73.333333333333329</v>
      </c>
      <c r="H8364" s="50" t="s">
        <v>60</v>
      </c>
      <c r="I8364" s="187">
        <v>10.876760000000001</v>
      </c>
      <c r="J8364" s="41" t="s">
        <v>941</v>
      </c>
      <c r="K8364" s="41" t="s">
        <v>116</v>
      </c>
      <c r="O8364" s="59">
        <v>0.1</v>
      </c>
    </row>
    <row r="8365" spans="1:15" x14ac:dyDescent="0.2">
      <c r="A8365" s="183">
        <v>1091</v>
      </c>
      <c r="B8365" s="249" t="str">
        <f>IF(AND(A8365&lt;&gt;"",ISNUMBER(A8365)),VLOOKUP(A8365,Studies!A:BR,2,FALSE),"")</f>
        <v>Shin 2013</v>
      </c>
      <c r="C8365" s="250" t="str">
        <f>IF(AND(A8365&lt;&gt;"",ISNUMBER(A8365)),VLOOKUP(A8365,Studies!A:BR,3,FALSE),"")</f>
        <v>https://www.ncbi.nlm.nih.gov/pubmed/23784264</v>
      </c>
      <c r="D8365" s="250" t="str">
        <f>IF(AND(A8365&lt;&gt;"",ISNUMBER(A8365)),VLOOKUP(A8365,Studies!A:BR,4,FALSE),"")</f>
        <v>CYP3A4 inhibited phase (Midazolam + ketoconazole)</v>
      </c>
      <c r="E8365" s="250" t="str">
        <f>IF(AND(A8365&lt;&gt;"",ISNUMBER(A8365)),VLOOKUP(A8365,Studies!A:BR,5,FALSE),"")</f>
        <v>Midazolam</v>
      </c>
      <c r="F8365" s="251" t="str">
        <f>IF(AND(A8365&lt;&gt;"",ISNUMBER(A8365)),VLOOKUP(A8365,Studies!A:BR,6,FALSE),"")</f>
        <v>Plasma</v>
      </c>
      <c r="G8365" s="194">
        <v>73.5</v>
      </c>
      <c r="H8365" s="50" t="s">
        <v>60</v>
      </c>
      <c r="I8365" s="187">
        <v>9.7640750000000001</v>
      </c>
      <c r="J8365" s="41" t="s">
        <v>941</v>
      </c>
      <c r="K8365" s="41" t="s">
        <v>116</v>
      </c>
      <c r="O8365" s="59">
        <v>0.1</v>
      </c>
    </row>
    <row r="8366" spans="1:15" x14ac:dyDescent="0.2">
      <c r="A8366" s="183">
        <v>1091</v>
      </c>
      <c r="B8366" s="249" t="str">
        <f>IF(AND(A8366&lt;&gt;"",ISNUMBER(A8366)),VLOOKUP(A8366,Studies!A:BR,2,FALSE),"")</f>
        <v>Shin 2013</v>
      </c>
      <c r="C8366" s="250" t="str">
        <f>IF(AND(A8366&lt;&gt;"",ISNUMBER(A8366)),VLOOKUP(A8366,Studies!A:BR,3,FALSE),"")</f>
        <v>https://www.ncbi.nlm.nih.gov/pubmed/23784264</v>
      </c>
      <c r="D8366" s="250" t="str">
        <f>IF(AND(A8366&lt;&gt;"",ISNUMBER(A8366)),VLOOKUP(A8366,Studies!A:BR,4,FALSE),"")</f>
        <v>CYP3A4 inhibited phase (Midazolam + ketoconazole)</v>
      </c>
      <c r="E8366" s="250" t="str">
        <f>IF(AND(A8366&lt;&gt;"",ISNUMBER(A8366)),VLOOKUP(A8366,Studies!A:BR,5,FALSE),"")</f>
        <v>Midazolam</v>
      </c>
      <c r="F8366" s="251" t="str">
        <f>IF(AND(A8366&lt;&gt;"",ISNUMBER(A8366)),VLOOKUP(A8366,Studies!A:BR,6,FALSE),"")</f>
        <v>Plasma</v>
      </c>
      <c r="G8366" s="194">
        <v>73.75</v>
      </c>
      <c r="H8366" s="50" t="s">
        <v>60</v>
      </c>
      <c r="I8366" s="187">
        <v>8.0600369999999995</v>
      </c>
      <c r="J8366" s="41" t="s">
        <v>941</v>
      </c>
      <c r="K8366" s="41" t="s">
        <v>116</v>
      </c>
      <c r="O8366" s="59">
        <v>0.1</v>
      </c>
    </row>
    <row r="8367" spans="1:15" x14ac:dyDescent="0.2">
      <c r="A8367" s="183">
        <v>1091</v>
      </c>
      <c r="B8367" s="249" t="str">
        <f>IF(AND(A8367&lt;&gt;"",ISNUMBER(A8367)),VLOOKUP(A8367,Studies!A:BR,2,FALSE),"")</f>
        <v>Shin 2013</v>
      </c>
      <c r="C8367" s="250" t="str">
        <f>IF(AND(A8367&lt;&gt;"",ISNUMBER(A8367)),VLOOKUP(A8367,Studies!A:BR,3,FALSE),"")</f>
        <v>https://www.ncbi.nlm.nih.gov/pubmed/23784264</v>
      </c>
      <c r="D8367" s="250" t="str">
        <f>IF(AND(A8367&lt;&gt;"",ISNUMBER(A8367)),VLOOKUP(A8367,Studies!A:BR,4,FALSE),"")</f>
        <v>CYP3A4 inhibited phase (Midazolam + ketoconazole)</v>
      </c>
      <c r="E8367" s="250" t="str">
        <f>IF(AND(A8367&lt;&gt;"",ISNUMBER(A8367)),VLOOKUP(A8367,Studies!A:BR,5,FALSE),"")</f>
        <v>Midazolam</v>
      </c>
      <c r="F8367" s="251" t="str">
        <f>IF(AND(A8367&lt;&gt;"",ISNUMBER(A8367)),VLOOKUP(A8367,Studies!A:BR,6,FALSE),"")</f>
        <v>Plasma</v>
      </c>
      <c r="G8367" s="194">
        <v>74</v>
      </c>
      <c r="H8367" s="50" t="s">
        <v>60</v>
      </c>
      <c r="I8367" s="187">
        <v>7.2357180000000003</v>
      </c>
      <c r="J8367" s="41" t="s">
        <v>941</v>
      </c>
      <c r="K8367" s="41" t="s">
        <v>116</v>
      </c>
      <c r="O8367" s="59">
        <v>0.1</v>
      </c>
    </row>
    <row r="8368" spans="1:15" x14ac:dyDescent="0.2">
      <c r="A8368" s="183">
        <v>1091</v>
      </c>
      <c r="B8368" s="249" t="str">
        <f>IF(AND(A8368&lt;&gt;"",ISNUMBER(A8368)),VLOOKUP(A8368,Studies!A:BR,2,FALSE),"")</f>
        <v>Shin 2013</v>
      </c>
      <c r="C8368" s="250" t="str">
        <f>IF(AND(A8368&lt;&gt;"",ISNUMBER(A8368)),VLOOKUP(A8368,Studies!A:BR,3,FALSE),"")</f>
        <v>https://www.ncbi.nlm.nih.gov/pubmed/23784264</v>
      </c>
      <c r="D8368" s="250" t="str">
        <f>IF(AND(A8368&lt;&gt;"",ISNUMBER(A8368)),VLOOKUP(A8368,Studies!A:BR,4,FALSE),"")</f>
        <v>CYP3A4 inhibited phase (Midazolam + ketoconazole)</v>
      </c>
      <c r="E8368" s="250" t="str">
        <f>IF(AND(A8368&lt;&gt;"",ISNUMBER(A8368)),VLOOKUP(A8368,Studies!A:BR,5,FALSE),"")</f>
        <v>Midazolam</v>
      </c>
      <c r="F8368" s="251" t="str">
        <f>IF(AND(A8368&lt;&gt;"",ISNUMBER(A8368)),VLOOKUP(A8368,Studies!A:BR,6,FALSE),"")</f>
        <v>Plasma</v>
      </c>
      <c r="G8368" s="194">
        <v>75</v>
      </c>
      <c r="H8368" s="50" t="s">
        <v>60</v>
      </c>
      <c r="I8368" s="187">
        <v>5.6941100000000002</v>
      </c>
      <c r="J8368" s="41" t="s">
        <v>941</v>
      </c>
      <c r="K8368" s="41" t="s">
        <v>116</v>
      </c>
      <c r="O8368" s="59">
        <v>0.1</v>
      </c>
    </row>
    <row r="8369" spans="1:15" x14ac:dyDescent="0.2">
      <c r="A8369" s="183">
        <v>1091</v>
      </c>
      <c r="B8369" s="249" t="str">
        <f>IF(AND(A8369&lt;&gt;"",ISNUMBER(A8369)),VLOOKUP(A8369,Studies!A:BR,2,FALSE),"")</f>
        <v>Shin 2013</v>
      </c>
      <c r="C8369" s="250" t="str">
        <f>IF(AND(A8369&lt;&gt;"",ISNUMBER(A8369)),VLOOKUP(A8369,Studies!A:BR,3,FALSE),"")</f>
        <v>https://www.ncbi.nlm.nih.gov/pubmed/23784264</v>
      </c>
      <c r="D8369" s="250" t="str">
        <f>IF(AND(A8369&lt;&gt;"",ISNUMBER(A8369)),VLOOKUP(A8369,Studies!A:BR,4,FALSE),"")</f>
        <v>CYP3A4 inhibited phase (Midazolam + ketoconazole)</v>
      </c>
      <c r="E8369" s="250" t="str">
        <f>IF(AND(A8369&lt;&gt;"",ISNUMBER(A8369)),VLOOKUP(A8369,Studies!A:BR,5,FALSE),"")</f>
        <v>Midazolam</v>
      </c>
      <c r="F8369" s="251" t="str">
        <f>IF(AND(A8369&lt;&gt;"",ISNUMBER(A8369)),VLOOKUP(A8369,Studies!A:BR,6,FALSE),"")</f>
        <v>Plasma</v>
      </c>
      <c r="G8369" s="194">
        <v>76</v>
      </c>
      <c r="H8369" s="50" t="s">
        <v>60</v>
      </c>
      <c r="I8369" s="187">
        <v>5.300052</v>
      </c>
      <c r="J8369" s="41" t="s">
        <v>941</v>
      </c>
      <c r="K8369" s="41" t="s">
        <v>116</v>
      </c>
      <c r="O8369" s="59">
        <v>0.1</v>
      </c>
    </row>
    <row r="8370" spans="1:15" x14ac:dyDescent="0.2">
      <c r="A8370" s="30">
        <v>1091</v>
      </c>
      <c r="B8370" s="249" t="str">
        <f>IF(AND(A8370&lt;&gt;"",ISNUMBER(A8370)),VLOOKUP(A8370,Studies!A:BR,2,FALSE),"")</f>
        <v>Shin 2013</v>
      </c>
      <c r="C8370" s="250" t="str">
        <f>IF(AND(A8370&lt;&gt;"",ISNUMBER(A8370)),VLOOKUP(A8370,Studies!A:BR,3,FALSE),"")</f>
        <v>https://www.ncbi.nlm.nih.gov/pubmed/23784264</v>
      </c>
      <c r="D8370" s="250" t="str">
        <f>IF(AND(A8370&lt;&gt;"",ISNUMBER(A8370)),VLOOKUP(A8370,Studies!A:BR,4,FALSE),"")</f>
        <v>CYP3A4 inhibited phase (Midazolam + ketoconazole)</v>
      </c>
      <c r="E8370" s="250" t="str">
        <f>IF(AND(A8370&lt;&gt;"",ISNUMBER(A8370)),VLOOKUP(A8370,Studies!A:BR,5,FALSE),"")</f>
        <v>Midazolam</v>
      </c>
      <c r="F8370" s="251" t="str">
        <f>IF(AND(A8370&lt;&gt;"",ISNUMBER(A8370)),VLOOKUP(A8370,Studies!A:BR,6,FALSE),"")</f>
        <v>Plasma</v>
      </c>
      <c r="G8370" s="194">
        <v>77</v>
      </c>
      <c r="H8370" s="50" t="s">
        <v>60</v>
      </c>
      <c r="I8370" s="187">
        <v>4.8746010000000002</v>
      </c>
      <c r="J8370" s="41" t="s">
        <v>941</v>
      </c>
      <c r="K8370" s="41" t="s">
        <v>116</v>
      </c>
      <c r="O8370" s="59">
        <v>0.1</v>
      </c>
    </row>
    <row r="8371" spans="1:15" x14ac:dyDescent="0.2">
      <c r="A8371" s="30">
        <v>1091</v>
      </c>
      <c r="B8371" s="249" t="str">
        <f>IF(AND(A8371&lt;&gt;"",ISNUMBER(A8371)),VLOOKUP(A8371,Studies!A:BR,2,FALSE),"")</f>
        <v>Shin 2013</v>
      </c>
      <c r="C8371" s="250" t="str">
        <f>IF(AND(A8371&lt;&gt;"",ISNUMBER(A8371)),VLOOKUP(A8371,Studies!A:BR,3,FALSE),"")</f>
        <v>https://www.ncbi.nlm.nih.gov/pubmed/23784264</v>
      </c>
      <c r="D8371" s="250" t="str">
        <f>IF(AND(A8371&lt;&gt;"",ISNUMBER(A8371)),VLOOKUP(A8371,Studies!A:BR,4,FALSE),"")</f>
        <v>CYP3A4 inhibited phase (Midazolam + ketoconazole)</v>
      </c>
      <c r="E8371" s="250" t="str">
        <f>IF(AND(A8371&lt;&gt;"",ISNUMBER(A8371)),VLOOKUP(A8371,Studies!A:BR,5,FALSE),"")</f>
        <v>Midazolam</v>
      </c>
      <c r="F8371" s="251" t="str">
        <f>IF(AND(A8371&lt;&gt;"",ISNUMBER(A8371)),VLOOKUP(A8371,Studies!A:BR,6,FALSE),"")</f>
        <v>Plasma</v>
      </c>
      <c r="G8371" s="194">
        <v>79</v>
      </c>
      <c r="H8371" s="50" t="s">
        <v>60</v>
      </c>
      <c r="I8371" s="187">
        <v>3.9775200000000002</v>
      </c>
      <c r="J8371" s="41" t="s">
        <v>941</v>
      </c>
      <c r="K8371" s="41" t="s">
        <v>116</v>
      </c>
      <c r="O8371" s="59">
        <v>0.1</v>
      </c>
    </row>
    <row r="8372" spans="1:15" x14ac:dyDescent="0.2">
      <c r="A8372" s="30">
        <v>1091</v>
      </c>
      <c r="B8372" s="249" t="str">
        <f>IF(AND(A8372&lt;&gt;"",ISNUMBER(A8372)),VLOOKUP(A8372,Studies!A:BR,2,FALSE),"")</f>
        <v>Shin 2013</v>
      </c>
      <c r="C8372" s="250" t="str">
        <f>IF(AND(A8372&lt;&gt;"",ISNUMBER(A8372)),VLOOKUP(A8372,Studies!A:BR,3,FALSE),"")</f>
        <v>https://www.ncbi.nlm.nih.gov/pubmed/23784264</v>
      </c>
      <c r="D8372" s="250" t="str">
        <f>IF(AND(A8372&lt;&gt;"",ISNUMBER(A8372)),VLOOKUP(A8372,Studies!A:BR,4,FALSE),"")</f>
        <v>CYP3A4 inhibited phase (Midazolam + ketoconazole)</v>
      </c>
      <c r="E8372" s="250" t="str">
        <f>IF(AND(A8372&lt;&gt;"",ISNUMBER(A8372)),VLOOKUP(A8372,Studies!A:BR,5,FALSE),"")</f>
        <v>Midazolam</v>
      </c>
      <c r="F8372" s="251" t="str">
        <f>IF(AND(A8372&lt;&gt;"",ISNUMBER(A8372)),VLOOKUP(A8372,Studies!A:BR,6,FALSE),"")</f>
        <v>Plasma</v>
      </c>
      <c r="G8372" s="194">
        <v>81</v>
      </c>
      <c r="H8372" s="50" t="s">
        <v>60</v>
      </c>
      <c r="I8372" s="187">
        <v>3.703201</v>
      </c>
      <c r="J8372" s="41" t="s">
        <v>941</v>
      </c>
      <c r="K8372" s="41" t="s">
        <v>116</v>
      </c>
      <c r="O8372" s="59">
        <v>0.1</v>
      </c>
    </row>
    <row r="8373" spans="1:15" x14ac:dyDescent="0.2">
      <c r="A8373" s="30">
        <v>1091</v>
      </c>
      <c r="B8373" s="249" t="str">
        <f>IF(AND(A8373&lt;&gt;"",ISNUMBER(A8373)),VLOOKUP(A8373,Studies!A:BR,2,FALSE),"")</f>
        <v>Shin 2013</v>
      </c>
      <c r="C8373" s="250" t="str">
        <f>IF(AND(A8373&lt;&gt;"",ISNUMBER(A8373)),VLOOKUP(A8373,Studies!A:BR,3,FALSE),"")</f>
        <v>https://www.ncbi.nlm.nih.gov/pubmed/23784264</v>
      </c>
      <c r="D8373" s="250" t="str">
        <f>IF(AND(A8373&lt;&gt;"",ISNUMBER(A8373)),VLOOKUP(A8373,Studies!A:BR,4,FALSE),"")</f>
        <v>CYP3A4 inhibited phase (Midazolam + ketoconazole)</v>
      </c>
      <c r="E8373" s="250" t="str">
        <f>IF(AND(A8373&lt;&gt;"",ISNUMBER(A8373)),VLOOKUP(A8373,Studies!A:BR,5,FALSE),"")</f>
        <v>Midazolam</v>
      </c>
      <c r="F8373" s="251" t="str">
        <f>IF(AND(A8373&lt;&gt;"",ISNUMBER(A8373)),VLOOKUP(A8373,Studies!A:BR,6,FALSE),"")</f>
        <v>Plasma</v>
      </c>
      <c r="G8373" s="194">
        <v>85</v>
      </c>
      <c r="H8373" s="50" t="s">
        <v>60</v>
      </c>
      <c r="I8373" s="187">
        <v>3.210016</v>
      </c>
      <c r="J8373" s="41" t="s">
        <v>941</v>
      </c>
      <c r="K8373" s="41" t="s">
        <v>116</v>
      </c>
      <c r="O8373" s="59">
        <v>0.1</v>
      </c>
    </row>
    <row r="8374" spans="1:15" x14ac:dyDescent="0.2">
      <c r="A8374" s="30">
        <v>1091</v>
      </c>
      <c r="B8374" s="249" t="str">
        <f>IF(AND(A8374&lt;&gt;"",ISNUMBER(A8374)),VLOOKUP(A8374,Studies!A:BR,2,FALSE),"")</f>
        <v>Shin 2013</v>
      </c>
      <c r="C8374" s="250" t="str">
        <f>IF(AND(A8374&lt;&gt;"",ISNUMBER(A8374)),VLOOKUP(A8374,Studies!A:BR,3,FALSE),"")</f>
        <v>https://www.ncbi.nlm.nih.gov/pubmed/23784264</v>
      </c>
      <c r="D8374" s="250" t="str">
        <f>IF(AND(A8374&lt;&gt;"",ISNUMBER(A8374)),VLOOKUP(A8374,Studies!A:BR,4,FALSE),"")</f>
        <v>CYP3A4 inhibited phase (Midazolam + ketoconazole)</v>
      </c>
      <c r="E8374" s="250" t="str">
        <f>IF(AND(A8374&lt;&gt;"",ISNUMBER(A8374)),VLOOKUP(A8374,Studies!A:BR,5,FALSE),"")</f>
        <v>Midazolam</v>
      </c>
      <c r="F8374" s="251" t="str">
        <f>IF(AND(A8374&lt;&gt;"",ISNUMBER(A8374)),VLOOKUP(A8374,Studies!A:BR,6,FALSE),"")</f>
        <v>Plasma</v>
      </c>
      <c r="G8374" s="194">
        <v>97</v>
      </c>
      <c r="H8374" s="50" t="s">
        <v>60</v>
      </c>
      <c r="I8374" s="187">
        <v>1.4766189999999999</v>
      </c>
      <c r="J8374" s="41" t="s">
        <v>941</v>
      </c>
      <c r="K8374" s="41" t="s">
        <v>116</v>
      </c>
      <c r="O8374" s="59">
        <v>0.1</v>
      </c>
    </row>
    <row r="8375" spans="1:15" x14ac:dyDescent="0.2">
      <c r="A8375" s="30">
        <v>1091</v>
      </c>
      <c r="B8375" s="249" t="str">
        <f>IF(AND(A8375&lt;&gt;"",ISNUMBER(A8375)),VLOOKUP(A8375,Studies!A:BR,2,FALSE),"")</f>
        <v>Shin 2013</v>
      </c>
      <c r="C8375" s="250" t="str">
        <f>IF(AND(A8375&lt;&gt;"",ISNUMBER(A8375)),VLOOKUP(A8375,Studies!A:BR,3,FALSE),"")</f>
        <v>https://www.ncbi.nlm.nih.gov/pubmed/23784264</v>
      </c>
      <c r="D8375" s="250" t="str">
        <f>IF(AND(A8375&lt;&gt;"",ISNUMBER(A8375)),VLOOKUP(A8375,Studies!A:BR,4,FALSE),"")</f>
        <v>CYP3A4 inhibited phase (Midazolam + ketoconazole)</v>
      </c>
      <c r="E8375" s="250" t="str">
        <f>IF(AND(A8375&lt;&gt;"",ISNUMBER(A8375)),VLOOKUP(A8375,Studies!A:BR,5,FALSE),"")</f>
        <v>Midazolam</v>
      </c>
      <c r="F8375" s="251" t="str">
        <f>IF(AND(A8375&lt;&gt;"",ISNUMBER(A8375)),VLOOKUP(A8375,Studies!A:BR,6,FALSE),"")</f>
        <v>Plasma</v>
      </c>
      <c r="G8375" s="194">
        <v>121</v>
      </c>
      <c r="H8375" s="50" t="s">
        <v>60</v>
      </c>
      <c r="I8375" s="187">
        <v>0.24582760000000001</v>
      </c>
      <c r="J8375" s="41" t="s">
        <v>941</v>
      </c>
      <c r="K8375" s="41" t="s">
        <v>116</v>
      </c>
      <c r="O8375" s="59">
        <v>0.1</v>
      </c>
    </row>
    <row r="8376" spans="1:15" x14ac:dyDescent="0.2">
      <c r="A8376" s="30">
        <v>1092</v>
      </c>
      <c r="B8376" s="249" t="str">
        <f>IF(AND(A8376&lt;&gt;"",ISNUMBER(A8376)),VLOOKUP(A8376,Studies!A:BR,2,FALSE),"")</f>
        <v>Shin 2013</v>
      </c>
      <c r="C8376" s="250" t="str">
        <f>IF(AND(A8376&lt;&gt;"",ISNUMBER(A8376)),VLOOKUP(A8376,Studies!A:BR,3,FALSE),"")</f>
        <v>https://www.ncbi.nlm.nih.gov/pubmed/23784264</v>
      </c>
      <c r="D8376" s="250" t="str">
        <f>IF(AND(A8376&lt;&gt;"",ISNUMBER(A8376)),VLOOKUP(A8376,Studies!A:BR,4,FALSE),"")</f>
        <v>CYP3A4 induced phase (Midazolam + rifampicin)</v>
      </c>
      <c r="E8376" s="250" t="str">
        <f>IF(AND(A8376&lt;&gt;"",ISNUMBER(A8376)),VLOOKUP(A8376,Studies!A:BR,5,FALSE),"")</f>
        <v>Midazolam</v>
      </c>
      <c r="F8376" s="251" t="str">
        <f>IF(AND(A8376&lt;&gt;"",ISNUMBER(A8376)),VLOOKUP(A8376,Studies!A:BR,6,FALSE),"")</f>
        <v>Plasma</v>
      </c>
      <c r="G8376" s="194">
        <v>216.16666666666666</v>
      </c>
      <c r="H8376" s="50" t="s">
        <v>60</v>
      </c>
      <c r="I8376" s="187">
        <v>35.228610000000003</v>
      </c>
      <c r="J8376" s="41" t="s">
        <v>941</v>
      </c>
      <c r="K8376" s="41" t="s">
        <v>116</v>
      </c>
      <c r="O8376" s="59">
        <v>0.1</v>
      </c>
    </row>
    <row r="8377" spans="1:15" x14ac:dyDescent="0.2">
      <c r="A8377" s="30">
        <v>1092</v>
      </c>
      <c r="B8377" s="249" t="str">
        <f>IF(AND(A8377&lt;&gt;"",ISNUMBER(A8377)),VLOOKUP(A8377,Studies!A:BR,2,FALSE),"")</f>
        <v>Shin 2013</v>
      </c>
      <c r="C8377" s="250" t="str">
        <f>IF(AND(A8377&lt;&gt;"",ISNUMBER(A8377)),VLOOKUP(A8377,Studies!A:BR,3,FALSE),"")</f>
        <v>https://www.ncbi.nlm.nih.gov/pubmed/23784264</v>
      </c>
      <c r="D8377" s="250" t="str">
        <f>IF(AND(A8377&lt;&gt;"",ISNUMBER(A8377)),VLOOKUP(A8377,Studies!A:BR,4,FALSE),"")</f>
        <v>CYP3A4 induced phase (Midazolam + rifampicin)</v>
      </c>
      <c r="E8377" s="250" t="str">
        <f>IF(AND(A8377&lt;&gt;"",ISNUMBER(A8377)),VLOOKUP(A8377,Studies!A:BR,5,FALSE),"")</f>
        <v>Midazolam</v>
      </c>
      <c r="F8377" s="251" t="str">
        <f>IF(AND(A8377&lt;&gt;"",ISNUMBER(A8377)),VLOOKUP(A8377,Studies!A:BR,6,FALSE),"")</f>
        <v>Plasma</v>
      </c>
      <c r="G8377" s="194">
        <v>216.33333333333334</v>
      </c>
      <c r="H8377" s="50" t="s">
        <v>60</v>
      </c>
      <c r="I8377" s="187">
        <v>22.605139999999999</v>
      </c>
      <c r="J8377" s="41" t="s">
        <v>941</v>
      </c>
      <c r="K8377" s="41" t="s">
        <v>116</v>
      </c>
      <c r="O8377" s="59">
        <v>0.1</v>
      </c>
    </row>
    <row r="8378" spans="1:15" x14ac:dyDescent="0.2">
      <c r="A8378" s="30">
        <v>1092</v>
      </c>
      <c r="B8378" s="249" t="str">
        <f>IF(AND(A8378&lt;&gt;"",ISNUMBER(A8378)),VLOOKUP(A8378,Studies!A:BR,2,FALSE),"")</f>
        <v>Shin 2013</v>
      </c>
      <c r="C8378" s="250" t="str">
        <f>IF(AND(A8378&lt;&gt;"",ISNUMBER(A8378)),VLOOKUP(A8378,Studies!A:BR,3,FALSE),"")</f>
        <v>https://www.ncbi.nlm.nih.gov/pubmed/23784264</v>
      </c>
      <c r="D8378" s="250" t="str">
        <f>IF(AND(A8378&lt;&gt;"",ISNUMBER(A8378)),VLOOKUP(A8378,Studies!A:BR,4,FALSE),"")</f>
        <v>CYP3A4 induced phase (Midazolam + rifampicin)</v>
      </c>
      <c r="E8378" s="250" t="str">
        <f>IF(AND(A8378&lt;&gt;"",ISNUMBER(A8378)),VLOOKUP(A8378,Studies!A:BR,5,FALSE),"")</f>
        <v>Midazolam</v>
      </c>
      <c r="F8378" s="251" t="str">
        <f>IF(AND(A8378&lt;&gt;"",ISNUMBER(A8378)),VLOOKUP(A8378,Studies!A:BR,6,FALSE),"")</f>
        <v>Plasma</v>
      </c>
      <c r="G8378" s="194">
        <v>216.5</v>
      </c>
      <c r="H8378" s="50" t="s">
        <v>60</v>
      </c>
      <c r="I8378" s="187">
        <v>19.81231</v>
      </c>
      <c r="J8378" s="41" t="s">
        <v>941</v>
      </c>
      <c r="K8378" s="41" t="s">
        <v>116</v>
      </c>
      <c r="O8378" s="59">
        <v>0.1</v>
      </c>
    </row>
    <row r="8379" spans="1:15" x14ac:dyDescent="0.2">
      <c r="A8379" s="30">
        <v>1092</v>
      </c>
      <c r="B8379" s="249" t="str">
        <f>IF(AND(A8379&lt;&gt;"",ISNUMBER(A8379)),VLOOKUP(A8379,Studies!A:BR,2,FALSE),"")</f>
        <v>Shin 2013</v>
      </c>
      <c r="C8379" s="250" t="str">
        <f>IF(AND(A8379&lt;&gt;"",ISNUMBER(A8379)),VLOOKUP(A8379,Studies!A:BR,3,FALSE),"")</f>
        <v>https://www.ncbi.nlm.nih.gov/pubmed/23784264</v>
      </c>
      <c r="D8379" s="250" t="str">
        <f>IF(AND(A8379&lt;&gt;"",ISNUMBER(A8379)),VLOOKUP(A8379,Studies!A:BR,4,FALSE),"")</f>
        <v>CYP3A4 induced phase (Midazolam + rifampicin)</v>
      </c>
      <c r="E8379" s="250" t="str">
        <f>IF(AND(A8379&lt;&gt;"",ISNUMBER(A8379)),VLOOKUP(A8379,Studies!A:BR,5,FALSE),"")</f>
        <v>Midazolam</v>
      </c>
      <c r="F8379" s="251" t="str">
        <f>IF(AND(A8379&lt;&gt;"",ISNUMBER(A8379)),VLOOKUP(A8379,Studies!A:BR,6,FALSE),"")</f>
        <v>Plasma</v>
      </c>
      <c r="G8379" s="194">
        <v>216.75</v>
      </c>
      <c r="H8379" s="50" t="s">
        <v>60</v>
      </c>
      <c r="I8379" s="187">
        <v>13.993080000000001</v>
      </c>
      <c r="J8379" s="41" t="s">
        <v>941</v>
      </c>
      <c r="K8379" s="41" t="s">
        <v>116</v>
      </c>
      <c r="O8379" s="59">
        <v>0.1</v>
      </c>
    </row>
    <row r="8380" spans="1:15" x14ac:dyDescent="0.2">
      <c r="A8380" s="30">
        <v>1092</v>
      </c>
      <c r="B8380" s="249" t="str">
        <f>IF(AND(A8380&lt;&gt;"",ISNUMBER(A8380)),VLOOKUP(A8380,Studies!A:BR,2,FALSE),"")</f>
        <v>Shin 2013</v>
      </c>
      <c r="C8380" s="250" t="str">
        <f>IF(AND(A8380&lt;&gt;"",ISNUMBER(A8380)),VLOOKUP(A8380,Studies!A:BR,3,FALSE),"")</f>
        <v>https://www.ncbi.nlm.nih.gov/pubmed/23784264</v>
      </c>
      <c r="D8380" s="250" t="str">
        <f>IF(AND(A8380&lt;&gt;"",ISNUMBER(A8380)),VLOOKUP(A8380,Studies!A:BR,4,FALSE),"")</f>
        <v>CYP3A4 induced phase (Midazolam + rifampicin)</v>
      </c>
      <c r="E8380" s="250" t="str">
        <f>IF(AND(A8380&lt;&gt;"",ISNUMBER(A8380)),VLOOKUP(A8380,Studies!A:BR,5,FALSE),"")</f>
        <v>Midazolam</v>
      </c>
      <c r="F8380" s="251" t="str">
        <f>IF(AND(A8380&lt;&gt;"",ISNUMBER(A8380)),VLOOKUP(A8380,Studies!A:BR,6,FALSE),"")</f>
        <v>Plasma</v>
      </c>
      <c r="G8380" s="194">
        <v>217</v>
      </c>
      <c r="H8380" s="50" t="s">
        <v>60</v>
      </c>
      <c r="I8380" s="187">
        <v>11.00996</v>
      </c>
      <c r="J8380" s="41" t="s">
        <v>941</v>
      </c>
      <c r="K8380" s="41" t="s">
        <v>116</v>
      </c>
      <c r="O8380" s="59">
        <v>0.1</v>
      </c>
    </row>
    <row r="8381" spans="1:15" x14ac:dyDescent="0.2">
      <c r="A8381" s="30">
        <v>1092</v>
      </c>
      <c r="B8381" s="249" t="str">
        <f>IF(AND(A8381&lt;&gt;"",ISNUMBER(A8381)),VLOOKUP(A8381,Studies!A:BR,2,FALSE),"")</f>
        <v>Shin 2013</v>
      </c>
      <c r="C8381" s="250" t="str">
        <f>IF(AND(A8381&lt;&gt;"",ISNUMBER(A8381)),VLOOKUP(A8381,Studies!A:BR,3,FALSE),"")</f>
        <v>https://www.ncbi.nlm.nih.gov/pubmed/23784264</v>
      </c>
      <c r="D8381" s="250" t="str">
        <f>IF(AND(A8381&lt;&gt;"",ISNUMBER(A8381)),VLOOKUP(A8381,Studies!A:BR,4,FALSE),"")</f>
        <v>CYP3A4 induced phase (Midazolam + rifampicin)</v>
      </c>
      <c r="E8381" s="250" t="str">
        <f>IF(AND(A8381&lt;&gt;"",ISNUMBER(A8381)),VLOOKUP(A8381,Studies!A:BR,5,FALSE),"")</f>
        <v>Midazolam</v>
      </c>
      <c r="F8381" s="251" t="str">
        <f>IF(AND(A8381&lt;&gt;"",ISNUMBER(A8381)),VLOOKUP(A8381,Studies!A:BR,6,FALSE),"")</f>
        <v>Plasma</v>
      </c>
      <c r="G8381" s="194">
        <v>218</v>
      </c>
      <c r="H8381" s="50" t="s">
        <v>60</v>
      </c>
      <c r="I8381" s="187">
        <v>5.8324230000000004</v>
      </c>
      <c r="J8381" s="41" t="s">
        <v>941</v>
      </c>
      <c r="K8381" s="41" t="s">
        <v>116</v>
      </c>
      <c r="O8381" s="59">
        <v>0.1</v>
      </c>
    </row>
    <row r="8382" spans="1:15" x14ac:dyDescent="0.2">
      <c r="A8382" s="30">
        <v>1092</v>
      </c>
      <c r="B8382" s="249" t="str">
        <f>IF(AND(A8382&lt;&gt;"",ISNUMBER(A8382)),VLOOKUP(A8382,Studies!A:BR,2,FALSE),"")</f>
        <v>Shin 2013</v>
      </c>
      <c r="C8382" s="250" t="str">
        <f>IF(AND(A8382&lt;&gt;"",ISNUMBER(A8382)),VLOOKUP(A8382,Studies!A:BR,3,FALSE),"")</f>
        <v>https://www.ncbi.nlm.nih.gov/pubmed/23784264</v>
      </c>
      <c r="D8382" s="250" t="str">
        <f>IF(AND(A8382&lt;&gt;"",ISNUMBER(A8382)),VLOOKUP(A8382,Studies!A:BR,4,FALSE),"")</f>
        <v>CYP3A4 induced phase (Midazolam + rifampicin)</v>
      </c>
      <c r="E8382" s="250" t="str">
        <f>IF(AND(A8382&lt;&gt;"",ISNUMBER(A8382)),VLOOKUP(A8382,Studies!A:BR,5,FALSE),"")</f>
        <v>Midazolam</v>
      </c>
      <c r="F8382" s="251" t="str">
        <f>IF(AND(A8382&lt;&gt;"",ISNUMBER(A8382)),VLOOKUP(A8382,Studies!A:BR,6,FALSE),"")</f>
        <v>Plasma</v>
      </c>
      <c r="G8382" s="194">
        <v>219</v>
      </c>
      <c r="H8382" s="50" t="s">
        <v>60</v>
      </c>
      <c r="I8382" s="187">
        <v>3.483336</v>
      </c>
      <c r="J8382" s="41" t="s">
        <v>941</v>
      </c>
      <c r="K8382" s="41" t="s">
        <v>116</v>
      </c>
      <c r="O8382" s="59">
        <v>0.1</v>
      </c>
    </row>
    <row r="8383" spans="1:15" x14ac:dyDescent="0.2">
      <c r="A8383" s="30">
        <v>1092</v>
      </c>
      <c r="B8383" s="249" t="str">
        <f>IF(AND(A8383&lt;&gt;"",ISNUMBER(A8383)),VLOOKUP(A8383,Studies!A:BR,2,FALSE),"")</f>
        <v>Shin 2013</v>
      </c>
      <c r="C8383" s="250" t="str">
        <f>IF(AND(A8383&lt;&gt;"",ISNUMBER(A8383)),VLOOKUP(A8383,Studies!A:BR,3,FALSE),"")</f>
        <v>https://www.ncbi.nlm.nih.gov/pubmed/23784264</v>
      </c>
      <c r="D8383" s="250" t="str">
        <f>IF(AND(A8383&lt;&gt;"",ISNUMBER(A8383)),VLOOKUP(A8383,Studies!A:BR,4,FALSE),"")</f>
        <v>CYP3A4 induced phase (Midazolam + rifampicin)</v>
      </c>
      <c r="E8383" s="250" t="str">
        <f>IF(AND(A8383&lt;&gt;"",ISNUMBER(A8383)),VLOOKUP(A8383,Studies!A:BR,5,FALSE),"")</f>
        <v>Midazolam</v>
      </c>
      <c r="F8383" s="251" t="str">
        <f>IF(AND(A8383&lt;&gt;"",ISNUMBER(A8383)),VLOOKUP(A8383,Studies!A:BR,6,FALSE),"")</f>
        <v>Plasma</v>
      </c>
      <c r="G8383" s="194">
        <v>220</v>
      </c>
      <c r="H8383" s="50" t="s">
        <v>60</v>
      </c>
      <c r="I8383" s="187">
        <v>2.4023430000000001</v>
      </c>
      <c r="J8383" s="41" t="s">
        <v>941</v>
      </c>
      <c r="K8383" s="41" t="s">
        <v>116</v>
      </c>
      <c r="O8383" s="59">
        <v>0.1</v>
      </c>
    </row>
    <row r="8384" spans="1:15" x14ac:dyDescent="0.2">
      <c r="A8384" s="30">
        <v>1092</v>
      </c>
      <c r="B8384" s="249" t="str">
        <f>IF(AND(A8384&lt;&gt;"",ISNUMBER(A8384)),VLOOKUP(A8384,Studies!A:BR,2,FALSE),"")</f>
        <v>Shin 2013</v>
      </c>
      <c r="C8384" s="250" t="str">
        <f>IF(AND(A8384&lt;&gt;"",ISNUMBER(A8384)),VLOOKUP(A8384,Studies!A:BR,3,FALSE),"")</f>
        <v>https://www.ncbi.nlm.nih.gov/pubmed/23784264</v>
      </c>
      <c r="D8384" s="250" t="str">
        <f>IF(AND(A8384&lt;&gt;"",ISNUMBER(A8384)),VLOOKUP(A8384,Studies!A:BR,4,FALSE),"")</f>
        <v>CYP3A4 induced phase (Midazolam + rifampicin)</v>
      </c>
      <c r="E8384" s="250" t="str">
        <f>IF(AND(A8384&lt;&gt;"",ISNUMBER(A8384)),VLOOKUP(A8384,Studies!A:BR,5,FALSE),"")</f>
        <v>Midazolam</v>
      </c>
      <c r="F8384" s="251" t="str">
        <f>IF(AND(A8384&lt;&gt;"",ISNUMBER(A8384)),VLOOKUP(A8384,Studies!A:BR,6,FALSE),"")</f>
        <v>Plasma</v>
      </c>
      <c r="G8384" s="194">
        <v>222</v>
      </c>
      <c r="H8384" s="50" t="s">
        <v>60</v>
      </c>
      <c r="I8384" s="187">
        <v>0.88832560000000005</v>
      </c>
      <c r="J8384" s="41" t="s">
        <v>941</v>
      </c>
      <c r="K8384" s="41" t="s">
        <v>116</v>
      </c>
      <c r="O8384" s="59">
        <v>0.1</v>
      </c>
    </row>
    <row r="8385" spans="1:16" x14ac:dyDescent="0.2">
      <c r="A8385" s="30">
        <v>1092</v>
      </c>
      <c r="B8385" s="249" t="str">
        <f>IF(AND(A8385&lt;&gt;"",ISNUMBER(A8385)),VLOOKUP(A8385,Studies!A:BR,2,FALSE),"")</f>
        <v>Shin 2013</v>
      </c>
      <c r="C8385" s="250" t="str">
        <f>IF(AND(A8385&lt;&gt;"",ISNUMBER(A8385)),VLOOKUP(A8385,Studies!A:BR,3,FALSE),"")</f>
        <v>https://www.ncbi.nlm.nih.gov/pubmed/23784264</v>
      </c>
      <c r="D8385" s="250" t="str">
        <f>IF(AND(A8385&lt;&gt;"",ISNUMBER(A8385)),VLOOKUP(A8385,Studies!A:BR,4,FALSE),"")</f>
        <v>CYP3A4 induced phase (Midazolam + rifampicin)</v>
      </c>
      <c r="E8385" s="250" t="str">
        <f>IF(AND(A8385&lt;&gt;"",ISNUMBER(A8385)),VLOOKUP(A8385,Studies!A:BR,5,FALSE),"")</f>
        <v>Midazolam</v>
      </c>
      <c r="F8385" s="251" t="str">
        <f>IF(AND(A8385&lt;&gt;"",ISNUMBER(A8385)),VLOOKUP(A8385,Studies!A:BR,6,FALSE),"")</f>
        <v>Plasma</v>
      </c>
      <c r="G8385" s="194">
        <v>224</v>
      </c>
      <c r="H8385" s="50" t="s">
        <v>60</v>
      </c>
      <c r="I8385" s="187">
        <v>0.50581989999999999</v>
      </c>
      <c r="J8385" s="41" t="s">
        <v>941</v>
      </c>
      <c r="K8385" s="41" t="s">
        <v>116</v>
      </c>
      <c r="O8385" s="59">
        <v>0.1</v>
      </c>
    </row>
    <row r="8386" spans="1:16" x14ac:dyDescent="0.2">
      <c r="A8386" s="30">
        <v>1092</v>
      </c>
      <c r="B8386" s="249" t="str">
        <f>IF(AND(A8386&lt;&gt;"",ISNUMBER(A8386)),VLOOKUP(A8386,Studies!A:BR,2,FALSE),"")</f>
        <v>Shin 2013</v>
      </c>
      <c r="C8386" s="250" t="str">
        <f>IF(AND(A8386&lt;&gt;"",ISNUMBER(A8386)),VLOOKUP(A8386,Studies!A:BR,3,FALSE),"")</f>
        <v>https://www.ncbi.nlm.nih.gov/pubmed/23784264</v>
      </c>
      <c r="D8386" s="250" t="str">
        <f>IF(AND(A8386&lt;&gt;"",ISNUMBER(A8386)),VLOOKUP(A8386,Studies!A:BR,4,FALSE),"")</f>
        <v>CYP3A4 induced phase (Midazolam + rifampicin)</v>
      </c>
      <c r="E8386" s="250" t="str">
        <f>IF(AND(A8386&lt;&gt;"",ISNUMBER(A8386)),VLOOKUP(A8386,Studies!A:BR,5,FALSE),"")</f>
        <v>Midazolam</v>
      </c>
      <c r="F8386" s="251" t="str">
        <f>IF(AND(A8386&lt;&gt;"",ISNUMBER(A8386)),VLOOKUP(A8386,Studies!A:BR,6,FALSE),"")</f>
        <v>Plasma</v>
      </c>
      <c r="G8386" s="194">
        <v>228</v>
      </c>
      <c r="H8386" s="50" t="s">
        <v>60</v>
      </c>
      <c r="I8386" s="187">
        <v>0.19869020000000001</v>
      </c>
      <c r="J8386" s="41" t="s">
        <v>941</v>
      </c>
      <c r="K8386" s="41" t="s">
        <v>116</v>
      </c>
      <c r="O8386" s="59">
        <v>0.1</v>
      </c>
    </row>
    <row r="8387" spans="1:16" x14ac:dyDescent="0.2">
      <c r="A8387" s="30">
        <v>1093</v>
      </c>
      <c r="B8387" s="249" t="str">
        <f>IF(AND(A8387&lt;&gt;"",ISNUMBER(A8387)),VLOOKUP(A8387,Studies!A:BR,2,FALSE),"")</f>
        <v>Shin 2016</v>
      </c>
      <c r="C8387" s="250" t="str">
        <f>IF(AND(A8387&lt;&gt;"",ISNUMBER(A8387)),VLOOKUP(A8387,Studies!A:BR,3,FALSE),"")</f>
        <v>https://www.ncbi.nlm.nih.gov/pubmed/27317471</v>
      </c>
      <c r="D8387" s="250" t="str">
        <f>IF(AND(A8387&lt;&gt;"",ISNUMBER(A8387)),VLOOKUP(A8387,Studies!A:BR,4,FALSE),"")</f>
        <v>Midazolam alone</v>
      </c>
      <c r="E8387" s="250" t="str">
        <f>IF(AND(A8387&lt;&gt;"",ISNUMBER(A8387)),VLOOKUP(A8387,Studies!A:BR,5,FALSE),"")</f>
        <v>Midazolam</v>
      </c>
      <c r="F8387" s="251" t="str">
        <f>IF(AND(A8387&lt;&gt;"",ISNUMBER(A8387)),VLOOKUP(A8387,Studies!A:BR,6,FALSE),"")</f>
        <v>Plasma</v>
      </c>
      <c r="G8387" s="194">
        <v>0.17</v>
      </c>
      <c r="H8387" s="50" t="s">
        <v>60</v>
      </c>
      <c r="I8387" s="187">
        <v>27.32583</v>
      </c>
      <c r="J8387" s="41" t="s">
        <v>941</v>
      </c>
      <c r="K8387" s="41" t="s">
        <v>335</v>
      </c>
      <c r="L8387" s="195">
        <v>3.2152539999999998</v>
      </c>
      <c r="M8387" s="52" t="s">
        <v>941</v>
      </c>
      <c r="N8387" s="52" t="s">
        <v>117</v>
      </c>
      <c r="O8387" s="59">
        <v>0.1</v>
      </c>
      <c r="P8387" s="42" t="s">
        <v>2612</v>
      </c>
    </row>
    <row r="8388" spans="1:16" x14ac:dyDescent="0.2">
      <c r="A8388" s="30">
        <v>1093</v>
      </c>
      <c r="B8388" s="249" t="str">
        <f>IF(AND(A8388&lt;&gt;"",ISNUMBER(A8388)),VLOOKUP(A8388,Studies!A:BR,2,FALSE),"")</f>
        <v>Shin 2016</v>
      </c>
      <c r="C8388" s="250" t="str">
        <f>IF(AND(A8388&lt;&gt;"",ISNUMBER(A8388)),VLOOKUP(A8388,Studies!A:BR,3,FALSE),"")</f>
        <v>https://www.ncbi.nlm.nih.gov/pubmed/27317471</v>
      </c>
      <c r="D8388" s="250" t="str">
        <f>IF(AND(A8388&lt;&gt;"",ISNUMBER(A8388)),VLOOKUP(A8388,Studies!A:BR,4,FALSE),"")</f>
        <v>Midazolam alone</v>
      </c>
      <c r="E8388" s="250" t="str">
        <f>IF(AND(A8388&lt;&gt;"",ISNUMBER(A8388)),VLOOKUP(A8388,Studies!A:BR,5,FALSE),"")</f>
        <v>Midazolam</v>
      </c>
      <c r="F8388" s="251" t="str">
        <f>IF(AND(A8388&lt;&gt;"",ISNUMBER(A8388)),VLOOKUP(A8388,Studies!A:BR,6,FALSE),"")</f>
        <v>Plasma</v>
      </c>
      <c r="G8388" s="194">
        <v>0.33</v>
      </c>
      <c r="H8388" s="50" t="s">
        <v>60</v>
      </c>
      <c r="I8388" s="187">
        <v>20.09695</v>
      </c>
      <c r="J8388" s="41" t="s">
        <v>941</v>
      </c>
      <c r="K8388" s="41" t="s">
        <v>335</v>
      </c>
      <c r="L8388" s="195">
        <v>2.3646769999999999</v>
      </c>
      <c r="M8388" s="52" t="s">
        <v>941</v>
      </c>
      <c r="N8388" s="52" t="s">
        <v>117</v>
      </c>
      <c r="O8388" s="59">
        <v>0.1</v>
      </c>
    </row>
    <row r="8389" spans="1:16" x14ac:dyDescent="0.2">
      <c r="A8389" s="30">
        <v>1093</v>
      </c>
      <c r="B8389" s="249" t="str">
        <f>IF(AND(A8389&lt;&gt;"",ISNUMBER(A8389)),VLOOKUP(A8389,Studies!A:BR,2,FALSE),"")</f>
        <v>Shin 2016</v>
      </c>
      <c r="C8389" s="250" t="str">
        <f>IF(AND(A8389&lt;&gt;"",ISNUMBER(A8389)),VLOOKUP(A8389,Studies!A:BR,3,FALSE),"")</f>
        <v>https://www.ncbi.nlm.nih.gov/pubmed/27317471</v>
      </c>
      <c r="D8389" s="250" t="str">
        <f>IF(AND(A8389&lt;&gt;"",ISNUMBER(A8389)),VLOOKUP(A8389,Studies!A:BR,4,FALSE),"")</f>
        <v>Midazolam alone</v>
      </c>
      <c r="E8389" s="250" t="str">
        <f>IF(AND(A8389&lt;&gt;"",ISNUMBER(A8389)),VLOOKUP(A8389,Studies!A:BR,5,FALSE),"")</f>
        <v>Midazolam</v>
      </c>
      <c r="F8389" s="251" t="str">
        <f>IF(AND(A8389&lt;&gt;"",ISNUMBER(A8389)),VLOOKUP(A8389,Studies!A:BR,6,FALSE),"")</f>
        <v>Plasma</v>
      </c>
      <c r="G8389" s="194">
        <v>0.5</v>
      </c>
      <c r="H8389" s="50" t="s">
        <v>60</v>
      </c>
      <c r="I8389" s="187">
        <v>15.64583</v>
      </c>
      <c r="J8389" s="41" t="s">
        <v>941</v>
      </c>
      <c r="K8389" s="41" t="s">
        <v>335</v>
      </c>
      <c r="L8389" s="195">
        <v>1.84094</v>
      </c>
      <c r="M8389" s="52" t="s">
        <v>941</v>
      </c>
      <c r="N8389" s="52" t="s">
        <v>117</v>
      </c>
      <c r="O8389" s="59">
        <v>0.1</v>
      </c>
    </row>
    <row r="8390" spans="1:16" x14ac:dyDescent="0.2">
      <c r="A8390" s="30">
        <v>1093</v>
      </c>
      <c r="B8390" s="249" t="str">
        <f>IF(AND(A8390&lt;&gt;"",ISNUMBER(A8390)),VLOOKUP(A8390,Studies!A:BR,2,FALSE),"")</f>
        <v>Shin 2016</v>
      </c>
      <c r="C8390" s="250" t="str">
        <f>IF(AND(A8390&lt;&gt;"",ISNUMBER(A8390)),VLOOKUP(A8390,Studies!A:BR,3,FALSE),"")</f>
        <v>https://www.ncbi.nlm.nih.gov/pubmed/27317471</v>
      </c>
      <c r="D8390" s="250" t="str">
        <f>IF(AND(A8390&lt;&gt;"",ISNUMBER(A8390)),VLOOKUP(A8390,Studies!A:BR,4,FALSE),"")</f>
        <v>Midazolam alone</v>
      </c>
      <c r="E8390" s="250" t="str">
        <f>IF(AND(A8390&lt;&gt;"",ISNUMBER(A8390)),VLOOKUP(A8390,Studies!A:BR,5,FALSE),"")</f>
        <v>Midazolam</v>
      </c>
      <c r="F8390" s="251" t="str">
        <f>IF(AND(A8390&lt;&gt;"",ISNUMBER(A8390)),VLOOKUP(A8390,Studies!A:BR,6,FALSE),"")</f>
        <v>Plasma</v>
      </c>
      <c r="G8390" s="194">
        <v>0.75</v>
      </c>
      <c r="H8390" s="50" t="s">
        <v>60</v>
      </c>
      <c r="I8390" s="187">
        <v>12.18056</v>
      </c>
      <c r="J8390" s="41" t="s">
        <v>941</v>
      </c>
      <c r="K8390" s="41" t="s">
        <v>335</v>
      </c>
      <c r="L8390" s="195">
        <v>1.554821</v>
      </c>
      <c r="M8390" s="52" t="s">
        <v>941</v>
      </c>
      <c r="N8390" s="52" t="s">
        <v>117</v>
      </c>
      <c r="O8390" s="59">
        <v>0.1</v>
      </c>
    </row>
    <row r="8391" spans="1:16" x14ac:dyDescent="0.2">
      <c r="A8391" s="30">
        <v>1093</v>
      </c>
      <c r="B8391" s="249" t="str">
        <f>IF(AND(A8391&lt;&gt;"",ISNUMBER(A8391)),VLOOKUP(A8391,Studies!A:BR,2,FALSE),"")</f>
        <v>Shin 2016</v>
      </c>
      <c r="C8391" s="250" t="str">
        <f>IF(AND(A8391&lt;&gt;"",ISNUMBER(A8391)),VLOOKUP(A8391,Studies!A:BR,3,FALSE),"")</f>
        <v>https://www.ncbi.nlm.nih.gov/pubmed/27317471</v>
      </c>
      <c r="D8391" s="250" t="str">
        <f>IF(AND(A8391&lt;&gt;"",ISNUMBER(A8391)),VLOOKUP(A8391,Studies!A:BR,4,FALSE),"")</f>
        <v>Midazolam alone</v>
      </c>
      <c r="E8391" s="250" t="str">
        <f>IF(AND(A8391&lt;&gt;"",ISNUMBER(A8391)),VLOOKUP(A8391,Studies!A:BR,5,FALSE),"")</f>
        <v>Midazolam</v>
      </c>
      <c r="F8391" s="251" t="str">
        <f>IF(AND(A8391&lt;&gt;"",ISNUMBER(A8391)),VLOOKUP(A8391,Studies!A:BR,6,FALSE),"")</f>
        <v>Plasma</v>
      </c>
      <c r="G8391" s="194">
        <v>1</v>
      </c>
      <c r="H8391" s="50" t="s">
        <v>60</v>
      </c>
      <c r="I8391" s="187">
        <v>9.9244190000000003</v>
      </c>
      <c r="J8391" s="41" t="s">
        <v>941</v>
      </c>
      <c r="K8391" s="41" t="s">
        <v>335</v>
      </c>
      <c r="L8391" s="195">
        <v>1.652093</v>
      </c>
      <c r="M8391" s="52" t="s">
        <v>941</v>
      </c>
      <c r="N8391" s="52" t="s">
        <v>117</v>
      </c>
      <c r="O8391" s="59">
        <v>0.1</v>
      </c>
    </row>
    <row r="8392" spans="1:16" x14ac:dyDescent="0.2">
      <c r="A8392" s="30">
        <v>1093</v>
      </c>
      <c r="B8392" s="249" t="str">
        <f>IF(AND(A8392&lt;&gt;"",ISNUMBER(A8392)),VLOOKUP(A8392,Studies!A:BR,2,FALSE),"")</f>
        <v>Shin 2016</v>
      </c>
      <c r="C8392" s="250" t="str">
        <f>IF(AND(A8392&lt;&gt;"",ISNUMBER(A8392)),VLOOKUP(A8392,Studies!A:BR,3,FALSE),"")</f>
        <v>https://www.ncbi.nlm.nih.gov/pubmed/27317471</v>
      </c>
      <c r="D8392" s="250" t="str">
        <f>IF(AND(A8392&lt;&gt;"",ISNUMBER(A8392)),VLOOKUP(A8392,Studies!A:BR,4,FALSE),"")</f>
        <v>Midazolam alone</v>
      </c>
      <c r="E8392" s="250" t="str">
        <f>IF(AND(A8392&lt;&gt;"",ISNUMBER(A8392)),VLOOKUP(A8392,Studies!A:BR,5,FALSE),"")</f>
        <v>Midazolam</v>
      </c>
      <c r="F8392" s="251" t="str">
        <f>IF(AND(A8392&lt;&gt;"",ISNUMBER(A8392)),VLOOKUP(A8392,Studies!A:BR,6,FALSE),"")</f>
        <v>Plasma</v>
      </c>
      <c r="G8392" s="194">
        <v>2</v>
      </c>
      <c r="H8392" s="50" t="s">
        <v>60</v>
      </c>
      <c r="I8392" s="187">
        <v>5.307334</v>
      </c>
      <c r="J8392" s="41" t="s">
        <v>941</v>
      </c>
      <c r="K8392" s="41" t="s">
        <v>335</v>
      </c>
      <c r="L8392" s="195">
        <v>1.12819</v>
      </c>
      <c r="M8392" s="52" t="s">
        <v>941</v>
      </c>
      <c r="N8392" s="52" t="s">
        <v>117</v>
      </c>
      <c r="O8392" s="59">
        <v>0.1</v>
      </c>
    </row>
    <row r="8393" spans="1:16" x14ac:dyDescent="0.2">
      <c r="A8393" s="30">
        <v>1093</v>
      </c>
      <c r="B8393" s="249" t="str">
        <f>IF(AND(A8393&lt;&gt;"",ISNUMBER(A8393)),VLOOKUP(A8393,Studies!A:BR,2,FALSE),"")</f>
        <v>Shin 2016</v>
      </c>
      <c r="C8393" s="250" t="str">
        <f>IF(AND(A8393&lt;&gt;"",ISNUMBER(A8393)),VLOOKUP(A8393,Studies!A:BR,3,FALSE),"")</f>
        <v>https://www.ncbi.nlm.nih.gov/pubmed/27317471</v>
      </c>
      <c r="D8393" s="250" t="str">
        <f>IF(AND(A8393&lt;&gt;"",ISNUMBER(A8393)),VLOOKUP(A8393,Studies!A:BR,4,FALSE),"")</f>
        <v>Midazolam alone</v>
      </c>
      <c r="E8393" s="250" t="str">
        <f>IF(AND(A8393&lt;&gt;"",ISNUMBER(A8393)),VLOOKUP(A8393,Studies!A:BR,5,FALSE),"")</f>
        <v>Midazolam</v>
      </c>
      <c r="F8393" s="251" t="str">
        <f>IF(AND(A8393&lt;&gt;"",ISNUMBER(A8393)),VLOOKUP(A8393,Studies!A:BR,6,FALSE),"")</f>
        <v>Plasma</v>
      </c>
      <c r="G8393" s="194">
        <v>3</v>
      </c>
      <c r="H8393" s="50" t="s">
        <v>60</v>
      </c>
      <c r="I8393" s="187">
        <v>3.6044330000000002</v>
      </c>
      <c r="J8393" s="41" t="s">
        <v>941</v>
      </c>
      <c r="K8393" s="41" t="s">
        <v>335</v>
      </c>
      <c r="L8393" s="195">
        <v>0.86146500000000004</v>
      </c>
      <c r="M8393" s="52" t="s">
        <v>941</v>
      </c>
      <c r="N8393" s="52" t="s">
        <v>117</v>
      </c>
      <c r="O8393" s="59">
        <v>0.1</v>
      </c>
    </row>
    <row r="8394" spans="1:16" x14ac:dyDescent="0.2">
      <c r="A8394" s="30">
        <v>1093</v>
      </c>
      <c r="B8394" s="249" t="str">
        <f>IF(AND(A8394&lt;&gt;"",ISNUMBER(A8394)),VLOOKUP(A8394,Studies!A:BR,2,FALSE),"")</f>
        <v>Shin 2016</v>
      </c>
      <c r="C8394" s="250" t="str">
        <f>IF(AND(A8394&lt;&gt;"",ISNUMBER(A8394)),VLOOKUP(A8394,Studies!A:BR,3,FALSE),"")</f>
        <v>https://www.ncbi.nlm.nih.gov/pubmed/27317471</v>
      </c>
      <c r="D8394" s="250" t="str">
        <f>IF(AND(A8394&lt;&gt;"",ISNUMBER(A8394)),VLOOKUP(A8394,Studies!A:BR,4,FALSE),"")</f>
        <v>Midazolam alone</v>
      </c>
      <c r="E8394" s="250" t="str">
        <f>IF(AND(A8394&lt;&gt;"",ISNUMBER(A8394)),VLOOKUP(A8394,Studies!A:BR,5,FALSE),"")</f>
        <v>Midazolam</v>
      </c>
      <c r="F8394" s="251" t="str">
        <f>IF(AND(A8394&lt;&gt;"",ISNUMBER(A8394)),VLOOKUP(A8394,Studies!A:BR,6,FALSE),"")</f>
        <v>Plasma</v>
      </c>
      <c r="G8394" s="194">
        <v>4</v>
      </c>
      <c r="H8394" s="50" t="s">
        <v>60</v>
      </c>
      <c r="I8394" s="187">
        <v>2.7119300000000002</v>
      </c>
      <c r="J8394" s="41" t="s">
        <v>941</v>
      </c>
      <c r="K8394" s="41" t="s">
        <v>335</v>
      </c>
      <c r="L8394" s="195">
        <v>0.57648060000000001</v>
      </c>
      <c r="M8394" s="52" t="s">
        <v>941</v>
      </c>
      <c r="N8394" s="52" t="s">
        <v>117</v>
      </c>
      <c r="O8394" s="59">
        <v>0.1</v>
      </c>
    </row>
    <row r="8395" spans="1:16" x14ac:dyDescent="0.2">
      <c r="A8395" s="30">
        <v>1093</v>
      </c>
      <c r="B8395" s="249" t="str">
        <f>IF(AND(A8395&lt;&gt;"",ISNUMBER(A8395)),VLOOKUP(A8395,Studies!A:BR,2,FALSE),"")</f>
        <v>Shin 2016</v>
      </c>
      <c r="C8395" s="250" t="str">
        <f>IF(AND(A8395&lt;&gt;"",ISNUMBER(A8395)),VLOOKUP(A8395,Studies!A:BR,3,FALSE),"")</f>
        <v>https://www.ncbi.nlm.nih.gov/pubmed/27317471</v>
      </c>
      <c r="D8395" s="250" t="str">
        <f>IF(AND(A8395&lt;&gt;"",ISNUMBER(A8395)),VLOOKUP(A8395,Studies!A:BR,4,FALSE),"")</f>
        <v>Midazolam alone</v>
      </c>
      <c r="E8395" s="250" t="str">
        <f>IF(AND(A8395&lt;&gt;"",ISNUMBER(A8395)),VLOOKUP(A8395,Studies!A:BR,5,FALSE),"")</f>
        <v>Midazolam</v>
      </c>
      <c r="F8395" s="251" t="str">
        <f>IF(AND(A8395&lt;&gt;"",ISNUMBER(A8395)),VLOOKUP(A8395,Studies!A:BR,6,FALSE),"")</f>
        <v>Plasma</v>
      </c>
      <c r="G8395" s="194">
        <v>6</v>
      </c>
      <c r="H8395" s="50" t="s">
        <v>60</v>
      </c>
      <c r="I8395" s="187">
        <v>1.417637</v>
      </c>
      <c r="J8395" s="41" t="s">
        <v>941</v>
      </c>
      <c r="K8395" s="41" t="s">
        <v>335</v>
      </c>
      <c r="L8395" s="195">
        <v>0.39848899999999998</v>
      </c>
      <c r="M8395" s="52" t="s">
        <v>941</v>
      </c>
      <c r="N8395" s="52" t="s">
        <v>117</v>
      </c>
      <c r="O8395" s="59">
        <v>0.1</v>
      </c>
    </row>
    <row r="8396" spans="1:16" x14ac:dyDescent="0.2">
      <c r="A8396" s="30">
        <v>1093</v>
      </c>
      <c r="B8396" s="249" t="str">
        <f>IF(AND(A8396&lt;&gt;"",ISNUMBER(A8396)),VLOOKUP(A8396,Studies!A:BR,2,FALSE),"")</f>
        <v>Shin 2016</v>
      </c>
      <c r="C8396" s="250" t="str">
        <f>IF(AND(A8396&lt;&gt;"",ISNUMBER(A8396)),VLOOKUP(A8396,Studies!A:BR,3,FALSE),"")</f>
        <v>https://www.ncbi.nlm.nih.gov/pubmed/27317471</v>
      </c>
      <c r="D8396" s="250" t="str">
        <f>IF(AND(A8396&lt;&gt;"",ISNUMBER(A8396)),VLOOKUP(A8396,Studies!A:BR,4,FALSE),"")</f>
        <v>Midazolam alone</v>
      </c>
      <c r="E8396" s="250" t="str">
        <f>IF(AND(A8396&lt;&gt;"",ISNUMBER(A8396)),VLOOKUP(A8396,Studies!A:BR,5,FALSE),"")</f>
        <v>Midazolam</v>
      </c>
      <c r="F8396" s="251" t="str">
        <f>IF(AND(A8396&lt;&gt;"",ISNUMBER(A8396)),VLOOKUP(A8396,Studies!A:BR,6,FALSE),"")</f>
        <v>Plasma</v>
      </c>
      <c r="G8396" s="194">
        <v>8</v>
      </c>
      <c r="H8396" s="50" t="s">
        <v>60</v>
      </c>
      <c r="I8396" s="187">
        <v>1.111866</v>
      </c>
      <c r="J8396" s="41" t="s">
        <v>941</v>
      </c>
      <c r="K8396" s="41" t="s">
        <v>335</v>
      </c>
      <c r="L8396" s="195">
        <v>0.37083169999999999</v>
      </c>
      <c r="M8396" s="52" t="s">
        <v>941</v>
      </c>
      <c r="N8396" s="52" t="s">
        <v>117</v>
      </c>
      <c r="O8396" s="59">
        <v>0.1</v>
      </c>
    </row>
    <row r="8397" spans="1:16" x14ac:dyDescent="0.2">
      <c r="A8397" s="30">
        <v>1093</v>
      </c>
      <c r="B8397" s="249" t="str">
        <f>IF(AND(A8397&lt;&gt;"",ISNUMBER(A8397)),VLOOKUP(A8397,Studies!A:BR,2,FALSE),"")</f>
        <v>Shin 2016</v>
      </c>
      <c r="C8397" s="250" t="str">
        <f>IF(AND(A8397&lt;&gt;"",ISNUMBER(A8397)),VLOOKUP(A8397,Studies!A:BR,3,FALSE),"")</f>
        <v>https://www.ncbi.nlm.nih.gov/pubmed/27317471</v>
      </c>
      <c r="D8397" s="250" t="str">
        <f>IF(AND(A8397&lt;&gt;"",ISNUMBER(A8397)),VLOOKUP(A8397,Studies!A:BR,4,FALSE),"")</f>
        <v>Midazolam alone</v>
      </c>
      <c r="E8397" s="250" t="str">
        <f>IF(AND(A8397&lt;&gt;"",ISNUMBER(A8397)),VLOOKUP(A8397,Studies!A:BR,5,FALSE),"")</f>
        <v>Midazolam</v>
      </c>
      <c r="F8397" s="251" t="str">
        <f>IF(AND(A8397&lt;&gt;"",ISNUMBER(A8397)),VLOOKUP(A8397,Studies!A:BR,6,FALSE),"")</f>
        <v>Plasma</v>
      </c>
      <c r="G8397" s="194">
        <v>12</v>
      </c>
      <c r="H8397" s="50" t="s">
        <v>60</v>
      </c>
      <c r="I8397" s="187">
        <v>0.54555949999999998</v>
      </c>
      <c r="J8397" s="41" t="s">
        <v>941</v>
      </c>
      <c r="K8397" s="41" t="s">
        <v>335</v>
      </c>
      <c r="L8397" s="195">
        <v>0.20433470000000001</v>
      </c>
      <c r="M8397" s="52" t="s">
        <v>941</v>
      </c>
      <c r="N8397" s="52" t="s">
        <v>117</v>
      </c>
      <c r="O8397" s="59">
        <v>0.1</v>
      </c>
    </row>
    <row r="8398" spans="1:16" x14ac:dyDescent="0.2">
      <c r="A8398" s="30">
        <v>1093</v>
      </c>
      <c r="B8398" s="249" t="str">
        <f>IF(AND(A8398&lt;&gt;"",ISNUMBER(A8398)),VLOOKUP(A8398,Studies!A:BR,2,FALSE),"")</f>
        <v>Shin 2016</v>
      </c>
      <c r="C8398" s="250" t="str">
        <f>IF(AND(A8398&lt;&gt;"",ISNUMBER(A8398)),VLOOKUP(A8398,Studies!A:BR,3,FALSE),"")</f>
        <v>https://www.ncbi.nlm.nih.gov/pubmed/27317471</v>
      </c>
      <c r="D8398" s="250" t="str">
        <f>IF(AND(A8398&lt;&gt;"",ISNUMBER(A8398)),VLOOKUP(A8398,Studies!A:BR,4,FALSE),"")</f>
        <v>Midazolam alone</v>
      </c>
      <c r="E8398" s="250" t="str">
        <f>IF(AND(A8398&lt;&gt;"",ISNUMBER(A8398)),VLOOKUP(A8398,Studies!A:BR,5,FALSE),"")</f>
        <v>Midazolam</v>
      </c>
      <c r="F8398" s="251" t="str">
        <f>IF(AND(A8398&lt;&gt;"",ISNUMBER(A8398)),VLOOKUP(A8398,Studies!A:BR,6,FALSE),"")</f>
        <v>Plasma</v>
      </c>
      <c r="G8398" s="194">
        <v>24</v>
      </c>
      <c r="H8398" s="50" t="s">
        <v>60</v>
      </c>
      <c r="I8398" s="187">
        <v>0.13955229999999999</v>
      </c>
      <c r="J8398" s="41" t="s">
        <v>941</v>
      </c>
      <c r="K8398" s="41" t="s">
        <v>335</v>
      </c>
      <c r="L8398" s="195">
        <v>4.0989999999999999E-2</v>
      </c>
      <c r="M8398" s="52" t="s">
        <v>941</v>
      </c>
      <c r="N8398" s="52" t="s">
        <v>117</v>
      </c>
      <c r="O8398" s="59">
        <v>0.1</v>
      </c>
    </row>
    <row r="8399" spans="1:16" x14ac:dyDescent="0.2">
      <c r="A8399" s="30">
        <v>1094</v>
      </c>
      <c r="B8399" s="249" t="str">
        <f>IF(AND(A8399&lt;&gt;"",ISNUMBER(A8399)),VLOOKUP(A8399,Studies!A:BR,2,FALSE),"")</f>
        <v>Shin 2016</v>
      </c>
      <c r="C8399" s="250" t="str">
        <f>IF(AND(A8399&lt;&gt;"",ISNUMBER(A8399)),VLOOKUP(A8399,Studies!A:BR,3,FALSE),"")</f>
        <v>https://www.ncbi.nlm.nih.gov/pubmed/27317471</v>
      </c>
      <c r="D8399" s="250" t="str">
        <f>IF(AND(A8399&lt;&gt;"",ISNUMBER(A8399)),VLOOKUP(A8399,Studies!A:BR,4,FALSE),"")</f>
        <v>Midazolam + ketoconazole</v>
      </c>
      <c r="E8399" s="250" t="str">
        <f>IF(AND(A8399&lt;&gt;"",ISNUMBER(A8399)),VLOOKUP(A8399,Studies!A:BR,5,FALSE),"")</f>
        <v>Midazolam</v>
      </c>
      <c r="F8399" s="251" t="str">
        <f>IF(AND(A8399&lt;&gt;"",ISNUMBER(A8399)),VLOOKUP(A8399,Studies!A:BR,6,FALSE),"")</f>
        <v>Plasma</v>
      </c>
      <c r="G8399" s="194">
        <v>73.17</v>
      </c>
      <c r="H8399" s="50" t="s">
        <v>60</v>
      </c>
      <c r="I8399" s="187">
        <v>40.69632</v>
      </c>
      <c r="J8399" s="41" t="s">
        <v>941</v>
      </c>
      <c r="K8399" s="41" t="s">
        <v>335</v>
      </c>
      <c r="L8399" s="195">
        <v>3.8789440000000002</v>
      </c>
      <c r="M8399" s="52" t="s">
        <v>941</v>
      </c>
      <c r="N8399" s="52" t="s">
        <v>117</v>
      </c>
      <c r="O8399" s="59">
        <v>0.1</v>
      </c>
      <c r="P8399" s="42" t="s">
        <v>2612</v>
      </c>
    </row>
    <row r="8400" spans="1:16" x14ac:dyDescent="0.2">
      <c r="A8400" s="30">
        <v>1094</v>
      </c>
      <c r="B8400" s="249" t="str">
        <f>IF(AND(A8400&lt;&gt;"",ISNUMBER(A8400)),VLOOKUP(A8400,Studies!A:BR,2,FALSE),"")</f>
        <v>Shin 2016</v>
      </c>
      <c r="C8400" s="250" t="str">
        <f>IF(AND(A8400&lt;&gt;"",ISNUMBER(A8400)),VLOOKUP(A8400,Studies!A:BR,3,FALSE),"")</f>
        <v>https://www.ncbi.nlm.nih.gov/pubmed/27317471</v>
      </c>
      <c r="D8400" s="250" t="str">
        <f>IF(AND(A8400&lt;&gt;"",ISNUMBER(A8400)),VLOOKUP(A8400,Studies!A:BR,4,FALSE),"")</f>
        <v>Midazolam + ketoconazole</v>
      </c>
      <c r="E8400" s="250" t="str">
        <f>IF(AND(A8400&lt;&gt;"",ISNUMBER(A8400)),VLOOKUP(A8400,Studies!A:BR,5,FALSE),"")</f>
        <v>Midazolam</v>
      </c>
      <c r="F8400" s="251" t="str">
        <f>IF(AND(A8400&lt;&gt;"",ISNUMBER(A8400)),VLOOKUP(A8400,Studies!A:BR,6,FALSE),"")</f>
        <v>Plasma</v>
      </c>
      <c r="G8400" s="194">
        <v>73.33</v>
      </c>
      <c r="H8400" s="50" t="s">
        <v>60</v>
      </c>
      <c r="I8400" s="187">
        <v>34.309950000000001</v>
      </c>
      <c r="J8400" s="41" t="s">
        <v>941</v>
      </c>
      <c r="K8400" s="41" t="s">
        <v>335</v>
      </c>
      <c r="L8400" s="195">
        <v>3.7003360000000001</v>
      </c>
      <c r="M8400" s="52" t="s">
        <v>941</v>
      </c>
      <c r="N8400" s="52" t="s">
        <v>117</v>
      </c>
      <c r="O8400" s="59">
        <v>0.1</v>
      </c>
    </row>
    <row r="8401" spans="1:16" x14ac:dyDescent="0.2">
      <c r="A8401" s="30">
        <v>1094</v>
      </c>
      <c r="B8401" s="249" t="str">
        <f>IF(AND(A8401&lt;&gt;"",ISNUMBER(A8401)),VLOOKUP(A8401,Studies!A:BR,2,FALSE),"")</f>
        <v>Shin 2016</v>
      </c>
      <c r="C8401" s="250" t="str">
        <f>IF(AND(A8401&lt;&gt;"",ISNUMBER(A8401)),VLOOKUP(A8401,Studies!A:BR,3,FALSE),"")</f>
        <v>https://www.ncbi.nlm.nih.gov/pubmed/27317471</v>
      </c>
      <c r="D8401" s="250" t="str">
        <f>IF(AND(A8401&lt;&gt;"",ISNUMBER(A8401)),VLOOKUP(A8401,Studies!A:BR,4,FALSE),"")</f>
        <v>Midazolam + ketoconazole</v>
      </c>
      <c r="E8401" s="250" t="str">
        <f>IF(AND(A8401&lt;&gt;"",ISNUMBER(A8401)),VLOOKUP(A8401,Studies!A:BR,5,FALSE),"")</f>
        <v>Midazolam</v>
      </c>
      <c r="F8401" s="251" t="str">
        <f>IF(AND(A8401&lt;&gt;"",ISNUMBER(A8401)),VLOOKUP(A8401,Studies!A:BR,6,FALSE),"")</f>
        <v>Plasma</v>
      </c>
      <c r="G8401" s="194">
        <v>73.5</v>
      </c>
      <c r="H8401" s="50" t="s">
        <v>60</v>
      </c>
      <c r="I8401" s="187">
        <v>29.25684</v>
      </c>
      <c r="J8401" s="41" t="s">
        <v>941</v>
      </c>
      <c r="K8401" s="41" t="s">
        <v>335</v>
      </c>
      <c r="L8401" s="195">
        <v>2.788586</v>
      </c>
      <c r="M8401" s="52" t="s">
        <v>941</v>
      </c>
      <c r="N8401" s="52" t="s">
        <v>117</v>
      </c>
      <c r="O8401" s="59">
        <v>0.1</v>
      </c>
    </row>
    <row r="8402" spans="1:16" x14ac:dyDescent="0.2">
      <c r="A8402" s="30">
        <v>1094</v>
      </c>
      <c r="B8402" s="249" t="str">
        <f>IF(AND(A8402&lt;&gt;"",ISNUMBER(A8402)),VLOOKUP(A8402,Studies!A:BR,2,FALSE),"")</f>
        <v>Shin 2016</v>
      </c>
      <c r="C8402" s="250" t="str">
        <f>IF(AND(A8402&lt;&gt;"",ISNUMBER(A8402)),VLOOKUP(A8402,Studies!A:BR,3,FALSE),"")</f>
        <v>https://www.ncbi.nlm.nih.gov/pubmed/27317471</v>
      </c>
      <c r="D8402" s="250" t="str">
        <f>IF(AND(A8402&lt;&gt;"",ISNUMBER(A8402)),VLOOKUP(A8402,Studies!A:BR,4,FALSE),"")</f>
        <v>Midazolam + ketoconazole</v>
      </c>
      <c r="E8402" s="250" t="str">
        <f>IF(AND(A8402&lt;&gt;"",ISNUMBER(A8402)),VLOOKUP(A8402,Studies!A:BR,5,FALSE),"")</f>
        <v>Midazolam</v>
      </c>
      <c r="F8402" s="251" t="str">
        <f>IF(AND(A8402&lt;&gt;"",ISNUMBER(A8402)),VLOOKUP(A8402,Studies!A:BR,6,FALSE),"")</f>
        <v>Plasma</v>
      </c>
      <c r="G8402" s="194">
        <v>73.75</v>
      </c>
      <c r="H8402" s="50" t="s">
        <v>60</v>
      </c>
      <c r="I8402" s="187">
        <v>25.522269999999999</v>
      </c>
      <c r="J8402" s="41" t="s">
        <v>941</v>
      </c>
      <c r="K8402" s="41" t="s">
        <v>335</v>
      </c>
      <c r="L8402" s="195">
        <v>2.4326319999999999</v>
      </c>
      <c r="M8402" s="52" t="s">
        <v>941</v>
      </c>
      <c r="N8402" s="52" t="s">
        <v>117</v>
      </c>
      <c r="O8402" s="59">
        <v>0.1</v>
      </c>
    </row>
    <row r="8403" spans="1:16" x14ac:dyDescent="0.2">
      <c r="A8403" s="30">
        <v>1094</v>
      </c>
      <c r="B8403" s="249" t="str">
        <f>IF(AND(A8403&lt;&gt;"",ISNUMBER(A8403)),VLOOKUP(A8403,Studies!A:BR,2,FALSE),"")</f>
        <v>Shin 2016</v>
      </c>
      <c r="C8403" s="250" t="str">
        <f>IF(AND(A8403&lt;&gt;"",ISNUMBER(A8403)),VLOOKUP(A8403,Studies!A:BR,3,FALSE),"")</f>
        <v>https://www.ncbi.nlm.nih.gov/pubmed/27317471</v>
      </c>
      <c r="D8403" s="250" t="str">
        <f>IF(AND(A8403&lt;&gt;"",ISNUMBER(A8403)),VLOOKUP(A8403,Studies!A:BR,4,FALSE),"")</f>
        <v>Midazolam + ketoconazole</v>
      </c>
      <c r="E8403" s="250" t="str">
        <f>IF(AND(A8403&lt;&gt;"",ISNUMBER(A8403)),VLOOKUP(A8403,Studies!A:BR,5,FALSE),"")</f>
        <v>Midazolam</v>
      </c>
      <c r="F8403" s="251" t="str">
        <f>IF(AND(A8403&lt;&gt;"",ISNUMBER(A8403)),VLOOKUP(A8403,Studies!A:BR,6,FALSE),"")</f>
        <v>Plasma</v>
      </c>
      <c r="G8403" s="194">
        <v>74</v>
      </c>
      <c r="H8403" s="50" t="s">
        <v>60</v>
      </c>
      <c r="I8403" s="187">
        <v>22.51923</v>
      </c>
      <c r="J8403" s="41" t="s">
        <v>941</v>
      </c>
      <c r="K8403" s="41" t="s">
        <v>335</v>
      </c>
      <c r="L8403" s="195">
        <v>2.4287049999999999</v>
      </c>
      <c r="M8403" s="52" t="s">
        <v>941</v>
      </c>
      <c r="N8403" s="52" t="s">
        <v>117</v>
      </c>
      <c r="O8403" s="59">
        <v>0.1</v>
      </c>
    </row>
    <row r="8404" spans="1:16" x14ac:dyDescent="0.2">
      <c r="A8404" s="30">
        <v>1094</v>
      </c>
      <c r="B8404" s="249" t="str">
        <f>IF(AND(A8404&lt;&gt;"",ISNUMBER(A8404)),VLOOKUP(A8404,Studies!A:BR,2,FALSE),"")</f>
        <v>Shin 2016</v>
      </c>
      <c r="C8404" s="250" t="str">
        <f>IF(AND(A8404&lt;&gt;"",ISNUMBER(A8404)),VLOOKUP(A8404,Studies!A:BR,3,FALSE),"")</f>
        <v>https://www.ncbi.nlm.nih.gov/pubmed/27317471</v>
      </c>
      <c r="D8404" s="250" t="str">
        <f>IF(AND(A8404&lt;&gt;"",ISNUMBER(A8404)),VLOOKUP(A8404,Studies!A:BR,4,FALSE),"")</f>
        <v>Midazolam + ketoconazole</v>
      </c>
      <c r="E8404" s="250" t="str">
        <f>IF(AND(A8404&lt;&gt;"",ISNUMBER(A8404)),VLOOKUP(A8404,Studies!A:BR,5,FALSE),"")</f>
        <v>Midazolam</v>
      </c>
      <c r="F8404" s="251" t="str">
        <f>IF(AND(A8404&lt;&gt;"",ISNUMBER(A8404)),VLOOKUP(A8404,Studies!A:BR,6,FALSE),"")</f>
        <v>Plasma</v>
      </c>
      <c r="G8404" s="194">
        <v>75</v>
      </c>
      <c r="H8404" s="50" t="s">
        <v>60</v>
      </c>
      <c r="I8404" s="187">
        <v>16.751460000000002</v>
      </c>
      <c r="J8404" s="41" t="s">
        <v>941</v>
      </c>
      <c r="K8404" s="41" t="s">
        <v>335</v>
      </c>
      <c r="L8404" s="195">
        <v>2.019053</v>
      </c>
      <c r="M8404" s="52" t="s">
        <v>941</v>
      </c>
      <c r="N8404" s="52" t="s">
        <v>117</v>
      </c>
      <c r="O8404" s="59">
        <v>0.1</v>
      </c>
    </row>
    <row r="8405" spans="1:16" x14ac:dyDescent="0.2">
      <c r="A8405" s="30">
        <v>1094</v>
      </c>
      <c r="B8405" s="249" t="str">
        <f>IF(AND(A8405&lt;&gt;"",ISNUMBER(A8405)),VLOOKUP(A8405,Studies!A:BR,2,FALSE),"")</f>
        <v>Shin 2016</v>
      </c>
      <c r="C8405" s="250" t="str">
        <f>IF(AND(A8405&lt;&gt;"",ISNUMBER(A8405)),VLOOKUP(A8405,Studies!A:BR,3,FALSE),"")</f>
        <v>https://www.ncbi.nlm.nih.gov/pubmed/27317471</v>
      </c>
      <c r="D8405" s="250" t="str">
        <f>IF(AND(A8405&lt;&gt;"",ISNUMBER(A8405)),VLOOKUP(A8405,Studies!A:BR,4,FALSE),"")</f>
        <v>Midazolam + ketoconazole</v>
      </c>
      <c r="E8405" s="250" t="str">
        <f>IF(AND(A8405&lt;&gt;"",ISNUMBER(A8405)),VLOOKUP(A8405,Studies!A:BR,5,FALSE),"")</f>
        <v>Midazolam</v>
      </c>
      <c r="F8405" s="251" t="str">
        <f>IF(AND(A8405&lt;&gt;"",ISNUMBER(A8405)),VLOOKUP(A8405,Studies!A:BR,6,FALSE),"")</f>
        <v>Plasma</v>
      </c>
      <c r="G8405" s="194">
        <v>76</v>
      </c>
      <c r="H8405" s="50" t="s">
        <v>60</v>
      </c>
      <c r="I8405" s="187">
        <v>13.80489</v>
      </c>
      <c r="J8405" s="41" t="s">
        <v>941</v>
      </c>
      <c r="K8405" s="41" t="s">
        <v>335</v>
      </c>
      <c r="L8405" s="195">
        <v>1.6638999999999999</v>
      </c>
      <c r="M8405" s="52" t="s">
        <v>941</v>
      </c>
      <c r="N8405" s="52" t="s">
        <v>117</v>
      </c>
      <c r="O8405" s="59">
        <v>0.1</v>
      </c>
    </row>
    <row r="8406" spans="1:16" x14ac:dyDescent="0.2">
      <c r="A8406" s="30">
        <v>1094</v>
      </c>
      <c r="B8406" s="249" t="str">
        <f>IF(AND(A8406&lt;&gt;"",ISNUMBER(A8406)),VLOOKUP(A8406,Studies!A:BR,2,FALSE),"")</f>
        <v>Shin 2016</v>
      </c>
      <c r="C8406" s="250" t="str">
        <f>IF(AND(A8406&lt;&gt;"",ISNUMBER(A8406)),VLOOKUP(A8406,Studies!A:BR,3,FALSE),"")</f>
        <v>https://www.ncbi.nlm.nih.gov/pubmed/27317471</v>
      </c>
      <c r="D8406" s="250" t="str">
        <f>IF(AND(A8406&lt;&gt;"",ISNUMBER(A8406)),VLOOKUP(A8406,Studies!A:BR,4,FALSE),"")</f>
        <v>Midazolam + ketoconazole</v>
      </c>
      <c r="E8406" s="250" t="str">
        <f>IF(AND(A8406&lt;&gt;"",ISNUMBER(A8406)),VLOOKUP(A8406,Studies!A:BR,5,FALSE),"")</f>
        <v>Midazolam</v>
      </c>
      <c r="F8406" s="251" t="str">
        <f>IF(AND(A8406&lt;&gt;"",ISNUMBER(A8406)),VLOOKUP(A8406,Studies!A:BR,6,FALSE),"")</f>
        <v>Plasma</v>
      </c>
      <c r="G8406" s="194">
        <v>77</v>
      </c>
      <c r="H8406" s="50" t="s">
        <v>60</v>
      </c>
      <c r="I8406" s="187">
        <v>12.18056</v>
      </c>
      <c r="J8406" s="41" t="s">
        <v>941</v>
      </c>
      <c r="K8406" s="41" t="s">
        <v>335</v>
      </c>
      <c r="L8406" s="195">
        <v>1.468119</v>
      </c>
      <c r="M8406" s="52" t="s">
        <v>941</v>
      </c>
      <c r="N8406" s="52" t="s">
        <v>117</v>
      </c>
      <c r="O8406" s="59">
        <v>0.1</v>
      </c>
    </row>
    <row r="8407" spans="1:16" x14ac:dyDescent="0.2">
      <c r="A8407" s="30">
        <v>1094</v>
      </c>
      <c r="B8407" s="249" t="str">
        <f>IF(AND(A8407&lt;&gt;"",ISNUMBER(A8407)),VLOOKUP(A8407,Studies!A:BR,2,FALSE),"")</f>
        <v>Shin 2016</v>
      </c>
      <c r="C8407" s="250" t="str">
        <f>IF(AND(A8407&lt;&gt;"",ISNUMBER(A8407)),VLOOKUP(A8407,Studies!A:BR,3,FALSE),"")</f>
        <v>https://www.ncbi.nlm.nih.gov/pubmed/27317471</v>
      </c>
      <c r="D8407" s="250" t="str">
        <f>IF(AND(A8407&lt;&gt;"",ISNUMBER(A8407)),VLOOKUP(A8407,Studies!A:BR,4,FALSE),"")</f>
        <v>Midazolam + ketoconazole</v>
      </c>
      <c r="E8407" s="250" t="str">
        <f>IF(AND(A8407&lt;&gt;"",ISNUMBER(A8407)),VLOOKUP(A8407,Studies!A:BR,5,FALSE),"")</f>
        <v>Midazolam</v>
      </c>
      <c r="F8407" s="251" t="str">
        <f>IF(AND(A8407&lt;&gt;"",ISNUMBER(A8407)),VLOOKUP(A8407,Studies!A:BR,6,FALSE),"")</f>
        <v>Plasma</v>
      </c>
      <c r="G8407" s="194">
        <v>79</v>
      </c>
      <c r="H8407" s="50" t="s">
        <v>60</v>
      </c>
      <c r="I8407" s="187">
        <v>8.3670039999999997</v>
      </c>
      <c r="J8407" s="41" t="s">
        <v>941</v>
      </c>
      <c r="K8407" s="41" t="s">
        <v>335</v>
      </c>
      <c r="L8407" s="195">
        <v>1.2243090000000001</v>
      </c>
      <c r="M8407" s="52" t="s">
        <v>941</v>
      </c>
      <c r="N8407" s="52" t="s">
        <v>117</v>
      </c>
      <c r="O8407" s="59">
        <v>0.1</v>
      </c>
    </row>
    <row r="8408" spans="1:16" x14ac:dyDescent="0.2">
      <c r="A8408" s="30">
        <v>1094</v>
      </c>
      <c r="B8408" s="249" t="str">
        <f>IF(AND(A8408&lt;&gt;"",ISNUMBER(A8408)),VLOOKUP(A8408,Studies!A:BR,2,FALSE),"")</f>
        <v>Shin 2016</v>
      </c>
      <c r="C8408" s="250" t="str">
        <f>IF(AND(A8408&lt;&gt;"",ISNUMBER(A8408)),VLOOKUP(A8408,Studies!A:BR,3,FALSE),"")</f>
        <v>https://www.ncbi.nlm.nih.gov/pubmed/27317471</v>
      </c>
      <c r="D8408" s="250" t="str">
        <f>IF(AND(A8408&lt;&gt;"",ISNUMBER(A8408)),VLOOKUP(A8408,Studies!A:BR,4,FALSE),"")</f>
        <v>Midazolam + ketoconazole</v>
      </c>
      <c r="E8408" s="250" t="str">
        <f>IF(AND(A8408&lt;&gt;"",ISNUMBER(A8408)),VLOOKUP(A8408,Studies!A:BR,5,FALSE),"")</f>
        <v>Midazolam</v>
      </c>
      <c r="F8408" s="251" t="str">
        <f>IF(AND(A8408&lt;&gt;"",ISNUMBER(A8408)),VLOOKUP(A8408,Studies!A:BR,6,FALSE),"")</f>
        <v>Plasma</v>
      </c>
      <c r="G8408" s="194">
        <v>81</v>
      </c>
      <c r="H8408" s="50" t="s">
        <v>60</v>
      </c>
      <c r="I8408" s="187">
        <v>7.3861999999999997</v>
      </c>
      <c r="J8408" s="41" t="s">
        <v>941</v>
      </c>
      <c r="K8408" s="41" t="s">
        <v>335</v>
      </c>
      <c r="L8408" s="195">
        <v>1.339283</v>
      </c>
      <c r="M8408" s="52" t="s">
        <v>941</v>
      </c>
      <c r="N8408" s="52" t="s">
        <v>117</v>
      </c>
      <c r="O8408" s="59">
        <v>0.1</v>
      </c>
    </row>
    <row r="8409" spans="1:16" x14ac:dyDescent="0.2">
      <c r="A8409" s="30">
        <v>1094</v>
      </c>
      <c r="B8409" s="249" t="str">
        <f>IF(AND(A8409&lt;&gt;"",ISNUMBER(A8409)),VLOOKUP(A8409,Studies!A:BR,2,FALSE),"")</f>
        <v>Shin 2016</v>
      </c>
      <c r="C8409" s="250" t="str">
        <f>IF(AND(A8409&lt;&gt;"",ISNUMBER(A8409)),VLOOKUP(A8409,Studies!A:BR,3,FALSE),"")</f>
        <v>https://www.ncbi.nlm.nih.gov/pubmed/27317471</v>
      </c>
      <c r="D8409" s="250" t="str">
        <f>IF(AND(A8409&lt;&gt;"",ISNUMBER(A8409)),VLOOKUP(A8409,Studies!A:BR,4,FALSE),"")</f>
        <v>Midazolam + ketoconazole</v>
      </c>
      <c r="E8409" s="250" t="str">
        <f>IF(AND(A8409&lt;&gt;"",ISNUMBER(A8409)),VLOOKUP(A8409,Studies!A:BR,5,FALSE),"")</f>
        <v>Midazolam</v>
      </c>
      <c r="F8409" s="251" t="str">
        <f>IF(AND(A8409&lt;&gt;"",ISNUMBER(A8409)),VLOOKUP(A8409,Studies!A:BR,6,FALSE),"")</f>
        <v>Plasma</v>
      </c>
      <c r="G8409" s="194">
        <v>85</v>
      </c>
      <c r="H8409" s="50" t="s">
        <v>60</v>
      </c>
      <c r="I8409" s="187">
        <v>5.5388679999999999</v>
      </c>
      <c r="J8409" s="41" t="s">
        <v>941</v>
      </c>
      <c r="K8409" s="41" t="s">
        <v>335</v>
      </c>
      <c r="L8409" s="195">
        <v>1.3085420000000001</v>
      </c>
      <c r="M8409" s="52" t="s">
        <v>941</v>
      </c>
      <c r="N8409" s="52" t="s">
        <v>117</v>
      </c>
      <c r="O8409" s="59">
        <v>0.1</v>
      </c>
    </row>
    <row r="8410" spans="1:16" x14ac:dyDescent="0.2">
      <c r="A8410" s="30">
        <v>1094</v>
      </c>
      <c r="B8410" s="249" t="str">
        <f>IF(AND(A8410&lt;&gt;"",ISNUMBER(A8410)),VLOOKUP(A8410,Studies!A:BR,2,FALSE),"")</f>
        <v>Shin 2016</v>
      </c>
      <c r="C8410" s="250" t="str">
        <f>IF(AND(A8410&lt;&gt;"",ISNUMBER(A8410)),VLOOKUP(A8410,Studies!A:BR,3,FALSE),"")</f>
        <v>https://www.ncbi.nlm.nih.gov/pubmed/27317471</v>
      </c>
      <c r="D8410" s="250" t="str">
        <f>IF(AND(A8410&lt;&gt;"",ISNUMBER(A8410)),VLOOKUP(A8410,Studies!A:BR,4,FALSE),"")</f>
        <v>Midazolam + ketoconazole</v>
      </c>
      <c r="E8410" s="250" t="str">
        <f>IF(AND(A8410&lt;&gt;"",ISNUMBER(A8410)),VLOOKUP(A8410,Studies!A:BR,5,FALSE),"")</f>
        <v>Midazolam</v>
      </c>
      <c r="F8410" s="251" t="str">
        <f>IF(AND(A8410&lt;&gt;"",ISNUMBER(A8410)),VLOOKUP(A8410,Studies!A:BR,6,FALSE),"")</f>
        <v>Plasma</v>
      </c>
      <c r="G8410" s="194">
        <v>97</v>
      </c>
      <c r="H8410" s="50" t="s">
        <v>60</v>
      </c>
      <c r="I8410" s="187">
        <v>2.6366510000000001</v>
      </c>
      <c r="J8410" s="41" t="s">
        <v>941</v>
      </c>
      <c r="K8410" s="41" t="s">
        <v>335</v>
      </c>
      <c r="L8410" s="195">
        <v>1.0428550000000001</v>
      </c>
      <c r="M8410" s="52" t="s">
        <v>941</v>
      </c>
      <c r="N8410" s="52" t="s">
        <v>117</v>
      </c>
      <c r="O8410" s="59">
        <v>0.1</v>
      </c>
    </row>
    <row r="8411" spans="1:16" x14ac:dyDescent="0.2">
      <c r="A8411" s="30">
        <v>1094</v>
      </c>
      <c r="B8411" s="249" t="str">
        <f>IF(AND(A8411&lt;&gt;"",ISNUMBER(A8411)),VLOOKUP(A8411,Studies!A:BR,2,FALSE),"")</f>
        <v>Shin 2016</v>
      </c>
      <c r="C8411" s="250" t="str">
        <f>IF(AND(A8411&lt;&gt;"",ISNUMBER(A8411)),VLOOKUP(A8411,Studies!A:BR,3,FALSE),"")</f>
        <v>https://www.ncbi.nlm.nih.gov/pubmed/27317471</v>
      </c>
      <c r="D8411" s="250" t="str">
        <f>IF(AND(A8411&lt;&gt;"",ISNUMBER(A8411)),VLOOKUP(A8411,Studies!A:BR,4,FALSE),"")</f>
        <v>Midazolam + ketoconazole</v>
      </c>
      <c r="E8411" s="250" t="str">
        <f>IF(AND(A8411&lt;&gt;"",ISNUMBER(A8411)),VLOOKUP(A8411,Studies!A:BR,5,FALSE),"")</f>
        <v>Midazolam</v>
      </c>
      <c r="F8411" s="251" t="str">
        <f>IF(AND(A8411&lt;&gt;"",ISNUMBER(A8411)),VLOOKUP(A8411,Studies!A:BR,6,FALSE),"")</f>
        <v>Plasma</v>
      </c>
      <c r="G8411" s="194">
        <v>121</v>
      </c>
      <c r="H8411" s="50" t="s">
        <v>60</v>
      </c>
      <c r="I8411" s="187">
        <v>0.31147350000000001</v>
      </c>
      <c r="J8411" s="41" t="s">
        <v>941</v>
      </c>
      <c r="K8411" s="41" t="s">
        <v>335</v>
      </c>
      <c r="L8411" s="195">
        <v>0.16455349999999999</v>
      </c>
      <c r="M8411" s="52" t="s">
        <v>941</v>
      </c>
      <c r="N8411" s="52" t="s">
        <v>117</v>
      </c>
      <c r="O8411" s="59">
        <v>0.1</v>
      </c>
    </row>
    <row r="8412" spans="1:16" x14ac:dyDescent="0.2">
      <c r="A8412" s="30">
        <v>1095</v>
      </c>
      <c r="B8412" s="249" t="str">
        <f>IF(AND(A8412&lt;&gt;"",ISNUMBER(A8412)),VLOOKUP(A8412,Studies!A:BR,2,FALSE),"")</f>
        <v>Shin 2016</v>
      </c>
      <c r="C8412" s="250" t="str">
        <f>IF(AND(A8412&lt;&gt;"",ISNUMBER(A8412)),VLOOKUP(A8412,Studies!A:BR,3,FALSE),"")</f>
        <v>https://www.ncbi.nlm.nih.gov/pubmed/27317471</v>
      </c>
      <c r="D8412" s="250" t="str">
        <f>IF(AND(A8412&lt;&gt;"",ISNUMBER(A8412)),VLOOKUP(A8412,Studies!A:BR,4,FALSE),"")</f>
        <v>Midazolam + rifampicin</v>
      </c>
      <c r="E8412" s="250" t="str">
        <f>IF(AND(A8412&lt;&gt;"",ISNUMBER(A8412)),VLOOKUP(A8412,Studies!A:BR,5,FALSE),"")</f>
        <v>Midazolam</v>
      </c>
      <c r="F8412" s="251" t="str">
        <f>IF(AND(A8412&lt;&gt;"",ISNUMBER(A8412)),VLOOKUP(A8412,Studies!A:BR,6,FALSE),"")</f>
        <v>Plasma</v>
      </c>
      <c r="G8412" s="194">
        <v>216.17</v>
      </c>
      <c r="H8412" s="50" t="s">
        <v>60</v>
      </c>
      <c r="I8412" s="187">
        <v>51.097769999999997</v>
      </c>
      <c r="J8412" s="41" t="s">
        <v>941</v>
      </c>
      <c r="K8412" s="41" t="s">
        <v>335</v>
      </c>
      <c r="L8412" s="195">
        <v>8.1473239999999993</v>
      </c>
      <c r="M8412" s="52" t="s">
        <v>941</v>
      </c>
      <c r="N8412" s="52" t="s">
        <v>117</v>
      </c>
      <c r="O8412" s="59">
        <v>0.1</v>
      </c>
      <c r="P8412" s="42" t="s">
        <v>2629</v>
      </c>
    </row>
    <row r="8413" spans="1:16" x14ac:dyDescent="0.2">
      <c r="A8413" s="30">
        <v>1095</v>
      </c>
      <c r="B8413" s="249" t="str">
        <f>IF(AND(A8413&lt;&gt;"",ISNUMBER(A8413)),VLOOKUP(A8413,Studies!A:BR,2,FALSE),"")</f>
        <v>Shin 2016</v>
      </c>
      <c r="C8413" s="250" t="str">
        <f>IF(AND(A8413&lt;&gt;"",ISNUMBER(A8413)),VLOOKUP(A8413,Studies!A:BR,3,FALSE),"")</f>
        <v>https://www.ncbi.nlm.nih.gov/pubmed/27317471</v>
      </c>
      <c r="D8413" s="250" t="str">
        <f>IF(AND(A8413&lt;&gt;"",ISNUMBER(A8413)),VLOOKUP(A8413,Studies!A:BR,4,FALSE),"")</f>
        <v>Midazolam + rifampicin</v>
      </c>
      <c r="E8413" s="250" t="str">
        <f>IF(AND(A8413&lt;&gt;"",ISNUMBER(A8413)),VLOOKUP(A8413,Studies!A:BR,5,FALSE),"")</f>
        <v>Midazolam</v>
      </c>
      <c r="F8413" s="251" t="str">
        <f>IF(AND(A8413&lt;&gt;"",ISNUMBER(A8413)),VLOOKUP(A8413,Studies!A:BR,6,FALSE),"")</f>
        <v>Plasma</v>
      </c>
      <c r="G8413" s="194">
        <v>216.33</v>
      </c>
      <c r="H8413" s="50" t="s">
        <v>60</v>
      </c>
      <c r="I8413" s="187">
        <v>32.045430000000003</v>
      </c>
      <c r="J8413" s="41" t="s">
        <v>941</v>
      </c>
      <c r="K8413" s="41" t="s">
        <v>335</v>
      </c>
      <c r="L8413" s="195">
        <v>5.1095050000000004</v>
      </c>
      <c r="M8413" s="52" t="s">
        <v>941</v>
      </c>
      <c r="N8413" s="52" t="s">
        <v>117</v>
      </c>
      <c r="O8413" s="59">
        <v>0.1</v>
      </c>
    </row>
    <row r="8414" spans="1:16" x14ac:dyDescent="0.2">
      <c r="A8414" s="30">
        <v>1095</v>
      </c>
      <c r="B8414" s="249" t="str">
        <f>IF(AND(A8414&lt;&gt;"",ISNUMBER(A8414)),VLOOKUP(A8414,Studies!A:BR,2,FALSE),"")</f>
        <v>Shin 2016</v>
      </c>
      <c r="C8414" s="250" t="str">
        <f>IF(AND(A8414&lt;&gt;"",ISNUMBER(A8414)),VLOOKUP(A8414,Studies!A:BR,3,FALSE),"")</f>
        <v>https://www.ncbi.nlm.nih.gov/pubmed/27317471</v>
      </c>
      <c r="D8414" s="250" t="str">
        <f>IF(AND(A8414&lt;&gt;"",ISNUMBER(A8414)),VLOOKUP(A8414,Studies!A:BR,4,FALSE),"")</f>
        <v>Midazolam + rifampicin</v>
      </c>
      <c r="E8414" s="250" t="str">
        <f>IF(AND(A8414&lt;&gt;"",ISNUMBER(A8414)),VLOOKUP(A8414,Studies!A:BR,5,FALSE),"")</f>
        <v>Midazolam</v>
      </c>
      <c r="F8414" s="251" t="str">
        <f>IF(AND(A8414&lt;&gt;"",ISNUMBER(A8414)),VLOOKUP(A8414,Studies!A:BR,6,FALSE),"")</f>
        <v>Plasma</v>
      </c>
      <c r="G8414" s="194">
        <v>216.5</v>
      </c>
      <c r="H8414" s="50" t="s">
        <v>60</v>
      </c>
      <c r="I8414" s="187">
        <v>24.66563</v>
      </c>
      <c r="J8414" s="41" t="s">
        <v>941</v>
      </c>
      <c r="K8414" s="41" t="s">
        <v>335</v>
      </c>
      <c r="L8414" s="195">
        <v>3.9328310000000002</v>
      </c>
      <c r="M8414" s="52" t="s">
        <v>941</v>
      </c>
      <c r="N8414" s="52" t="s">
        <v>117</v>
      </c>
      <c r="O8414" s="59">
        <v>0.1</v>
      </c>
    </row>
    <row r="8415" spans="1:16" x14ac:dyDescent="0.2">
      <c r="A8415" s="30">
        <v>1095</v>
      </c>
      <c r="B8415" s="249" t="str">
        <f>IF(AND(A8415&lt;&gt;"",ISNUMBER(A8415)),VLOOKUP(A8415,Studies!A:BR,2,FALSE),"")</f>
        <v>Shin 2016</v>
      </c>
      <c r="C8415" s="250" t="str">
        <f>IF(AND(A8415&lt;&gt;"",ISNUMBER(A8415)),VLOOKUP(A8415,Studies!A:BR,3,FALSE),"")</f>
        <v>https://www.ncbi.nlm.nih.gov/pubmed/27317471</v>
      </c>
      <c r="D8415" s="250" t="str">
        <f>IF(AND(A8415&lt;&gt;"",ISNUMBER(A8415)),VLOOKUP(A8415,Studies!A:BR,4,FALSE),"")</f>
        <v>Midazolam + rifampicin</v>
      </c>
      <c r="E8415" s="250" t="str">
        <f>IF(AND(A8415&lt;&gt;"",ISNUMBER(A8415)),VLOOKUP(A8415,Studies!A:BR,5,FALSE),"")</f>
        <v>Midazolam</v>
      </c>
      <c r="F8415" s="251" t="str">
        <f>IF(AND(A8415&lt;&gt;"",ISNUMBER(A8415)),VLOOKUP(A8415,Studies!A:BR,6,FALSE),"")</f>
        <v>Plasma</v>
      </c>
      <c r="G8415" s="194">
        <v>216.75</v>
      </c>
      <c r="H8415" s="50" t="s">
        <v>60</v>
      </c>
      <c r="I8415" s="187">
        <v>18.558109999999999</v>
      </c>
      <c r="J8415" s="41" t="s">
        <v>941</v>
      </c>
      <c r="K8415" s="41" t="s">
        <v>335</v>
      </c>
      <c r="L8415" s="195">
        <v>4.2188569999999999</v>
      </c>
      <c r="M8415" s="52" t="s">
        <v>941</v>
      </c>
      <c r="N8415" s="52" t="s">
        <v>117</v>
      </c>
      <c r="O8415" s="59">
        <v>0.1</v>
      </c>
    </row>
    <row r="8416" spans="1:16" x14ac:dyDescent="0.2">
      <c r="A8416" s="30">
        <v>1095</v>
      </c>
      <c r="B8416" s="249" t="str">
        <f>IF(AND(A8416&lt;&gt;"",ISNUMBER(A8416)),VLOOKUP(A8416,Studies!A:BR,2,FALSE),"")</f>
        <v>Shin 2016</v>
      </c>
      <c r="C8416" s="250" t="str">
        <f>IF(AND(A8416&lt;&gt;"",ISNUMBER(A8416)),VLOOKUP(A8416,Studies!A:BR,3,FALSE),"")</f>
        <v>https://www.ncbi.nlm.nih.gov/pubmed/27317471</v>
      </c>
      <c r="D8416" s="250" t="str">
        <f>IF(AND(A8416&lt;&gt;"",ISNUMBER(A8416)),VLOOKUP(A8416,Studies!A:BR,4,FALSE),"")</f>
        <v>Midazolam + rifampicin</v>
      </c>
      <c r="E8416" s="250" t="str">
        <f>IF(AND(A8416&lt;&gt;"",ISNUMBER(A8416)),VLOOKUP(A8416,Studies!A:BR,5,FALSE),"")</f>
        <v>Midazolam</v>
      </c>
      <c r="F8416" s="251" t="str">
        <f>IF(AND(A8416&lt;&gt;"",ISNUMBER(A8416)),VLOOKUP(A8416,Studies!A:BR,6,FALSE),"")</f>
        <v>Plasma</v>
      </c>
      <c r="G8416" s="194">
        <v>217</v>
      </c>
      <c r="H8416" s="50" t="s">
        <v>60</v>
      </c>
      <c r="I8416" s="187">
        <v>13.96289</v>
      </c>
      <c r="J8416" s="41" t="s">
        <v>941</v>
      </c>
      <c r="K8416" s="41" t="s">
        <v>335</v>
      </c>
      <c r="L8416" s="195">
        <v>3.1742119999999998</v>
      </c>
      <c r="M8416" s="52" t="s">
        <v>941</v>
      </c>
      <c r="N8416" s="52" t="s">
        <v>117</v>
      </c>
      <c r="O8416" s="59">
        <v>0.1</v>
      </c>
    </row>
    <row r="8417" spans="1:16" x14ac:dyDescent="0.2">
      <c r="A8417" s="30">
        <v>1095</v>
      </c>
      <c r="B8417" s="249" t="str">
        <f>IF(AND(A8417&lt;&gt;"",ISNUMBER(A8417)),VLOOKUP(A8417,Studies!A:BR,2,FALSE),"")</f>
        <v>Shin 2016</v>
      </c>
      <c r="C8417" s="250" t="str">
        <f>IF(AND(A8417&lt;&gt;"",ISNUMBER(A8417)),VLOOKUP(A8417,Studies!A:BR,3,FALSE),"")</f>
        <v>https://www.ncbi.nlm.nih.gov/pubmed/27317471</v>
      </c>
      <c r="D8417" s="250" t="str">
        <f>IF(AND(A8417&lt;&gt;"",ISNUMBER(A8417)),VLOOKUP(A8417,Studies!A:BR,4,FALSE),"")</f>
        <v>Midazolam + rifampicin</v>
      </c>
      <c r="E8417" s="250" t="str">
        <f>IF(AND(A8417&lt;&gt;"",ISNUMBER(A8417)),VLOOKUP(A8417,Studies!A:BR,5,FALSE),"")</f>
        <v>Midazolam</v>
      </c>
      <c r="F8417" s="251" t="str">
        <f>IF(AND(A8417&lt;&gt;"",ISNUMBER(A8417)),VLOOKUP(A8417,Studies!A:BR,6,FALSE),"")</f>
        <v>Plasma</v>
      </c>
      <c r="G8417" s="194">
        <v>218</v>
      </c>
      <c r="H8417" s="50" t="s">
        <v>60</v>
      </c>
      <c r="I8417" s="187">
        <v>6.5884140000000002</v>
      </c>
      <c r="J8417" s="41" t="s">
        <v>941</v>
      </c>
      <c r="K8417" s="41" t="s">
        <v>335</v>
      </c>
      <c r="L8417" s="195">
        <v>1.315793</v>
      </c>
      <c r="M8417" s="52" t="s">
        <v>941</v>
      </c>
      <c r="N8417" s="52" t="s">
        <v>117</v>
      </c>
      <c r="O8417" s="59">
        <v>0.1</v>
      </c>
    </row>
    <row r="8418" spans="1:16" x14ac:dyDescent="0.2">
      <c r="A8418" s="30">
        <v>1095</v>
      </c>
      <c r="B8418" s="249" t="str">
        <f>IF(AND(A8418&lt;&gt;"",ISNUMBER(A8418)),VLOOKUP(A8418,Studies!A:BR,2,FALSE),"")</f>
        <v>Shin 2016</v>
      </c>
      <c r="C8418" s="250" t="str">
        <f>IF(AND(A8418&lt;&gt;"",ISNUMBER(A8418)),VLOOKUP(A8418,Studies!A:BR,3,FALSE),"")</f>
        <v>https://www.ncbi.nlm.nih.gov/pubmed/27317471</v>
      </c>
      <c r="D8418" s="250" t="str">
        <f>IF(AND(A8418&lt;&gt;"",ISNUMBER(A8418)),VLOOKUP(A8418,Studies!A:BR,4,FALSE),"")</f>
        <v>Midazolam + rifampicin</v>
      </c>
      <c r="E8418" s="250" t="str">
        <f>IF(AND(A8418&lt;&gt;"",ISNUMBER(A8418)),VLOOKUP(A8418,Studies!A:BR,5,FALSE),"")</f>
        <v>Midazolam</v>
      </c>
      <c r="F8418" s="251" t="str">
        <f>IF(AND(A8418&lt;&gt;"",ISNUMBER(A8418)),VLOOKUP(A8418,Studies!A:BR,6,FALSE),"")</f>
        <v>Plasma</v>
      </c>
      <c r="G8418" s="194">
        <v>219</v>
      </c>
      <c r="H8418" s="50" t="s">
        <v>60</v>
      </c>
      <c r="I8418" s="187">
        <v>3.9931709999999998</v>
      </c>
      <c r="J8418" s="41" t="s">
        <v>941</v>
      </c>
      <c r="K8418" s="41" t="s">
        <v>335</v>
      </c>
      <c r="L8418" s="195">
        <v>0.74328019999999995</v>
      </c>
      <c r="M8418" s="52" t="s">
        <v>941</v>
      </c>
      <c r="N8418" s="52" t="s">
        <v>117</v>
      </c>
      <c r="O8418" s="59">
        <v>0.1</v>
      </c>
    </row>
    <row r="8419" spans="1:16" x14ac:dyDescent="0.2">
      <c r="A8419" s="30">
        <v>1095</v>
      </c>
      <c r="B8419" s="249" t="str">
        <f>IF(AND(A8419&lt;&gt;"",ISNUMBER(A8419)),VLOOKUP(A8419,Studies!A:BR,2,FALSE),"")</f>
        <v>Shin 2016</v>
      </c>
      <c r="C8419" s="250" t="str">
        <f>IF(AND(A8419&lt;&gt;"",ISNUMBER(A8419)),VLOOKUP(A8419,Studies!A:BR,3,FALSE),"")</f>
        <v>https://www.ncbi.nlm.nih.gov/pubmed/27317471</v>
      </c>
      <c r="D8419" s="250" t="str">
        <f>IF(AND(A8419&lt;&gt;"",ISNUMBER(A8419)),VLOOKUP(A8419,Studies!A:BR,4,FALSE),"")</f>
        <v>Midazolam + rifampicin</v>
      </c>
      <c r="E8419" s="250" t="str">
        <f>IF(AND(A8419&lt;&gt;"",ISNUMBER(A8419)),VLOOKUP(A8419,Studies!A:BR,5,FALSE),"")</f>
        <v>Midazolam</v>
      </c>
      <c r="F8419" s="251" t="str">
        <f>IF(AND(A8419&lt;&gt;"",ISNUMBER(A8419)),VLOOKUP(A8419,Studies!A:BR,6,FALSE),"")</f>
        <v>Plasma</v>
      </c>
      <c r="G8419" s="194">
        <v>220</v>
      </c>
      <c r="H8419" s="50" t="s">
        <v>60</v>
      </c>
      <c r="I8419" s="187">
        <v>3.0735769999999998</v>
      </c>
      <c r="J8419" s="41" t="s">
        <v>941</v>
      </c>
      <c r="K8419" s="41" t="s">
        <v>335</v>
      </c>
      <c r="L8419" s="195">
        <v>0.78556680000000001</v>
      </c>
      <c r="M8419" s="52" t="s">
        <v>941</v>
      </c>
      <c r="N8419" s="52" t="s">
        <v>117</v>
      </c>
      <c r="O8419" s="59">
        <v>0.1</v>
      </c>
    </row>
    <row r="8420" spans="1:16" x14ac:dyDescent="0.2">
      <c r="A8420" s="30">
        <v>1095</v>
      </c>
      <c r="B8420" s="249" t="str">
        <f>IF(AND(A8420&lt;&gt;"",ISNUMBER(A8420)),VLOOKUP(A8420,Studies!A:BR,2,FALSE),"")</f>
        <v>Shin 2016</v>
      </c>
      <c r="C8420" s="250" t="str">
        <f>IF(AND(A8420&lt;&gt;"",ISNUMBER(A8420)),VLOOKUP(A8420,Studies!A:BR,3,FALSE),"")</f>
        <v>https://www.ncbi.nlm.nih.gov/pubmed/27317471</v>
      </c>
      <c r="D8420" s="250" t="str">
        <f>IF(AND(A8420&lt;&gt;"",ISNUMBER(A8420)),VLOOKUP(A8420,Studies!A:BR,4,FALSE),"")</f>
        <v>Midazolam + rifampicin</v>
      </c>
      <c r="E8420" s="250" t="str">
        <f>IF(AND(A8420&lt;&gt;"",ISNUMBER(A8420)),VLOOKUP(A8420,Studies!A:BR,5,FALSE),"")</f>
        <v>Midazolam</v>
      </c>
      <c r="F8420" s="251" t="str">
        <f>IF(AND(A8420&lt;&gt;"",ISNUMBER(A8420)),VLOOKUP(A8420,Studies!A:BR,6,FALSE),"")</f>
        <v>Plasma</v>
      </c>
      <c r="G8420" s="194">
        <v>222</v>
      </c>
      <c r="H8420" s="50" t="s">
        <v>60</v>
      </c>
      <c r="I8420" s="187">
        <v>1.195171</v>
      </c>
      <c r="J8420" s="41" t="s">
        <v>941</v>
      </c>
      <c r="K8420" s="41" t="s">
        <v>335</v>
      </c>
      <c r="L8420" s="195">
        <v>0.39333360000000001</v>
      </c>
      <c r="M8420" s="52" t="s">
        <v>941</v>
      </c>
      <c r="N8420" s="52" t="s">
        <v>117</v>
      </c>
      <c r="O8420" s="59">
        <v>0.1</v>
      </c>
    </row>
    <row r="8421" spans="1:16" x14ac:dyDescent="0.2">
      <c r="A8421" s="30">
        <v>1095</v>
      </c>
      <c r="B8421" s="249" t="str">
        <f>IF(AND(A8421&lt;&gt;"",ISNUMBER(A8421)),VLOOKUP(A8421,Studies!A:BR,2,FALSE),"")</f>
        <v>Shin 2016</v>
      </c>
      <c r="C8421" s="250" t="str">
        <f>IF(AND(A8421&lt;&gt;"",ISNUMBER(A8421)),VLOOKUP(A8421,Studies!A:BR,3,FALSE),"")</f>
        <v>https://www.ncbi.nlm.nih.gov/pubmed/27317471</v>
      </c>
      <c r="D8421" s="250" t="str">
        <f>IF(AND(A8421&lt;&gt;"",ISNUMBER(A8421)),VLOOKUP(A8421,Studies!A:BR,4,FALSE),"")</f>
        <v>Midazolam + rifampicin</v>
      </c>
      <c r="E8421" s="250" t="str">
        <f>IF(AND(A8421&lt;&gt;"",ISNUMBER(A8421)),VLOOKUP(A8421,Studies!A:BR,5,FALSE),"")</f>
        <v>Midazolam</v>
      </c>
      <c r="F8421" s="251" t="str">
        <f>IF(AND(A8421&lt;&gt;"",ISNUMBER(A8421)),VLOOKUP(A8421,Studies!A:BR,6,FALSE),"")</f>
        <v>Plasma</v>
      </c>
      <c r="G8421" s="194">
        <v>224</v>
      </c>
      <c r="H8421" s="50" t="s">
        <v>60</v>
      </c>
      <c r="I8421" s="187">
        <v>0.95557139999999996</v>
      </c>
      <c r="J8421" s="41" t="s">
        <v>941</v>
      </c>
      <c r="K8421" s="41" t="s">
        <v>335</v>
      </c>
      <c r="L8421" s="195">
        <v>0.26208939999999997</v>
      </c>
      <c r="M8421" s="52" t="s">
        <v>941</v>
      </c>
      <c r="N8421" s="52" t="s">
        <v>117</v>
      </c>
      <c r="O8421" s="59">
        <v>0.1</v>
      </c>
    </row>
    <row r="8422" spans="1:16" x14ac:dyDescent="0.2">
      <c r="A8422" s="30">
        <v>1095</v>
      </c>
      <c r="B8422" s="249" t="str">
        <f>IF(AND(A8422&lt;&gt;"",ISNUMBER(A8422)),VLOOKUP(A8422,Studies!A:BR,2,FALSE),"")</f>
        <v>Shin 2016</v>
      </c>
      <c r="C8422" s="250" t="str">
        <f>IF(AND(A8422&lt;&gt;"",ISNUMBER(A8422)),VLOOKUP(A8422,Studies!A:BR,3,FALSE),"")</f>
        <v>https://www.ncbi.nlm.nih.gov/pubmed/27317471</v>
      </c>
      <c r="D8422" s="250" t="str">
        <f>IF(AND(A8422&lt;&gt;"",ISNUMBER(A8422)),VLOOKUP(A8422,Studies!A:BR,4,FALSE),"")</f>
        <v>Midazolam + rifampicin</v>
      </c>
      <c r="E8422" s="250" t="str">
        <f>IF(AND(A8422&lt;&gt;"",ISNUMBER(A8422)),VLOOKUP(A8422,Studies!A:BR,5,FALSE),"")</f>
        <v>Midazolam</v>
      </c>
      <c r="F8422" s="251" t="str">
        <f>IF(AND(A8422&lt;&gt;"",ISNUMBER(A8422)),VLOOKUP(A8422,Studies!A:BR,6,FALSE),"")</f>
        <v>Plasma</v>
      </c>
      <c r="G8422" s="194">
        <v>228</v>
      </c>
      <c r="H8422" s="50" t="s">
        <v>60</v>
      </c>
      <c r="I8422" s="187">
        <v>0.36795060000000002</v>
      </c>
      <c r="J8422" s="41" t="s">
        <v>941</v>
      </c>
      <c r="K8422" s="41" t="s">
        <v>335</v>
      </c>
      <c r="L8422" s="195">
        <v>0.13781280000000001</v>
      </c>
      <c r="M8422" s="52" t="s">
        <v>941</v>
      </c>
      <c r="N8422" s="52" t="s">
        <v>117</v>
      </c>
      <c r="O8422" s="59">
        <v>0.1</v>
      </c>
    </row>
    <row r="8423" spans="1:16" x14ac:dyDescent="0.2">
      <c r="A8423" s="30">
        <v>1096</v>
      </c>
      <c r="B8423" s="249" t="str">
        <f>IF(AND(A8423&lt;&gt;"",ISNUMBER(A8423)),VLOOKUP(A8423,Studies!A:BR,2,FALSE),"")</f>
        <v>Prueksaritanont 2017</v>
      </c>
      <c r="C8423" s="250" t="str">
        <f>IF(AND(A8423&lt;&gt;"",ISNUMBER(A8423)),VLOOKUP(A8423,Studies!A:BR,3,FALSE),"")</f>
        <v>https://www.ncbi.nlm.nih.gov/pubmed/27943276</v>
      </c>
      <c r="D8423" s="250" t="str">
        <f>IF(AND(A8423&lt;&gt;"",ISNUMBER(A8423)),VLOOKUP(A8423,Studies!A:BR,4,FALSE),"")</f>
        <v>Midazolam in microdosecocktail alone</v>
      </c>
      <c r="E8423" s="250" t="str">
        <f>IF(AND(A8423&lt;&gt;"",ISNUMBER(A8423)),VLOOKUP(A8423,Studies!A:BR,5,FALSE),"")</f>
        <v>Midazolam</v>
      </c>
      <c r="F8423" s="251" t="str">
        <f>IF(AND(A8423&lt;&gt;"",ISNUMBER(A8423)),VLOOKUP(A8423,Studies!A:BR,6,FALSE),"")</f>
        <v>Plasma</v>
      </c>
      <c r="G8423" s="194">
        <v>0</v>
      </c>
      <c r="H8423" s="50" t="s">
        <v>60</v>
      </c>
      <c r="I8423" s="187">
        <v>51.794750000000001</v>
      </c>
      <c r="J8423" s="41" t="s">
        <v>946</v>
      </c>
      <c r="K8423" s="41" t="s">
        <v>335</v>
      </c>
      <c r="L8423" s="195">
        <v>1.0539700000000001</v>
      </c>
      <c r="M8423" s="52" t="s">
        <v>946</v>
      </c>
      <c r="N8423" s="52" t="s">
        <v>117</v>
      </c>
      <c r="O8423" s="59">
        <v>0.5</v>
      </c>
      <c r="P8423" s="42" t="s">
        <v>2632</v>
      </c>
    </row>
    <row r="8424" spans="1:16" x14ac:dyDescent="0.2">
      <c r="A8424" s="30">
        <v>1096</v>
      </c>
      <c r="B8424" s="249" t="str">
        <f>IF(AND(A8424&lt;&gt;"",ISNUMBER(A8424)),VLOOKUP(A8424,Studies!A:BR,2,FALSE),"")</f>
        <v>Prueksaritanont 2017</v>
      </c>
      <c r="C8424" s="250" t="str">
        <f>IF(AND(A8424&lt;&gt;"",ISNUMBER(A8424)),VLOOKUP(A8424,Studies!A:BR,3,FALSE),"")</f>
        <v>https://www.ncbi.nlm.nih.gov/pubmed/27943276</v>
      </c>
      <c r="D8424" s="250" t="str">
        <f>IF(AND(A8424&lt;&gt;"",ISNUMBER(A8424)),VLOOKUP(A8424,Studies!A:BR,4,FALSE),"")</f>
        <v>Midazolam in microdosecocktail alone</v>
      </c>
      <c r="E8424" s="250" t="str">
        <f>IF(AND(A8424&lt;&gt;"",ISNUMBER(A8424)),VLOOKUP(A8424,Studies!A:BR,5,FALSE),"")</f>
        <v>Midazolam</v>
      </c>
      <c r="F8424" s="251" t="str">
        <f>IF(AND(A8424&lt;&gt;"",ISNUMBER(A8424)),VLOOKUP(A8424,Studies!A:BR,6,FALSE),"")</f>
        <v>Plasma</v>
      </c>
      <c r="G8424" s="194">
        <v>1.5</v>
      </c>
      <c r="H8424" s="50" t="s">
        <v>60</v>
      </c>
      <c r="I8424" s="187">
        <v>40.4709</v>
      </c>
      <c r="J8424" s="41" t="s">
        <v>946</v>
      </c>
      <c r="K8424" s="41" t="s">
        <v>335</v>
      </c>
      <c r="O8424" s="59">
        <v>0.5</v>
      </c>
      <c r="P8424" s="42" t="s">
        <v>2633</v>
      </c>
    </row>
    <row r="8425" spans="1:16" x14ac:dyDescent="0.2">
      <c r="A8425" s="30">
        <v>1096</v>
      </c>
      <c r="B8425" s="249" t="str">
        <f>IF(AND(A8425&lt;&gt;"",ISNUMBER(A8425)),VLOOKUP(A8425,Studies!A:BR,2,FALSE),"")</f>
        <v>Prueksaritanont 2017</v>
      </c>
      <c r="C8425" s="250" t="str">
        <f>IF(AND(A8425&lt;&gt;"",ISNUMBER(A8425)),VLOOKUP(A8425,Studies!A:BR,3,FALSE),"")</f>
        <v>https://www.ncbi.nlm.nih.gov/pubmed/27943276</v>
      </c>
      <c r="D8425" s="250" t="str">
        <f>IF(AND(A8425&lt;&gt;"",ISNUMBER(A8425)),VLOOKUP(A8425,Studies!A:BR,4,FALSE),"")</f>
        <v>Midazolam in microdosecocktail alone</v>
      </c>
      <c r="E8425" s="250" t="str">
        <f>IF(AND(A8425&lt;&gt;"",ISNUMBER(A8425)),VLOOKUP(A8425,Studies!A:BR,5,FALSE),"")</f>
        <v>Midazolam</v>
      </c>
      <c r="F8425" s="251" t="str">
        <f>IF(AND(A8425&lt;&gt;"",ISNUMBER(A8425)),VLOOKUP(A8425,Studies!A:BR,6,FALSE),"")</f>
        <v>Plasma</v>
      </c>
      <c r="G8425" s="194">
        <v>2</v>
      </c>
      <c r="H8425" s="50" t="s">
        <v>60</v>
      </c>
      <c r="I8425" s="187">
        <v>29.126329999999999</v>
      </c>
      <c r="J8425" s="41" t="s">
        <v>946</v>
      </c>
      <c r="K8425" s="41" t="s">
        <v>335</v>
      </c>
      <c r="O8425" s="59">
        <v>0.5</v>
      </c>
      <c r="P8425" s="42" t="s">
        <v>2633</v>
      </c>
    </row>
    <row r="8426" spans="1:16" x14ac:dyDescent="0.2">
      <c r="A8426" s="30">
        <v>1096</v>
      </c>
      <c r="B8426" s="249" t="str">
        <f>IF(AND(A8426&lt;&gt;"",ISNUMBER(A8426)),VLOOKUP(A8426,Studies!A:BR,2,FALSE),"")</f>
        <v>Prueksaritanont 2017</v>
      </c>
      <c r="C8426" s="250" t="str">
        <f>IF(AND(A8426&lt;&gt;"",ISNUMBER(A8426)),VLOOKUP(A8426,Studies!A:BR,3,FALSE),"")</f>
        <v>https://www.ncbi.nlm.nih.gov/pubmed/27943276</v>
      </c>
      <c r="D8426" s="250" t="str">
        <f>IF(AND(A8426&lt;&gt;"",ISNUMBER(A8426)),VLOOKUP(A8426,Studies!A:BR,4,FALSE),"")</f>
        <v>Midazolam in microdosecocktail alone</v>
      </c>
      <c r="E8426" s="250" t="str">
        <f>IF(AND(A8426&lt;&gt;"",ISNUMBER(A8426)),VLOOKUP(A8426,Studies!A:BR,5,FALSE),"")</f>
        <v>Midazolam</v>
      </c>
      <c r="F8426" s="251" t="str">
        <f>IF(AND(A8426&lt;&gt;"",ISNUMBER(A8426)),VLOOKUP(A8426,Studies!A:BR,6,FALSE),"")</f>
        <v>Plasma</v>
      </c>
      <c r="G8426" s="194">
        <v>3</v>
      </c>
      <c r="H8426" s="50" t="s">
        <v>60</v>
      </c>
      <c r="I8426" s="187">
        <v>18.914100000000001</v>
      </c>
      <c r="J8426" s="41" t="s">
        <v>946</v>
      </c>
      <c r="K8426" s="41" t="s">
        <v>335</v>
      </c>
      <c r="L8426" s="195">
        <v>0.3848801</v>
      </c>
      <c r="M8426" s="52" t="s">
        <v>946</v>
      </c>
      <c r="N8426" s="52" t="s">
        <v>117</v>
      </c>
      <c r="O8426" s="59">
        <v>0.5</v>
      </c>
    </row>
    <row r="8427" spans="1:16" x14ac:dyDescent="0.2">
      <c r="A8427" s="30">
        <v>1096</v>
      </c>
      <c r="B8427" s="249" t="str">
        <f>IF(AND(A8427&lt;&gt;"",ISNUMBER(A8427)),VLOOKUP(A8427,Studies!A:BR,2,FALSE),"")</f>
        <v>Prueksaritanont 2017</v>
      </c>
      <c r="C8427" s="250" t="str">
        <f>IF(AND(A8427&lt;&gt;"",ISNUMBER(A8427)),VLOOKUP(A8427,Studies!A:BR,3,FALSE),"")</f>
        <v>https://www.ncbi.nlm.nih.gov/pubmed/27943276</v>
      </c>
      <c r="D8427" s="250" t="str">
        <f>IF(AND(A8427&lt;&gt;"",ISNUMBER(A8427)),VLOOKUP(A8427,Studies!A:BR,4,FALSE),"")</f>
        <v>Midazolam in microdosecocktail alone</v>
      </c>
      <c r="E8427" s="250" t="str">
        <f>IF(AND(A8427&lt;&gt;"",ISNUMBER(A8427)),VLOOKUP(A8427,Studies!A:BR,5,FALSE),"")</f>
        <v>Midazolam</v>
      </c>
      <c r="F8427" s="251" t="str">
        <f>IF(AND(A8427&lt;&gt;"",ISNUMBER(A8427)),VLOOKUP(A8427,Studies!A:BR,6,FALSE),"")</f>
        <v>Plasma</v>
      </c>
      <c r="G8427" s="194">
        <v>4</v>
      </c>
      <c r="H8427" s="50" t="s">
        <v>60</v>
      </c>
      <c r="I8427" s="187">
        <v>12.798019999999999</v>
      </c>
      <c r="J8427" s="41" t="s">
        <v>946</v>
      </c>
      <c r="K8427" s="41" t="s">
        <v>335</v>
      </c>
      <c r="L8427" s="195">
        <v>6.3042040000000004</v>
      </c>
      <c r="M8427" s="52" t="s">
        <v>946</v>
      </c>
      <c r="N8427" s="52" t="s">
        <v>117</v>
      </c>
      <c r="O8427" s="59">
        <v>0.5</v>
      </c>
    </row>
    <row r="8428" spans="1:16" x14ac:dyDescent="0.2">
      <c r="A8428" s="30">
        <v>1096</v>
      </c>
      <c r="B8428" s="249" t="str">
        <f>IF(AND(A8428&lt;&gt;"",ISNUMBER(A8428)),VLOOKUP(A8428,Studies!A:BR,2,FALSE),"")</f>
        <v>Prueksaritanont 2017</v>
      </c>
      <c r="C8428" s="250" t="str">
        <f>IF(AND(A8428&lt;&gt;"",ISNUMBER(A8428)),VLOOKUP(A8428,Studies!A:BR,3,FALSE),"")</f>
        <v>https://www.ncbi.nlm.nih.gov/pubmed/27943276</v>
      </c>
      <c r="D8428" s="250" t="str">
        <f>IF(AND(A8428&lt;&gt;"",ISNUMBER(A8428)),VLOOKUP(A8428,Studies!A:BR,4,FALSE),"")</f>
        <v>Midazolam in microdosecocktail alone</v>
      </c>
      <c r="E8428" s="250" t="str">
        <f>IF(AND(A8428&lt;&gt;"",ISNUMBER(A8428)),VLOOKUP(A8428,Studies!A:BR,5,FALSE),"")</f>
        <v>Midazolam</v>
      </c>
      <c r="F8428" s="251" t="str">
        <f>IF(AND(A8428&lt;&gt;"",ISNUMBER(A8428)),VLOOKUP(A8428,Studies!A:BR,6,FALSE),"")</f>
        <v>Plasma</v>
      </c>
      <c r="G8428" s="194">
        <v>6</v>
      </c>
      <c r="H8428" s="50" t="s">
        <v>60</v>
      </c>
      <c r="I8428" s="187">
        <v>5.2870609999999996</v>
      </c>
      <c r="J8428" s="41" t="s">
        <v>946</v>
      </c>
      <c r="K8428" s="41" t="s">
        <v>335</v>
      </c>
      <c r="L8428" s="195">
        <v>1.7096290000000001</v>
      </c>
      <c r="M8428" s="52" t="s">
        <v>946</v>
      </c>
      <c r="N8428" s="52" t="s">
        <v>117</v>
      </c>
      <c r="O8428" s="59">
        <v>0.5</v>
      </c>
    </row>
    <row r="8429" spans="1:16" x14ac:dyDescent="0.2">
      <c r="A8429" s="30">
        <v>1096</v>
      </c>
      <c r="B8429" s="249" t="str">
        <f>IF(AND(A8429&lt;&gt;"",ISNUMBER(A8429)),VLOOKUP(A8429,Studies!A:BR,2,FALSE),"")</f>
        <v>Prueksaritanont 2017</v>
      </c>
      <c r="C8429" s="250" t="str">
        <f>IF(AND(A8429&lt;&gt;"",ISNUMBER(A8429)),VLOOKUP(A8429,Studies!A:BR,3,FALSE),"")</f>
        <v>https://www.ncbi.nlm.nih.gov/pubmed/27943276</v>
      </c>
      <c r="D8429" s="250" t="str">
        <f>IF(AND(A8429&lt;&gt;"",ISNUMBER(A8429)),VLOOKUP(A8429,Studies!A:BR,4,FALSE),"")</f>
        <v>Midazolam in microdosecocktail alone</v>
      </c>
      <c r="E8429" s="250" t="str">
        <f>IF(AND(A8429&lt;&gt;"",ISNUMBER(A8429)),VLOOKUP(A8429,Studies!A:BR,5,FALSE),"")</f>
        <v>Midazolam</v>
      </c>
      <c r="F8429" s="251" t="str">
        <f>IF(AND(A8429&lt;&gt;"",ISNUMBER(A8429)),VLOOKUP(A8429,Studies!A:BR,6,FALSE),"")</f>
        <v>Plasma</v>
      </c>
      <c r="G8429" s="194">
        <v>8</v>
      </c>
      <c r="H8429" s="50" t="s">
        <v>60</v>
      </c>
      <c r="I8429" s="187">
        <v>3.9647359999999998</v>
      </c>
      <c r="J8429" s="41" t="s">
        <v>946</v>
      </c>
      <c r="K8429" s="41" t="s">
        <v>335</v>
      </c>
      <c r="L8429" s="195">
        <v>1.68889</v>
      </c>
      <c r="M8429" s="52" t="s">
        <v>946</v>
      </c>
      <c r="N8429" s="52" t="s">
        <v>117</v>
      </c>
      <c r="O8429" s="59">
        <v>0.5</v>
      </c>
    </row>
    <row r="8430" spans="1:16" x14ac:dyDescent="0.2">
      <c r="A8430" s="30">
        <v>1096</v>
      </c>
      <c r="B8430" s="249" t="str">
        <f>IF(AND(A8430&lt;&gt;"",ISNUMBER(A8430)),VLOOKUP(A8430,Studies!A:BR,2,FALSE),"")</f>
        <v>Prueksaritanont 2017</v>
      </c>
      <c r="C8430" s="250" t="str">
        <f>IF(AND(A8430&lt;&gt;"",ISNUMBER(A8430)),VLOOKUP(A8430,Studies!A:BR,3,FALSE),"")</f>
        <v>https://www.ncbi.nlm.nih.gov/pubmed/27943276</v>
      </c>
      <c r="D8430" s="250" t="str">
        <f>IF(AND(A8430&lt;&gt;"",ISNUMBER(A8430)),VLOOKUP(A8430,Studies!A:BR,4,FALSE),"")</f>
        <v>Midazolam in microdosecocktail alone</v>
      </c>
      <c r="E8430" s="250" t="str">
        <f>IF(AND(A8430&lt;&gt;"",ISNUMBER(A8430)),VLOOKUP(A8430,Studies!A:BR,5,FALSE),"")</f>
        <v>Midazolam</v>
      </c>
      <c r="F8430" s="251" t="str">
        <f>IF(AND(A8430&lt;&gt;"",ISNUMBER(A8430)),VLOOKUP(A8430,Studies!A:BR,6,FALSE),"")</f>
        <v>Plasma</v>
      </c>
      <c r="G8430" s="194">
        <v>12</v>
      </c>
      <c r="H8430" s="50" t="s">
        <v>60</v>
      </c>
      <c r="I8430" s="187">
        <v>2.1841659999999998</v>
      </c>
      <c r="J8430" s="41" t="s">
        <v>946</v>
      </c>
      <c r="K8430" s="41" t="s">
        <v>335</v>
      </c>
      <c r="L8430" s="195">
        <v>1.58605</v>
      </c>
      <c r="M8430" s="52" t="s">
        <v>946</v>
      </c>
      <c r="N8430" s="52" t="s">
        <v>117</v>
      </c>
      <c r="O8430" s="59">
        <v>0.5</v>
      </c>
    </row>
    <row r="8431" spans="1:16" x14ac:dyDescent="0.2">
      <c r="A8431" s="30">
        <v>1096</v>
      </c>
      <c r="B8431" s="249" t="str">
        <f>IF(AND(A8431&lt;&gt;"",ISNUMBER(A8431)),VLOOKUP(A8431,Studies!A:BR,2,FALSE),"")</f>
        <v>Prueksaritanont 2017</v>
      </c>
      <c r="C8431" s="250" t="str">
        <f>IF(AND(A8431&lt;&gt;"",ISNUMBER(A8431)),VLOOKUP(A8431,Studies!A:BR,3,FALSE),"")</f>
        <v>https://www.ncbi.nlm.nih.gov/pubmed/27943276</v>
      </c>
      <c r="D8431" s="250" t="str">
        <f>IF(AND(A8431&lt;&gt;"",ISNUMBER(A8431)),VLOOKUP(A8431,Studies!A:BR,4,FALSE),"")</f>
        <v>Midazolam in microdosecocktail alone</v>
      </c>
      <c r="E8431" s="250" t="str">
        <f>IF(AND(A8431&lt;&gt;"",ISNUMBER(A8431)),VLOOKUP(A8431,Studies!A:BR,5,FALSE),"")</f>
        <v>Midazolam</v>
      </c>
      <c r="F8431" s="251" t="str">
        <f>IF(AND(A8431&lt;&gt;"",ISNUMBER(A8431)),VLOOKUP(A8431,Studies!A:BR,6,FALSE),"")</f>
        <v>Plasma</v>
      </c>
      <c r="G8431" s="194">
        <v>16</v>
      </c>
      <c r="H8431" s="50" t="s">
        <v>60</v>
      </c>
      <c r="I8431" s="187">
        <v>3.1622780000000001</v>
      </c>
      <c r="J8431" s="41" t="s">
        <v>946</v>
      </c>
      <c r="K8431" s="41" t="s">
        <v>335</v>
      </c>
      <c r="L8431" s="195">
        <v>5.6772390000000001</v>
      </c>
      <c r="M8431" s="52" t="s">
        <v>946</v>
      </c>
      <c r="N8431" s="52" t="s">
        <v>117</v>
      </c>
      <c r="O8431" s="59">
        <v>0.5</v>
      </c>
    </row>
    <row r="8432" spans="1:16" x14ac:dyDescent="0.2">
      <c r="A8432" s="30">
        <v>1096</v>
      </c>
      <c r="B8432" s="249" t="str">
        <f>IF(AND(A8432&lt;&gt;"",ISNUMBER(A8432)),VLOOKUP(A8432,Studies!A:BR,2,FALSE),"")</f>
        <v>Prueksaritanont 2017</v>
      </c>
      <c r="C8432" s="250" t="str">
        <f>IF(AND(A8432&lt;&gt;"",ISNUMBER(A8432)),VLOOKUP(A8432,Studies!A:BR,3,FALSE),"")</f>
        <v>https://www.ncbi.nlm.nih.gov/pubmed/27943276</v>
      </c>
      <c r="D8432" s="250" t="str">
        <f>IF(AND(A8432&lt;&gt;"",ISNUMBER(A8432)),VLOOKUP(A8432,Studies!A:BR,4,FALSE),"")</f>
        <v>Midazolam in microdosecocktail alone</v>
      </c>
      <c r="E8432" s="250" t="str">
        <f>IF(AND(A8432&lt;&gt;"",ISNUMBER(A8432)),VLOOKUP(A8432,Studies!A:BR,5,FALSE),"")</f>
        <v>Midazolam</v>
      </c>
      <c r="F8432" s="251" t="str">
        <f>IF(AND(A8432&lt;&gt;"",ISNUMBER(A8432)),VLOOKUP(A8432,Studies!A:BR,6,FALSE),"")</f>
        <v>Plasma</v>
      </c>
      <c r="G8432" s="194">
        <v>24</v>
      </c>
      <c r="H8432" s="50" t="s">
        <v>60</v>
      </c>
      <c r="I8432" s="187">
        <v>2.912633</v>
      </c>
      <c r="J8432" s="41" t="s">
        <v>946</v>
      </c>
      <c r="K8432" s="41" t="s">
        <v>335</v>
      </c>
      <c r="L8432" s="195">
        <v>7.295083</v>
      </c>
      <c r="M8432" s="52" t="s">
        <v>946</v>
      </c>
      <c r="N8432" s="52" t="s">
        <v>117</v>
      </c>
      <c r="O8432" s="59">
        <v>0.5</v>
      </c>
    </row>
    <row r="8433" spans="1:16" x14ac:dyDescent="0.2">
      <c r="A8433" s="30">
        <v>1097</v>
      </c>
      <c r="B8433" s="249" t="str">
        <f>IF(AND(A8433&lt;&gt;"",ISNUMBER(A8433)),VLOOKUP(A8433,Studies!A:BR,2,FALSE),"")</f>
        <v>Prueksaritanont 2017</v>
      </c>
      <c r="C8433" s="250" t="str">
        <f>IF(AND(A8433&lt;&gt;"",ISNUMBER(A8433)),VLOOKUP(A8433,Studies!A:BR,3,FALSE),"")</f>
        <v>https://www.ncbi.nlm.nih.gov/pubmed/27943276</v>
      </c>
      <c r="D8433" s="250" t="str">
        <f>IF(AND(A8433&lt;&gt;"",ISNUMBER(A8433)),VLOOKUP(A8433,Studies!A:BR,4,FALSE),"")</f>
        <v>Midazolam in microdosecocktail + Itraconazole</v>
      </c>
      <c r="E8433" s="250" t="str">
        <f>IF(AND(A8433&lt;&gt;"",ISNUMBER(A8433)),VLOOKUP(A8433,Studies!A:BR,5,FALSE),"")</f>
        <v>Midazolam</v>
      </c>
      <c r="F8433" s="251" t="str">
        <f>IF(AND(A8433&lt;&gt;"",ISNUMBER(A8433)),VLOOKUP(A8433,Studies!A:BR,6,FALSE),"")</f>
        <v>Plasma</v>
      </c>
      <c r="G8433" s="194">
        <v>72</v>
      </c>
      <c r="H8433" s="50" t="s">
        <v>60</v>
      </c>
      <c r="I8433" s="187">
        <v>0.40470899999999999</v>
      </c>
      <c r="J8433" s="41" t="s">
        <v>946</v>
      </c>
      <c r="K8433" s="41" t="s">
        <v>335</v>
      </c>
      <c r="L8433" s="195">
        <v>1.1998549999999999</v>
      </c>
      <c r="M8433" s="195" t="s">
        <v>946</v>
      </c>
      <c r="N8433" s="195" t="s">
        <v>117</v>
      </c>
      <c r="O8433" s="199">
        <v>0.5</v>
      </c>
      <c r="P8433" s="42" t="s">
        <v>2634</v>
      </c>
    </row>
    <row r="8434" spans="1:16" x14ac:dyDescent="0.2">
      <c r="A8434" s="30">
        <v>1097</v>
      </c>
      <c r="B8434" s="249" t="str">
        <f>IF(AND(A8434&lt;&gt;"",ISNUMBER(A8434)),VLOOKUP(A8434,Studies!A:BR,2,FALSE),"")</f>
        <v>Prueksaritanont 2017</v>
      </c>
      <c r="C8434" s="250" t="str">
        <f>IF(AND(A8434&lt;&gt;"",ISNUMBER(A8434)),VLOOKUP(A8434,Studies!A:BR,3,FALSE),"")</f>
        <v>https://www.ncbi.nlm.nih.gov/pubmed/27943276</v>
      </c>
      <c r="D8434" s="250" t="str">
        <f>IF(AND(A8434&lt;&gt;"",ISNUMBER(A8434)),VLOOKUP(A8434,Studies!A:BR,4,FALSE),"")</f>
        <v>Midazolam in microdosecocktail + Itraconazole</v>
      </c>
      <c r="E8434" s="250" t="str">
        <f>IF(AND(A8434&lt;&gt;"",ISNUMBER(A8434)),VLOOKUP(A8434,Studies!A:BR,5,FALSE),"")</f>
        <v>Midazolam</v>
      </c>
      <c r="F8434" s="251" t="str">
        <f>IF(AND(A8434&lt;&gt;"",ISNUMBER(A8434)),VLOOKUP(A8434,Studies!A:BR,6,FALSE),"")</f>
        <v>Plasma</v>
      </c>
      <c r="G8434" s="194">
        <v>72.25</v>
      </c>
      <c r="H8434" s="50" t="s">
        <v>60</v>
      </c>
      <c r="I8434" s="187">
        <v>24.709109999999999</v>
      </c>
      <c r="J8434" s="41" t="s">
        <v>946</v>
      </c>
      <c r="K8434" s="41" t="s">
        <v>335</v>
      </c>
      <c r="L8434" s="195">
        <v>16.398309999999999</v>
      </c>
      <c r="M8434" s="195" t="s">
        <v>946</v>
      </c>
      <c r="N8434" s="195" t="s">
        <v>117</v>
      </c>
      <c r="O8434" s="199">
        <v>0.5</v>
      </c>
    </row>
    <row r="8435" spans="1:16" x14ac:dyDescent="0.2">
      <c r="A8435" s="30">
        <v>1097</v>
      </c>
      <c r="B8435" s="249" t="str">
        <f>IF(AND(A8435&lt;&gt;"",ISNUMBER(A8435)),VLOOKUP(A8435,Studies!A:BR,2,FALSE),"")</f>
        <v>Prueksaritanont 2017</v>
      </c>
      <c r="C8435" s="250" t="str">
        <f>IF(AND(A8435&lt;&gt;"",ISNUMBER(A8435)),VLOOKUP(A8435,Studies!A:BR,3,FALSE),"")</f>
        <v>https://www.ncbi.nlm.nih.gov/pubmed/27943276</v>
      </c>
      <c r="D8435" s="250" t="str">
        <f>IF(AND(A8435&lt;&gt;"",ISNUMBER(A8435)),VLOOKUP(A8435,Studies!A:BR,4,FALSE),"")</f>
        <v>Midazolam in microdosecocktail + Itraconazole</v>
      </c>
      <c r="E8435" s="250" t="str">
        <f>IF(AND(A8435&lt;&gt;"",ISNUMBER(A8435)),VLOOKUP(A8435,Studies!A:BR,5,FALSE),"")</f>
        <v>Midazolam</v>
      </c>
      <c r="F8435" s="251" t="str">
        <f>IF(AND(A8435&lt;&gt;"",ISNUMBER(A8435)),VLOOKUP(A8435,Studies!A:BR,6,FALSE),"")</f>
        <v>Plasma</v>
      </c>
      <c r="G8435" s="194">
        <v>72.5</v>
      </c>
      <c r="H8435" s="50" t="s">
        <v>60</v>
      </c>
      <c r="I8435" s="187">
        <v>104.19750000000001</v>
      </c>
      <c r="J8435" s="41" t="s">
        <v>946</v>
      </c>
      <c r="K8435" s="41" t="s">
        <v>335</v>
      </c>
      <c r="M8435" s="195"/>
      <c r="N8435" s="195"/>
      <c r="O8435" s="199">
        <v>0.5</v>
      </c>
      <c r="P8435" s="42" t="s">
        <v>2633</v>
      </c>
    </row>
    <row r="8436" spans="1:16" x14ac:dyDescent="0.2">
      <c r="A8436" s="30">
        <v>1097</v>
      </c>
      <c r="B8436" s="249" t="str">
        <f>IF(AND(A8436&lt;&gt;"",ISNUMBER(A8436)),VLOOKUP(A8436,Studies!A:BR,2,FALSE),"")</f>
        <v>Prueksaritanont 2017</v>
      </c>
      <c r="C8436" s="250" t="str">
        <f>IF(AND(A8436&lt;&gt;"",ISNUMBER(A8436)),VLOOKUP(A8436,Studies!A:BR,3,FALSE),"")</f>
        <v>https://www.ncbi.nlm.nih.gov/pubmed/27943276</v>
      </c>
      <c r="D8436" s="250" t="str">
        <f>IF(AND(A8436&lt;&gt;"",ISNUMBER(A8436)),VLOOKUP(A8436,Studies!A:BR,4,FALSE),"")</f>
        <v>Midazolam in microdosecocktail + Itraconazole</v>
      </c>
      <c r="E8436" s="250" t="str">
        <f>IF(AND(A8436&lt;&gt;"",ISNUMBER(A8436)),VLOOKUP(A8436,Studies!A:BR,5,FALSE),"")</f>
        <v>Midazolam</v>
      </c>
      <c r="F8436" s="251" t="str">
        <f>IF(AND(A8436&lt;&gt;"",ISNUMBER(A8436)),VLOOKUP(A8436,Studies!A:BR,6,FALSE),"")</f>
        <v>Plasma</v>
      </c>
      <c r="G8436" s="194">
        <v>73</v>
      </c>
      <c r="H8436" s="50" t="s">
        <v>60</v>
      </c>
      <c r="I8436" s="187">
        <v>193.06979999999999</v>
      </c>
      <c r="J8436" s="41" t="s">
        <v>946</v>
      </c>
      <c r="K8436" s="41" t="s">
        <v>335</v>
      </c>
      <c r="L8436" s="195">
        <v>86.460300000000004</v>
      </c>
      <c r="M8436" s="195" t="s">
        <v>946</v>
      </c>
      <c r="N8436" s="195" t="s">
        <v>117</v>
      </c>
      <c r="O8436" s="199">
        <v>0.5</v>
      </c>
    </row>
    <row r="8437" spans="1:16" x14ac:dyDescent="0.2">
      <c r="A8437" s="30">
        <v>1097</v>
      </c>
      <c r="B8437" s="249" t="str">
        <f>IF(AND(A8437&lt;&gt;"",ISNUMBER(A8437)),VLOOKUP(A8437,Studies!A:BR,2,FALSE),"")</f>
        <v>Prueksaritanont 2017</v>
      </c>
      <c r="C8437" s="250" t="str">
        <f>IF(AND(A8437&lt;&gt;"",ISNUMBER(A8437)),VLOOKUP(A8437,Studies!A:BR,3,FALSE),"")</f>
        <v>https://www.ncbi.nlm.nih.gov/pubmed/27943276</v>
      </c>
      <c r="D8437" s="250" t="str">
        <f>IF(AND(A8437&lt;&gt;"",ISNUMBER(A8437)),VLOOKUP(A8437,Studies!A:BR,4,FALSE),"")</f>
        <v>Midazolam in microdosecocktail + Itraconazole</v>
      </c>
      <c r="E8437" s="250" t="str">
        <f>IF(AND(A8437&lt;&gt;"",ISNUMBER(A8437)),VLOOKUP(A8437,Studies!A:BR,5,FALSE),"")</f>
        <v>Midazolam</v>
      </c>
      <c r="F8437" s="251" t="str">
        <f>IF(AND(A8437&lt;&gt;"",ISNUMBER(A8437)),VLOOKUP(A8437,Studies!A:BR,6,FALSE),"")</f>
        <v>Plasma</v>
      </c>
      <c r="G8437" s="194">
        <v>73.5</v>
      </c>
      <c r="H8437" s="50" t="s">
        <v>60</v>
      </c>
      <c r="I8437" s="187">
        <v>170.6644</v>
      </c>
      <c r="J8437" s="41" t="s">
        <v>946</v>
      </c>
      <c r="K8437" s="41" t="s">
        <v>335</v>
      </c>
      <c r="L8437" s="195">
        <v>71.398700000000005</v>
      </c>
      <c r="M8437" s="195" t="s">
        <v>946</v>
      </c>
      <c r="N8437" s="195" t="s">
        <v>117</v>
      </c>
      <c r="O8437" s="199">
        <v>0.5</v>
      </c>
    </row>
    <row r="8438" spans="1:16" x14ac:dyDescent="0.2">
      <c r="A8438" s="30">
        <v>1097</v>
      </c>
      <c r="B8438" s="249" t="str">
        <f>IF(AND(A8438&lt;&gt;"",ISNUMBER(A8438)),VLOOKUP(A8438,Studies!A:BR,2,FALSE),"")</f>
        <v>Prueksaritanont 2017</v>
      </c>
      <c r="C8438" s="250" t="str">
        <f>IF(AND(A8438&lt;&gt;"",ISNUMBER(A8438)),VLOOKUP(A8438,Studies!A:BR,3,FALSE),"")</f>
        <v>https://www.ncbi.nlm.nih.gov/pubmed/27943276</v>
      </c>
      <c r="D8438" s="250" t="str">
        <f>IF(AND(A8438&lt;&gt;"",ISNUMBER(A8438)),VLOOKUP(A8438,Studies!A:BR,4,FALSE),"")</f>
        <v>Midazolam in microdosecocktail + Itraconazole</v>
      </c>
      <c r="E8438" s="250" t="str">
        <f>IF(AND(A8438&lt;&gt;"",ISNUMBER(A8438)),VLOOKUP(A8438,Studies!A:BR,5,FALSE),"")</f>
        <v>Midazolam</v>
      </c>
      <c r="F8438" s="251" t="str">
        <f>IF(AND(A8438&lt;&gt;"",ISNUMBER(A8438)),VLOOKUP(A8438,Studies!A:BR,6,FALSE),"")</f>
        <v>Plasma</v>
      </c>
      <c r="G8438" s="194">
        <v>74</v>
      </c>
      <c r="H8438" s="50" t="s">
        <v>60</v>
      </c>
      <c r="I8438" s="187">
        <v>141.83580000000001</v>
      </c>
      <c r="J8438" s="41" t="s">
        <v>946</v>
      </c>
      <c r="K8438" s="41" t="s">
        <v>335</v>
      </c>
      <c r="L8438" s="195">
        <v>47.305219999999998</v>
      </c>
      <c r="M8438" s="195" t="s">
        <v>946</v>
      </c>
      <c r="N8438" s="195" t="s">
        <v>117</v>
      </c>
      <c r="O8438" s="199">
        <v>0.5</v>
      </c>
    </row>
    <row r="8439" spans="1:16" x14ac:dyDescent="0.2">
      <c r="A8439" s="30">
        <v>1097</v>
      </c>
      <c r="B8439" s="249" t="str">
        <f>IF(AND(A8439&lt;&gt;"",ISNUMBER(A8439)),VLOOKUP(A8439,Studies!A:BR,2,FALSE),"")</f>
        <v>Prueksaritanont 2017</v>
      </c>
      <c r="C8439" s="250" t="str">
        <f>IF(AND(A8439&lt;&gt;"",ISNUMBER(A8439)),VLOOKUP(A8439,Studies!A:BR,3,FALSE),"")</f>
        <v>https://www.ncbi.nlm.nih.gov/pubmed/27943276</v>
      </c>
      <c r="D8439" s="250" t="str">
        <f>IF(AND(A8439&lt;&gt;"",ISNUMBER(A8439)),VLOOKUP(A8439,Studies!A:BR,4,FALSE),"")</f>
        <v>Midazolam in microdosecocktail + Itraconazole</v>
      </c>
      <c r="E8439" s="250" t="str">
        <f>IF(AND(A8439&lt;&gt;"",ISNUMBER(A8439)),VLOOKUP(A8439,Studies!A:BR,5,FALSE),"")</f>
        <v>Midazolam</v>
      </c>
      <c r="F8439" s="251" t="str">
        <f>IF(AND(A8439&lt;&gt;"",ISNUMBER(A8439)),VLOOKUP(A8439,Studies!A:BR,6,FALSE),"")</f>
        <v>Plasma</v>
      </c>
      <c r="G8439" s="194">
        <v>75</v>
      </c>
      <c r="H8439" s="50" t="s">
        <v>60</v>
      </c>
      <c r="I8439" s="187">
        <v>108.5711</v>
      </c>
      <c r="J8439" s="41" t="s">
        <v>946</v>
      </c>
      <c r="K8439" s="41" t="s">
        <v>335</v>
      </c>
      <c r="L8439" s="195">
        <v>45.421559999999999</v>
      </c>
      <c r="M8439" s="195" t="s">
        <v>946</v>
      </c>
      <c r="N8439" s="195" t="s">
        <v>117</v>
      </c>
      <c r="O8439" s="199">
        <v>0.5</v>
      </c>
    </row>
    <row r="8440" spans="1:16" x14ac:dyDescent="0.2">
      <c r="A8440" s="30">
        <v>1097</v>
      </c>
      <c r="B8440" s="249" t="str">
        <f>IF(AND(A8440&lt;&gt;"",ISNUMBER(A8440)),VLOOKUP(A8440,Studies!A:BR,2,FALSE),"")</f>
        <v>Prueksaritanont 2017</v>
      </c>
      <c r="C8440" s="250" t="str">
        <f>IF(AND(A8440&lt;&gt;"",ISNUMBER(A8440)),VLOOKUP(A8440,Studies!A:BR,3,FALSE),"")</f>
        <v>https://www.ncbi.nlm.nih.gov/pubmed/27943276</v>
      </c>
      <c r="D8440" s="250" t="str">
        <f>IF(AND(A8440&lt;&gt;"",ISNUMBER(A8440)),VLOOKUP(A8440,Studies!A:BR,4,FALSE),"")</f>
        <v>Midazolam in microdosecocktail + Itraconazole</v>
      </c>
      <c r="E8440" s="250" t="str">
        <f>IF(AND(A8440&lt;&gt;"",ISNUMBER(A8440)),VLOOKUP(A8440,Studies!A:BR,5,FALSE),"")</f>
        <v>Midazolam</v>
      </c>
      <c r="F8440" s="251" t="str">
        <f>IF(AND(A8440&lt;&gt;"",ISNUMBER(A8440)),VLOOKUP(A8440,Studies!A:BR,6,FALSE),"")</f>
        <v>Plasma</v>
      </c>
      <c r="G8440" s="194">
        <v>76</v>
      </c>
      <c r="H8440" s="50" t="s">
        <v>60</v>
      </c>
      <c r="I8440" s="187">
        <v>86.596440000000001</v>
      </c>
      <c r="J8440" s="41" t="s">
        <v>946</v>
      </c>
      <c r="K8440" s="41" t="s">
        <v>335</v>
      </c>
      <c r="L8440" s="195">
        <v>41.383780000000002</v>
      </c>
      <c r="M8440" s="195" t="s">
        <v>946</v>
      </c>
      <c r="N8440" s="195" t="s">
        <v>117</v>
      </c>
      <c r="O8440" s="199">
        <v>0.5</v>
      </c>
    </row>
    <row r="8441" spans="1:16" x14ac:dyDescent="0.2">
      <c r="A8441" s="30">
        <v>1097</v>
      </c>
      <c r="B8441" s="249" t="str">
        <f>IF(AND(A8441&lt;&gt;"",ISNUMBER(A8441)),VLOOKUP(A8441,Studies!A:BR,2,FALSE),"")</f>
        <v>Prueksaritanont 2017</v>
      </c>
      <c r="C8441" s="250" t="str">
        <f>IF(AND(A8441&lt;&gt;"",ISNUMBER(A8441)),VLOOKUP(A8441,Studies!A:BR,3,FALSE),"")</f>
        <v>https://www.ncbi.nlm.nih.gov/pubmed/27943276</v>
      </c>
      <c r="D8441" s="250" t="str">
        <f>IF(AND(A8441&lt;&gt;"",ISNUMBER(A8441)),VLOOKUP(A8441,Studies!A:BR,4,FALSE),"")</f>
        <v>Midazolam in microdosecocktail + Itraconazole</v>
      </c>
      <c r="E8441" s="250" t="str">
        <f>IF(AND(A8441&lt;&gt;"",ISNUMBER(A8441)),VLOOKUP(A8441,Studies!A:BR,5,FALSE),"")</f>
        <v>Midazolam</v>
      </c>
      <c r="F8441" s="251" t="str">
        <f>IF(AND(A8441&lt;&gt;"",ISNUMBER(A8441)),VLOOKUP(A8441,Studies!A:BR,6,FALSE),"")</f>
        <v>Plasma</v>
      </c>
      <c r="G8441" s="194">
        <v>78</v>
      </c>
      <c r="H8441" s="50" t="s">
        <v>60</v>
      </c>
      <c r="I8441" s="187">
        <v>58.594540000000002</v>
      </c>
      <c r="J8441" s="41" t="s">
        <v>946</v>
      </c>
      <c r="K8441" s="41" t="s">
        <v>335</v>
      </c>
      <c r="L8441" s="195">
        <v>28.001899999999999</v>
      </c>
      <c r="M8441" s="195" t="s">
        <v>946</v>
      </c>
      <c r="N8441" s="195" t="s">
        <v>117</v>
      </c>
      <c r="O8441" s="199">
        <v>0.5</v>
      </c>
    </row>
    <row r="8442" spans="1:16" x14ac:dyDescent="0.2">
      <c r="A8442" s="30">
        <v>1097</v>
      </c>
      <c r="B8442" s="249" t="str">
        <f>IF(AND(A8442&lt;&gt;"",ISNUMBER(A8442)),VLOOKUP(A8442,Studies!A:BR,2,FALSE),"")</f>
        <v>Prueksaritanont 2017</v>
      </c>
      <c r="C8442" s="250" t="str">
        <f>IF(AND(A8442&lt;&gt;"",ISNUMBER(A8442)),VLOOKUP(A8442,Studies!A:BR,3,FALSE),"")</f>
        <v>https://www.ncbi.nlm.nih.gov/pubmed/27943276</v>
      </c>
      <c r="D8442" s="250" t="str">
        <f>IF(AND(A8442&lt;&gt;"",ISNUMBER(A8442)),VLOOKUP(A8442,Studies!A:BR,4,FALSE),"")</f>
        <v>Midazolam in microdosecocktail + Itraconazole</v>
      </c>
      <c r="E8442" s="250" t="str">
        <f>IF(AND(A8442&lt;&gt;"",ISNUMBER(A8442)),VLOOKUP(A8442,Studies!A:BR,5,FALSE),"")</f>
        <v>Midazolam</v>
      </c>
      <c r="F8442" s="251" t="str">
        <f>IF(AND(A8442&lt;&gt;"",ISNUMBER(A8442)),VLOOKUP(A8442,Studies!A:BR,6,FALSE),"")</f>
        <v>Plasma</v>
      </c>
      <c r="G8442" s="194">
        <v>80</v>
      </c>
      <c r="H8442" s="50" t="s">
        <v>60</v>
      </c>
      <c r="I8442" s="187">
        <v>46.73507</v>
      </c>
      <c r="J8442" s="41" t="s">
        <v>946</v>
      </c>
      <c r="K8442" s="41" t="s">
        <v>335</v>
      </c>
      <c r="L8442" s="195">
        <v>22.334340000000001</v>
      </c>
      <c r="M8442" s="195" t="s">
        <v>946</v>
      </c>
      <c r="N8442" s="195" t="s">
        <v>117</v>
      </c>
      <c r="O8442" s="199">
        <v>0.5</v>
      </c>
    </row>
    <row r="8443" spans="1:16" x14ac:dyDescent="0.2">
      <c r="A8443" s="30">
        <v>1097</v>
      </c>
      <c r="B8443" s="249" t="str">
        <f>IF(AND(A8443&lt;&gt;"",ISNUMBER(A8443)),VLOOKUP(A8443,Studies!A:BR,2,FALSE),"")</f>
        <v>Prueksaritanont 2017</v>
      </c>
      <c r="C8443" s="250" t="str">
        <f>IF(AND(A8443&lt;&gt;"",ISNUMBER(A8443)),VLOOKUP(A8443,Studies!A:BR,3,FALSE),"")</f>
        <v>https://www.ncbi.nlm.nih.gov/pubmed/27943276</v>
      </c>
      <c r="D8443" s="250" t="str">
        <f>IF(AND(A8443&lt;&gt;"",ISNUMBER(A8443)),VLOOKUP(A8443,Studies!A:BR,4,FALSE),"")</f>
        <v>Midazolam in microdosecocktail + Itraconazole</v>
      </c>
      <c r="E8443" s="250" t="str">
        <f>IF(AND(A8443&lt;&gt;"",ISNUMBER(A8443)),VLOOKUP(A8443,Studies!A:BR,5,FALSE),"")</f>
        <v>Midazolam</v>
      </c>
      <c r="F8443" s="251" t="str">
        <f>IF(AND(A8443&lt;&gt;"",ISNUMBER(A8443)),VLOOKUP(A8443,Studies!A:BR,6,FALSE),"")</f>
        <v>Plasma</v>
      </c>
      <c r="G8443" s="194">
        <v>84</v>
      </c>
      <c r="H8443" s="50" t="s">
        <v>60</v>
      </c>
      <c r="I8443" s="187">
        <v>32.950130000000001</v>
      </c>
      <c r="J8443" s="41" t="s">
        <v>946</v>
      </c>
      <c r="K8443" s="41" t="s">
        <v>335</v>
      </c>
      <c r="L8443" s="195">
        <v>15.74662</v>
      </c>
      <c r="M8443" s="52" t="s">
        <v>946</v>
      </c>
      <c r="N8443" s="52" t="s">
        <v>117</v>
      </c>
      <c r="O8443" s="199">
        <v>0.5</v>
      </c>
    </row>
    <row r="8444" spans="1:16" x14ac:dyDescent="0.2">
      <c r="A8444" s="30">
        <v>1097</v>
      </c>
      <c r="B8444" s="249" t="str">
        <f>IF(AND(A8444&lt;&gt;"",ISNUMBER(A8444)),VLOOKUP(A8444,Studies!A:BR,2,FALSE),"")</f>
        <v>Prueksaritanont 2017</v>
      </c>
      <c r="C8444" s="250" t="str">
        <f>IF(AND(A8444&lt;&gt;"",ISNUMBER(A8444)),VLOOKUP(A8444,Studies!A:BR,3,FALSE),"")</f>
        <v>https://www.ncbi.nlm.nih.gov/pubmed/27943276</v>
      </c>
      <c r="D8444" s="250" t="str">
        <f>IF(AND(A8444&lt;&gt;"",ISNUMBER(A8444)),VLOOKUP(A8444,Studies!A:BR,4,FALSE),"")</f>
        <v>Midazolam in microdosecocktail + Itraconazole</v>
      </c>
      <c r="E8444" s="250" t="str">
        <f>IF(AND(A8444&lt;&gt;"",ISNUMBER(A8444)),VLOOKUP(A8444,Studies!A:BR,5,FALSE),"")</f>
        <v>Midazolam</v>
      </c>
      <c r="F8444" s="251" t="str">
        <f>IF(AND(A8444&lt;&gt;"",ISNUMBER(A8444)),VLOOKUP(A8444,Studies!A:BR,6,FALSE),"")</f>
        <v>Plasma</v>
      </c>
      <c r="G8444" s="194">
        <v>88</v>
      </c>
      <c r="H8444" s="50" t="s">
        <v>60</v>
      </c>
      <c r="I8444" s="187">
        <v>23.231190000000002</v>
      </c>
      <c r="J8444" s="41" t="s">
        <v>946</v>
      </c>
      <c r="K8444" s="41" t="s">
        <v>335</v>
      </c>
      <c r="L8444" s="195">
        <v>14.044750000000001</v>
      </c>
      <c r="M8444" s="52" t="s">
        <v>946</v>
      </c>
      <c r="N8444" s="52" t="s">
        <v>117</v>
      </c>
      <c r="O8444" s="199">
        <v>0.5</v>
      </c>
    </row>
    <row r="8445" spans="1:16" x14ac:dyDescent="0.2">
      <c r="A8445" s="30">
        <v>1097</v>
      </c>
      <c r="B8445" s="249" t="str">
        <f>IF(AND(A8445&lt;&gt;"",ISNUMBER(A8445)),VLOOKUP(A8445,Studies!A:BR,2,FALSE),"")</f>
        <v>Prueksaritanont 2017</v>
      </c>
      <c r="C8445" s="250" t="str">
        <f>IF(AND(A8445&lt;&gt;"",ISNUMBER(A8445)),VLOOKUP(A8445,Studies!A:BR,3,FALSE),"")</f>
        <v>https://www.ncbi.nlm.nih.gov/pubmed/27943276</v>
      </c>
      <c r="D8445" s="250" t="str">
        <f>IF(AND(A8445&lt;&gt;"",ISNUMBER(A8445)),VLOOKUP(A8445,Studies!A:BR,4,FALSE),"")</f>
        <v>Midazolam in microdosecocktail + Itraconazole</v>
      </c>
      <c r="E8445" s="250" t="str">
        <f>IF(AND(A8445&lt;&gt;"",ISNUMBER(A8445)),VLOOKUP(A8445,Studies!A:BR,5,FALSE),"")</f>
        <v>Midazolam</v>
      </c>
      <c r="F8445" s="251" t="str">
        <f>IF(AND(A8445&lt;&gt;"",ISNUMBER(A8445)),VLOOKUP(A8445,Studies!A:BR,6,FALSE),"")</f>
        <v>Plasma</v>
      </c>
      <c r="G8445" s="194">
        <v>96</v>
      </c>
      <c r="H8445" s="50" t="s">
        <v>60</v>
      </c>
      <c r="I8445" s="187">
        <v>17.420929999999998</v>
      </c>
      <c r="J8445" s="41" t="s">
        <v>946</v>
      </c>
      <c r="K8445" s="41" t="s">
        <v>335</v>
      </c>
      <c r="L8445" s="195">
        <v>12.3104</v>
      </c>
      <c r="M8445" s="52" t="s">
        <v>946</v>
      </c>
      <c r="N8445" s="52" t="s">
        <v>117</v>
      </c>
      <c r="O8445" s="199">
        <v>0.5</v>
      </c>
    </row>
    <row r="8446" spans="1:16" x14ac:dyDescent="0.2">
      <c r="A8446" s="30">
        <v>1097</v>
      </c>
      <c r="B8446" s="249" t="str">
        <f>IF(AND(A8446&lt;&gt;"",ISNUMBER(A8446)),VLOOKUP(A8446,Studies!A:BR,2,FALSE),"")</f>
        <v>Prueksaritanont 2017</v>
      </c>
      <c r="C8446" s="250" t="str">
        <f>IF(AND(A8446&lt;&gt;"",ISNUMBER(A8446)),VLOOKUP(A8446,Studies!A:BR,3,FALSE),"")</f>
        <v>https://www.ncbi.nlm.nih.gov/pubmed/27943276</v>
      </c>
      <c r="D8446" s="250" t="str">
        <f>IF(AND(A8446&lt;&gt;"",ISNUMBER(A8446)),VLOOKUP(A8446,Studies!A:BR,4,FALSE),"")</f>
        <v>Midazolam in microdosecocktail + Itraconazole</v>
      </c>
      <c r="E8446" s="250" t="str">
        <f>IF(AND(A8446&lt;&gt;"",ISNUMBER(A8446)),VLOOKUP(A8446,Studies!A:BR,5,FALSE),"")</f>
        <v>Midazolam</v>
      </c>
      <c r="F8446" s="251" t="str">
        <f>IF(AND(A8446&lt;&gt;"",ISNUMBER(A8446)),VLOOKUP(A8446,Studies!A:BR,6,FALSE),"")</f>
        <v>Plasma</v>
      </c>
      <c r="G8446" s="194">
        <v>104</v>
      </c>
      <c r="H8446" s="50" t="s">
        <v>60</v>
      </c>
      <c r="I8446" s="187">
        <v>15.71913</v>
      </c>
      <c r="J8446" s="41" t="s">
        <v>946</v>
      </c>
      <c r="K8446" s="41" t="s">
        <v>335</v>
      </c>
      <c r="L8446" s="195">
        <v>14.629759999999999</v>
      </c>
      <c r="M8446" s="52" t="s">
        <v>946</v>
      </c>
      <c r="N8446" s="52" t="s">
        <v>117</v>
      </c>
      <c r="O8446" s="199">
        <v>0.5</v>
      </c>
    </row>
    <row r="8447" spans="1:16" x14ac:dyDescent="0.2">
      <c r="A8447" s="30">
        <v>1097</v>
      </c>
      <c r="B8447" s="249" t="str">
        <f>IF(AND(A8447&lt;&gt;"",ISNUMBER(A8447)),VLOOKUP(A8447,Studies!A:BR,2,FALSE),"")</f>
        <v>Prueksaritanont 2017</v>
      </c>
      <c r="C8447" s="250" t="str">
        <f>IF(AND(A8447&lt;&gt;"",ISNUMBER(A8447)),VLOOKUP(A8447,Studies!A:BR,3,FALSE),"")</f>
        <v>https://www.ncbi.nlm.nih.gov/pubmed/27943276</v>
      </c>
      <c r="D8447" s="250" t="str">
        <f>IF(AND(A8447&lt;&gt;"",ISNUMBER(A8447)),VLOOKUP(A8447,Studies!A:BR,4,FALSE),"")</f>
        <v>Midazolam in microdosecocktail + Itraconazole</v>
      </c>
      <c r="E8447" s="250" t="str">
        <f>IF(AND(A8447&lt;&gt;"",ISNUMBER(A8447)),VLOOKUP(A8447,Studies!A:BR,5,FALSE),"")</f>
        <v>Midazolam</v>
      </c>
      <c r="F8447" s="251" t="str">
        <f>IF(AND(A8447&lt;&gt;"",ISNUMBER(A8447)),VLOOKUP(A8447,Studies!A:BR,6,FALSE),"")</f>
        <v>Plasma</v>
      </c>
      <c r="G8447" s="194">
        <v>120</v>
      </c>
      <c r="H8447" s="50" t="s">
        <v>60</v>
      </c>
      <c r="I8447" s="187">
        <v>5.1794750000000001</v>
      </c>
      <c r="J8447" s="41" t="s">
        <v>946</v>
      </c>
      <c r="K8447" s="41" t="s">
        <v>335</v>
      </c>
      <c r="L8447" s="195">
        <v>4.4176880000000001</v>
      </c>
      <c r="M8447" s="52" t="s">
        <v>946</v>
      </c>
      <c r="N8447" s="52" t="s">
        <v>117</v>
      </c>
      <c r="O8447" s="199">
        <v>0.5</v>
      </c>
    </row>
    <row r="8448" spans="1:16" x14ac:dyDescent="0.2">
      <c r="A8448" s="30">
        <v>1097</v>
      </c>
      <c r="B8448" s="249" t="str">
        <f>IF(AND(A8448&lt;&gt;"",ISNUMBER(A8448)),VLOOKUP(A8448,Studies!A:BR,2,FALSE),"")</f>
        <v>Prueksaritanont 2017</v>
      </c>
      <c r="C8448" s="250" t="str">
        <f>IF(AND(A8448&lt;&gt;"",ISNUMBER(A8448)),VLOOKUP(A8448,Studies!A:BR,3,FALSE),"")</f>
        <v>https://www.ncbi.nlm.nih.gov/pubmed/27943276</v>
      </c>
      <c r="D8448" s="250" t="str">
        <f>IF(AND(A8448&lt;&gt;"",ISNUMBER(A8448)),VLOOKUP(A8448,Studies!A:BR,4,FALSE),"")</f>
        <v>Midazolam in microdosecocktail + Itraconazole</v>
      </c>
      <c r="E8448" s="250" t="str">
        <f>IF(AND(A8448&lt;&gt;"",ISNUMBER(A8448)),VLOOKUP(A8448,Studies!A:BR,5,FALSE),"")</f>
        <v>Midazolam</v>
      </c>
      <c r="F8448" s="251" t="str">
        <f>IF(AND(A8448&lt;&gt;"",ISNUMBER(A8448)),VLOOKUP(A8448,Studies!A:BR,6,FALSE),"")</f>
        <v>Plasma</v>
      </c>
      <c r="G8448" s="194">
        <v>144</v>
      </c>
      <c r="H8448" s="50" t="s">
        <v>60</v>
      </c>
      <c r="I8448" s="187">
        <v>1.8152170000000001</v>
      </c>
      <c r="J8448" s="41" t="s">
        <v>946</v>
      </c>
      <c r="K8448" s="41" t="s">
        <v>335</v>
      </c>
      <c r="L8448" s="195">
        <v>1.912377</v>
      </c>
      <c r="M8448" s="52" t="s">
        <v>946</v>
      </c>
      <c r="N8448" s="52" t="s">
        <v>117</v>
      </c>
      <c r="O8448" s="199">
        <v>0.5</v>
      </c>
    </row>
    <row r="8449" spans="1:16" x14ac:dyDescent="0.2">
      <c r="A8449" s="30">
        <v>1098</v>
      </c>
      <c r="B8449" s="249" t="str">
        <f>IF(AND(A8449&lt;&gt;"",ISNUMBER(A8449)),VLOOKUP(A8449,Studies!A:BR,2,FALSE),"")</f>
        <v>Prueksaritanont 2017</v>
      </c>
      <c r="C8449" s="250" t="str">
        <f>IF(AND(A8449&lt;&gt;"",ISNUMBER(A8449)),VLOOKUP(A8449,Studies!A:BR,3,FALSE),"")</f>
        <v>https://www.ncbi.nlm.nih.gov/pubmed/27943276</v>
      </c>
      <c r="D8449" s="250" t="str">
        <f>IF(AND(A8449&lt;&gt;"",ISNUMBER(A8449)),VLOOKUP(A8449,Studies!A:BR,4,FALSE),"")</f>
        <v>Midazolam in microdosecocktail + Rifampin</v>
      </c>
      <c r="E8449" s="250" t="str">
        <f>IF(AND(A8449&lt;&gt;"",ISNUMBER(A8449)),VLOOKUP(A8449,Studies!A:BR,5,FALSE),"")</f>
        <v>Midazolam</v>
      </c>
      <c r="F8449" s="251" t="str">
        <f>IF(AND(A8449&lt;&gt;"",ISNUMBER(A8449)),VLOOKUP(A8449,Studies!A:BR,6,FALSE),"")</f>
        <v>Plasma</v>
      </c>
      <c r="G8449" s="194">
        <v>0</v>
      </c>
      <c r="H8449" s="50" t="s">
        <v>60</v>
      </c>
      <c r="I8449" s="187">
        <v>17.06644</v>
      </c>
      <c r="J8449" s="41" t="s">
        <v>946</v>
      </c>
      <c r="K8449" s="41" t="s">
        <v>335</v>
      </c>
      <c r="L8449" s="195">
        <v>10.016030000000001</v>
      </c>
      <c r="M8449" s="52" t="s">
        <v>946</v>
      </c>
      <c r="N8449" s="52" t="s">
        <v>117</v>
      </c>
      <c r="O8449" s="199">
        <v>0.5</v>
      </c>
      <c r="P8449" s="42" t="s">
        <v>2635</v>
      </c>
    </row>
    <row r="8450" spans="1:16" x14ac:dyDescent="0.2">
      <c r="A8450" s="30">
        <v>1098</v>
      </c>
      <c r="B8450" s="249" t="str">
        <f>IF(AND(A8450&lt;&gt;"",ISNUMBER(A8450)),VLOOKUP(A8450,Studies!A:BR,2,FALSE),"")</f>
        <v>Prueksaritanont 2017</v>
      </c>
      <c r="C8450" s="250" t="str">
        <f>IF(AND(A8450&lt;&gt;"",ISNUMBER(A8450)),VLOOKUP(A8450,Studies!A:BR,3,FALSE),"")</f>
        <v>https://www.ncbi.nlm.nih.gov/pubmed/27943276</v>
      </c>
      <c r="D8450" s="250" t="str">
        <f>IF(AND(A8450&lt;&gt;"",ISNUMBER(A8450)),VLOOKUP(A8450,Studies!A:BR,4,FALSE),"")</f>
        <v>Midazolam in microdosecocktail + Rifampin</v>
      </c>
      <c r="E8450" s="250" t="str">
        <f>IF(AND(A8450&lt;&gt;"",ISNUMBER(A8450)),VLOOKUP(A8450,Studies!A:BR,5,FALSE),"")</f>
        <v>Midazolam</v>
      </c>
      <c r="F8450" s="251" t="str">
        <f>IF(AND(A8450&lt;&gt;"",ISNUMBER(A8450)),VLOOKUP(A8450,Studies!A:BR,6,FALSE),"")</f>
        <v>Plasma</v>
      </c>
      <c r="G8450" s="194">
        <v>0.5</v>
      </c>
      <c r="H8450" s="50" t="s">
        <v>60</v>
      </c>
      <c r="I8450" s="187">
        <v>48.696750000000002</v>
      </c>
      <c r="J8450" s="41" t="s">
        <v>946</v>
      </c>
      <c r="K8450" s="41" t="s">
        <v>335</v>
      </c>
      <c r="L8450" s="195">
        <v>18.965420000000002</v>
      </c>
      <c r="M8450" s="52" t="s">
        <v>946</v>
      </c>
      <c r="N8450" s="52" t="s">
        <v>117</v>
      </c>
      <c r="O8450" s="199">
        <v>0.5</v>
      </c>
    </row>
    <row r="8451" spans="1:16" x14ac:dyDescent="0.2">
      <c r="A8451" s="30">
        <v>1098</v>
      </c>
      <c r="B8451" s="249" t="str">
        <f>IF(AND(A8451&lt;&gt;"",ISNUMBER(A8451)),VLOOKUP(A8451,Studies!A:BR,2,FALSE),"")</f>
        <v>Prueksaritanont 2017</v>
      </c>
      <c r="C8451" s="250" t="str">
        <f>IF(AND(A8451&lt;&gt;"",ISNUMBER(A8451)),VLOOKUP(A8451,Studies!A:BR,3,FALSE),"")</f>
        <v>https://www.ncbi.nlm.nih.gov/pubmed/27943276</v>
      </c>
      <c r="D8451" s="250" t="str">
        <f>IF(AND(A8451&lt;&gt;"",ISNUMBER(A8451)),VLOOKUP(A8451,Studies!A:BR,4,FALSE),"")</f>
        <v>Midazolam in microdosecocktail + Rifampin</v>
      </c>
      <c r="E8451" s="250" t="str">
        <f>IF(AND(A8451&lt;&gt;"",ISNUMBER(A8451)),VLOOKUP(A8451,Studies!A:BR,5,FALSE),"")</f>
        <v>Midazolam</v>
      </c>
      <c r="F8451" s="251" t="str">
        <f>IF(AND(A8451&lt;&gt;"",ISNUMBER(A8451)),VLOOKUP(A8451,Studies!A:BR,6,FALSE),"")</f>
        <v>Plasma</v>
      </c>
      <c r="G8451" s="194">
        <v>1</v>
      </c>
      <c r="H8451" s="50" t="s">
        <v>60</v>
      </c>
      <c r="I8451" s="187">
        <v>63.61674</v>
      </c>
      <c r="J8451" s="41" t="s">
        <v>946</v>
      </c>
      <c r="K8451" s="41" t="s">
        <v>335</v>
      </c>
      <c r="O8451" s="199">
        <v>0.5</v>
      </c>
      <c r="P8451" s="42" t="s">
        <v>2633</v>
      </c>
    </row>
    <row r="8452" spans="1:16" x14ac:dyDescent="0.2">
      <c r="A8452" s="30">
        <v>1098</v>
      </c>
      <c r="B8452" s="249" t="str">
        <f>IF(AND(A8452&lt;&gt;"",ISNUMBER(A8452)),VLOOKUP(A8452,Studies!A:BR,2,FALSE),"")</f>
        <v>Prueksaritanont 2017</v>
      </c>
      <c r="C8452" s="250" t="str">
        <f>IF(AND(A8452&lt;&gt;"",ISNUMBER(A8452)),VLOOKUP(A8452,Studies!A:BR,3,FALSE),"")</f>
        <v>https://www.ncbi.nlm.nih.gov/pubmed/27943276</v>
      </c>
      <c r="D8452" s="250" t="str">
        <f>IF(AND(A8452&lt;&gt;"",ISNUMBER(A8452)),VLOOKUP(A8452,Studies!A:BR,4,FALSE),"")</f>
        <v>Midazolam in microdosecocktail + Rifampin</v>
      </c>
      <c r="E8452" s="250" t="str">
        <f>IF(AND(A8452&lt;&gt;"",ISNUMBER(A8452)),VLOOKUP(A8452,Studies!A:BR,5,FALSE),"")</f>
        <v>Midazolam</v>
      </c>
      <c r="F8452" s="251" t="str">
        <f>IF(AND(A8452&lt;&gt;"",ISNUMBER(A8452)),VLOOKUP(A8452,Studies!A:BR,6,FALSE),"")</f>
        <v>Plasma</v>
      </c>
      <c r="G8452" s="194">
        <v>1.5</v>
      </c>
      <c r="H8452" s="50" t="s">
        <v>60</v>
      </c>
      <c r="I8452" s="187">
        <v>46.73507</v>
      </c>
      <c r="J8452" s="41" t="s">
        <v>946</v>
      </c>
      <c r="K8452" s="41" t="s">
        <v>335</v>
      </c>
      <c r="O8452" s="199">
        <v>0.5</v>
      </c>
      <c r="P8452" s="42" t="s">
        <v>2633</v>
      </c>
    </row>
    <row r="8453" spans="1:16" x14ac:dyDescent="0.2">
      <c r="A8453" s="30">
        <v>1098</v>
      </c>
      <c r="B8453" s="249" t="str">
        <f>IF(AND(A8453&lt;&gt;"",ISNUMBER(A8453)),VLOOKUP(A8453,Studies!A:BR,2,FALSE),"")</f>
        <v>Prueksaritanont 2017</v>
      </c>
      <c r="C8453" s="250" t="str">
        <f>IF(AND(A8453&lt;&gt;"",ISNUMBER(A8453)),VLOOKUP(A8453,Studies!A:BR,3,FALSE),"")</f>
        <v>https://www.ncbi.nlm.nih.gov/pubmed/27943276</v>
      </c>
      <c r="D8453" s="250" t="str">
        <f>IF(AND(A8453&lt;&gt;"",ISNUMBER(A8453)),VLOOKUP(A8453,Studies!A:BR,4,FALSE),"")</f>
        <v>Midazolam in microdosecocktail + Rifampin</v>
      </c>
      <c r="E8453" s="250" t="str">
        <f>IF(AND(A8453&lt;&gt;"",ISNUMBER(A8453)),VLOOKUP(A8453,Studies!A:BR,5,FALSE),"")</f>
        <v>Midazolam</v>
      </c>
      <c r="F8453" s="251" t="str">
        <f>IF(AND(A8453&lt;&gt;"",ISNUMBER(A8453)),VLOOKUP(A8453,Studies!A:BR,6,FALSE),"")</f>
        <v>Plasma</v>
      </c>
      <c r="G8453" s="194">
        <v>2</v>
      </c>
      <c r="H8453" s="50" t="s">
        <v>60</v>
      </c>
      <c r="I8453" s="187">
        <v>35.774320000000003</v>
      </c>
      <c r="J8453" s="41" t="s">
        <v>946</v>
      </c>
      <c r="K8453" s="41" t="s">
        <v>335</v>
      </c>
      <c r="O8453" s="199">
        <v>0.5</v>
      </c>
      <c r="P8453" s="42" t="s">
        <v>2633</v>
      </c>
    </row>
    <row r="8454" spans="1:16" x14ac:dyDescent="0.2">
      <c r="A8454" s="30">
        <v>1098</v>
      </c>
      <c r="B8454" s="249" t="str">
        <f>IF(AND(A8454&lt;&gt;"",ISNUMBER(A8454)),VLOOKUP(A8454,Studies!A:BR,2,FALSE),"")</f>
        <v>Prueksaritanont 2017</v>
      </c>
      <c r="C8454" s="250" t="str">
        <f>IF(AND(A8454&lt;&gt;"",ISNUMBER(A8454)),VLOOKUP(A8454,Studies!A:BR,3,FALSE),"")</f>
        <v>https://www.ncbi.nlm.nih.gov/pubmed/27943276</v>
      </c>
      <c r="D8454" s="250" t="str">
        <f>IF(AND(A8454&lt;&gt;"",ISNUMBER(A8454)),VLOOKUP(A8454,Studies!A:BR,4,FALSE),"")</f>
        <v>Midazolam in microdosecocktail + Rifampin</v>
      </c>
      <c r="E8454" s="250" t="str">
        <f>IF(AND(A8454&lt;&gt;"",ISNUMBER(A8454)),VLOOKUP(A8454,Studies!A:BR,5,FALSE),"")</f>
        <v>Midazolam</v>
      </c>
      <c r="F8454" s="251" t="str">
        <f>IF(AND(A8454&lt;&gt;"",ISNUMBER(A8454)),VLOOKUP(A8454,Studies!A:BR,6,FALSE),"")</f>
        <v>Plasma</v>
      </c>
      <c r="G8454" s="194">
        <v>3</v>
      </c>
      <c r="H8454" s="50" t="s">
        <v>60</v>
      </c>
      <c r="I8454" s="187">
        <v>21.397210000000001</v>
      </c>
      <c r="J8454" s="41" t="s">
        <v>946</v>
      </c>
      <c r="K8454" s="41" t="s">
        <v>335</v>
      </c>
      <c r="L8454" s="195">
        <v>10.314579999999999</v>
      </c>
      <c r="M8454" s="52" t="s">
        <v>946</v>
      </c>
      <c r="N8454" s="52" t="s">
        <v>117</v>
      </c>
      <c r="O8454" s="199">
        <v>0.5</v>
      </c>
    </row>
    <row r="8455" spans="1:16" x14ac:dyDescent="0.2">
      <c r="A8455" s="30">
        <v>1098</v>
      </c>
      <c r="B8455" s="249" t="str">
        <f>IF(AND(A8455&lt;&gt;"",ISNUMBER(A8455)),VLOOKUP(A8455,Studies!A:BR,2,FALSE),"")</f>
        <v>Prueksaritanont 2017</v>
      </c>
      <c r="C8455" s="250" t="str">
        <f>IF(AND(A8455&lt;&gt;"",ISNUMBER(A8455)),VLOOKUP(A8455,Studies!A:BR,3,FALSE),"")</f>
        <v>https://www.ncbi.nlm.nih.gov/pubmed/27943276</v>
      </c>
      <c r="D8455" s="250" t="str">
        <f>IF(AND(A8455&lt;&gt;"",ISNUMBER(A8455)),VLOOKUP(A8455,Studies!A:BR,4,FALSE),"")</f>
        <v>Midazolam in microdosecocktail + Rifampin</v>
      </c>
      <c r="E8455" s="250" t="str">
        <f>IF(AND(A8455&lt;&gt;"",ISNUMBER(A8455)),VLOOKUP(A8455,Studies!A:BR,5,FALSE),"")</f>
        <v>Midazolam</v>
      </c>
      <c r="F8455" s="251" t="str">
        <f>IF(AND(A8455&lt;&gt;"",ISNUMBER(A8455)),VLOOKUP(A8455,Studies!A:BR,6,FALSE),"")</f>
        <v>Plasma</v>
      </c>
      <c r="G8455" s="194">
        <v>4</v>
      </c>
      <c r="H8455" s="50" t="s">
        <v>60</v>
      </c>
      <c r="I8455" s="187">
        <v>14.183579999999999</v>
      </c>
      <c r="J8455" s="41" t="s">
        <v>946</v>
      </c>
      <c r="K8455" s="41" t="s">
        <v>335</v>
      </c>
      <c r="L8455" s="195">
        <v>3.5474000000000001</v>
      </c>
      <c r="M8455" s="52" t="s">
        <v>946</v>
      </c>
      <c r="N8455" s="52" t="s">
        <v>117</v>
      </c>
      <c r="O8455" s="199">
        <v>0.5</v>
      </c>
    </row>
    <row r="8456" spans="1:16" x14ac:dyDescent="0.2">
      <c r="A8456" s="30">
        <v>1098</v>
      </c>
      <c r="B8456" s="249" t="str">
        <f>IF(AND(A8456&lt;&gt;"",ISNUMBER(A8456)),VLOOKUP(A8456,Studies!A:BR,2,FALSE),"")</f>
        <v>Prueksaritanont 2017</v>
      </c>
      <c r="C8456" s="250" t="str">
        <f>IF(AND(A8456&lt;&gt;"",ISNUMBER(A8456)),VLOOKUP(A8456,Studies!A:BR,3,FALSE),"")</f>
        <v>https://www.ncbi.nlm.nih.gov/pubmed/27943276</v>
      </c>
      <c r="D8456" s="250" t="str">
        <f>IF(AND(A8456&lt;&gt;"",ISNUMBER(A8456)),VLOOKUP(A8456,Studies!A:BR,4,FALSE),"")</f>
        <v>Midazolam in microdosecocktail + Rifampin</v>
      </c>
      <c r="E8456" s="250" t="str">
        <f>IF(AND(A8456&lt;&gt;"",ISNUMBER(A8456)),VLOOKUP(A8456,Studies!A:BR,5,FALSE),"")</f>
        <v>Midazolam</v>
      </c>
      <c r="F8456" s="251" t="str">
        <f>IF(AND(A8456&lt;&gt;"",ISNUMBER(A8456)),VLOOKUP(A8456,Studies!A:BR,6,FALSE),"")</f>
        <v>Plasma</v>
      </c>
      <c r="G8456" s="194">
        <v>6</v>
      </c>
      <c r="H8456" s="50" t="s">
        <v>60</v>
      </c>
      <c r="I8456" s="187">
        <v>7.9760099999999996</v>
      </c>
      <c r="J8456" s="41" t="s">
        <v>946</v>
      </c>
      <c r="K8456" s="41" t="s">
        <v>335</v>
      </c>
      <c r="L8456" s="195">
        <v>3.811677</v>
      </c>
      <c r="M8456" s="52" t="s">
        <v>946</v>
      </c>
      <c r="N8456" s="52" t="s">
        <v>117</v>
      </c>
      <c r="O8456" s="199">
        <v>0.5</v>
      </c>
    </row>
    <row r="8457" spans="1:16" x14ac:dyDescent="0.2">
      <c r="A8457" s="30">
        <v>1098</v>
      </c>
      <c r="B8457" s="249" t="str">
        <f>IF(AND(A8457&lt;&gt;"",ISNUMBER(A8457)),VLOOKUP(A8457,Studies!A:BR,2,FALSE),"")</f>
        <v>Prueksaritanont 2017</v>
      </c>
      <c r="C8457" s="250" t="str">
        <f>IF(AND(A8457&lt;&gt;"",ISNUMBER(A8457)),VLOOKUP(A8457,Studies!A:BR,3,FALSE),"")</f>
        <v>https://www.ncbi.nlm.nih.gov/pubmed/27943276</v>
      </c>
      <c r="D8457" s="250" t="str">
        <f>IF(AND(A8457&lt;&gt;"",ISNUMBER(A8457)),VLOOKUP(A8457,Studies!A:BR,4,FALSE),"")</f>
        <v>Midazolam in microdosecocktail + Rifampin</v>
      </c>
      <c r="E8457" s="250" t="str">
        <f>IF(AND(A8457&lt;&gt;"",ISNUMBER(A8457)),VLOOKUP(A8457,Studies!A:BR,5,FALSE),"")</f>
        <v>Midazolam</v>
      </c>
      <c r="F8457" s="251" t="str">
        <f>IF(AND(A8457&lt;&gt;"",ISNUMBER(A8457)),VLOOKUP(A8457,Studies!A:BR,6,FALSE),"")</f>
        <v>Plasma</v>
      </c>
      <c r="G8457" s="194">
        <v>8</v>
      </c>
      <c r="H8457" s="50" t="s">
        <v>60</v>
      </c>
      <c r="I8457" s="187">
        <v>5.2870609999999996</v>
      </c>
      <c r="J8457" s="41" t="s">
        <v>946</v>
      </c>
      <c r="K8457" s="41" t="s">
        <v>335</v>
      </c>
      <c r="L8457" s="195">
        <v>3.372582</v>
      </c>
      <c r="M8457" s="52" t="s">
        <v>946</v>
      </c>
      <c r="N8457" s="52" t="s">
        <v>117</v>
      </c>
      <c r="O8457" s="199">
        <v>0.5</v>
      </c>
    </row>
    <row r="8458" spans="1:16" x14ac:dyDescent="0.2">
      <c r="A8458" s="30">
        <v>1098</v>
      </c>
      <c r="B8458" s="249" t="str">
        <f>IF(AND(A8458&lt;&gt;"",ISNUMBER(A8458)),VLOOKUP(A8458,Studies!A:BR,2,FALSE),"")</f>
        <v>Prueksaritanont 2017</v>
      </c>
      <c r="C8458" s="250" t="str">
        <f>IF(AND(A8458&lt;&gt;"",ISNUMBER(A8458)),VLOOKUP(A8458,Studies!A:BR,3,FALSE),"")</f>
        <v>https://www.ncbi.nlm.nih.gov/pubmed/27943276</v>
      </c>
      <c r="D8458" s="250" t="str">
        <f>IF(AND(A8458&lt;&gt;"",ISNUMBER(A8458)),VLOOKUP(A8458,Studies!A:BR,4,FALSE),"")</f>
        <v>Midazolam in microdosecocktail + Rifampin</v>
      </c>
      <c r="E8458" s="250" t="str">
        <f>IF(AND(A8458&lt;&gt;"",ISNUMBER(A8458)),VLOOKUP(A8458,Studies!A:BR,5,FALSE),"")</f>
        <v>Midazolam</v>
      </c>
      <c r="F8458" s="251" t="str">
        <f>IF(AND(A8458&lt;&gt;"",ISNUMBER(A8458)),VLOOKUP(A8458,Studies!A:BR,6,FALSE),"")</f>
        <v>Plasma</v>
      </c>
      <c r="G8458" s="194">
        <v>12</v>
      </c>
      <c r="H8458" s="50" t="s">
        <v>60</v>
      </c>
      <c r="I8458" s="187">
        <v>2.3231190000000002</v>
      </c>
      <c r="J8458" s="41" t="s">
        <v>946</v>
      </c>
      <c r="K8458" s="41" t="s">
        <v>335</v>
      </c>
      <c r="L8458" s="195">
        <v>1.6034330000000001</v>
      </c>
      <c r="M8458" s="52" t="s">
        <v>946</v>
      </c>
      <c r="N8458" s="52" t="s">
        <v>117</v>
      </c>
      <c r="O8458" s="199">
        <v>0.5</v>
      </c>
    </row>
    <row r="8459" spans="1:16" x14ac:dyDescent="0.2">
      <c r="A8459" s="30">
        <v>1098</v>
      </c>
      <c r="B8459" s="249" t="str">
        <f>IF(AND(A8459&lt;&gt;"",ISNUMBER(A8459)),VLOOKUP(A8459,Studies!A:BR,2,FALSE),"")</f>
        <v>Prueksaritanont 2017</v>
      </c>
      <c r="C8459" s="250" t="str">
        <f>IF(AND(A8459&lt;&gt;"",ISNUMBER(A8459)),VLOOKUP(A8459,Studies!A:BR,3,FALSE),"")</f>
        <v>https://www.ncbi.nlm.nih.gov/pubmed/27943276</v>
      </c>
      <c r="D8459" s="250" t="str">
        <f>IF(AND(A8459&lt;&gt;"",ISNUMBER(A8459)),VLOOKUP(A8459,Studies!A:BR,4,FALSE),"")</f>
        <v>Midazolam in microdosecocktail + Rifampin</v>
      </c>
      <c r="E8459" s="250" t="str">
        <f>IF(AND(A8459&lt;&gt;"",ISNUMBER(A8459)),VLOOKUP(A8459,Studies!A:BR,5,FALSE),"")</f>
        <v>Midazolam</v>
      </c>
      <c r="F8459" s="251" t="str">
        <f>IF(AND(A8459&lt;&gt;"",ISNUMBER(A8459)),VLOOKUP(A8459,Studies!A:BR,6,FALSE),"")</f>
        <v>Plasma</v>
      </c>
      <c r="G8459" s="194">
        <v>16</v>
      </c>
      <c r="H8459" s="50" t="s">
        <v>60</v>
      </c>
      <c r="I8459" s="187">
        <v>0.9796511</v>
      </c>
      <c r="J8459" s="41" t="s">
        <v>946</v>
      </c>
      <c r="K8459" s="41" t="s">
        <v>335</v>
      </c>
      <c r="L8459" s="195">
        <v>0.95868929999999997</v>
      </c>
      <c r="M8459" s="52" t="s">
        <v>946</v>
      </c>
      <c r="N8459" s="52" t="s">
        <v>117</v>
      </c>
      <c r="O8459" s="199">
        <v>0.5</v>
      </c>
    </row>
    <row r="8460" spans="1:16" x14ac:dyDescent="0.2">
      <c r="A8460" s="30">
        <v>1099</v>
      </c>
      <c r="B8460" s="249" t="str">
        <f>IF(AND(A8460&lt;&gt;"",ISNUMBER(A8460)),VLOOKUP(A8460,Studies!A:BR,2,FALSE),"")</f>
        <v>Prueksaritanont 2017</v>
      </c>
      <c r="C8460" s="250" t="str">
        <f>IF(AND(A8460&lt;&gt;"",ISNUMBER(A8460)),VLOOKUP(A8460,Studies!A:BR,3,FALSE),"")</f>
        <v>https://www.ncbi.nlm.nih.gov/pubmed/27943276</v>
      </c>
      <c r="D8460" s="250" t="str">
        <f>IF(AND(A8460&lt;&gt;"",ISNUMBER(A8460)),VLOOKUP(A8460,Studies!A:BR,4,FALSE),"")</f>
        <v>Midazolam in microdosecocktail + Clarithromycin</v>
      </c>
      <c r="E8460" s="250" t="str">
        <f>IF(AND(A8460&lt;&gt;"",ISNUMBER(A8460)),VLOOKUP(A8460,Studies!A:BR,5,FALSE),"")</f>
        <v>Midazolam</v>
      </c>
      <c r="F8460" s="251" t="str">
        <f>IF(AND(A8460&lt;&gt;"",ISNUMBER(A8460)),VLOOKUP(A8460,Studies!A:BR,6,FALSE),"")</f>
        <v>Plasma</v>
      </c>
      <c r="G8460" s="194">
        <v>72</v>
      </c>
      <c r="H8460" s="50" t="s">
        <v>60</v>
      </c>
      <c r="I8460" s="187">
        <v>0.21841659999999999</v>
      </c>
      <c r="J8460" s="41" t="s">
        <v>946</v>
      </c>
      <c r="K8460" s="41" t="s">
        <v>335</v>
      </c>
      <c r="L8460" s="195">
        <v>0.66553519999999999</v>
      </c>
      <c r="M8460" s="52" t="s">
        <v>946</v>
      </c>
      <c r="N8460" s="52" t="s">
        <v>117</v>
      </c>
      <c r="O8460" s="199">
        <v>0.5</v>
      </c>
      <c r="P8460" s="42" t="s">
        <v>2636</v>
      </c>
    </row>
    <row r="8461" spans="1:16" x14ac:dyDescent="0.2">
      <c r="A8461" s="30">
        <v>1099</v>
      </c>
      <c r="B8461" s="249" t="str">
        <f>IF(AND(A8461&lt;&gt;"",ISNUMBER(A8461)),VLOOKUP(A8461,Studies!A:BR,2,FALSE),"")</f>
        <v>Prueksaritanont 2017</v>
      </c>
      <c r="C8461" s="250" t="str">
        <f>IF(AND(A8461&lt;&gt;"",ISNUMBER(A8461)),VLOOKUP(A8461,Studies!A:BR,3,FALSE),"")</f>
        <v>https://www.ncbi.nlm.nih.gov/pubmed/27943276</v>
      </c>
      <c r="D8461" s="250" t="str">
        <f>IF(AND(A8461&lt;&gt;"",ISNUMBER(A8461)),VLOOKUP(A8461,Studies!A:BR,4,FALSE),"")</f>
        <v>Midazolam in microdosecocktail + Clarithromycin</v>
      </c>
      <c r="E8461" s="250" t="str">
        <f>IF(AND(A8461&lt;&gt;"",ISNUMBER(A8461)),VLOOKUP(A8461,Studies!A:BR,5,FALSE),"")</f>
        <v>Midazolam</v>
      </c>
      <c r="F8461" s="251" t="str">
        <f>IF(AND(A8461&lt;&gt;"",ISNUMBER(A8461)),VLOOKUP(A8461,Studies!A:BR,6,FALSE),"")</f>
        <v>Plasma</v>
      </c>
      <c r="G8461" s="194">
        <v>72.25</v>
      </c>
      <c r="H8461" s="50" t="s">
        <v>60</v>
      </c>
      <c r="I8461" s="187">
        <v>16.719149999999999</v>
      </c>
      <c r="J8461" s="41" t="s">
        <v>946</v>
      </c>
      <c r="K8461" s="41" t="s">
        <v>335</v>
      </c>
      <c r="L8461" s="195">
        <v>7.1219869999999998</v>
      </c>
      <c r="M8461" s="52" t="s">
        <v>946</v>
      </c>
      <c r="N8461" s="52" t="s">
        <v>117</v>
      </c>
      <c r="O8461" s="199">
        <v>0.5</v>
      </c>
    </row>
    <row r="8462" spans="1:16" x14ac:dyDescent="0.2">
      <c r="A8462" s="30">
        <v>1099</v>
      </c>
      <c r="B8462" s="249" t="str">
        <f>IF(AND(A8462&lt;&gt;"",ISNUMBER(A8462)),VLOOKUP(A8462,Studies!A:BR,2,FALSE),"")</f>
        <v>Prueksaritanont 2017</v>
      </c>
      <c r="C8462" s="250" t="str">
        <f>IF(AND(A8462&lt;&gt;"",ISNUMBER(A8462)),VLOOKUP(A8462,Studies!A:BR,3,FALSE),"")</f>
        <v>https://www.ncbi.nlm.nih.gov/pubmed/27943276</v>
      </c>
      <c r="D8462" s="250" t="str">
        <f>IF(AND(A8462&lt;&gt;"",ISNUMBER(A8462)),VLOOKUP(A8462,Studies!A:BR,4,FALSE),"")</f>
        <v>Midazolam in microdosecocktail + Clarithromycin</v>
      </c>
      <c r="E8462" s="250" t="str">
        <f>IF(AND(A8462&lt;&gt;"",ISNUMBER(A8462)),VLOOKUP(A8462,Studies!A:BR,5,FALSE),"")</f>
        <v>Midazolam</v>
      </c>
      <c r="F8462" s="251" t="str">
        <f>IF(AND(A8462&lt;&gt;"",ISNUMBER(A8462)),VLOOKUP(A8462,Studies!A:BR,6,FALSE),"")</f>
        <v>Plasma</v>
      </c>
      <c r="G8462" s="194">
        <v>72.5</v>
      </c>
      <c r="H8462" s="50" t="s">
        <v>60</v>
      </c>
      <c r="I8462" s="187">
        <v>64.938159999999996</v>
      </c>
      <c r="J8462" s="41" t="s">
        <v>946</v>
      </c>
      <c r="K8462" s="41" t="s">
        <v>335</v>
      </c>
      <c r="O8462" s="199">
        <v>0.5</v>
      </c>
      <c r="P8462" s="42" t="s">
        <v>2633</v>
      </c>
    </row>
    <row r="8463" spans="1:16" x14ac:dyDescent="0.2">
      <c r="A8463" s="30">
        <v>1099</v>
      </c>
      <c r="B8463" s="249" t="str">
        <f>IF(AND(A8463&lt;&gt;"",ISNUMBER(A8463)),VLOOKUP(A8463,Studies!A:BR,2,FALSE),"")</f>
        <v>Prueksaritanont 2017</v>
      </c>
      <c r="C8463" s="250" t="str">
        <f>IF(AND(A8463&lt;&gt;"",ISNUMBER(A8463)),VLOOKUP(A8463,Studies!A:BR,3,FALSE),"")</f>
        <v>https://www.ncbi.nlm.nih.gov/pubmed/27943276</v>
      </c>
      <c r="D8463" s="250" t="str">
        <f>IF(AND(A8463&lt;&gt;"",ISNUMBER(A8463)),VLOOKUP(A8463,Studies!A:BR,4,FALSE),"")</f>
        <v>Midazolam in microdosecocktail + Clarithromycin</v>
      </c>
      <c r="E8463" s="250" t="str">
        <f>IF(AND(A8463&lt;&gt;"",ISNUMBER(A8463)),VLOOKUP(A8463,Studies!A:BR,5,FALSE),"")</f>
        <v>Midazolam</v>
      </c>
      <c r="F8463" s="251" t="str">
        <f>IF(AND(A8463&lt;&gt;"",ISNUMBER(A8463)),VLOOKUP(A8463,Studies!A:BR,6,FALSE),"")</f>
        <v>Plasma</v>
      </c>
      <c r="G8463" s="194">
        <v>73</v>
      </c>
      <c r="H8463" s="50" t="s">
        <v>60</v>
      </c>
      <c r="I8463" s="187">
        <v>125.376</v>
      </c>
      <c r="J8463" s="41" t="s">
        <v>946</v>
      </c>
      <c r="K8463" s="41" t="s">
        <v>335</v>
      </c>
      <c r="O8463" s="199">
        <v>0.5</v>
      </c>
      <c r="P8463" s="42" t="s">
        <v>2633</v>
      </c>
    </row>
    <row r="8464" spans="1:16" x14ac:dyDescent="0.2">
      <c r="A8464" s="30">
        <v>1099</v>
      </c>
      <c r="B8464" s="249" t="str">
        <f>IF(AND(A8464&lt;&gt;"",ISNUMBER(A8464)),VLOOKUP(A8464,Studies!A:BR,2,FALSE),"")</f>
        <v>Prueksaritanont 2017</v>
      </c>
      <c r="C8464" s="250" t="str">
        <f>IF(AND(A8464&lt;&gt;"",ISNUMBER(A8464)),VLOOKUP(A8464,Studies!A:BR,3,FALSE),"")</f>
        <v>https://www.ncbi.nlm.nih.gov/pubmed/27943276</v>
      </c>
      <c r="D8464" s="250" t="str">
        <f>IF(AND(A8464&lt;&gt;"",ISNUMBER(A8464)),VLOOKUP(A8464,Studies!A:BR,4,FALSE),"")</f>
        <v>Midazolam in microdosecocktail + Clarithromycin</v>
      </c>
      <c r="E8464" s="250" t="str">
        <f>IF(AND(A8464&lt;&gt;"",ISNUMBER(A8464)),VLOOKUP(A8464,Studies!A:BR,5,FALSE),"")</f>
        <v>Midazolam</v>
      </c>
      <c r="F8464" s="251" t="str">
        <f>IF(AND(A8464&lt;&gt;"",ISNUMBER(A8464)),VLOOKUP(A8464,Studies!A:BR,6,FALSE),"")</f>
        <v>Plasma</v>
      </c>
      <c r="G8464" s="194">
        <v>74</v>
      </c>
      <c r="H8464" s="50" t="s">
        <v>60</v>
      </c>
      <c r="I8464" s="187">
        <v>100</v>
      </c>
      <c r="J8464" s="41" t="s">
        <v>946</v>
      </c>
      <c r="K8464" s="41" t="s">
        <v>335</v>
      </c>
      <c r="O8464" s="199">
        <v>0.5</v>
      </c>
      <c r="P8464" s="42" t="s">
        <v>2633</v>
      </c>
    </row>
    <row r="8465" spans="1:16" x14ac:dyDescent="0.2">
      <c r="A8465" s="30">
        <v>1099</v>
      </c>
      <c r="B8465" s="249" t="str">
        <f>IF(AND(A8465&lt;&gt;"",ISNUMBER(A8465)),VLOOKUP(A8465,Studies!A:BR,2,FALSE),"")</f>
        <v>Prueksaritanont 2017</v>
      </c>
      <c r="C8465" s="250" t="str">
        <f>IF(AND(A8465&lt;&gt;"",ISNUMBER(A8465)),VLOOKUP(A8465,Studies!A:BR,3,FALSE),"")</f>
        <v>https://www.ncbi.nlm.nih.gov/pubmed/27943276</v>
      </c>
      <c r="D8465" s="250" t="str">
        <f>IF(AND(A8465&lt;&gt;"",ISNUMBER(A8465)),VLOOKUP(A8465,Studies!A:BR,4,FALSE),"")</f>
        <v>Midazolam in microdosecocktail + Clarithromycin</v>
      </c>
      <c r="E8465" s="250" t="str">
        <f>IF(AND(A8465&lt;&gt;"",ISNUMBER(A8465)),VLOOKUP(A8465,Studies!A:BR,5,FALSE),"")</f>
        <v>Midazolam</v>
      </c>
      <c r="F8465" s="251" t="str">
        <f>IF(AND(A8465&lt;&gt;"",ISNUMBER(A8465)),VLOOKUP(A8465,Studies!A:BR,6,FALSE),"")</f>
        <v>Plasma</v>
      </c>
      <c r="G8465" s="194">
        <v>75</v>
      </c>
      <c r="H8465" s="50" t="s">
        <v>60</v>
      </c>
      <c r="I8465" s="187">
        <v>81.416849999999997</v>
      </c>
      <c r="J8465" s="41" t="s">
        <v>946</v>
      </c>
      <c r="K8465" s="41" t="s">
        <v>335</v>
      </c>
      <c r="O8465" s="199">
        <v>0.5</v>
      </c>
      <c r="P8465" s="42" t="s">
        <v>2633</v>
      </c>
    </row>
    <row r="8466" spans="1:16" x14ac:dyDescent="0.2">
      <c r="A8466" s="30">
        <v>1099</v>
      </c>
      <c r="B8466" s="249" t="str">
        <f>IF(AND(A8466&lt;&gt;"",ISNUMBER(A8466)),VLOOKUP(A8466,Studies!A:BR,2,FALSE),"")</f>
        <v>Prueksaritanont 2017</v>
      </c>
      <c r="C8466" s="250" t="str">
        <f>IF(AND(A8466&lt;&gt;"",ISNUMBER(A8466)),VLOOKUP(A8466,Studies!A:BR,3,FALSE),"")</f>
        <v>https://www.ncbi.nlm.nih.gov/pubmed/27943276</v>
      </c>
      <c r="D8466" s="250" t="str">
        <f>IF(AND(A8466&lt;&gt;"",ISNUMBER(A8466)),VLOOKUP(A8466,Studies!A:BR,4,FALSE),"")</f>
        <v>Midazolam in microdosecocktail + Clarithromycin</v>
      </c>
      <c r="E8466" s="250" t="str">
        <f>IF(AND(A8466&lt;&gt;"",ISNUMBER(A8466)),VLOOKUP(A8466,Studies!A:BR,5,FALSE),"")</f>
        <v>Midazolam</v>
      </c>
      <c r="F8466" s="251" t="str">
        <f>IF(AND(A8466&lt;&gt;"",ISNUMBER(A8466)),VLOOKUP(A8466,Studies!A:BR,6,FALSE),"")</f>
        <v>Plasma</v>
      </c>
      <c r="G8466" s="194">
        <v>76</v>
      </c>
      <c r="H8466" s="50" t="s">
        <v>60</v>
      </c>
      <c r="I8466" s="187">
        <v>62.322209999999998</v>
      </c>
      <c r="J8466" s="41" t="s">
        <v>946</v>
      </c>
      <c r="K8466" s="41" t="s">
        <v>335</v>
      </c>
      <c r="L8466" s="195">
        <v>21.851310000000002</v>
      </c>
      <c r="M8466" s="52" t="s">
        <v>946</v>
      </c>
      <c r="N8466" s="52" t="s">
        <v>117</v>
      </c>
      <c r="O8466" s="199">
        <v>0.5</v>
      </c>
    </row>
    <row r="8467" spans="1:16" x14ac:dyDescent="0.2">
      <c r="A8467" s="30">
        <v>1099</v>
      </c>
      <c r="B8467" s="249" t="str">
        <f>IF(AND(A8467&lt;&gt;"",ISNUMBER(A8467)),VLOOKUP(A8467,Studies!A:BR,2,FALSE),"")</f>
        <v>Prueksaritanont 2017</v>
      </c>
      <c r="C8467" s="250" t="str">
        <f>IF(AND(A8467&lt;&gt;"",ISNUMBER(A8467)),VLOOKUP(A8467,Studies!A:BR,3,FALSE),"")</f>
        <v>https://www.ncbi.nlm.nih.gov/pubmed/27943276</v>
      </c>
      <c r="D8467" s="250" t="str">
        <f>IF(AND(A8467&lt;&gt;"",ISNUMBER(A8467)),VLOOKUP(A8467,Studies!A:BR,4,FALSE),"")</f>
        <v>Midazolam in microdosecocktail + Clarithromycin</v>
      </c>
      <c r="E8467" s="250" t="str">
        <f>IF(AND(A8467&lt;&gt;"",ISNUMBER(A8467)),VLOOKUP(A8467,Studies!A:BR,5,FALSE),"")</f>
        <v>Midazolam</v>
      </c>
      <c r="F8467" s="251" t="str">
        <f>IF(AND(A8467&lt;&gt;"",ISNUMBER(A8467)),VLOOKUP(A8467,Studies!A:BR,6,FALSE),"")</f>
        <v>Plasma</v>
      </c>
      <c r="G8467" s="194">
        <v>78</v>
      </c>
      <c r="H8467" s="50" t="s">
        <v>60</v>
      </c>
      <c r="I8467" s="187">
        <v>35.774320000000003</v>
      </c>
      <c r="J8467" s="41" t="s">
        <v>946</v>
      </c>
      <c r="K8467" s="41" t="s">
        <v>335</v>
      </c>
      <c r="L8467" s="195">
        <v>14.37711</v>
      </c>
      <c r="M8467" s="52" t="s">
        <v>946</v>
      </c>
      <c r="N8467" s="52" t="s">
        <v>117</v>
      </c>
      <c r="O8467" s="199">
        <v>0.5</v>
      </c>
    </row>
    <row r="8468" spans="1:16" x14ac:dyDescent="0.2">
      <c r="A8468" s="30">
        <v>1099</v>
      </c>
      <c r="B8468" s="249" t="str">
        <f>IF(AND(A8468&lt;&gt;"",ISNUMBER(A8468)),VLOOKUP(A8468,Studies!A:BR,2,FALSE),"")</f>
        <v>Prueksaritanont 2017</v>
      </c>
      <c r="C8468" s="250" t="str">
        <f>IF(AND(A8468&lt;&gt;"",ISNUMBER(A8468)),VLOOKUP(A8468,Studies!A:BR,3,FALSE),"")</f>
        <v>https://www.ncbi.nlm.nih.gov/pubmed/27943276</v>
      </c>
      <c r="D8468" s="250" t="str">
        <f>IF(AND(A8468&lt;&gt;"",ISNUMBER(A8468)),VLOOKUP(A8468,Studies!A:BR,4,FALSE),"")</f>
        <v>Midazolam in microdosecocktail + Clarithromycin</v>
      </c>
      <c r="E8468" s="250" t="str">
        <f>IF(AND(A8468&lt;&gt;"",ISNUMBER(A8468)),VLOOKUP(A8468,Studies!A:BR,5,FALSE),"")</f>
        <v>Midazolam</v>
      </c>
      <c r="F8468" s="251" t="str">
        <f>IF(AND(A8468&lt;&gt;"",ISNUMBER(A8468)),VLOOKUP(A8468,Studies!A:BR,6,FALSE),"")</f>
        <v>Plasma</v>
      </c>
      <c r="G8468" s="194">
        <v>80</v>
      </c>
      <c r="H8468" s="50" t="s">
        <v>60</v>
      </c>
      <c r="I8468" s="187">
        <v>28.533639999999998</v>
      </c>
      <c r="J8468" s="41" t="s">
        <v>946</v>
      </c>
      <c r="K8468" s="41" t="s">
        <v>335</v>
      </c>
      <c r="L8468" s="195">
        <v>12.1547</v>
      </c>
      <c r="M8468" s="52" t="s">
        <v>946</v>
      </c>
      <c r="N8468" s="52" t="s">
        <v>117</v>
      </c>
      <c r="O8468" s="199">
        <v>0.5</v>
      </c>
    </row>
    <row r="8469" spans="1:16" x14ac:dyDescent="0.2">
      <c r="A8469" s="30">
        <v>1099</v>
      </c>
      <c r="B8469" s="249" t="str">
        <f>IF(AND(A8469&lt;&gt;"",ISNUMBER(A8469)),VLOOKUP(A8469,Studies!A:BR,2,FALSE),"")</f>
        <v>Prueksaritanont 2017</v>
      </c>
      <c r="C8469" s="250" t="str">
        <f>IF(AND(A8469&lt;&gt;"",ISNUMBER(A8469)),VLOOKUP(A8469,Studies!A:BR,3,FALSE),"")</f>
        <v>https://www.ncbi.nlm.nih.gov/pubmed/27943276</v>
      </c>
      <c r="D8469" s="250" t="str">
        <f>IF(AND(A8469&lt;&gt;"",ISNUMBER(A8469)),VLOOKUP(A8469,Studies!A:BR,4,FALSE),"")</f>
        <v>Midazolam in microdosecocktail + Clarithromycin</v>
      </c>
      <c r="E8469" s="250" t="str">
        <f>IF(AND(A8469&lt;&gt;"",ISNUMBER(A8469)),VLOOKUP(A8469,Studies!A:BR,5,FALSE),"")</f>
        <v>Midazolam</v>
      </c>
      <c r="F8469" s="251" t="str">
        <f>IF(AND(A8469&lt;&gt;"",ISNUMBER(A8469)),VLOOKUP(A8469,Studies!A:BR,6,FALSE),"")</f>
        <v>Plasma</v>
      </c>
      <c r="G8469" s="194">
        <v>84</v>
      </c>
      <c r="H8469" s="50" t="s">
        <v>60</v>
      </c>
      <c r="I8469" s="187">
        <v>20.117380000000001</v>
      </c>
      <c r="J8469" s="41" t="s">
        <v>946</v>
      </c>
      <c r="K8469" s="41" t="s">
        <v>335</v>
      </c>
      <c r="L8469" s="195">
        <v>10.71551</v>
      </c>
      <c r="M8469" s="52" t="s">
        <v>946</v>
      </c>
      <c r="N8469" s="52" t="s">
        <v>117</v>
      </c>
      <c r="O8469" s="199">
        <v>0.5</v>
      </c>
    </row>
    <row r="8470" spans="1:16" x14ac:dyDescent="0.2">
      <c r="A8470" s="30">
        <v>1099</v>
      </c>
      <c r="B8470" s="249" t="str">
        <f>IF(AND(A8470&lt;&gt;"",ISNUMBER(A8470)),VLOOKUP(A8470,Studies!A:BR,2,FALSE),"")</f>
        <v>Prueksaritanont 2017</v>
      </c>
      <c r="C8470" s="250" t="str">
        <f>IF(AND(A8470&lt;&gt;"",ISNUMBER(A8470)),VLOOKUP(A8470,Studies!A:BR,3,FALSE),"")</f>
        <v>https://www.ncbi.nlm.nih.gov/pubmed/27943276</v>
      </c>
      <c r="D8470" s="250" t="str">
        <f>IF(AND(A8470&lt;&gt;"",ISNUMBER(A8470)),VLOOKUP(A8470,Studies!A:BR,4,FALSE),"")</f>
        <v>Midazolam in microdosecocktail + Clarithromycin</v>
      </c>
      <c r="E8470" s="250" t="str">
        <f>IF(AND(A8470&lt;&gt;"",ISNUMBER(A8470)),VLOOKUP(A8470,Studies!A:BR,5,FALSE),"")</f>
        <v>Midazolam</v>
      </c>
      <c r="F8470" s="251" t="str">
        <f>IF(AND(A8470&lt;&gt;"",ISNUMBER(A8470)),VLOOKUP(A8470,Studies!A:BR,6,FALSE),"")</f>
        <v>Plasma</v>
      </c>
      <c r="G8470" s="194">
        <v>88</v>
      </c>
      <c r="H8470" s="50" t="s">
        <v>60</v>
      </c>
      <c r="I8470" s="187">
        <v>16.045639999999999</v>
      </c>
      <c r="J8470" s="41" t="s">
        <v>946</v>
      </c>
      <c r="K8470" s="41" t="s">
        <v>335</v>
      </c>
      <c r="L8470" s="195">
        <v>9.940239</v>
      </c>
      <c r="M8470" s="52" t="s">
        <v>946</v>
      </c>
      <c r="N8470" s="52" t="s">
        <v>117</v>
      </c>
      <c r="O8470" s="199">
        <v>0.5</v>
      </c>
    </row>
    <row r="8471" spans="1:16" x14ac:dyDescent="0.2">
      <c r="A8471" s="30">
        <v>1099</v>
      </c>
      <c r="B8471" s="249" t="str">
        <f>IF(AND(A8471&lt;&gt;"",ISNUMBER(A8471)),VLOOKUP(A8471,Studies!A:BR,2,FALSE),"")</f>
        <v>Prueksaritanont 2017</v>
      </c>
      <c r="C8471" s="250" t="str">
        <f>IF(AND(A8471&lt;&gt;"",ISNUMBER(A8471)),VLOOKUP(A8471,Studies!A:BR,3,FALSE),"")</f>
        <v>https://www.ncbi.nlm.nih.gov/pubmed/27943276</v>
      </c>
      <c r="D8471" s="250" t="str">
        <f>IF(AND(A8471&lt;&gt;"",ISNUMBER(A8471)),VLOOKUP(A8471,Studies!A:BR,4,FALSE),"")</f>
        <v>Midazolam in microdosecocktail + Clarithromycin</v>
      </c>
      <c r="E8471" s="250" t="str">
        <f>IF(AND(A8471&lt;&gt;"",ISNUMBER(A8471)),VLOOKUP(A8471,Studies!A:BR,5,FALSE),"")</f>
        <v>Midazolam</v>
      </c>
      <c r="F8471" s="251" t="str">
        <f>IF(AND(A8471&lt;&gt;"",ISNUMBER(A8471)),VLOOKUP(A8471,Studies!A:BR,6,FALSE),"")</f>
        <v>Plasma</v>
      </c>
      <c r="G8471" s="194">
        <v>96</v>
      </c>
      <c r="H8471" s="50" t="s">
        <v>60</v>
      </c>
      <c r="I8471" s="187">
        <v>11.78769</v>
      </c>
      <c r="J8471" s="41" t="s">
        <v>946</v>
      </c>
      <c r="K8471" s="41" t="s">
        <v>335</v>
      </c>
      <c r="L8471" s="195">
        <v>8.2830539999999999</v>
      </c>
      <c r="M8471" s="52" t="s">
        <v>946</v>
      </c>
      <c r="N8471" s="52" t="s">
        <v>117</v>
      </c>
      <c r="O8471" s="199">
        <v>0.5</v>
      </c>
    </row>
    <row r="8472" spans="1:16" x14ac:dyDescent="0.2">
      <c r="A8472" s="30">
        <v>1099</v>
      </c>
      <c r="B8472" s="249" t="str">
        <f>IF(AND(A8472&lt;&gt;"",ISNUMBER(A8472)),VLOOKUP(A8472,Studies!A:BR,2,FALSE),"")</f>
        <v>Prueksaritanont 2017</v>
      </c>
      <c r="C8472" s="250" t="str">
        <f>IF(AND(A8472&lt;&gt;"",ISNUMBER(A8472)),VLOOKUP(A8472,Studies!A:BR,3,FALSE),"")</f>
        <v>https://www.ncbi.nlm.nih.gov/pubmed/27943276</v>
      </c>
      <c r="D8472" s="250" t="str">
        <f>IF(AND(A8472&lt;&gt;"",ISNUMBER(A8472)),VLOOKUP(A8472,Studies!A:BR,4,FALSE),"")</f>
        <v>Midazolam in microdosecocktail + Clarithromycin</v>
      </c>
      <c r="E8472" s="250" t="str">
        <f>IF(AND(A8472&lt;&gt;"",ISNUMBER(A8472)),VLOOKUP(A8472,Studies!A:BR,5,FALSE),"")</f>
        <v>Midazolam</v>
      </c>
      <c r="F8472" s="251" t="str">
        <f>IF(AND(A8472&lt;&gt;"",ISNUMBER(A8472)),VLOOKUP(A8472,Studies!A:BR,6,FALSE),"")</f>
        <v>Plasma</v>
      </c>
      <c r="G8472" s="194">
        <v>104</v>
      </c>
      <c r="H8472" s="50" t="s">
        <v>60</v>
      </c>
      <c r="I8472" s="187">
        <v>6.9069399999999996</v>
      </c>
      <c r="J8472" s="41" t="s">
        <v>946</v>
      </c>
      <c r="K8472" s="41" t="s">
        <v>335</v>
      </c>
      <c r="L8472" s="195">
        <v>5.5457190000000001</v>
      </c>
      <c r="M8472" s="52" t="s">
        <v>946</v>
      </c>
      <c r="N8472" s="52" t="s">
        <v>117</v>
      </c>
      <c r="O8472" s="199">
        <v>0.5</v>
      </c>
    </row>
    <row r="8473" spans="1:16" x14ac:dyDescent="0.2">
      <c r="A8473" s="30">
        <v>1099</v>
      </c>
      <c r="B8473" s="249" t="str">
        <f>IF(AND(A8473&lt;&gt;"",ISNUMBER(A8473)),VLOOKUP(A8473,Studies!A:BR,2,FALSE),"")</f>
        <v>Prueksaritanont 2017</v>
      </c>
      <c r="C8473" s="250" t="str">
        <f>IF(AND(A8473&lt;&gt;"",ISNUMBER(A8473)),VLOOKUP(A8473,Studies!A:BR,3,FALSE),"")</f>
        <v>https://www.ncbi.nlm.nih.gov/pubmed/27943276</v>
      </c>
      <c r="D8473" s="250" t="str">
        <f>IF(AND(A8473&lt;&gt;"",ISNUMBER(A8473)),VLOOKUP(A8473,Studies!A:BR,4,FALSE),"")</f>
        <v>Midazolam in microdosecocktail + Clarithromycin</v>
      </c>
      <c r="E8473" s="250" t="str">
        <f>IF(AND(A8473&lt;&gt;"",ISNUMBER(A8473)),VLOOKUP(A8473,Studies!A:BR,5,FALSE),"")</f>
        <v>Midazolam</v>
      </c>
      <c r="F8473" s="251" t="str">
        <f>IF(AND(A8473&lt;&gt;"",ISNUMBER(A8473)),VLOOKUP(A8473,Studies!A:BR,6,FALSE),"")</f>
        <v>Plasma</v>
      </c>
      <c r="G8473" s="194">
        <v>120</v>
      </c>
      <c r="H8473" s="50" t="s">
        <v>60</v>
      </c>
      <c r="I8473" s="187">
        <v>3.295013</v>
      </c>
      <c r="J8473" s="41" t="s">
        <v>946</v>
      </c>
      <c r="K8473" s="41" t="s">
        <v>335</v>
      </c>
      <c r="L8473" s="195">
        <v>3.7553960000000002</v>
      </c>
      <c r="M8473" s="52" t="s">
        <v>946</v>
      </c>
      <c r="N8473" s="52" t="s">
        <v>117</v>
      </c>
      <c r="O8473" s="199">
        <v>0.5</v>
      </c>
    </row>
    <row r="8474" spans="1:16" x14ac:dyDescent="0.2">
      <c r="A8474" s="30">
        <v>1102</v>
      </c>
      <c r="B8474" s="249" t="str">
        <f>IF(AND(A8474&lt;&gt;"",ISNUMBER(A8474)),VLOOKUP(A8474,Studies!A:BR,2,FALSE),"")</f>
        <v>Greenblatt 1998a</v>
      </c>
      <c r="C8474" s="250" t="str">
        <f>IF(AND(A8474&lt;&gt;"",ISNUMBER(A8474)),VLOOKUP(A8474,Studies!A:BR,3,FALSE),"")</f>
        <v>https://www.ncbi.nlm.nih.gov/pubmed/9757151</v>
      </c>
      <c r="D8474" s="250" t="str">
        <f>IF(AND(A8474&lt;&gt;"",ISNUMBER(A8474)),VLOOKUP(A8474,Studies!A:BR,4,FALSE),"")</f>
        <v>Triazolam + Clarithromycin (Trial E)</v>
      </c>
      <c r="E8474" s="250" t="str">
        <f>IF(AND(A8474&lt;&gt;"",ISNUMBER(A8474)),VLOOKUP(A8474,Studies!A:BR,5,FALSE),"")</f>
        <v>Triazolam</v>
      </c>
      <c r="F8474" s="251" t="str">
        <f>IF(AND(A8474&lt;&gt;"",ISNUMBER(A8474)),VLOOKUP(A8474,Studies!A:BR,6,FALSE),"")</f>
        <v>Plasma</v>
      </c>
      <c r="G8474" s="194">
        <v>25.5</v>
      </c>
      <c r="H8474" s="50" t="s">
        <v>60</v>
      </c>
      <c r="I8474" s="187">
        <v>1.2480119999999999</v>
      </c>
      <c r="J8474" s="41" t="s">
        <v>941</v>
      </c>
      <c r="K8474" s="187" t="s">
        <v>116</v>
      </c>
      <c r="O8474" s="199"/>
      <c r="P8474" s="42" t="s">
        <v>2631</v>
      </c>
    </row>
    <row r="8475" spans="1:16" x14ac:dyDescent="0.2">
      <c r="A8475" s="30">
        <v>1102</v>
      </c>
      <c r="B8475" s="249" t="str">
        <f>IF(AND(A8475&lt;&gt;"",ISNUMBER(A8475)),VLOOKUP(A8475,Studies!A:BR,2,FALSE),"")</f>
        <v>Greenblatt 1998a</v>
      </c>
      <c r="C8475" s="250" t="str">
        <f>IF(AND(A8475&lt;&gt;"",ISNUMBER(A8475)),VLOOKUP(A8475,Studies!A:BR,3,FALSE),"")</f>
        <v>https://www.ncbi.nlm.nih.gov/pubmed/9757151</v>
      </c>
      <c r="D8475" s="250" t="str">
        <f>IF(AND(A8475&lt;&gt;"",ISNUMBER(A8475)),VLOOKUP(A8475,Studies!A:BR,4,FALSE),"")</f>
        <v>Triazolam + Clarithromycin (Trial E)</v>
      </c>
      <c r="E8475" s="250" t="str">
        <f>IF(AND(A8475&lt;&gt;"",ISNUMBER(A8475)),VLOOKUP(A8475,Studies!A:BR,5,FALSE),"")</f>
        <v>Triazolam</v>
      </c>
      <c r="F8475" s="251" t="str">
        <f>IF(AND(A8475&lt;&gt;"",ISNUMBER(A8475)),VLOOKUP(A8475,Studies!A:BR,6,FALSE),"")</f>
        <v>Plasma</v>
      </c>
      <c r="G8475" s="194">
        <v>26</v>
      </c>
      <c r="H8475" s="50" t="s">
        <v>60</v>
      </c>
      <c r="I8475" s="187">
        <v>2.0173960000000002</v>
      </c>
      <c r="J8475" s="41" t="s">
        <v>941</v>
      </c>
      <c r="K8475" s="187" t="s">
        <v>116</v>
      </c>
      <c r="O8475" s="199"/>
      <c r="P8475" s="42" t="s">
        <v>2631</v>
      </c>
    </row>
    <row r="8476" spans="1:16" x14ac:dyDescent="0.2">
      <c r="A8476" s="30">
        <v>1102</v>
      </c>
      <c r="B8476" s="249" t="str">
        <f>IF(AND(A8476&lt;&gt;"",ISNUMBER(A8476)),VLOOKUP(A8476,Studies!A:BR,2,FALSE),"")</f>
        <v>Greenblatt 1998a</v>
      </c>
      <c r="C8476" s="250" t="str">
        <f>IF(AND(A8476&lt;&gt;"",ISNUMBER(A8476)),VLOOKUP(A8476,Studies!A:BR,3,FALSE),"")</f>
        <v>https://www.ncbi.nlm.nih.gov/pubmed/9757151</v>
      </c>
      <c r="D8476" s="250" t="str">
        <f>IF(AND(A8476&lt;&gt;"",ISNUMBER(A8476)),VLOOKUP(A8476,Studies!A:BR,4,FALSE),"")</f>
        <v>Triazolam + Clarithromycin (Trial E)</v>
      </c>
      <c r="E8476" s="250" t="str">
        <f>IF(AND(A8476&lt;&gt;"",ISNUMBER(A8476)),VLOOKUP(A8476,Studies!A:BR,5,FALSE),"")</f>
        <v>Triazolam</v>
      </c>
      <c r="F8476" s="251" t="str">
        <f>IF(AND(A8476&lt;&gt;"",ISNUMBER(A8476)),VLOOKUP(A8476,Studies!A:BR,6,FALSE),"")</f>
        <v>Plasma</v>
      </c>
      <c r="G8476" s="194">
        <v>26.5</v>
      </c>
      <c r="H8476" s="50" t="s">
        <v>60</v>
      </c>
      <c r="I8476" s="187">
        <v>2.1426440000000002</v>
      </c>
      <c r="J8476" s="41" t="s">
        <v>941</v>
      </c>
      <c r="K8476" s="187" t="s">
        <v>116</v>
      </c>
      <c r="O8476" s="199"/>
      <c r="P8476" s="42" t="s">
        <v>2631</v>
      </c>
    </row>
    <row r="8477" spans="1:16" x14ac:dyDescent="0.2">
      <c r="A8477" s="30">
        <v>1102</v>
      </c>
      <c r="B8477" s="249" t="str">
        <f>IF(AND(A8477&lt;&gt;"",ISNUMBER(A8477)),VLOOKUP(A8477,Studies!A:BR,2,FALSE),"")</f>
        <v>Greenblatt 1998a</v>
      </c>
      <c r="C8477" s="250" t="str">
        <f>IF(AND(A8477&lt;&gt;"",ISNUMBER(A8477)),VLOOKUP(A8477,Studies!A:BR,3,FALSE),"")</f>
        <v>https://www.ncbi.nlm.nih.gov/pubmed/9757151</v>
      </c>
      <c r="D8477" s="250" t="str">
        <f>IF(AND(A8477&lt;&gt;"",ISNUMBER(A8477)),VLOOKUP(A8477,Studies!A:BR,4,FALSE),"")</f>
        <v>Triazolam + Clarithromycin (Trial E)</v>
      </c>
      <c r="E8477" s="250" t="str">
        <f>IF(AND(A8477&lt;&gt;"",ISNUMBER(A8477)),VLOOKUP(A8477,Studies!A:BR,5,FALSE),"")</f>
        <v>Triazolam</v>
      </c>
      <c r="F8477" s="251" t="str">
        <f>IF(AND(A8477&lt;&gt;"",ISNUMBER(A8477)),VLOOKUP(A8477,Studies!A:BR,6,FALSE),"")</f>
        <v>Plasma</v>
      </c>
      <c r="G8477" s="194">
        <v>27</v>
      </c>
      <c r="H8477" s="50" t="s">
        <v>60</v>
      </c>
      <c r="I8477" s="187">
        <v>2.0263420000000001</v>
      </c>
      <c r="J8477" s="41" t="s">
        <v>941</v>
      </c>
      <c r="K8477" s="187" t="s">
        <v>116</v>
      </c>
      <c r="O8477" s="199"/>
      <c r="P8477" s="42" t="s">
        <v>2631</v>
      </c>
    </row>
    <row r="8478" spans="1:16" x14ac:dyDescent="0.2">
      <c r="A8478" s="30">
        <v>1102</v>
      </c>
      <c r="B8478" s="249" t="str">
        <f>IF(AND(A8478&lt;&gt;"",ISNUMBER(A8478)),VLOOKUP(A8478,Studies!A:BR,2,FALSE),"")</f>
        <v>Greenblatt 1998a</v>
      </c>
      <c r="C8478" s="250" t="str">
        <f>IF(AND(A8478&lt;&gt;"",ISNUMBER(A8478)),VLOOKUP(A8478,Studies!A:BR,3,FALSE),"")</f>
        <v>https://www.ncbi.nlm.nih.gov/pubmed/9757151</v>
      </c>
      <c r="D8478" s="250" t="str">
        <f>IF(AND(A8478&lt;&gt;"",ISNUMBER(A8478)),VLOOKUP(A8478,Studies!A:BR,4,FALSE),"")</f>
        <v>Triazolam + Clarithromycin (Trial E)</v>
      </c>
      <c r="E8478" s="250" t="str">
        <f>IF(AND(A8478&lt;&gt;"",ISNUMBER(A8478)),VLOOKUP(A8478,Studies!A:BR,5,FALSE),"")</f>
        <v>Triazolam</v>
      </c>
      <c r="F8478" s="251" t="str">
        <f>IF(AND(A8478&lt;&gt;"",ISNUMBER(A8478)),VLOOKUP(A8478,Studies!A:BR,6,FALSE),"")</f>
        <v>Plasma</v>
      </c>
      <c r="G8478" s="194">
        <v>27.5</v>
      </c>
      <c r="H8478" s="50" t="s">
        <v>60</v>
      </c>
      <c r="I8478" s="187">
        <v>1.9771369999999999</v>
      </c>
      <c r="J8478" s="41" t="s">
        <v>941</v>
      </c>
      <c r="K8478" s="187" t="s">
        <v>116</v>
      </c>
      <c r="O8478" s="199"/>
      <c r="P8478" s="42" t="s">
        <v>2631</v>
      </c>
    </row>
    <row r="8479" spans="1:16" x14ac:dyDescent="0.2">
      <c r="A8479" s="30">
        <v>1102</v>
      </c>
      <c r="B8479" s="249" t="str">
        <f>IF(AND(A8479&lt;&gt;"",ISNUMBER(A8479)),VLOOKUP(A8479,Studies!A:BR,2,FALSE),"")</f>
        <v>Greenblatt 1998a</v>
      </c>
      <c r="C8479" s="250" t="str">
        <f>IF(AND(A8479&lt;&gt;"",ISNUMBER(A8479)),VLOOKUP(A8479,Studies!A:BR,3,FALSE),"")</f>
        <v>https://www.ncbi.nlm.nih.gov/pubmed/9757151</v>
      </c>
      <c r="D8479" s="250" t="str">
        <f>IF(AND(A8479&lt;&gt;"",ISNUMBER(A8479)),VLOOKUP(A8479,Studies!A:BR,4,FALSE),"")</f>
        <v>Triazolam + Clarithromycin (Trial E)</v>
      </c>
      <c r="E8479" s="250" t="str">
        <f>IF(AND(A8479&lt;&gt;"",ISNUMBER(A8479)),VLOOKUP(A8479,Studies!A:BR,5,FALSE),"")</f>
        <v>Triazolam</v>
      </c>
      <c r="F8479" s="251" t="str">
        <f>IF(AND(A8479&lt;&gt;"",ISNUMBER(A8479)),VLOOKUP(A8479,Studies!A:BR,6,FALSE),"")</f>
        <v>Plasma</v>
      </c>
      <c r="G8479" s="194">
        <v>28</v>
      </c>
      <c r="H8479" s="50" t="s">
        <v>60</v>
      </c>
      <c r="I8479" s="187">
        <v>1.8429420000000001</v>
      </c>
      <c r="J8479" s="41" t="s">
        <v>941</v>
      </c>
      <c r="K8479" s="187" t="s">
        <v>116</v>
      </c>
      <c r="O8479" s="199"/>
      <c r="P8479" s="42" t="s">
        <v>2631</v>
      </c>
    </row>
    <row r="8480" spans="1:16" x14ac:dyDescent="0.2">
      <c r="A8480" s="30">
        <v>1102</v>
      </c>
      <c r="B8480" s="249" t="str">
        <f>IF(AND(A8480&lt;&gt;"",ISNUMBER(A8480)),VLOOKUP(A8480,Studies!A:BR,2,FALSE),"")</f>
        <v>Greenblatt 1998a</v>
      </c>
      <c r="C8480" s="250" t="str">
        <f>IF(AND(A8480&lt;&gt;"",ISNUMBER(A8480)),VLOOKUP(A8480,Studies!A:BR,3,FALSE),"")</f>
        <v>https://www.ncbi.nlm.nih.gov/pubmed/9757151</v>
      </c>
      <c r="D8480" s="250" t="str">
        <f>IF(AND(A8480&lt;&gt;"",ISNUMBER(A8480)),VLOOKUP(A8480,Studies!A:BR,4,FALSE),"")</f>
        <v>Triazolam + Clarithromycin (Trial E)</v>
      </c>
      <c r="E8480" s="250" t="str">
        <f>IF(AND(A8480&lt;&gt;"",ISNUMBER(A8480)),VLOOKUP(A8480,Studies!A:BR,5,FALSE),"")</f>
        <v>Triazolam</v>
      </c>
      <c r="F8480" s="251" t="str">
        <f>IF(AND(A8480&lt;&gt;"",ISNUMBER(A8480)),VLOOKUP(A8480,Studies!A:BR,6,FALSE),"")</f>
        <v>Plasma</v>
      </c>
      <c r="G8480" s="194">
        <v>29</v>
      </c>
      <c r="H8480" s="50" t="s">
        <v>60</v>
      </c>
      <c r="I8480" s="187">
        <v>1.6416500000000001</v>
      </c>
      <c r="J8480" s="41" t="s">
        <v>941</v>
      </c>
      <c r="K8480" s="187" t="s">
        <v>116</v>
      </c>
      <c r="O8480" s="199"/>
      <c r="P8480" s="42" t="s">
        <v>2631</v>
      </c>
    </row>
    <row r="8481" spans="1:16" x14ac:dyDescent="0.2">
      <c r="A8481" s="30">
        <v>1102</v>
      </c>
      <c r="B8481" s="249" t="str">
        <f>IF(AND(A8481&lt;&gt;"",ISNUMBER(A8481)),VLOOKUP(A8481,Studies!A:BR,2,FALSE),"")</f>
        <v>Greenblatt 1998a</v>
      </c>
      <c r="C8481" s="250" t="str">
        <f>IF(AND(A8481&lt;&gt;"",ISNUMBER(A8481)),VLOOKUP(A8481,Studies!A:BR,3,FALSE),"")</f>
        <v>https://www.ncbi.nlm.nih.gov/pubmed/9757151</v>
      </c>
      <c r="D8481" s="250" t="str">
        <f>IF(AND(A8481&lt;&gt;"",ISNUMBER(A8481)),VLOOKUP(A8481,Studies!A:BR,4,FALSE),"")</f>
        <v>Triazolam + Clarithromycin (Trial E)</v>
      </c>
      <c r="E8481" s="250" t="str">
        <f>IF(AND(A8481&lt;&gt;"",ISNUMBER(A8481)),VLOOKUP(A8481,Studies!A:BR,5,FALSE),"")</f>
        <v>Triazolam</v>
      </c>
      <c r="F8481" s="251" t="str">
        <f>IF(AND(A8481&lt;&gt;"",ISNUMBER(A8481)),VLOOKUP(A8481,Studies!A:BR,6,FALSE),"")</f>
        <v>Plasma</v>
      </c>
      <c r="G8481" s="194">
        <v>30</v>
      </c>
      <c r="H8481" s="50" t="s">
        <v>60</v>
      </c>
      <c r="I8481" s="187">
        <v>1.5298210000000001</v>
      </c>
      <c r="J8481" s="41" t="s">
        <v>941</v>
      </c>
      <c r="K8481" s="187" t="s">
        <v>116</v>
      </c>
      <c r="O8481" s="199"/>
      <c r="P8481" s="42" t="s">
        <v>2631</v>
      </c>
    </row>
    <row r="8482" spans="1:16" x14ac:dyDescent="0.2">
      <c r="A8482" s="30">
        <v>1102</v>
      </c>
      <c r="B8482" s="249" t="str">
        <f>IF(AND(A8482&lt;&gt;"",ISNUMBER(A8482)),VLOOKUP(A8482,Studies!A:BR,2,FALSE),"")</f>
        <v>Greenblatt 1998a</v>
      </c>
      <c r="C8482" s="250" t="str">
        <f>IF(AND(A8482&lt;&gt;"",ISNUMBER(A8482)),VLOOKUP(A8482,Studies!A:BR,3,FALSE),"")</f>
        <v>https://www.ncbi.nlm.nih.gov/pubmed/9757151</v>
      </c>
      <c r="D8482" s="250" t="str">
        <f>IF(AND(A8482&lt;&gt;"",ISNUMBER(A8482)),VLOOKUP(A8482,Studies!A:BR,4,FALSE),"")</f>
        <v>Triazolam + Clarithromycin (Trial E)</v>
      </c>
      <c r="E8482" s="250" t="str">
        <f>IF(AND(A8482&lt;&gt;"",ISNUMBER(A8482)),VLOOKUP(A8482,Studies!A:BR,5,FALSE),"")</f>
        <v>Triazolam</v>
      </c>
      <c r="F8482" s="251" t="str">
        <f>IF(AND(A8482&lt;&gt;"",ISNUMBER(A8482)),VLOOKUP(A8482,Studies!A:BR,6,FALSE),"")</f>
        <v>Plasma</v>
      </c>
      <c r="G8482" s="194">
        <v>31</v>
      </c>
      <c r="H8482" s="50" t="s">
        <v>60</v>
      </c>
      <c r="I8482" s="187">
        <v>1.440358</v>
      </c>
      <c r="J8482" s="41" t="s">
        <v>941</v>
      </c>
      <c r="K8482" s="187" t="s">
        <v>116</v>
      </c>
      <c r="O8482" s="199"/>
      <c r="P8482" s="42" t="s">
        <v>2631</v>
      </c>
    </row>
    <row r="8483" spans="1:16" x14ac:dyDescent="0.2">
      <c r="A8483" s="30">
        <v>1102</v>
      </c>
      <c r="B8483" s="249" t="str">
        <f>IF(AND(A8483&lt;&gt;"",ISNUMBER(A8483)),VLOOKUP(A8483,Studies!A:BR,2,FALSE),"")</f>
        <v>Greenblatt 1998a</v>
      </c>
      <c r="C8483" s="250" t="str">
        <f>IF(AND(A8483&lt;&gt;"",ISNUMBER(A8483)),VLOOKUP(A8483,Studies!A:BR,3,FALSE),"")</f>
        <v>https://www.ncbi.nlm.nih.gov/pubmed/9757151</v>
      </c>
      <c r="D8483" s="250" t="str">
        <f>IF(AND(A8483&lt;&gt;"",ISNUMBER(A8483)),VLOOKUP(A8483,Studies!A:BR,4,FALSE),"")</f>
        <v>Triazolam + Clarithromycin (Trial E)</v>
      </c>
      <c r="E8483" s="250" t="str">
        <f>IF(AND(A8483&lt;&gt;"",ISNUMBER(A8483)),VLOOKUP(A8483,Studies!A:BR,5,FALSE),"")</f>
        <v>Triazolam</v>
      </c>
      <c r="F8483" s="251" t="str">
        <f>IF(AND(A8483&lt;&gt;"",ISNUMBER(A8483)),VLOOKUP(A8483,Studies!A:BR,6,FALSE),"")</f>
        <v>Plasma</v>
      </c>
      <c r="G8483" s="194">
        <v>33</v>
      </c>
      <c r="H8483" s="50" t="s">
        <v>60</v>
      </c>
      <c r="I8483" s="187">
        <v>1.225646</v>
      </c>
      <c r="J8483" s="41" t="s">
        <v>941</v>
      </c>
      <c r="K8483" s="187" t="s">
        <v>116</v>
      </c>
      <c r="O8483" s="199"/>
      <c r="P8483" s="42" t="s">
        <v>2631</v>
      </c>
    </row>
    <row r="8484" spans="1:16" x14ac:dyDescent="0.2">
      <c r="A8484" s="30">
        <v>1102</v>
      </c>
      <c r="B8484" s="249" t="str">
        <f>IF(AND(A8484&lt;&gt;"",ISNUMBER(A8484)),VLOOKUP(A8484,Studies!A:BR,2,FALSE),"")</f>
        <v>Greenblatt 1998a</v>
      </c>
      <c r="C8484" s="250" t="str">
        <f>IF(AND(A8484&lt;&gt;"",ISNUMBER(A8484)),VLOOKUP(A8484,Studies!A:BR,3,FALSE),"")</f>
        <v>https://www.ncbi.nlm.nih.gov/pubmed/9757151</v>
      </c>
      <c r="D8484" s="250" t="str">
        <f>IF(AND(A8484&lt;&gt;"",ISNUMBER(A8484)),VLOOKUP(A8484,Studies!A:BR,4,FALSE),"")</f>
        <v>Triazolam + Clarithromycin (Trial E)</v>
      </c>
      <c r="E8484" s="250" t="str">
        <f>IF(AND(A8484&lt;&gt;"",ISNUMBER(A8484)),VLOOKUP(A8484,Studies!A:BR,5,FALSE),"")</f>
        <v>Triazolam</v>
      </c>
      <c r="F8484" s="251" t="str">
        <f>IF(AND(A8484&lt;&gt;"",ISNUMBER(A8484)),VLOOKUP(A8484,Studies!A:BR,6,FALSE),"")</f>
        <v>Plasma</v>
      </c>
      <c r="G8484" s="194">
        <v>49</v>
      </c>
      <c r="H8484" s="50" t="s">
        <v>60</v>
      </c>
      <c r="I8484" s="187">
        <v>0.2678373</v>
      </c>
      <c r="J8484" s="41" t="s">
        <v>941</v>
      </c>
      <c r="K8484" s="187" t="s">
        <v>116</v>
      </c>
      <c r="O8484" s="199"/>
      <c r="P8484" s="42" t="s">
        <v>2631</v>
      </c>
    </row>
    <row r="8485" spans="1:16" x14ac:dyDescent="0.2">
      <c r="A8485" s="30">
        <v>1103</v>
      </c>
      <c r="B8485" s="249" t="str">
        <f>IF(AND(A8485&lt;&gt;"",ISNUMBER(A8485)),VLOOKUP(A8485,Studies!A:BR,2,FALSE),"")</f>
        <v>Fleishaker 1994</v>
      </c>
      <c r="C8485" s="250" t="str">
        <f>IF(AND(A8485&lt;&gt;"",ISNUMBER(A8485)),VLOOKUP(A8485,Studies!A:BR,3,FALSE),"")</f>
        <v>https://www.ncbi.nlm.nih.gov/pubmed/8005185</v>
      </c>
      <c r="D8485" s="250" t="str">
        <f>IF(AND(A8485&lt;&gt;"",ISNUMBER(A8485)),VLOOKUP(A8485,Studies!A:BR,4,FALSE),"")</f>
        <v>Alprazolam alone</v>
      </c>
      <c r="E8485" s="250" t="str">
        <f>IF(AND(A8485&lt;&gt;"",ISNUMBER(A8485)),VLOOKUP(A8485,Studies!A:BR,5,FALSE),"")</f>
        <v>Alprazolam</v>
      </c>
      <c r="F8485" s="251" t="str">
        <f>IF(AND(A8485&lt;&gt;"",ISNUMBER(A8485)),VLOOKUP(A8485,Studies!A:BR,6,FALSE),"")</f>
        <v>Plasma</v>
      </c>
      <c r="G8485" s="194">
        <v>0</v>
      </c>
      <c r="H8485" s="50" t="s">
        <v>60</v>
      </c>
      <c r="I8485" s="187">
        <v>0.70346249999999999</v>
      </c>
      <c r="J8485" s="41" t="s">
        <v>941</v>
      </c>
      <c r="K8485" s="41" t="s">
        <v>335</v>
      </c>
      <c r="O8485" s="199"/>
      <c r="P8485" s="42" t="s">
        <v>2627</v>
      </c>
    </row>
    <row r="8486" spans="1:16" x14ac:dyDescent="0.2">
      <c r="A8486" s="30">
        <v>1103</v>
      </c>
      <c r="B8486" s="249" t="str">
        <f>IF(AND(A8486&lt;&gt;"",ISNUMBER(A8486)),VLOOKUP(A8486,Studies!A:BR,2,FALSE),"")</f>
        <v>Fleishaker 1994</v>
      </c>
      <c r="C8486" s="250" t="str">
        <f>IF(AND(A8486&lt;&gt;"",ISNUMBER(A8486)),VLOOKUP(A8486,Studies!A:BR,3,FALSE),"")</f>
        <v>https://www.ncbi.nlm.nih.gov/pubmed/8005185</v>
      </c>
      <c r="D8486" s="250" t="str">
        <f>IF(AND(A8486&lt;&gt;"",ISNUMBER(A8486)),VLOOKUP(A8486,Studies!A:BR,4,FALSE),"")</f>
        <v>Alprazolam alone</v>
      </c>
      <c r="E8486" s="250" t="str">
        <f>IF(AND(A8486&lt;&gt;"",ISNUMBER(A8486)),VLOOKUP(A8486,Studies!A:BR,5,FALSE),"")</f>
        <v>Alprazolam</v>
      </c>
      <c r="F8486" s="251" t="str">
        <f>IF(AND(A8486&lt;&gt;"",ISNUMBER(A8486)),VLOOKUP(A8486,Studies!A:BR,6,FALSE),"")</f>
        <v>Plasma</v>
      </c>
      <c r="G8486" s="194">
        <v>1</v>
      </c>
      <c r="H8486" s="50" t="s">
        <v>60</v>
      </c>
      <c r="I8486" s="187">
        <v>8.4481769999999994</v>
      </c>
      <c r="J8486" s="41" t="s">
        <v>941</v>
      </c>
      <c r="K8486" s="41" t="s">
        <v>335</v>
      </c>
      <c r="O8486" s="199"/>
    </row>
    <row r="8487" spans="1:16" x14ac:dyDescent="0.2">
      <c r="A8487" s="30">
        <v>1103</v>
      </c>
      <c r="B8487" s="249" t="str">
        <f>IF(AND(A8487&lt;&gt;"",ISNUMBER(A8487)),VLOOKUP(A8487,Studies!A:BR,2,FALSE),"")</f>
        <v>Fleishaker 1994</v>
      </c>
      <c r="C8487" s="250" t="str">
        <f>IF(AND(A8487&lt;&gt;"",ISNUMBER(A8487)),VLOOKUP(A8487,Studies!A:BR,3,FALSE),"")</f>
        <v>https://www.ncbi.nlm.nih.gov/pubmed/8005185</v>
      </c>
      <c r="D8487" s="250" t="str">
        <f>IF(AND(A8487&lt;&gt;"",ISNUMBER(A8487)),VLOOKUP(A8487,Studies!A:BR,4,FALSE),"")</f>
        <v>Alprazolam alone</v>
      </c>
      <c r="E8487" s="250" t="str">
        <f>IF(AND(A8487&lt;&gt;"",ISNUMBER(A8487)),VLOOKUP(A8487,Studies!A:BR,5,FALSE),"")</f>
        <v>Alprazolam</v>
      </c>
      <c r="F8487" s="251" t="str">
        <f>IF(AND(A8487&lt;&gt;"",ISNUMBER(A8487)),VLOOKUP(A8487,Studies!A:BR,6,FALSE),"")</f>
        <v>Plasma</v>
      </c>
      <c r="G8487" s="194">
        <v>2</v>
      </c>
      <c r="H8487" s="50" t="s">
        <v>60</v>
      </c>
      <c r="I8487" s="187">
        <v>12.20176</v>
      </c>
      <c r="J8487" s="41" t="s">
        <v>941</v>
      </c>
      <c r="K8487" s="41" t="s">
        <v>335</v>
      </c>
      <c r="O8487" s="199"/>
    </row>
    <row r="8488" spans="1:16" x14ac:dyDescent="0.2">
      <c r="A8488" s="30">
        <v>1103</v>
      </c>
      <c r="B8488" s="249" t="str">
        <f>IF(AND(A8488&lt;&gt;"",ISNUMBER(A8488)),VLOOKUP(A8488,Studies!A:BR,2,FALSE),"")</f>
        <v>Fleishaker 1994</v>
      </c>
      <c r="C8488" s="250" t="str">
        <f>IF(AND(A8488&lt;&gt;"",ISNUMBER(A8488)),VLOOKUP(A8488,Studies!A:BR,3,FALSE),"")</f>
        <v>https://www.ncbi.nlm.nih.gov/pubmed/8005185</v>
      </c>
      <c r="D8488" s="250" t="str">
        <f>IF(AND(A8488&lt;&gt;"",ISNUMBER(A8488)),VLOOKUP(A8488,Studies!A:BR,4,FALSE),"")</f>
        <v>Alprazolam alone</v>
      </c>
      <c r="E8488" s="250" t="str">
        <f>IF(AND(A8488&lt;&gt;"",ISNUMBER(A8488)),VLOOKUP(A8488,Studies!A:BR,5,FALSE),"")</f>
        <v>Alprazolam</v>
      </c>
      <c r="F8488" s="251" t="str">
        <f>IF(AND(A8488&lt;&gt;"",ISNUMBER(A8488)),VLOOKUP(A8488,Studies!A:BR,6,FALSE),"")</f>
        <v>Plasma</v>
      </c>
      <c r="G8488" s="194">
        <v>4</v>
      </c>
      <c r="H8488" s="50" t="s">
        <v>60</v>
      </c>
      <c r="I8488" s="187">
        <v>12.66717</v>
      </c>
      <c r="J8488" s="41" t="s">
        <v>941</v>
      </c>
      <c r="K8488" s="41" t="s">
        <v>335</v>
      </c>
      <c r="O8488" s="199"/>
    </row>
    <row r="8489" spans="1:16" x14ac:dyDescent="0.2">
      <c r="A8489" s="30">
        <v>1103</v>
      </c>
      <c r="B8489" s="249" t="str">
        <f>IF(AND(A8489&lt;&gt;"",ISNUMBER(A8489)),VLOOKUP(A8489,Studies!A:BR,2,FALSE),"")</f>
        <v>Fleishaker 1994</v>
      </c>
      <c r="C8489" s="250" t="str">
        <f>IF(AND(A8489&lt;&gt;"",ISNUMBER(A8489)),VLOOKUP(A8489,Studies!A:BR,3,FALSE),"")</f>
        <v>https://www.ncbi.nlm.nih.gov/pubmed/8005185</v>
      </c>
      <c r="D8489" s="250" t="str">
        <f>IF(AND(A8489&lt;&gt;"",ISNUMBER(A8489)),VLOOKUP(A8489,Studies!A:BR,4,FALSE),"")</f>
        <v>Alprazolam alone</v>
      </c>
      <c r="E8489" s="250" t="str">
        <f>IF(AND(A8489&lt;&gt;"",ISNUMBER(A8489)),VLOOKUP(A8489,Studies!A:BR,5,FALSE),"")</f>
        <v>Alprazolam</v>
      </c>
      <c r="F8489" s="251" t="str">
        <f>IF(AND(A8489&lt;&gt;"",ISNUMBER(A8489)),VLOOKUP(A8489,Studies!A:BR,6,FALSE),"")</f>
        <v>Plasma</v>
      </c>
      <c r="G8489" s="194">
        <v>5</v>
      </c>
      <c r="H8489" s="50" t="s">
        <v>60</v>
      </c>
      <c r="I8489" s="187">
        <v>11.49091</v>
      </c>
      <c r="J8489" s="41" t="s">
        <v>941</v>
      </c>
      <c r="K8489" s="41" t="s">
        <v>335</v>
      </c>
      <c r="O8489" s="199"/>
    </row>
    <row r="8490" spans="1:16" x14ac:dyDescent="0.2">
      <c r="A8490" s="30">
        <v>1103</v>
      </c>
      <c r="B8490" s="249" t="str">
        <f>IF(AND(A8490&lt;&gt;"",ISNUMBER(A8490)),VLOOKUP(A8490,Studies!A:BR,2,FALSE),"")</f>
        <v>Fleishaker 1994</v>
      </c>
      <c r="C8490" s="250" t="str">
        <f>IF(AND(A8490&lt;&gt;"",ISNUMBER(A8490)),VLOOKUP(A8490,Studies!A:BR,3,FALSE),"")</f>
        <v>https://www.ncbi.nlm.nih.gov/pubmed/8005185</v>
      </c>
      <c r="D8490" s="250" t="str">
        <f>IF(AND(A8490&lt;&gt;"",ISNUMBER(A8490)),VLOOKUP(A8490,Studies!A:BR,4,FALSE),"")</f>
        <v>Alprazolam alone</v>
      </c>
      <c r="E8490" s="250" t="str">
        <f>IF(AND(A8490&lt;&gt;"",ISNUMBER(A8490)),VLOOKUP(A8490,Studies!A:BR,5,FALSE),"")</f>
        <v>Alprazolam</v>
      </c>
      <c r="F8490" s="251" t="str">
        <f>IF(AND(A8490&lt;&gt;"",ISNUMBER(A8490)),VLOOKUP(A8490,Studies!A:BR,6,FALSE),"")</f>
        <v>Plasma</v>
      </c>
      <c r="G8490" s="194">
        <v>6</v>
      </c>
      <c r="H8490" s="50" t="s">
        <v>60</v>
      </c>
      <c r="I8490" s="187">
        <v>13.36655</v>
      </c>
      <c r="J8490" s="41" t="s">
        <v>941</v>
      </c>
      <c r="K8490" s="41" t="s">
        <v>335</v>
      </c>
      <c r="O8490" s="199"/>
    </row>
    <row r="8491" spans="1:16" x14ac:dyDescent="0.2">
      <c r="A8491" s="30">
        <v>1103</v>
      </c>
      <c r="B8491" s="249" t="str">
        <f>IF(AND(A8491&lt;&gt;"",ISNUMBER(A8491)),VLOOKUP(A8491,Studies!A:BR,2,FALSE),"")</f>
        <v>Fleishaker 1994</v>
      </c>
      <c r="C8491" s="250" t="str">
        <f>IF(AND(A8491&lt;&gt;"",ISNUMBER(A8491)),VLOOKUP(A8491,Studies!A:BR,3,FALSE),"")</f>
        <v>https://www.ncbi.nlm.nih.gov/pubmed/8005185</v>
      </c>
      <c r="D8491" s="250" t="str">
        <f>IF(AND(A8491&lt;&gt;"",ISNUMBER(A8491)),VLOOKUP(A8491,Studies!A:BR,4,FALSE),"")</f>
        <v>Alprazolam alone</v>
      </c>
      <c r="E8491" s="250" t="str">
        <f>IF(AND(A8491&lt;&gt;"",ISNUMBER(A8491)),VLOOKUP(A8491,Studies!A:BR,5,FALSE),"")</f>
        <v>Alprazolam</v>
      </c>
      <c r="F8491" s="251" t="str">
        <f>IF(AND(A8491&lt;&gt;"",ISNUMBER(A8491)),VLOOKUP(A8491,Studies!A:BR,6,FALSE),"")</f>
        <v>Plasma</v>
      </c>
      <c r="G8491" s="194">
        <v>7</v>
      </c>
      <c r="H8491" s="50" t="s">
        <v>60</v>
      </c>
      <c r="I8491" s="187">
        <v>16.65091</v>
      </c>
      <c r="J8491" s="41" t="s">
        <v>941</v>
      </c>
      <c r="K8491" s="41" t="s">
        <v>335</v>
      </c>
      <c r="O8491" s="199"/>
    </row>
    <row r="8492" spans="1:16" x14ac:dyDescent="0.2">
      <c r="A8492" s="30">
        <v>1103</v>
      </c>
      <c r="B8492" s="249" t="str">
        <f>IF(AND(A8492&lt;&gt;"",ISNUMBER(A8492)),VLOOKUP(A8492,Studies!A:BR,2,FALSE),"")</f>
        <v>Fleishaker 1994</v>
      </c>
      <c r="C8492" s="250" t="str">
        <f>IF(AND(A8492&lt;&gt;"",ISNUMBER(A8492)),VLOOKUP(A8492,Studies!A:BR,3,FALSE),"")</f>
        <v>https://www.ncbi.nlm.nih.gov/pubmed/8005185</v>
      </c>
      <c r="D8492" s="250" t="str">
        <f>IF(AND(A8492&lt;&gt;"",ISNUMBER(A8492)),VLOOKUP(A8492,Studies!A:BR,4,FALSE),"")</f>
        <v>Alprazolam alone</v>
      </c>
      <c r="E8492" s="250" t="str">
        <f>IF(AND(A8492&lt;&gt;"",ISNUMBER(A8492)),VLOOKUP(A8492,Studies!A:BR,5,FALSE),"")</f>
        <v>Alprazolam</v>
      </c>
      <c r="F8492" s="251" t="str">
        <f>IF(AND(A8492&lt;&gt;"",ISNUMBER(A8492)),VLOOKUP(A8492,Studies!A:BR,6,FALSE),"")</f>
        <v>Plasma</v>
      </c>
      <c r="G8492" s="194">
        <v>9</v>
      </c>
      <c r="H8492" s="50" t="s">
        <v>60</v>
      </c>
      <c r="I8492" s="187">
        <v>18.525020000000001</v>
      </c>
      <c r="J8492" s="41" t="s">
        <v>941</v>
      </c>
      <c r="K8492" s="41" t="s">
        <v>335</v>
      </c>
      <c r="O8492" s="199"/>
    </row>
    <row r="8493" spans="1:16" x14ac:dyDescent="0.2">
      <c r="A8493" s="30">
        <v>1103</v>
      </c>
      <c r="B8493" s="249" t="str">
        <f>IF(AND(A8493&lt;&gt;"",ISNUMBER(A8493)),VLOOKUP(A8493,Studies!A:BR,2,FALSE),"")</f>
        <v>Fleishaker 1994</v>
      </c>
      <c r="C8493" s="250" t="str">
        <f>IF(AND(A8493&lt;&gt;"",ISNUMBER(A8493)),VLOOKUP(A8493,Studies!A:BR,3,FALSE),"")</f>
        <v>https://www.ncbi.nlm.nih.gov/pubmed/8005185</v>
      </c>
      <c r="D8493" s="250" t="str">
        <f>IF(AND(A8493&lt;&gt;"",ISNUMBER(A8493)),VLOOKUP(A8493,Studies!A:BR,4,FALSE),"")</f>
        <v>Alprazolam alone</v>
      </c>
      <c r="E8493" s="250" t="str">
        <f>IF(AND(A8493&lt;&gt;"",ISNUMBER(A8493)),VLOOKUP(A8493,Studies!A:BR,5,FALSE),"")</f>
        <v>Alprazolam</v>
      </c>
      <c r="F8493" s="251" t="str">
        <f>IF(AND(A8493&lt;&gt;"",ISNUMBER(A8493)),VLOOKUP(A8493,Studies!A:BR,6,FALSE),"")</f>
        <v>Plasma</v>
      </c>
      <c r="G8493" s="194">
        <v>10</v>
      </c>
      <c r="H8493" s="50" t="s">
        <v>60</v>
      </c>
      <c r="I8493" s="187">
        <v>18.05273</v>
      </c>
      <c r="J8493" s="41" t="s">
        <v>941</v>
      </c>
      <c r="K8493" s="41" t="s">
        <v>335</v>
      </c>
      <c r="O8493" s="199"/>
    </row>
    <row r="8494" spans="1:16" x14ac:dyDescent="0.2">
      <c r="A8494" s="30">
        <v>1103</v>
      </c>
      <c r="B8494" s="249" t="str">
        <f>IF(AND(A8494&lt;&gt;"",ISNUMBER(A8494)),VLOOKUP(A8494,Studies!A:BR,2,FALSE),"")</f>
        <v>Fleishaker 1994</v>
      </c>
      <c r="C8494" s="250" t="str">
        <f>IF(AND(A8494&lt;&gt;"",ISNUMBER(A8494)),VLOOKUP(A8494,Studies!A:BR,3,FALSE),"")</f>
        <v>https://www.ncbi.nlm.nih.gov/pubmed/8005185</v>
      </c>
      <c r="D8494" s="250" t="str">
        <f>IF(AND(A8494&lt;&gt;"",ISNUMBER(A8494)),VLOOKUP(A8494,Studies!A:BR,4,FALSE),"")</f>
        <v>Alprazolam alone</v>
      </c>
      <c r="E8494" s="250" t="str">
        <f>IF(AND(A8494&lt;&gt;"",ISNUMBER(A8494)),VLOOKUP(A8494,Studies!A:BR,5,FALSE),"")</f>
        <v>Alprazolam</v>
      </c>
      <c r="F8494" s="251" t="str">
        <f>IF(AND(A8494&lt;&gt;"",ISNUMBER(A8494)),VLOOKUP(A8494,Studies!A:BR,6,FALSE),"")</f>
        <v>Plasma</v>
      </c>
      <c r="G8494" s="194">
        <v>11</v>
      </c>
      <c r="H8494" s="50" t="s">
        <v>60</v>
      </c>
      <c r="I8494" s="187">
        <v>20.867599999999999</v>
      </c>
      <c r="J8494" s="41" t="s">
        <v>941</v>
      </c>
      <c r="K8494" s="41" t="s">
        <v>335</v>
      </c>
      <c r="O8494" s="199"/>
    </row>
    <row r="8495" spans="1:16" x14ac:dyDescent="0.2">
      <c r="A8495" s="30">
        <v>1103</v>
      </c>
      <c r="B8495" s="249" t="str">
        <f>IF(AND(A8495&lt;&gt;"",ISNUMBER(A8495)),VLOOKUP(A8495,Studies!A:BR,2,FALSE),"")</f>
        <v>Fleishaker 1994</v>
      </c>
      <c r="C8495" s="250" t="str">
        <f>IF(AND(A8495&lt;&gt;"",ISNUMBER(A8495)),VLOOKUP(A8495,Studies!A:BR,3,FALSE),"")</f>
        <v>https://www.ncbi.nlm.nih.gov/pubmed/8005185</v>
      </c>
      <c r="D8495" s="250" t="str">
        <f>IF(AND(A8495&lt;&gt;"",ISNUMBER(A8495)),VLOOKUP(A8495,Studies!A:BR,4,FALSE),"")</f>
        <v>Alprazolam alone</v>
      </c>
      <c r="E8495" s="250" t="str">
        <f>IF(AND(A8495&lt;&gt;"",ISNUMBER(A8495)),VLOOKUP(A8495,Studies!A:BR,5,FALSE),"")</f>
        <v>Alprazolam</v>
      </c>
      <c r="F8495" s="251" t="str">
        <f>IF(AND(A8495&lt;&gt;"",ISNUMBER(A8495)),VLOOKUP(A8495,Studies!A:BR,6,FALSE),"")</f>
        <v>Plasma</v>
      </c>
      <c r="G8495" s="194">
        <v>12</v>
      </c>
      <c r="H8495" s="50" t="s">
        <v>60</v>
      </c>
      <c r="I8495" s="187">
        <v>23.447479999999999</v>
      </c>
      <c r="J8495" s="41" t="s">
        <v>941</v>
      </c>
      <c r="K8495" s="41" t="s">
        <v>335</v>
      </c>
      <c r="O8495" s="199"/>
    </row>
    <row r="8496" spans="1:16" x14ac:dyDescent="0.2">
      <c r="A8496" s="30">
        <v>1103</v>
      </c>
      <c r="B8496" s="249" t="str">
        <f>IF(AND(A8496&lt;&gt;"",ISNUMBER(A8496)),VLOOKUP(A8496,Studies!A:BR,2,FALSE),"")</f>
        <v>Fleishaker 1994</v>
      </c>
      <c r="C8496" s="250" t="str">
        <f>IF(AND(A8496&lt;&gt;"",ISNUMBER(A8496)),VLOOKUP(A8496,Studies!A:BR,3,FALSE),"")</f>
        <v>https://www.ncbi.nlm.nih.gov/pubmed/8005185</v>
      </c>
      <c r="D8496" s="250" t="str">
        <f>IF(AND(A8496&lt;&gt;"",ISNUMBER(A8496)),VLOOKUP(A8496,Studies!A:BR,4,FALSE),"")</f>
        <v>Alprazolam alone</v>
      </c>
      <c r="E8496" s="250" t="str">
        <f>IF(AND(A8496&lt;&gt;"",ISNUMBER(A8496)),VLOOKUP(A8496,Studies!A:BR,5,FALSE),"")</f>
        <v>Alprazolam</v>
      </c>
      <c r="F8496" s="251" t="str">
        <f>IF(AND(A8496&lt;&gt;"",ISNUMBER(A8496)),VLOOKUP(A8496,Studies!A:BR,6,FALSE),"")</f>
        <v>Plasma</v>
      </c>
      <c r="G8496" s="194">
        <v>14</v>
      </c>
      <c r="H8496" s="50" t="s">
        <v>60</v>
      </c>
      <c r="I8496" s="187">
        <v>23.677890000000001</v>
      </c>
      <c r="J8496" s="41" t="s">
        <v>941</v>
      </c>
      <c r="K8496" s="41" t="s">
        <v>335</v>
      </c>
      <c r="O8496" s="199"/>
    </row>
    <row r="8497" spans="1:15" x14ac:dyDescent="0.2">
      <c r="A8497" s="30">
        <v>1103</v>
      </c>
      <c r="B8497" s="249" t="str">
        <f>IF(AND(A8497&lt;&gt;"",ISNUMBER(A8497)),VLOOKUP(A8497,Studies!A:BR,2,FALSE),"")</f>
        <v>Fleishaker 1994</v>
      </c>
      <c r="C8497" s="250" t="str">
        <f>IF(AND(A8497&lt;&gt;"",ISNUMBER(A8497)),VLOOKUP(A8497,Studies!A:BR,3,FALSE),"")</f>
        <v>https://www.ncbi.nlm.nih.gov/pubmed/8005185</v>
      </c>
      <c r="D8497" s="250" t="str">
        <f>IF(AND(A8497&lt;&gt;"",ISNUMBER(A8497)),VLOOKUP(A8497,Studies!A:BR,4,FALSE),"")</f>
        <v>Alprazolam alone</v>
      </c>
      <c r="E8497" s="250" t="str">
        <f>IF(AND(A8497&lt;&gt;"",ISNUMBER(A8497)),VLOOKUP(A8497,Studies!A:BR,5,FALSE),"")</f>
        <v>Alprazolam</v>
      </c>
      <c r="F8497" s="251" t="str">
        <f>IF(AND(A8497&lt;&gt;"",ISNUMBER(A8497)),VLOOKUP(A8497,Studies!A:BR,6,FALSE),"")</f>
        <v>Plasma</v>
      </c>
      <c r="G8497" s="194">
        <v>15</v>
      </c>
      <c r="H8497" s="50" t="s">
        <v>60</v>
      </c>
      <c r="I8497" s="187">
        <v>24.379819999999999</v>
      </c>
      <c r="J8497" s="41" t="s">
        <v>941</v>
      </c>
      <c r="K8497" s="41" t="s">
        <v>335</v>
      </c>
      <c r="O8497" s="199"/>
    </row>
    <row r="8498" spans="1:15" x14ac:dyDescent="0.2">
      <c r="A8498" s="30">
        <v>1103</v>
      </c>
      <c r="B8498" s="249" t="str">
        <f>IF(AND(A8498&lt;&gt;"",ISNUMBER(A8498)),VLOOKUP(A8498,Studies!A:BR,2,FALSE),"")</f>
        <v>Fleishaker 1994</v>
      </c>
      <c r="C8498" s="250" t="str">
        <f>IF(AND(A8498&lt;&gt;"",ISNUMBER(A8498)),VLOOKUP(A8498,Studies!A:BR,3,FALSE),"")</f>
        <v>https://www.ncbi.nlm.nih.gov/pubmed/8005185</v>
      </c>
      <c r="D8498" s="250" t="str">
        <f>IF(AND(A8498&lt;&gt;"",ISNUMBER(A8498)),VLOOKUP(A8498,Studies!A:BR,4,FALSE),"")</f>
        <v>Alprazolam alone</v>
      </c>
      <c r="E8498" s="250" t="str">
        <f>IF(AND(A8498&lt;&gt;"",ISNUMBER(A8498)),VLOOKUP(A8498,Studies!A:BR,5,FALSE),"")</f>
        <v>Alprazolam</v>
      </c>
      <c r="F8498" s="251" t="str">
        <f>IF(AND(A8498&lt;&gt;"",ISNUMBER(A8498)),VLOOKUP(A8498,Studies!A:BR,6,FALSE),"")</f>
        <v>Plasma</v>
      </c>
      <c r="G8498" s="194">
        <v>20</v>
      </c>
      <c r="H8498" s="50" t="s">
        <v>60</v>
      </c>
      <c r="I8498" s="187">
        <v>25.77731</v>
      </c>
      <c r="J8498" s="41" t="s">
        <v>941</v>
      </c>
      <c r="K8498" s="41" t="s">
        <v>335</v>
      </c>
      <c r="O8498" s="199"/>
    </row>
    <row r="8499" spans="1:15" x14ac:dyDescent="0.2">
      <c r="A8499" s="30">
        <v>1103</v>
      </c>
      <c r="B8499" s="249" t="str">
        <f>IF(AND(A8499&lt;&gt;"",ISNUMBER(A8499)),VLOOKUP(A8499,Studies!A:BR,2,FALSE),"")</f>
        <v>Fleishaker 1994</v>
      </c>
      <c r="C8499" s="250" t="str">
        <f>IF(AND(A8499&lt;&gt;"",ISNUMBER(A8499)),VLOOKUP(A8499,Studies!A:BR,3,FALSE),"")</f>
        <v>https://www.ncbi.nlm.nih.gov/pubmed/8005185</v>
      </c>
      <c r="D8499" s="250" t="str">
        <f>IF(AND(A8499&lt;&gt;"",ISNUMBER(A8499)),VLOOKUP(A8499,Studies!A:BR,4,FALSE),"")</f>
        <v>Alprazolam alone</v>
      </c>
      <c r="E8499" s="250" t="str">
        <f>IF(AND(A8499&lt;&gt;"",ISNUMBER(A8499)),VLOOKUP(A8499,Studies!A:BR,5,FALSE),"")</f>
        <v>Alprazolam</v>
      </c>
      <c r="F8499" s="251" t="str">
        <f>IF(AND(A8499&lt;&gt;"",ISNUMBER(A8499)),VLOOKUP(A8499,Studies!A:BR,6,FALSE),"")</f>
        <v>Plasma</v>
      </c>
      <c r="G8499" s="194">
        <v>24</v>
      </c>
      <c r="H8499" s="50" t="s">
        <v>60</v>
      </c>
      <c r="I8499" s="187">
        <v>27.177099999999999</v>
      </c>
      <c r="J8499" s="41" t="s">
        <v>941</v>
      </c>
      <c r="K8499" s="41" t="s">
        <v>335</v>
      </c>
      <c r="O8499" s="199"/>
    </row>
    <row r="8500" spans="1:15" x14ac:dyDescent="0.2">
      <c r="A8500" s="30">
        <v>1103</v>
      </c>
      <c r="B8500" s="249" t="str">
        <f>IF(AND(A8500&lt;&gt;"",ISNUMBER(A8500)),VLOOKUP(A8500,Studies!A:BR,2,FALSE),"")</f>
        <v>Fleishaker 1994</v>
      </c>
      <c r="C8500" s="250" t="str">
        <f>IF(AND(A8500&lt;&gt;"",ISNUMBER(A8500)),VLOOKUP(A8500,Studies!A:BR,3,FALSE),"")</f>
        <v>https://www.ncbi.nlm.nih.gov/pubmed/8005185</v>
      </c>
      <c r="D8500" s="250" t="str">
        <f>IF(AND(A8500&lt;&gt;"",ISNUMBER(A8500)),VLOOKUP(A8500,Studies!A:BR,4,FALSE),"")</f>
        <v>Alprazolam alone</v>
      </c>
      <c r="E8500" s="250" t="str">
        <f>IF(AND(A8500&lt;&gt;"",ISNUMBER(A8500)),VLOOKUP(A8500,Studies!A:BR,5,FALSE),"")</f>
        <v>Alprazolam</v>
      </c>
      <c r="F8500" s="251" t="str">
        <f>IF(AND(A8500&lt;&gt;"",ISNUMBER(A8500)),VLOOKUP(A8500,Studies!A:BR,6,FALSE),"")</f>
        <v>Plasma</v>
      </c>
      <c r="G8500" s="194">
        <v>48</v>
      </c>
      <c r="H8500" s="50" t="s">
        <v>60</v>
      </c>
      <c r="I8500" s="187">
        <v>35.575580000000002</v>
      </c>
      <c r="J8500" s="41" t="s">
        <v>941</v>
      </c>
      <c r="K8500" s="41" t="s">
        <v>335</v>
      </c>
      <c r="O8500" s="199"/>
    </row>
    <row r="8501" spans="1:15" x14ac:dyDescent="0.2">
      <c r="A8501" s="30">
        <v>1103</v>
      </c>
      <c r="B8501" s="249" t="str">
        <f>IF(AND(A8501&lt;&gt;"",ISNUMBER(A8501)),VLOOKUP(A8501,Studies!A:BR,2,FALSE),"")</f>
        <v>Fleishaker 1994</v>
      </c>
      <c r="C8501" s="250" t="str">
        <f>IF(AND(A8501&lt;&gt;"",ISNUMBER(A8501)),VLOOKUP(A8501,Studies!A:BR,3,FALSE),"")</f>
        <v>https://www.ncbi.nlm.nih.gov/pubmed/8005185</v>
      </c>
      <c r="D8501" s="250" t="str">
        <f>IF(AND(A8501&lt;&gt;"",ISNUMBER(A8501)),VLOOKUP(A8501,Studies!A:BR,4,FALSE),"")</f>
        <v>Alprazolam alone</v>
      </c>
      <c r="E8501" s="250" t="str">
        <f>IF(AND(A8501&lt;&gt;"",ISNUMBER(A8501)),VLOOKUP(A8501,Studies!A:BR,5,FALSE),"")</f>
        <v>Alprazolam</v>
      </c>
      <c r="F8501" s="251" t="str">
        <f>IF(AND(A8501&lt;&gt;"",ISNUMBER(A8501)),VLOOKUP(A8501,Studies!A:BR,6,FALSE),"")</f>
        <v>Plasma</v>
      </c>
      <c r="G8501" s="194">
        <v>72</v>
      </c>
      <c r="H8501" s="50" t="s">
        <v>60</v>
      </c>
      <c r="I8501" s="187">
        <v>38.80997</v>
      </c>
      <c r="J8501" s="41" t="s">
        <v>941</v>
      </c>
      <c r="K8501" s="41" t="s">
        <v>335</v>
      </c>
      <c r="O8501" s="199"/>
    </row>
    <row r="8502" spans="1:15" x14ac:dyDescent="0.2">
      <c r="A8502" s="30">
        <v>1103</v>
      </c>
      <c r="B8502" s="249" t="str">
        <f>IF(AND(A8502&lt;&gt;"",ISNUMBER(A8502)),VLOOKUP(A8502,Studies!A:BR,2,FALSE),"")</f>
        <v>Fleishaker 1994</v>
      </c>
      <c r="C8502" s="250" t="str">
        <f>IF(AND(A8502&lt;&gt;"",ISNUMBER(A8502)),VLOOKUP(A8502,Studies!A:BR,3,FALSE),"")</f>
        <v>https://www.ncbi.nlm.nih.gov/pubmed/8005185</v>
      </c>
      <c r="D8502" s="250" t="str">
        <f>IF(AND(A8502&lt;&gt;"",ISNUMBER(A8502)),VLOOKUP(A8502,Studies!A:BR,4,FALSE),"")</f>
        <v>Alprazolam alone</v>
      </c>
      <c r="E8502" s="250" t="str">
        <f>IF(AND(A8502&lt;&gt;"",ISNUMBER(A8502)),VLOOKUP(A8502,Studies!A:BR,5,FALSE),"")</f>
        <v>Alprazolam</v>
      </c>
      <c r="F8502" s="251" t="str">
        <f>IF(AND(A8502&lt;&gt;"",ISNUMBER(A8502)),VLOOKUP(A8502,Studies!A:BR,6,FALSE),"")</f>
        <v>Plasma</v>
      </c>
      <c r="G8502" s="194">
        <v>73</v>
      </c>
      <c r="H8502" s="50" t="s">
        <v>60</v>
      </c>
      <c r="I8502" s="187">
        <v>42.32882</v>
      </c>
      <c r="J8502" s="41" t="s">
        <v>941</v>
      </c>
      <c r="K8502" s="41" t="s">
        <v>335</v>
      </c>
      <c r="O8502" s="199"/>
    </row>
    <row r="8503" spans="1:15" x14ac:dyDescent="0.2">
      <c r="A8503" s="30">
        <v>1103</v>
      </c>
      <c r="B8503" s="249" t="str">
        <f>IF(AND(A8503&lt;&gt;"",ISNUMBER(A8503)),VLOOKUP(A8503,Studies!A:BR,2,FALSE),"")</f>
        <v>Fleishaker 1994</v>
      </c>
      <c r="C8503" s="250" t="str">
        <f>IF(AND(A8503&lt;&gt;"",ISNUMBER(A8503)),VLOOKUP(A8503,Studies!A:BR,3,FALSE),"")</f>
        <v>https://www.ncbi.nlm.nih.gov/pubmed/8005185</v>
      </c>
      <c r="D8503" s="250" t="str">
        <f>IF(AND(A8503&lt;&gt;"",ISNUMBER(A8503)),VLOOKUP(A8503,Studies!A:BR,4,FALSE),"")</f>
        <v>Alprazolam alone</v>
      </c>
      <c r="E8503" s="250" t="str">
        <f>IF(AND(A8503&lt;&gt;"",ISNUMBER(A8503)),VLOOKUP(A8503,Studies!A:BR,5,FALSE),"")</f>
        <v>Alprazolam</v>
      </c>
      <c r="F8503" s="251" t="str">
        <f>IF(AND(A8503&lt;&gt;"",ISNUMBER(A8503)),VLOOKUP(A8503,Studies!A:BR,6,FALSE),"")</f>
        <v>Plasma</v>
      </c>
      <c r="G8503" s="194">
        <v>74</v>
      </c>
      <c r="H8503" s="50" t="s">
        <v>60</v>
      </c>
      <c r="I8503" s="187">
        <v>43.969470000000001</v>
      </c>
      <c r="J8503" s="41" t="s">
        <v>941</v>
      </c>
      <c r="K8503" s="41" t="s">
        <v>335</v>
      </c>
      <c r="O8503" s="199"/>
    </row>
    <row r="8504" spans="1:15" x14ac:dyDescent="0.2">
      <c r="A8504" s="30">
        <v>1103</v>
      </c>
      <c r="B8504" s="249" t="str">
        <f>IF(AND(A8504&lt;&gt;"",ISNUMBER(A8504)),VLOOKUP(A8504,Studies!A:BR,2,FALSE),"")</f>
        <v>Fleishaker 1994</v>
      </c>
      <c r="C8504" s="250" t="str">
        <f>IF(AND(A8504&lt;&gt;"",ISNUMBER(A8504)),VLOOKUP(A8504,Studies!A:BR,3,FALSE),"")</f>
        <v>https://www.ncbi.nlm.nih.gov/pubmed/8005185</v>
      </c>
      <c r="D8504" s="250" t="str">
        <f>IF(AND(A8504&lt;&gt;"",ISNUMBER(A8504)),VLOOKUP(A8504,Studies!A:BR,4,FALSE),"")</f>
        <v>Alprazolam alone</v>
      </c>
      <c r="E8504" s="250" t="str">
        <f>IF(AND(A8504&lt;&gt;"",ISNUMBER(A8504)),VLOOKUP(A8504,Studies!A:BR,5,FALSE),"")</f>
        <v>Alprazolam</v>
      </c>
      <c r="F8504" s="251" t="str">
        <f>IF(AND(A8504&lt;&gt;"",ISNUMBER(A8504)),VLOOKUP(A8504,Studies!A:BR,6,FALSE),"")</f>
        <v>Plasma</v>
      </c>
      <c r="G8504" s="194">
        <v>76</v>
      </c>
      <c r="H8504" s="50" t="s">
        <v>60</v>
      </c>
      <c r="I8504" s="187">
        <v>42.08719</v>
      </c>
      <c r="J8504" s="41" t="s">
        <v>941</v>
      </c>
      <c r="K8504" s="41" t="s">
        <v>335</v>
      </c>
      <c r="O8504" s="199"/>
    </row>
    <row r="8505" spans="1:15" x14ac:dyDescent="0.2">
      <c r="A8505" s="30">
        <v>1103</v>
      </c>
      <c r="B8505" s="249" t="str">
        <f>IF(AND(A8505&lt;&gt;"",ISNUMBER(A8505)),VLOOKUP(A8505,Studies!A:BR,2,FALSE),"")</f>
        <v>Fleishaker 1994</v>
      </c>
      <c r="C8505" s="250" t="str">
        <f>IF(AND(A8505&lt;&gt;"",ISNUMBER(A8505)),VLOOKUP(A8505,Studies!A:BR,3,FALSE),"")</f>
        <v>https://www.ncbi.nlm.nih.gov/pubmed/8005185</v>
      </c>
      <c r="D8505" s="250" t="str">
        <f>IF(AND(A8505&lt;&gt;"",ISNUMBER(A8505)),VLOOKUP(A8505,Studies!A:BR,4,FALSE),"")</f>
        <v>Alprazolam alone</v>
      </c>
      <c r="E8505" s="250" t="str">
        <f>IF(AND(A8505&lt;&gt;"",ISNUMBER(A8505)),VLOOKUP(A8505,Studies!A:BR,5,FALSE),"")</f>
        <v>Alprazolam</v>
      </c>
      <c r="F8505" s="251" t="str">
        <f>IF(AND(A8505&lt;&gt;"",ISNUMBER(A8505)),VLOOKUP(A8505,Studies!A:BR,6,FALSE),"")</f>
        <v>Plasma</v>
      </c>
      <c r="G8505" s="194">
        <v>77</v>
      </c>
      <c r="H8505" s="50" t="s">
        <v>60</v>
      </c>
      <c r="I8505" s="187">
        <v>39.503239999999998</v>
      </c>
      <c r="J8505" s="41" t="s">
        <v>941</v>
      </c>
      <c r="K8505" s="41" t="s">
        <v>335</v>
      </c>
      <c r="O8505" s="199"/>
    </row>
    <row r="8506" spans="1:15" x14ac:dyDescent="0.2">
      <c r="A8506" s="30">
        <v>1103</v>
      </c>
      <c r="B8506" s="249" t="str">
        <f>IF(AND(A8506&lt;&gt;"",ISNUMBER(A8506)),VLOOKUP(A8506,Studies!A:BR,2,FALSE),"")</f>
        <v>Fleishaker 1994</v>
      </c>
      <c r="C8506" s="250" t="str">
        <f>IF(AND(A8506&lt;&gt;"",ISNUMBER(A8506)),VLOOKUP(A8506,Studies!A:BR,3,FALSE),"")</f>
        <v>https://www.ncbi.nlm.nih.gov/pubmed/8005185</v>
      </c>
      <c r="D8506" s="250" t="str">
        <f>IF(AND(A8506&lt;&gt;"",ISNUMBER(A8506)),VLOOKUP(A8506,Studies!A:BR,4,FALSE),"")</f>
        <v>Alprazolam alone</v>
      </c>
      <c r="E8506" s="250" t="str">
        <f>IF(AND(A8506&lt;&gt;"",ISNUMBER(A8506)),VLOOKUP(A8506,Studies!A:BR,5,FALSE),"")</f>
        <v>Alprazolam</v>
      </c>
      <c r="F8506" s="251" t="str">
        <f>IF(AND(A8506&lt;&gt;"",ISNUMBER(A8506)),VLOOKUP(A8506,Studies!A:BR,6,FALSE),"")</f>
        <v>Plasma</v>
      </c>
      <c r="G8506" s="194">
        <v>78</v>
      </c>
      <c r="H8506" s="50" t="s">
        <v>60</v>
      </c>
      <c r="I8506" s="187">
        <v>43.256830000000001</v>
      </c>
      <c r="J8506" s="41" t="s">
        <v>941</v>
      </c>
      <c r="K8506" s="41" t="s">
        <v>335</v>
      </c>
      <c r="O8506" s="199"/>
    </row>
    <row r="8507" spans="1:15" x14ac:dyDescent="0.2">
      <c r="A8507" s="30">
        <v>1103</v>
      </c>
      <c r="B8507" s="249" t="str">
        <f>IF(AND(A8507&lt;&gt;"",ISNUMBER(A8507)),VLOOKUP(A8507,Studies!A:BR,2,FALSE),"")</f>
        <v>Fleishaker 1994</v>
      </c>
      <c r="C8507" s="250" t="str">
        <f>IF(AND(A8507&lt;&gt;"",ISNUMBER(A8507)),VLOOKUP(A8507,Studies!A:BR,3,FALSE),"")</f>
        <v>https://www.ncbi.nlm.nih.gov/pubmed/8005185</v>
      </c>
      <c r="D8507" s="250" t="str">
        <f>IF(AND(A8507&lt;&gt;"",ISNUMBER(A8507)),VLOOKUP(A8507,Studies!A:BR,4,FALSE),"")</f>
        <v>Alprazolam alone</v>
      </c>
      <c r="E8507" s="250" t="str">
        <f>IF(AND(A8507&lt;&gt;"",ISNUMBER(A8507)),VLOOKUP(A8507,Studies!A:BR,5,FALSE),"")</f>
        <v>Alprazolam</v>
      </c>
      <c r="F8507" s="251" t="str">
        <f>IF(AND(A8507&lt;&gt;"",ISNUMBER(A8507)),VLOOKUP(A8507,Studies!A:BR,6,FALSE),"")</f>
        <v>Plasma</v>
      </c>
      <c r="G8507" s="194">
        <v>79</v>
      </c>
      <c r="H8507" s="50" t="s">
        <v>60</v>
      </c>
      <c r="I8507" s="187">
        <v>43.959009999999999</v>
      </c>
      <c r="J8507" s="41" t="s">
        <v>941</v>
      </c>
      <c r="K8507" s="41" t="s">
        <v>335</v>
      </c>
      <c r="O8507" s="199"/>
    </row>
    <row r="8508" spans="1:15" x14ac:dyDescent="0.2">
      <c r="A8508" s="30">
        <v>1103</v>
      </c>
      <c r="B8508" s="249" t="str">
        <f>IF(AND(A8508&lt;&gt;"",ISNUMBER(A8508)),VLOOKUP(A8508,Studies!A:BR,2,FALSE),"")</f>
        <v>Fleishaker 1994</v>
      </c>
      <c r="C8508" s="250" t="str">
        <f>IF(AND(A8508&lt;&gt;"",ISNUMBER(A8508)),VLOOKUP(A8508,Studies!A:BR,3,FALSE),"")</f>
        <v>https://www.ncbi.nlm.nih.gov/pubmed/8005185</v>
      </c>
      <c r="D8508" s="250" t="str">
        <f>IF(AND(A8508&lt;&gt;"",ISNUMBER(A8508)),VLOOKUP(A8508,Studies!A:BR,4,FALSE),"")</f>
        <v>Alprazolam alone</v>
      </c>
      <c r="E8508" s="250" t="str">
        <f>IF(AND(A8508&lt;&gt;"",ISNUMBER(A8508)),VLOOKUP(A8508,Studies!A:BR,5,FALSE),"")</f>
        <v>Alprazolam</v>
      </c>
      <c r="F8508" s="251" t="str">
        <f>IF(AND(A8508&lt;&gt;"",ISNUMBER(A8508)),VLOOKUP(A8508,Studies!A:BR,6,FALSE),"")</f>
        <v>Plasma</v>
      </c>
      <c r="G8508" s="194">
        <v>81</v>
      </c>
      <c r="H8508" s="50" t="s">
        <v>60</v>
      </c>
      <c r="I8508" s="187">
        <v>43.719679999999997</v>
      </c>
      <c r="J8508" s="41" t="s">
        <v>941</v>
      </c>
      <c r="K8508" s="41" t="s">
        <v>335</v>
      </c>
      <c r="O8508" s="199"/>
    </row>
    <row r="8509" spans="1:15" x14ac:dyDescent="0.2">
      <c r="A8509" s="30">
        <v>1103</v>
      </c>
      <c r="B8509" s="249" t="str">
        <f>IF(AND(A8509&lt;&gt;"",ISNUMBER(A8509)),VLOOKUP(A8509,Studies!A:BR,2,FALSE),"")</f>
        <v>Fleishaker 1994</v>
      </c>
      <c r="C8509" s="250" t="str">
        <f>IF(AND(A8509&lt;&gt;"",ISNUMBER(A8509)),VLOOKUP(A8509,Studies!A:BR,3,FALSE),"")</f>
        <v>https://www.ncbi.nlm.nih.gov/pubmed/8005185</v>
      </c>
      <c r="D8509" s="250" t="str">
        <f>IF(AND(A8509&lt;&gt;"",ISNUMBER(A8509)),VLOOKUP(A8509,Studies!A:BR,4,FALSE),"")</f>
        <v>Alprazolam alone</v>
      </c>
      <c r="E8509" s="250" t="str">
        <f>IF(AND(A8509&lt;&gt;"",ISNUMBER(A8509)),VLOOKUP(A8509,Studies!A:BR,5,FALSE),"")</f>
        <v>Alprazolam</v>
      </c>
      <c r="F8509" s="251" t="str">
        <f>IF(AND(A8509&lt;&gt;"",ISNUMBER(A8509)),VLOOKUP(A8509,Studies!A:BR,6,FALSE),"")</f>
        <v>Plasma</v>
      </c>
      <c r="G8509" s="194">
        <v>82</v>
      </c>
      <c r="H8509" s="50" t="s">
        <v>60</v>
      </c>
      <c r="I8509" s="187">
        <v>40.431249999999999</v>
      </c>
      <c r="J8509" s="41" t="s">
        <v>941</v>
      </c>
      <c r="K8509" s="41" t="s">
        <v>335</v>
      </c>
      <c r="O8509" s="199"/>
    </row>
    <row r="8510" spans="1:15" x14ac:dyDescent="0.2">
      <c r="A8510" s="30">
        <v>1103</v>
      </c>
      <c r="B8510" s="249" t="str">
        <f>IF(AND(A8510&lt;&gt;"",ISNUMBER(A8510)),VLOOKUP(A8510,Studies!A:BR,2,FALSE),"")</f>
        <v>Fleishaker 1994</v>
      </c>
      <c r="C8510" s="250" t="str">
        <f>IF(AND(A8510&lt;&gt;"",ISNUMBER(A8510)),VLOOKUP(A8510,Studies!A:BR,3,FALSE),"")</f>
        <v>https://www.ncbi.nlm.nih.gov/pubmed/8005185</v>
      </c>
      <c r="D8510" s="250" t="str">
        <f>IF(AND(A8510&lt;&gt;"",ISNUMBER(A8510)),VLOOKUP(A8510,Studies!A:BR,4,FALSE),"")</f>
        <v>Alprazolam alone</v>
      </c>
      <c r="E8510" s="250" t="str">
        <f>IF(AND(A8510&lt;&gt;"",ISNUMBER(A8510)),VLOOKUP(A8510,Studies!A:BR,5,FALSE),"")</f>
        <v>Alprazolam</v>
      </c>
      <c r="F8510" s="251" t="str">
        <f>IF(AND(A8510&lt;&gt;"",ISNUMBER(A8510)),VLOOKUP(A8510,Studies!A:BR,6,FALSE),"")</f>
        <v>Plasma</v>
      </c>
      <c r="G8510" s="194">
        <v>83</v>
      </c>
      <c r="H8510" s="50" t="s">
        <v>60</v>
      </c>
      <c r="I8510" s="187">
        <v>45.828029999999998</v>
      </c>
      <c r="J8510" s="41" t="s">
        <v>941</v>
      </c>
      <c r="K8510" s="41" t="s">
        <v>335</v>
      </c>
      <c r="O8510" s="199"/>
    </row>
    <row r="8511" spans="1:15" x14ac:dyDescent="0.2">
      <c r="A8511" s="30">
        <v>1103</v>
      </c>
      <c r="B8511" s="249" t="str">
        <f>IF(AND(A8511&lt;&gt;"",ISNUMBER(A8511)),VLOOKUP(A8511,Studies!A:BR,2,FALSE),"")</f>
        <v>Fleishaker 1994</v>
      </c>
      <c r="C8511" s="250" t="str">
        <f>IF(AND(A8511&lt;&gt;"",ISNUMBER(A8511)),VLOOKUP(A8511,Studies!A:BR,3,FALSE),"")</f>
        <v>https://www.ncbi.nlm.nih.gov/pubmed/8005185</v>
      </c>
      <c r="D8511" s="250" t="str">
        <f>IF(AND(A8511&lt;&gt;"",ISNUMBER(A8511)),VLOOKUP(A8511,Studies!A:BR,4,FALSE),"")</f>
        <v>Alprazolam alone</v>
      </c>
      <c r="E8511" s="250" t="str">
        <f>IF(AND(A8511&lt;&gt;"",ISNUMBER(A8511)),VLOOKUP(A8511,Studies!A:BR,5,FALSE),"")</f>
        <v>Alprazolam</v>
      </c>
      <c r="F8511" s="251" t="str">
        <f>IF(AND(A8511&lt;&gt;"",ISNUMBER(A8511)),VLOOKUP(A8511,Studies!A:BR,6,FALSE),"")</f>
        <v>Plasma</v>
      </c>
      <c r="G8511" s="194">
        <v>84</v>
      </c>
      <c r="H8511" s="50" t="s">
        <v>60</v>
      </c>
      <c r="I8511" s="187">
        <v>47.234200000000001</v>
      </c>
      <c r="J8511" s="41" t="s">
        <v>941</v>
      </c>
      <c r="K8511" s="41" t="s">
        <v>335</v>
      </c>
      <c r="O8511" s="199"/>
    </row>
    <row r="8512" spans="1:15" x14ac:dyDescent="0.2">
      <c r="A8512" s="30">
        <v>1103</v>
      </c>
      <c r="B8512" s="249" t="str">
        <f>IF(AND(A8512&lt;&gt;"",ISNUMBER(A8512)),VLOOKUP(A8512,Studies!A:BR,2,FALSE),"")</f>
        <v>Fleishaker 1994</v>
      </c>
      <c r="C8512" s="250" t="str">
        <f>IF(AND(A8512&lt;&gt;"",ISNUMBER(A8512)),VLOOKUP(A8512,Studies!A:BR,3,FALSE),"")</f>
        <v>https://www.ncbi.nlm.nih.gov/pubmed/8005185</v>
      </c>
      <c r="D8512" s="250" t="str">
        <f>IF(AND(A8512&lt;&gt;"",ISNUMBER(A8512)),VLOOKUP(A8512,Studies!A:BR,4,FALSE),"")</f>
        <v>Alprazolam alone</v>
      </c>
      <c r="E8512" s="250" t="str">
        <f>IF(AND(A8512&lt;&gt;"",ISNUMBER(A8512)),VLOOKUP(A8512,Studies!A:BR,5,FALSE),"")</f>
        <v>Alprazolam</v>
      </c>
      <c r="F8512" s="251" t="str">
        <f>IF(AND(A8512&lt;&gt;"",ISNUMBER(A8512)),VLOOKUP(A8512,Studies!A:BR,6,FALSE),"")</f>
        <v>Plasma</v>
      </c>
      <c r="G8512" s="194">
        <v>86</v>
      </c>
      <c r="H8512" s="50" t="s">
        <v>60</v>
      </c>
      <c r="I8512" s="187">
        <v>44.413209999999999</v>
      </c>
      <c r="J8512" s="41" t="s">
        <v>941</v>
      </c>
      <c r="K8512" s="41" t="s">
        <v>335</v>
      </c>
      <c r="O8512" s="199"/>
    </row>
    <row r="8513" spans="1:16" x14ac:dyDescent="0.2">
      <c r="A8513" s="30">
        <v>1103</v>
      </c>
      <c r="B8513" s="249" t="str">
        <f>IF(AND(A8513&lt;&gt;"",ISNUMBER(A8513)),VLOOKUP(A8513,Studies!A:BR,2,FALSE),"")</f>
        <v>Fleishaker 1994</v>
      </c>
      <c r="C8513" s="250" t="str">
        <f>IF(AND(A8513&lt;&gt;"",ISNUMBER(A8513)),VLOOKUP(A8513,Studies!A:BR,3,FALSE),"")</f>
        <v>https://www.ncbi.nlm.nih.gov/pubmed/8005185</v>
      </c>
      <c r="D8513" s="250" t="str">
        <f>IF(AND(A8513&lt;&gt;"",ISNUMBER(A8513)),VLOOKUP(A8513,Studies!A:BR,4,FALSE),"")</f>
        <v>Alprazolam alone</v>
      </c>
      <c r="E8513" s="250" t="str">
        <f>IF(AND(A8513&lt;&gt;"",ISNUMBER(A8513)),VLOOKUP(A8513,Studies!A:BR,5,FALSE),"")</f>
        <v>Alprazolam</v>
      </c>
      <c r="F8513" s="251" t="str">
        <f>IF(AND(A8513&lt;&gt;"",ISNUMBER(A8513)),VLOOKUP(A8513,Studies!A:BR,6,FALSE),"")</f>
        <v>Plasma</v>
      </c>
      <c r="G8513" s="194">
        <v>87</v>
      </c>
      <c r="H8513" s="50" t="s">
        <v>60</v>
      </c>
      <c r="I8513" s="187">
        <v>43.002719999999997</v>
      </c>
      <c r="J8513" s="41" t="s">
        <v>941</v>
      </c>
      <c r="K8513" s="41" t="s">
        <v>335</v>
      </c>
      <c r="O8513" s="199"/>
    </row>
    <row r="8514" spans="1:16" x14ac:dyDescent="0.2">
      <c r="A8514" s="30">
        <v>1103</v>
      </c>
      <c r="B8514" s="249" t="str">
        <f>IF(AND(A8514&lt;&gt;"",ISNUMBER(A8514)),VLOOKUP(A8514,Studies!A:BR,2,FALSE),"")</f>
        <v>Fleishaker 1994</v>
      </c>
      <c r="C8514" s="250" t="str">
        <f>IF(AND(A8514&lt;&gt;"",ISNUMBER(A8514)),VLOOKUP(A8514,Studies!A:BR,3,FALSE),"")</f>
        <v>https://www.ncbi.nlm.nih.gov/pubmed/8005185</v>
      </c>
      <c r="D8514" s="250" t="str">
        <f>IF(AND(A8514&lt;&gt;"",ISNUMBER(A8514)),VLOOKUP(A8514,Studies!A:BR,4,FALSE),"")</f>
        <v>Alprazolam alone</v>
      </c>
      <c r="E8514" s="250" t="str">
        <f>IF(AND(A8514&lt;&gt;"",ISNUMBER(A8514)),VLOOKUP(A8514,Studies!A:BR,5,FALSE),"")</f>
        <v>Alprazolam</v>
      </c>
      <c r="F8514" s="251" t="str">
        <f>IF(AND(A8514&lt;&gt;"",ISNUMBER(A8514)),VLOOKUP(A8514,Studies!A:BR,6,FALSE),"")</f>
        <v>Plasma</v>
      </c>
      <c r="G8514" s="194">
        <v>88</v>
      </c>
      <c r="H8514" s="50" t="s">
        <v>60</v>
      </c>
      <c r="I8514" s="187">
        <v>50.277439999999999</v>
      </c>
      <c r="J8514" s="41" t="s">
        <v>941</v>
      </c>
      <c r="K8514" s="41" t="s">
        <v>335</v>
      </c>
      <c r="O8514" s="199"/>
    </row>
    <row r="8515" spans="1:16" x14ac:dyDescent="0.2">
      <c r="A8515" s="30">
        <v>1103</v>
      </c>
      <c r="B8515" s="249" t="str">
        <f>IF(AND(A8515&lt;&gt;"",ISNUMBER(A8515)),VLOOKUP(A8515,Studies!A:BR,2,FALSE),"")</f>
        <v>Fleishaker 1994</v>
      </c>
      <c r="C8515" s="250" t="str">
        <f>IF(AND(A8515&lt;&gt;"",ISNUMBER(A8515)),VLOOKUP(A8515,Studies!A:BR,3,FALSE),"")</f>
        <v>https://www.ncbi.nlm.nih.gov/pubmed/8005185</v>
      </c>
      <c r="D8515" s="250" t="str">
        <f>IF(AND(A8515&lt;&gt;"",ISNUMBER(A8515)),VLOOKUP(A8515,Studies!A:BR,4,FALSE),"")</f>
        <v>Alprazolam alone</v>
      </c>
      <c r="E8515" s="250" t="str">
        <f>IF(AND(A8515&lt;&gt;"",ISNUMBER(A8515)),VLOOKUP(A8515,Studies!A:BR,5,FALSE),"")</f>
        <v>Alprazolam</v>
      </c>
      <c r="F8515" s="251" t="str">
        <f>IF(AND(A8515&lt;&gt;"",ISNUMBER(A8515)),VLOOKUP(A8515,Studies!A:BR,6,FALSE),"")</f>
        <v>Plasma</v>
      </c>
      <c r="G8515" s="194">
        <v>89</v>
      </c>
      <c r="H8515" s="50" t="s">
        <v>60</v>
      </c>
      <c r="I8515" s="187">
        <v>50.979370000000003</v>
      </c>
      <c r="J8515" s="41" t="s">
        <v>941</v>
      </c>
      <c r="K8515" s="41" t="s">
        <v>335</v>
      </c>
      <c r="O8515" s="199"/>
    </row>
    <row r="8516" spans="1:16" x14ac:dyDescent="0.2">
      <c r="A8516" s="30">
        <v>1103</v>
      </c>
      <c r="B8516" s="249" t="str">
        <f>IF(AND(A8516&lt;&gt;"",ISNUMBER(A8516)),VLOOKUP(A8516,Studies!A:BR,2,FALSE),"")</f>
        <v>Fleishaker 1994</v>
      </c>
      <c r="C8516" s="250" t="str">
        <f>IF(AND(A8516&lt;&gt;"",ISNUMBER(A8516)),VLOOKUP(A8516,Studies!A:BR,3,FALSE),"")</f>
        <v>https://www.ncbi.nlm.nih.gov/pubmed/8005185</v>
      </c>
      <c r="D8516" s="250" t="str">
        <f>IF(AND(A8516&lt;&gt;"",ISNUMBER(A8516)),VLOOKUP(A8516,Studies!A:BR,4,FALSE),"")</f>
        <v>Alprazolam alone</v>
      </c>
      <c r="E8516" s="250" t="str">
        <f>IF(AND(A8516&lt;&gt;"",ISNUMBER(A8516)),VLOOKUP(A8516,Studies!A:BR,5,FALSE),"")</f>
        <v>Alprazolam</v>
      </c>
      <c r="F8516" s="251" t="str">
        <f>IF(AND(A8516&lt;&gt;"",ISNUMBER(A8516)),VLOOKUP(A8516,Studies!A:BR,6,FALSE),"")</f>
        <v>Plasma</v>
      </c>
      <c r="G8516" s="194">
        <v>91</v>
      </c>
      <c r="H8516" s="50" t="s">
        <v>60</v>
      </c>
      <c r="I8516" s="187">
        <v>47.219410000000003</v>
      </c>
      <c r="J8516" s="41" t="s">
        <v>941</v>
      </c>
      <c r="K8516" s="41" t="s">
        <v>335</v>
      </c>
      <c r="O8516" s="199"/>
    </row>
    <row r="8517" spans="1:16" x14ac:dyDescent="0.2">
      <c r="A8517" s="30">
        <v>1103</v>
      </c>
      <c r="B8517" s="249" t="str">
        <f>IF(AND(A8517&lt;&gt;"",ISNUMBER(A8517)),VLOOKUP(A8517,Studies!A:BR,2,FALSE),"")</f>
        <v>Fleishaker 1994</v>
      </c>
      <c r="C8517" s="250" t="str">
        <f>IF(AND(A8517&lt;&gt;"",ISNUMBER(A8517)),VLOOKUP(A8517,Studies!A:BR,3,FALSE),"")</f>
        <v>https://www.ncbi.nlm.nih.gov/pubmed/8005185</v>
      </c>
      <c r="D8517" s="250" t="str">
        <f>IF(AND(A8517&lt;&gt;"",ISNUMBER(A8517)),VLOOKUP(A8517,Studies!A:BR,4,FALSE),"")</f>
        <v>Alprazolam alone</v>
      </c>
      <c r="E8517" s="250" t="str">
        <f>IF(AND(A8517&lt;&gt;"",ISNUMBER(A8517)),VLOOKUP(A8517,Studies!A:BR,5,FALSE),"")</f>
        <v>Alprazolam</v>
      </c>
      <c r="F8517" s="251" t="str">
        <f>IF(AND(A8517&lt;&gt;"",ISNUMBER(A8517)),VLOOKUP(A8517,Studies!A:BR,6,FALSE),"")</f>
        <v>Plasma</v>
      </c>
      <c r="G8517" s="194">
        <v>93</v>
      </c>
      <c r="H8517" s="50" t="s">
        <v>60</v>
      </c>
      <c r="I8517" s="187">
        <v>43.458950000000002</v>
      </c>
      <c r="J8517" s="41" t="s">
        <v>941</v>
      </c>
      <c r="K8517" s="41" t="s">
        <v>335</v>
      </c>
      <c r="O8517" s="199"/>
    </row>
    <row r="8518" spans="1:16" x14ac:dyDescent="0.2">
      <c r="A8518" s="30">
        <v>1103</v>
      </c>
      <c r="B8518" s="249" t="str">
        <f>IF(AND(A8518&lt;&gt;"",ISNUMBER(A8518)),VLOOKUP(A8518,Studies!A:BR,2,FALSE),"")</f>
        <v>Fleishaker 1994</v>
      </c>
      <c r="C8518" s="250" t="str">
        <f>IF(AND(A8518&lt;&gt;"",ISNUMBER(A8518)),VLOOKUP(A8518,Studies!A:BR,3,FALSE),"")</f>
        <v>https://www.ncbi.nlm.nih.gov/pubmed/8005185</v>
      </c>
      <c r="D8518" s="250" t="str">
        <f>IF(AND(A8518&lt;&gt;"",ISNUMBER(A8518)),VLOOKUP(A8518,Studies!A:BR,4,FALSE),"")</f>
        <v>Alprazolam alone</v>
      </c>
      <c r="E8518" s="250" t="str">
        <f>IF(AND(A8518&lt;&gt;"",ISNUMBER(A8518)),VLOOKUP(A8518,Studies!A:BR,5,FALSE),"")</f>
        <v>Alprazolam</v>
      </c>
      <c r="F8518" s="251" t="str">
        <f>IF(AND(A8518&lt;&gt;"",ISNUMBER(A8518)),VLOOKUP(A8518,Studies!A:BR,6,FALSE),"")</f>
        <v>Plasma</v>
      </c>
      <c r="G8518" s="194">
        <v>96</v>
      </c>
      <c r="H8518" s="50" t="s">
        <v>60</v>
      </c>
      <c r="I8518" s="187">
        <v>40.166179999999997</v>
      </c>
      <c r="J8518" s="41" t="s">
        <v>941</v>
      </c>
      <c r="K8518" s="41" t="s">
        <v>335</v>
      </c>
      <c r="O8518" s="199"/>
    </row>
    <row r="8519" spans="1:16" x14ac:dyDescent="0.2">
      <c r="A8519" s="30">
        <v>1103</v>
      </c>
      <c r="B8519" s="249" t="str">
        <f>IF(AND(A8519&lt;&gt;"",ISNUMBER(A8519)),VLOOKUP(A8519,Studies!A:BR,2,FALSE),"")</f>
        <v>Fleishaker 1994</v>
      </c>
      <c r="C8519" s="250" t="str">
        <f>IF(AND(A8519&lt;&gt;"",ISNUMBER(A8519)),VLOOKUP(A8519,Studies!A:BR,3,FALSE),"")</f>
        <v>https://www.ncbi.nlm.nih.gov/pubmed/8005185</v>
      </c>
      <c r="D8519" s="250" t="str">
        <f>IF(AND(A8519&lt;&gt;"",ISNUMBER(A8519)),VLOOKUP(A8519,Studies!A:BR,4,FALSE),"")</f>
        <v>Alprazolam alone</v>
      </c>
      <c r="E8519" s="250" t="str">
        <f>IF(AND(A8519&lt;&gt;"",ISNUMBER(A8519)),VLOOKUP(A8519,Studies!A:BR,5,FALSE),"")</f>
        <v>Alprazolam</v>
      </c>
      <c r="F8519" s="251" t="str">
        <f>IF(AND(A8519&lt;&gt;"",ISNUMBER(A8519)),VLOOKUP(A8519,Studies!A:BR,6,FALSE),"")</f>
        <v>Plasma</v>
      </c>
      <c r="G8519" s="194">
        <v>101</v>
      </c>
      <c r="H8519" s="50" t="s">
        <v>60</v>
      </c>
      <c r="I8519" s="187">
        <v>31.939240000000002</v>
      </c>
      <c r="J8519" s="41" t="s">
        <v>941</v>
      </c>
      <c r="K8519" s="41" t="s">
        <v>335</v>
      </c>
      <c r="O8519" s="199"/>
    </row>
    <row r="8520" spans="1:16" x14ac:dyDescent="0.2">
      <c r="A8520" s="30">
        <v>1103</v>
      </c>
      <c r="B8520" s="249" t="str">
        <f>IF(AND(A8520&lt;&gt;"",ISNUMBER(A8520)),VLOOKUP(A8520,Studies!A:BR,2,FALSE),"")</f>
        <v>Fleishaker 1994</v>
      </c>
      <c r="C8520" s="250" t="str">
        <f>IF(AND(A8520&lt;&gt;"",ISNUMBER(A8520)),VLOOKUP(A8520,Studies!A:BR,3,FALSE),"")</f>
        <v>https://www.ncbi.nlm.nih.gov/pubmed/8005185</v>
      </c>
      <c r="D8520" s="250" t="str">
        <f>IF(AND(A8520&lt;&gt;"",ISNUMBER(A8520)),VLOOKUP(A8520,Studies!A:BR,4,FALSE),"")</f>
        <v>Alprazolam alone</v>
      </c>
      <c r="E8520" s="250" t="str">
        <f>IF(AND(A8520&lt;&gt;"",ISNUMBER(A8520)),VLOOKUP(A8520,Studies!A:BR,5,FALSE),"")</f>
        <v>Alprazolam</v>
      </c>
      <c r="F8520" s="251" t="str">
        <f>IF(AND(A8520&lt;&gt;"",ISNUMBER(A8520)),VLOOKUP(A8520,Studies!A:BR,6,FALSE),"")</f>
        <v>Plasma</v>
      </c>
      <c r="G8520" s="194">
        <v>108</v>
      </c>
      <c r="H8520" s="50" t="s">
        <v>60</v>
      </c>
      <c r="I8520" s="187">
        <v>29.107289999999999</v>
      </c>
      <c r="J8520" s="41" t="s">
        <v>941</v>
      </c>
      <c r="K8520" s="41" t="s">
        <v>335</v>
      </c>
      <c r="O8520" s="199"/>
    </row>
    <row r="8521" spans="1:16" x14ac:dyDescent="0.2">
      <c r="A8521" s="30">
        <v>1104</v>
      </c>
      <c r="B8521" s="249" t="str">
        <f>IF(AND(A8521&lt;&gt;"",ISNUMBER(A8521)),VLOOKUP(A8521,Studies!A:BR,2,FALSE),"")</f>
        <v>Fleishaker 1994</v>
      </c>
      <c r="C8521" s="250" t="str">
        <f>IF(AND(A8521&lt;&gt;"",ISNUMBER(A8521)),VLOOKUP(A8521,Studies!A:BR,3,FALSE),"")</f>
        <v>https://www.ncbi.nlm.nih.gov/pubmed/8005185</v>
      </c>
      <c r="D8521" s="250" t="str">
        <f>IF(AND(A8521&lt;&gt;"",ISNUMBER(A8521)),VLOOKUP(A8521,Studies!A:BR,4,FALSE),"")</f>
        <v>Alprazolam + fluvoxamine</v>
      </c>
      <c r="E8521" s="250" t="str">
        <f>IF(AND(A8521&lt;&gt;"",ISNUMBER(A8521)),VLOOKUP(A8521,Studies!A:BR,5,FALSE),"")</f>
        <v>Alprazolam</v>
      </c>
      <c r="F8521" s="251" t="str">
        <f>IF(AND(A8521&lt;&gt;"",ISNUMBER(A8521)),VLOOKUP(A8521,Studies!A:BR,6,FALSE),"")</f>
        <v>Plasma</v>
      </c>
      <c r="G8521" s="194">
        <v>144</v>
      </c>
      <c r="H8521" s="50" t="s">
        <v>60</v>
      </c>
      <c r="I8521" s="187">
        <v>0.46897499999999998</v>
      </c>
      <c r="J8521" s="41" t="s">
        <v>941</v>
      </c>
      <c r="K8521" s="41" t="s">
        <v>335</v>
      </c>
      <c r="O8521" s="199"/>
      <c r="P8521" s="42" t="s">
        <v>2628</v>
      </c>
    </row>
    <row r="8522" spans="1:16" x14ac:dyDescent="0.2">
      <c r="A8522" s="30">
        <v>1104</v>
      </c>
      <c r="B8522" s="249" t="str">
        <f>IF(AND(A8522&lt;&gt;"",ISNUMBER(A8522)),VLOOKUP(A8522,Studies!A:BR,2,FALSE),"")</f>
        <v>Fleishaker 1994</v>
      </c>
      <c r="C8522" s="250" t="str">
        <f>IF(AND(A8522&lt;&gt;"",ISNUMBER(A8522)),VLOOKUP(A8522,Studies!A:BR,3,FALSE),"")</f>
        <v>https://www.ncbi.nlm.nih.gov/pubmed/8005185</v>
      </c>
      <c r="D8522" s="250" t="str">
        <f>IF(AND(A8522&lt;&gt;"",ISNUMBER(A8522)),VLOOKUP(A8522,Studies!A:BR,4,FALSE),"")</f>
        <v>Alprazolam + fluvoxamine</v>
      </c>
      <c r="E8522" s="250" t="str">
        <f>IF(AND(A8522&lt;&gt;"",ISNUMBER(A8522)),VLOOKUP(A8522,Studies!A:BR,5,FALSE),"")</f>
        <v>Alprazolam</v>
      </c>
      <c r="F8522" s="251" t="str">
        <f>IF(AND(A8522&lt;&gt;"",ISNUMBER(A8522)),VLOOKUP(A8522,Studies!A:BR,6,FALSE),"")</f>
        <v>Plasma</v>
      </c>
      <c r="G8522" s="194">
        <v>145</v>
      </c>
      <c r="H8522" s="50" t="s">
        <v>60</v>
      </c>
      <c r="I8522" s="187">
        <v>12.204050000000001</v>
      </c>
      <c r="J8522" s="41" t="s">
        <v>941</v>
      </c>
      <c r="K8522" s="41" t="s">
        <v>335</v>
      </c>
      <c r="O8522" s="199"/>
    </row>
    <row r="8523" spans="1:16" x14ac:dyDescent="0.2">
      <c r="A8523" s="30">
        <v>1104</v>
      </c>
      <c r="B8523" s="249" t="str">
        <f>IF(AND(A8523&lt;&gt;"",ISNUMBER(A8523)),VLOOKUP(A8523,Studies!A:BR,2,FALSE),"")</f>
        <v>Fleishaker 1994</v>
      </c>
      <c r="C8523" s="250" t="str">
        <f>IF(AND(A8523&lt;&gt;"",ISNUMBER(A8523)),VLOOKUP(A8523,Studies!A:BR,3,FALSE),"")</f>
        <v>https://www.ncbi.nlm.nih.gov/pubmed/8005185</v>
      </c>
      <c r="D8523" s="250" t="str">
        <f>IF(AND(A8523&lt;&gt;"",ISNUMBER(A8523)),VLOOKUP(A8523,Studies!A:BR,4,FALSE),"")</f>
        <v>Alprazolam + fluvoxamine</v>
      </c>
      <c r="E8523" s="250" t="str">
        <f>IF(AND(A8523&lt;&gt;"",ISNUMBER(A8523)),VLOOKUP(A8523,Studies!A:BR,5,FALSE),"")</f>
        <v>Alprazolam</v>
      </c>
      <c r="F8523" s="251" t="str">
        <f>IF(AND(A8523&lt;&gt;"",ISNUMBER(A8523)),VLOOKUP(A8523,Studies!A:BR,6,FALSE),"")</f>
        <v>Plasma</v>
      </c>
      <c r="G8523" s="194">
        <v>146</v>
      </c>
      <c r="H8523" s="50" t="s">
        <v>60</v>
      </c>
      <c r="I8523" s="187">
        <v>14.31419</v>
      </c>
      <c r="J8523" s="41" t="s">
        <v>941</v>
      </c>
      <c r="K8523" s="41" t="s">
        <v>335</v>
      </c>
      <c r="O8523" s="199"/>
    </row>
    <row r="8524" spans="1:16" x14ac:dyDescent="0.2">
      <c r="A8524" s="30">
        <v>1104</v>
      </c>
      <c r="B8524" s="249" t="str">
        <f>IF(AND(A8524&lt;&gt;"",ISNUMBER(A8524)),VLOOKUP(A8524,Studies!A:BR,2,FALSE),"")</f>
        <v>Fleishaker 1994</v>
      </c>
      <c r="C8524" s="250" t="str">
        <f>IF(AND(A8524&lt;&gt;"",ISNUMBER(A8524)),VLOOKUP(A8524,Studies!A:BR,3,FALSE),"")</f>
        <v>https://www.ncbi.nlm.nih.gov/pubmed/8005185</v>
      </c>
      <c r="D8524" s="250" t="str">
        <f>IF(AND(A8524&lt;&gt;"",ISNUMBER(A8524)),VLOOKUP(A8524,Studies!A:BR,4,FALSE),"")</f>
        <v>Alprazolam + fluvoxamine</v>
      </c>
      <c r="E8524" s="250" t="str">
        <f>IF(AND(A8524&lt;&gt;"",ISNUMBER(A8524)),VLOOKUP(A8524,Studies!A:BR,5,FALSE),"")</f>
        <v>Alprazolam</v>
      </c>
      <c r="F8524" s="251" t="str">
        <f>IF(AND(A8524&lt;&gt;"",ISNUMBER(A8524)),VLOOKUP(A8524,Studies!A:BR,6,FALSE),"")</f>
        <v>Plasma</v>
      </c>
      <c r="G8524" s="194">
        <v>148</v>
      </c>
      <c r="H8524" s="50" t="s">
        <v>60</v>
      </c>
      <c r="I8524" s="187">
        <v>14.544600000000001</v>
      </c>
      <c r="J8524" s="41" t="s">
        <v>941</v>
      </c>
      <c r="K8524" s="41" t="s">
        <v>335</v>
      </c>
      <c r="O8524" s="199"/>
    </row>
    <row r="8525" spans="1:16" x14ac:dyDescent="0.2">
      <c r="A8525" s="30">
        <v>1104</v>
      </c>
      <c r="B8525" s="249" t="str">
        <f>IF(AND(A8525&lt;&gt;"",ISNUMBER(A8525)),VLOOKUP(A8525,Studies!A:BR,2,FALSE),"")</f>
        <v>Fleishaker 1994</v>
      </c>
      <c r="C8525" s="250" t="str">
        <f>IF(AND(A8525&lt;&gt;"",ISNUMBER(A8525)),VLOOKUP(A8525,Studies!A:BR,3,FALSE),"")</f>
        <v>https://www.ncbi.nlm.nih.gov/pubmed/8005185</v>
      </c>
      <c r="D8525" s="250" t="str">
        <f>IF(AND(A8525&lt;&gt;"",ISNUMBER(A8525)),VLOOKUP(A8525,Studies!A:BR,4,FALSE),"")</f>
        <v>Alprazolam + fluvoxamine</v>
      </c>
      <c r="E8525" s="250" t="str">
        <f>IF(AND(A8525&lt;&gt;"",ISNUMBER(A8525)),VLOOKUP(A8525,Studies!A:BR,5,FALSE),"")</f>
        <v>Alprazolam</v>
      </c>
      <c r="F8525" s="251" t="str">
        <f>IF(AND(A8525&lt;&gt;"",ISNUMBER(A8525)),VLOOKUP(A8525,Studies!A:BR,6,FALSE),"")</f>
        <v>Plasma</v>
      </c>
      <c r="G8525" s="194">
        <v>149</v>
      </c>
      <c r="H8525" s="50" t="s">
        <v>60</v>
      </c>
      <c r="I8525" s="187">
        <v>13.603590000000001</v>
      </c>
      <c r="J8525" s="41" t="s">
        <v>941</v>
      </c>
      <c r="K8525" s="41" t="s">
        <v>335</v>
      </c>
      <c r="O8525" s="199"/>
    </row>
    <row r="8526" spans="1:16" x14ac:dyDescent="0.2">
      <c r="A8526" s="30">
        <v>1104</v>
      </c>
      <c r="B8526" s="249" t="str">
        <f>IF(AND(A8526&lt;&gt;"",ISNUMBER(A8526)),VLOOKUP(A8526,Studies!A:BR,2,FALSE),"")</f>
        <v>Fleishaker 1994</v>
      </c>
      <c r="C8526" s="250" t="str">
        <f>IF(AND(A8526&lt;&gt;"",ISNUMBER(A8526)),VLOOKUP(A8526,Studies!A:BR,3,FALSE),"")</f>
        <v>https://www.ncbi.nlm.nih.gov/pubmed/8005185</v>
      </c>
      <c r="D8526" s="250" t="str">
        <f>IF(AND(A8526&lt;&gt;"",ISNUMBER(A8526)),VLOOKUP(A8526,Studies!A:BR,4,FALSE),"")</f>
        <v>Alprazolam + fluvoxamine</v>
      </c>
      <c r="E8526" s="250" t="str">
        <f>IF(AND(A8526&lt;&gt;"",ISNUMBER(A8526)),VLOOKUP(A8526,Studies!A:BR,5,FALSE),"")</f>
        <v>Alprazolam</v>
      </c>
      <c r="F8526" s="251" t="str">
        <f>IF(AND(A8526&lt;&gt;"",ISNUMBER(A8526)),VLOOKUP(A8526,Studies!A:BR,6,FALSE),"")</f>
        <v>Plasma</v>
      </c>
      <c r="G8526" s="194">
        <v>150</v>
      </c>
      <c r="H8526" s="50" t="s">
        <v>60</v>
      </c>
      <c r="I8526" s="187">
        <v>18.061399999999999</v>
      </c>
      <c r="J8526" s="41" t="s">
        <v>941</v>
      </c>
      <c r="K8526" s="41" t="s">
        <v>335</v>
      </c>
      <c r="O8526" s="199"/>
    </row>
    <row r="8527" spans="1:16" x14ac:dyDescent="0.2">
      <c r="A8527" s="30">
        <v>1104</v>
      </c>
      <c r="B8527" s="249" t="str">
        <f>IF(AND(A8527&lt;&gt;"",ISNUMBER(A8527)),VLOOKUP(A8527,Studies!A:BR,2,FALSE),"")</f>
        <v>Fleishaker 1994</v>
      </c>
      <c r="C8527" s="250" t="str">
        <f>IF(AND(A8527&lt;&gt;"",ISNUMBER(A8527)),VLOOKUP(A8527,Studies!A:BR,3,FALSE),"")</f>
        <v>https://www.ncbi.nlm.nih.gov/pubmed/8005185</v>
      </c>
      <c r="D8527" s="250" t="str">
        <f>IF(AND(A8527&lt;&gt;"",ISNUMBER(A8527)),VLOOKUP(A8527,Studies!A:BR,4,FALSE),"")</f>
        <v>Alprazolam + fluvoxamine</v>
      </c>
      <c r="E8527" s="250" t="str">
        <f>IF(AND(A8527&lt;&gt;"",ISNUMBER(A8527)),VLOOKUP(A8527,Studies!A:BR,5,FALSE),"")</f>
        <v>Alprazolam</v>
      </c>
      <c r="F8527" s="251" t="str">
        <f>IF(AND(A8527&lt;&gt;"",ISNUMBER(A8527)),VLOOKUP(A8527,Studies!A:BR,6,FALSE),"")</f>
        <v>Plasma</v>
      </c>
      <c r="G8527" s="194">
        <v>151</v>
      </c>
      <c r="H8527" s="50" t="s">
        <v>60</v>
      </c>
      <c r="I8527" s="187">
        <v>21.580500000000001</v>
      </c>
      <c r="J8527" s="41" t="s">
        <v>941</v>
      </c>
      <c r="K8527" s="41" t="s">
        <v>335</v>
      </c>
      <c r="O8527" s="199"/>
    </row>
    <row r="8528" spans="1:16" x14ac:dyDescent="0.2">
      <c r="A8528" s="30">
        <v>1104</v>
      </c>
      <c r="B8528" s="249" t="str">
        <f>IF(AND(A8528&lt;&gt;"",ISNUMBER(A8528)),VLOOKUP(A8528,Studies!A:BR,2,FALSE),"")</f>
        <v>Fleishaker 1994</v>
      </c>
      <c r="C8528" s="250" t="str">
        <f>IF(AND(A8528&lt;&gt;"",ISNUMBER(A8528)),VLOOKUP(A8528,Studies!A:BR,3,FALSE),"")</f>
        <v>https://www.ncbi.nlm.nih.gov/pubmed/8005185</v>
      </c>
      <c r="D8528" s="250" t="str">
        <f>IF(AND(A8528&lt;&gt;"",ISNUMBER(A8528)),VLOOKUP(A8528,Studies!A:BR,4,FALSE),"")</f>
        <v>Alprazolam + fluvoxamine</v>
      </c>
      <c r="E8528" s="250" t="str">
        <f>IF(AND(A8528&lt;&gt;"",ISNUMBER(A8528)),VLOOKUP(A8528,Studies!A:BR,5,FALSE),"")</f>
        <v>Alprazolam</v>
      </c>
      <c r="F8528" s="251" t="str">
        <f>IF(AND(A8528&lt;&gt;"",ISNUMBER(A8528)),VLOOKUP(A8528,Studies!A:BR,6,FALSE),"")</f>
        <v>Plasma</v>
      </c>
      <c r="G8528" s="194">
        <v>153</v>
      </c>
      <c r="H8528" s="50" t="s">
        <v>60</v>
      </c>
      <c r="I8528" s="187">
        <v>23.4541</v>
      </c>
      <c r="J8528" s="41" t="s">
        <v>941</v>
      </c>
      <c r="K8528" s="41" t="s">
        <v>335</v>
      </c>
      <c r="O8528" s="199"/>
    </row>
    <row r="8529" spans="1:15" x14ac:dyDescent="0.2">
      <c r="A8529" s="30">
        <v>1104</v>
      </c>
      <c r="B8529" s="249" t="str">
        <f>IF(AND(A8529&lt;&gt;"",ISNUMBER(A8529)),VLOOKUP(A8529,Studies!A:BR,2,FALSE),"")</f>
        <v>Fleishaker 1994</v>
      </c>
      <c r="C8529" s="250" t="str">
        <f>IF(AND(A8529&lt;&gt;"",ISNUMBER(A8529)),VLOOKUP(A8529,Studies!A:BR,3,FALSE),"")</f>
        <v>https://www.ncbi.nlm.nih.gov/pubmed/8005185</v>
      </c>
      <c r="D8529" s="250" t="str">
        <f>IF(AND(A8529&lt;&gt;"",ISNUMBER(A8529)),VLOOKUP(A8529,Studies!A:BR,4,FALSE),"")</f>
        <v>Alprazolam + fluvoxamine</v>
      </c>
      <c r="E8529" s="250" t="str">
        <f>IF(AND(A8529&lt;&gt;"",ISNUMBER(A8529)),VLOOKUP(A8529,Studies!A:BR,5,FALSE),"")</f>
        <v>Alprazolam</v>
      </c>
      <c r="F8529" s="251" t="str">
        <f>IF(AND(A8529&lt;&gt;"",ISNUMBER(A8529)),VLOOKUP(A8529,Studies!A:BR,6,FALSE),"")</f>
        <v>Plasma</v>
      </c>
      <c r="G8529" s="194">
        <v>154</v>
      </c>
      <c r="H8529" s="50" t="s">
        <v>60</v>
      </c>
      <c r="I8529" s="187">
        <v>23.92155</v>
      </c>
      <c r="J8529" s="41" t="s">
        <v>941</v>
      </c>
      <c r="K8529" s="41" t="s">
        <v>335</v>
      </c>
      <c r="O8529" s="199"/>
    </row>
    <row r="8530" spans="1:15" x14ac:dyDescent="0.2">
      <c r="A8530" s="30">
        <v>1104</v>
      </c>
      <c r="B8530" s="249" t="str">
        <f>IF(AND(A8530&lt;&gt;"",ISNUMBER(A8530)),VLOOKUP(A8530,Studies!A:BR,2,FALSE),"")</f>
        <v>Fleishaker 1994</v>
      </c>
      <c r="C8530" s="250" t="str">
        <f>IF(AND(A8530&lt;&gt;"",ISNUMBER(A8530)),VLOOKUP(A8530,Studies!A:BR,3,FALSE),"")</f>
        <v>https://www.ncbi.nlm.nih.gov/pubmed/8005185</v>
      </c>
      <c r="D8530" s="250" t="str">
        <f>IF(AND(A8530&lt;&gt;"",ISNUMBER(A8530)),VLOOKUP(A8530,Studies!A:BR,4,FALSE),"")</f>
        <v>Alprazolam + fluvoxamine</v>
      </c>
      <c r="E8530" s="250" t="str">
        <f>IF(AND(A8530&lt;&gt;"",ISNUMBER(A8530)),VLOOKUP(A8530,Studies!A:BR,5,FALSE),"")</f>
        <v>Alprazolam</v>
      </c>
      <c r="F8530" s="251" t="str">
        <f>IF(AND(A8530&lt;&gt;"",ISNUMBER(A8530)),VLOOKUP(A8530,Studies!A:BR,6,FALSE),"")</f>
        <v>Plasma</v>
      </c>
      <c r="G8530" s="194">
        <v>155</v>
      </c>
      <c r="H8530" s="50" t="s">
        <v>60</v>
      </c>
      <c r="I8530" s="187">
        <v>29.083839999999999</v>
      </c>
      <c r="J8530" s="41" t="s">
        <v>941</v>
      </c>
      <c r="K8530" s="41" t="s">
        <v>335</v>
      </c>
      <c r="O8530" s="199"/>
    </row>
    <row r="8531" spans="1:15" x14ac:dyDescent="0.2">
      <c r="A8531" s="30">
        <v>1104</v>
      </c>
      <c r="B8531" s="249" t="str">
        <f>IF(AND(A8531&lt;&gt;"",ISNUMBER(A8531)),VLOOKUP(A8531,Studies!A:BR,2,FALSE),"")</f>
        <v>Fleishaker 1994</v>
      </c>
      <c r="C8531" s="250" t="str">
        <f>IF(AND(A8531&lt;&gt;"",ISNUMBER(A8531)),VLOOKUP(A8531,Studies!A:BR,3,FALSE),"")</f>
        <v>https://www.ncbi.nlm.nih.gov/pubmed/8005185</v>
      </c>
      <c r="D8531" s="250" t="str">
        <f>IF(AND(A8531&lt;&gt;"",ISNUMBER(A8531)),VLOOKUP(A8531,Studies!A:BR,4,FALSE),"")</f>
        <v>Alprazolam + fluvoxamine</v>
      </c>
      <c r="E8531" s="250" t="str">
        <f>IF(AND(A8531&lt;&gt;"",ISNUMBER(A8531)),VLOOKUP(A8531,Studies!A:BR,5,FALSE),"")</f>
        <v>Alprazolam</v>
      </c>
      <c r="F8531" s="251" t="str">
        <f>IF(AND(A8531&lt;&gt;"",ISNUMBER(A8531)),VLOOKUP(A8531,Studies!A:BR,6,FALSE),"")</f>
        <v>Plasma</v>
      </c>
      <c r="G8531" s="194">
        <v>156</v>
      </c>
      <c r="H8531" s="50" t="s">
        <v>60</v>
      </c>
      <c r="I8531" s="187">
        <v>32.602429999999998</v>
      </c>
      <c r="J8531" s="41" t="s">
        <v>941</v>
      </c>
      <c r="K8531" s="41" t="s">
        <v>335</v>
      </c>
      <c r="O8531" s="199"/>
    </row>
    <row r="8532" spans="1:15" x14ac:dyDescent="0.2">
      <c r="A8532" s="30">
        <v>1104</v>
      </c>
      <c r="B8532" s="249" t="str">
        <f>IF(AND(A8532&lt;&gt;"",ISNUMBER(A8532)),VLOOKUP(A8532,Studies!A:BR,2,FALSE),"")</f>
        <v>Fleishaker 1994</v>
      </c>
      <c r="C8532" s="250" t="str">
        <f>IF(AND(A8532&lt;&gt;"",ISNUMBER(A8532)),VLOOKUP(A8532,Studies!A:BR,3,FALSE),"")</f>
        <v>https://www.ncbi.nlm.nih.gov/pubmed/8005185</v>
      </c>
      <c r="D8532" s="250" t="str">
        <f>IF(AND(A8532&lt;&gt;"",ISNUMBER(A8532)),VLOOKUP(A8532,Studies!A:BR,4,FALSE),"")</f>
        <v>Alprazolam + fluvoxamine</v>
      </c>
      <c r="E8532" s="250" t="str">
        <f>IF(AND(A8532&lt;&gt;"",ISNUMBER(A8532)),VLOOKUP(A8532,Studies!A:BR,5,FALSE),"")</f>
        <v>Alprazolam</v>
      </c>
      <c r="F8532" s="251" t="str">
        <f>IF(AND(A8532&lt;&gt;"",ISNUMBER(A8532)),VLOOKUP(A8532,Studies!A:BR,6,FALSE),"")</f>
        <v>Plasma</v>
      </c>
      <c r="G8532" s="194">
        <v>158</v>
      </c>
      <c r="H8532" s="50" t="s">
        <v>60</v>
      </c>
      <c r="I8532" s="187">
        <v>33.302320000000002</v>
      </c>
      <c r="J8532" s="41" t="s">
        <v>941</v>
      </c>
      <c r="K8532" s="41" t="s">
        <v>335</v>
      </c>
      <c r="O8532" s="199"/>
    </row>
    <row r="8533" spans="1:15" x14ac:dyDescent="0.2">
      <c r="A8533" s="30">
        <v>1104</v>
      </c>
      <c r="B8533" s="249" t="str">
        <f>IF(AND(A8533&lt;&gt;"",ISNUMBER(A8533)),VLOOKUP(A8533,Studies!A:BR,2,FALSE),"")</f>
        <v>Fleishaker 1994</v>
      </c>
      <c r="C8533" s="250" t="str">
        <f>IF(AND(A8533&lt;&gt;"",ISNUMBER(A8533)),VLOOKUP(A8533,Studies!A:BR,3,FALSE),"")</f>
        <v>https://www.ncbi.nlm.nih.gov/pubmed/8005185</v>
      </c>
      <c r="D8533" s="250" t="str">
        <f>IF(AND(A8533&lt;&gt;"",ISNUMBER(A8533)),VLOOKUP(A8533,Studies!A:BR,4,FALSE),"")</f>
        <v>Alprazolam + fluvoxamine</v>
      </c>
      <c r="E8533" s="250" t="str">
        <f>IF(AND(A8533&lt;&gt;"",ISNUMBER(A8533)),VLOOKUP(A8533,Studies!A:BR,5,FALSE),"")</f>
        <v>Alprazolam</v>
      </c>
      <c r="F8533" s="251" t="str">
        <f>IF(AND(A8533&lt;&gt;"",ISNUMBER(A8533)),VLOOKUP(A8533,Studies!A:BR,6,FALSE),"")</f>
        <v>Plasma</v>
      </c>
      <c r="G8533" s="194">
        <v>159</v>
      </c>
      <c r="H8533" s="50" t="s">
        <v>60</v>
      </c>
      <c r="I8533" s="187">
        <v>33.299770000000002</v>
      </c>
      <c r="J8533" s="41" t="s">
        <v>941</v>
      </c>
      <c r="K8533" s="41" t="s">
        <v>335</v>
      </c>
      <c r="O8533" s="199"/>
    </row>
    <row r="8534" spans="1:15" x14ac:dyDescent="0.2">
      <c r="A8534" s="30">
        <v>1104</v>
      </c>
      <c r="B8534" s="249" t="str">
        <f>IF(AND(A8534&lt;&gt;"",ISNUMBER(A8534)),VLOOKUP(A8534,Studies!A:BR,2,FALSE),"")</f>
        <v>Fleishaker 1994</v>
      </c>
      <c r="C8534" s="250" t="str">
        <f>IF(AND(A8534&lt;&gt;"",ISNUMBER(A8534)),VLOOKUP(A8534,Studies!A:BR,3,FALSE),"")</f>
        <v>https://www.ncbi.nlm.nih.gov/pubmed/8005185</v>
      </c>
      <c r="D8534" s="250" t="str">
        <f>IF(AND(A8534&lt;&gt;"",ISNUMBER(A8534)),VLOOKUP(A8534,Studies!A:BR,4,FALSE),"")</f>
        <v>Alprazolam + fluvoxamine</v>
      </c>
      <c r="E8534" s="250" t="str">
        <f>IF(AND(A8534&lt;&gt;"",ISNUMBER(A8534)),VLOOKUP(A8534,Studies!A:BR,5,FALSE),"")</f>
        <v>Alprazolam</v>
      </c>
      <c r="F8534" s="251" t="str">
        <f>IF(AND(A8534&lt;&gt;"",ISNUMBER(A8534)),VLOOKUP(A8534,Studies!A:BR,6,FALSE),"")</f>
        <v>Plasma</v>
      </c>
      <c r="G8534" s="194">
        <v>164</v>
      </c>
      <c r="H8534" s="50" t="s">
        <v>60</v>
      </c>
      <c r="I8534" s="187">
        <v>38.21866</v>
      </c>
      <c r="J8534" s="41" t="s">
        <v>941</v>
      </c>
      <c r="K8534" s="41" t="s">
        <v>335</v>
      </c>
      <c r="O8534" s="199"/>
    </row>
    <row r="8535" spans="1:15" x14ac:dyDescent="0.2">
      <c r="A8535" s="30">
        <v>1104</v>
      </c>
      <c r="B8535" s="249" t="str">
        <f>IF(AND(A8535&lt;&gt;"",ISNUMBER(A8535)),VLOOKUP(A8535,Studies!A:BR,2,FALSE),"")</f>
        <v>Fleishaker 1994</v>
      </c>
      <c r="C8535" s="250" t="str">
        <f>IF(AND(A8535&lt;&gt;"",ISNUMBER(A8535)),VLOOKUP(A8535,Studies!A:BR,3,FALSE),"")</f>
        <v>https://www.ncbi.nlm.nih.gov/pubmed/8005185</v>
      </c>
      <c r="D8535" s="250" t="str">
        <f>IF(AND(A8535&lt;&gt;"",ISNUMBER(A8535)),VLOOKUP(A8535,Studies!A:BR,4,FALSE),"")</f>
        <v>Alprazolam + fluvoxamine</v>
      </c>
      <c r="E8535" s="250" t="str">
        <f>IF(AND(A8535&lt;&gt;"",ISNUMBER(A8535)),VLOOKUP(A8535,Studies!A:BR,5,FALSE),"")</f>
        <v>Alprazolam</v>
      </c>
      <c r="F8535" s="251" t="str">
        <f>IF(AND(A8535&lt;&gt;"",ISNUMBER(A8535)),VLOOKUP(A8535,Studies!A:BR,6,FALSE),"")</f>
        <v>Plasma</v>
      </c>
      <c r="G8535" s="194">
        <v>168</v>
      </c>
      <c r="H8535" s="50" t="s">
        <v>60</v>
      </c>
      <c r="I8535" s="187">
        <v>43.374580000000002</v>
      </c>
      <c r="J8535" s="41" t="s">
        <v>941</v>
      </c>
      <c r="K8535" s="41" t="s">
        <v>335</v>
      </c>
      <c r="O8535" s="199"/>
    </row>
    <row r="8536" spans="1:15" x14ac:dyDescent="0.2">
      <c r="A8536" s="30">
        <v>1104</v>
      </c>
      <c r="B8536" s="249" t="str">
        <f>IF(AND(A8536&lt;&gt;"",ISNUMBER(A8536)),VLOOKUP(A8536,Studies!A:BR,2,FALSE),"")</f>
        <v>Fleishaker 1994</v>
      </c>
      <c r="C8536" s="250" t="str">
        <f>IF(AND(A8536&lt;&gt;"",ISNUMBER(A8536)),VLOOKUP(A8536,Studies!A:BR,3,FALSE),"")</f>
        <v>https://www.ncbi.nlm.nih.gov/pubmed/8005185</v>
      </c>
      <c r="D8536" s="250" t="str">
        <f>IF(AND(A8536&lt;&gt;"",ISNUMBER(A8536)),VLOOKUP(A8536,Studies!A:BR,4,FALSE),"")</f>
        <v>Alprazolam + fluvoxamine</v>
      </c>
      <c r="E8536" s="250" t="str">
        <f>IF(AND(A8536&lt;&gt;"",ISNUMBER(A8536)),VLOOKUP(A8536,Studies!A:BR,5,FALSE),"")</f>
        <v>Alprazolam</v>
      </c>
      <c r="F8536" s="251" t="str">
        <f>IF(AND(A8536&lt;&gt;"",ISNUMBER(A8536)),VLOOKUP(A8536,Studies!A:BR,6,FALSE),"")</f>
        <v>Plasma</v>
      </c>
      <c r="G8536" s="194">
        <v>192</v>
      </c>
      <c r="H8536" s="50" t="s">
        <v>60</v>
      </c>
      <c r="I8536" s="187">
        <v>65.622600000000006</v>
      </c>
      <c r="J8536" s="41" t="s">
        <v>941</v>
      </c>
      <c r="K8536" s="41" t="s">
        <v>335</v>
      </c>
      <c r="O8536" s="199"/>
    </row>
    <row r="8537" spans="1:15" x14ac:dyDescent="0.2">
      <c r="A8537" s="30">
        <v>1104</v>
      </c>
      <c r="B8537" s="249" t="str">
        <f>IF(AND(A8537&lt;&gt;"",ISNUMBER(A8537)),VLOOKUP(A8537,Studies!A:BR,2,FALSE),"")</f>
        <v>Fleishaker 1994</v>
      </c>
      <c r="C8537" s="250" t="str">
        <f>IF(AND(A8537&lt;&gt;"",ISNUMBER(A8537)),VLOOKUP(A8537,Studies!A:BR,3,FALSE),"")</f>
        <v>https://www.ncbi.nlm.nih.gov/pubmed/8005185</v>
      </c>
      <c r="D8537" s="250" t="str">
        <f>IF(AND(A8537&lt;&gt;"",ISNUMBER(A8537)),VLOOKUP(A8537,Studies!A:BR,4,FALSE),"")</f>
        <v>Alprazolam + fluvoxamine</v>
      </c>
      <c r="E8537" s="250" t="str">
        <f>IF(AND(A8537&lt;&gt;"",ISNUMBER(A8537)),VLOOKUP(A8537,Studies!A:BR,5,FALSE),"")</f>
        <v>Alprazolam</v>
      </c>
      <c r="F8537" s="251" t="str">
        <f>IF(AND(A8537&lt;&gt;"",ISNUMBER(A8537)),VLOOKUP(A8537,Studies!A:BR,6,FALSE),"")</f>
        <v>Plasma</v>
      </c>
      <c r="G8537" s="194">
        <v>216</v>
      </c>
      <c r="H8537" s="50" t="s">
        <v>60</v>
      </c>
      <c r="I8537" s="187">
        <v>79.420150000000007</v>
      </c>
      <c r="J8537" s="41" t="s">
        <v>941</v>
      </c>
      <c r="K8537" s="41" t="s">
        <v>335</v>
      </c>
      <c r="O8537" s="199"/>
    </row>
    <row r="8538" spans="1:15" x14ac:dyDescent="0.2">
      <c r="A8538" s="30">
        <v>1104</v>
      </c>
      <c r="B8538" s="249" t="str">
        <f>IF(AND(A8538&lt;&gt;"",ISNUMBER(A8538)),VLOOKUP(A8538,Studies!A:BR,2,FALSE),"")</f>
        <v>Fleishaker 1994</v>
      </c>
      <c r="C8538" s="250" t="str">
        <f>IF(AND(A8538&lt;&gt;"",ISNUMBER(A8538)),VLOOKUP(A8538,Studies!A:BR,3,FALSE),"")</f>
        <v>https://www.ncbi.nlm.nih.gov/pubmed/8005185</v>
      </c>
      <c r="D8538" s="250" t="str">
        <f>IF(AND(A8538&lt;&gt;"",ISNUMBER(A8538)),VLOOKUP(A8538,Studies!A:BR,4,FALSE),"")</f>
        <v>Alprazolam + fluvoxamine</v>
      </c>
      <c r="E8538" s="250" t="str">
        <f>IF(AND(A8538&lt;&gt;"",ISNUMBER(A8538)),VLOOKUP(A8538,Studies!A:BR,5,FALSE),"")</f>
        <v>Alprazolam</v>
      </c>
      <c r="F8538" s="251" t="str">
        <f>IF(AND(A8538&lt;&gt;"",ISNUMBER(A8538)),VLOOKUP(A8538,Studies!A:BR,6,FALSE),"")</f>
        <v>Plasma</v>
      </c>
      <c r="G8538" s="194">
        <v>217</v>
      </c>
      <c r="H8538" s="50" t="s">
        <v>60</v>
      </c>
      <c r="I8538" s="187">
        <v>83.408739999999995</v>
      </c>
      <c r="J8538" s="41" t="s">
        <v>941</v>
      </c>
      <c r="K8538" s="41" t="s">
        <v>335</v>
      </c>
      <c r="O8538" s="199"/>
    </row>
    <row r="8539" spans="1:15" x14ac:dyDescent="0.2">
      <c r="A8539" s="30">
        <v>1104</v>
      </c>
      <c r="B8539" s="249" t="str">
        <f>IF(AND(A8539&lt;&gt;"",ISNUMBER(A8539)),VLOOKUP(A8539,Studies!A:BR,2,FALSE),"")</f>
        <v>Fleishaker 1994</v>
      </c>
      <c r="C8539" s="250" t="str">
        <f>IF(AND(A8539&lt;&gt;"",ISNUMBER(A8539)),VLOOKUP(A8539,Studies!A:BR,3,FALSE),"")</f>
        <v>https://www.ncbi.nlm.nih.gov/pubmed/8005185</v>
      </c>
      <c r="D8539" s="250" t="str">
        <f>IF(AND(A8539&lt;&gt;"",ISNUMBER(A8539)),VLOOKUP(A8539,Studies!A:BR,4,FALSE),"")</f>
        <v>Alprazolam + fluvoxamine</v>
      </c>
      <c r="E8539" s="250" t="str">
        <f>IF(AND(A8539&lt;&gt;"",ISNUMBER(A8539)),VLOOKUP(A8539,Studies!A:BR,5,FALSE),"")</f>
        <v>Alprazolam</v>
      </c>
      <c r="F8539" s="251" t="str">
        <f>IF(AND(A8539&lt;&gt;"",ISNUMBER(A8539)),VLOOKUP(A8539,Studies!A:BR,6,FALSE),"")</f>
        <v>Plasma</v>
      </c>
      <c r="G8539" s="194">
        <v>218</v>
      </c>
      <c r="H8539" s="50" t="s">
        <v>60</v>
      </c>
      <c r="I8539" s="187">
        <v>85.049390000000002</v>
      </c>
      <c r="J8539" s="41" t="s">
        <v>941</v>
      </c>
      <c r="K8539" s="41" t="s">
        <v>335</v>
      </c>
      <c r="O8539" s="199"/>
    </row>
    <row r="8540" spans="1:15" x14ac:dyDescent="0.2">
      <c r="A8540" s="30">
        <v>1104</v>
      </c>
      <c r="B8540" s="249" t="str">
        <f>IF(AND(A8540&lt;&gt;"",ISNUMBER(A8540)),VLOOKUP(A8540,Studies!A:BR,2,FALSE),"")</f>
        <v>Fleishaker 1994</v>
      </c>
      <c r="C8540" s="250" t="str">
        <f>IF(AND(A8540&lt;&gt;"",ISNUMBER(A8540)),VLOOKUP(A8540,Studies!A:BR,3,FALSE),"")</f>
        <v>https://www.ncbi.nlm.nih.gov/pubmed/8005185</v>
      </c>
      <c r="D8540" s="250" t="str">
        <f>IF(AND(A8540&lt;&gt;"",ISNUMBER(A8540)),VLOOKUP(A8540,Studies!A:BR,4,FALSE),"")</f>
        <v>Alprazolam + fluvoxamine</v>
      </c>
      <c r="E8540" s="250" t="str">
        <f>IF(AND(A8540&lt;&gt;"",ISNUMBER(A8540)),VLOOKUP(A8540,Studies!A:BR,5,FALSE),"")</f>
        <v>Alprazolam</v>
      </c>
      <c r="F8540" s="251" t="str">
        <f>IF(AND(A8540&lt;&gt;"",ISNUMBER(A8540)),VLOOKUP(A8540,Studies!A:BR,6,FALSE),"")</f>
        <v>Plasma</v>
      </c>
      <c r="G8540" s="194">
        <v>220</v>
      </c>
      <c r="H8540" s="50" t="s">
        <v>60</v>
      </c>
      <c r="I8540" s="187">
        <v>81.758660000000006</v>
      </c>
      <c r="J8540" s="41" t="s">
        <v>941</v>
      </c>
      <c r="K8540" s="41" t="s">
        <v>335</v>
      </c>
      <c r="O8540" s="199"/>
    </row>
    <row r="8541" spans="1:15" x14ac:dyDescent="0.2">
      <c r="A8541" s="30">
        <v>1104</v>
      </c>
      <c r="B8541" s="249" t="str">
        <f>IF(AND(A8541&lt;&gt;"",ISNUMBER(A8541)),VLOOKUP(A8541,Studies!A:BR,2,FALSE),"")</f>
        <v>Fleishaker 1994</v>
      </c>
      <c r="C8541" s="250" t="str">
        <f>IF(AND(A8541&lt;&gt;"",ISNUMBER(A8541)),VLOOKUP(A8541,Studies!A:BR,3,FALSE),"")</f>
        <v>https://www.ncbi.nlm.nih.gov/pubmed/8005185</v>
      </c>
      <c r="D8541" s="250" t="str">
        <f>IF(AND(A8541&lt;&gt;"",ISNUMBER(A8541)),VLOOKUP(A8541,Studies!A:BR,4,FALSE),"")</f>
        <v>Alprazolam + fluvoxamine</v>
      </c>
      <c r="E8541" s="250" t="str">
        <f>IF(AND(A8541&lt;&gt;"",ISNUMBER(A8541)),VLOOKUP(A8541,Studies!A:BR,5,FALSE),"")</f>
        <v>Alprazolam</v>
      </c>
      <c r="F8541" s="251" t="str">
        <f>IF(AND(A8541&lt;&gt;"",ISNUMBER(A8541)),VLOOKUP(A8541,Studies!A:BR,6,FALSE),"")</f>
        <v>Plasma</v>
      </c>
      <c r="G8541" s="194">
        <v>221</v>
      </c>
      <c r="H8541" s="50" t="s">
        <v>60</v>
      </c>
      <c r="I8541" s="187">
        <v>82.460849999999994</v>
      </c>
      <c r="J8541" s="41" t="s">
        <v>941</v>
      </c>
      <c r="K8541" s="41" t="s">
        <v>335</v>
      </c>
      <c r="O8541" s="199"/>
    </row>
    <row r="8542" spans="1:15" x14ac:dyDescent="0.2">
      <c r="A8542" s="30">
        <v>1104</v>
      </c>
      <c r="B8542" s="249" t="str">
        <f>IF(AND(A8542&lt;&gt;"",ISNUMBER(A8542)),VLOOKUP(A8542,Studies!A:BR,2,FALSE),"")</f>
        <v>Fleishaker 1994</v>
      </c>
      <c r="C8542" s="250" t="str">
        <f>IF(AND(A8542&lt;&gt;"",ISNUMBER(A8542)),VLOOKUP(A8542,Studies!A:BR,3,FALSE),"")</f>
        <v>https://www.ncbi.nlm.nih.gov/pubmed/8005185</v>
      </c>
      <c r="D8542" s="250" t="str">
        <f>IF(AND(A8542&lt;&gt;"",ISNUMBER(A8542)),VLOOKUP(A8542,Studies!A:BR,4,FALSE),"")</f>
        <v>Alprazolam + fluvoxamine</v>
      </c>
      <c r="E8542" s="250" t="str">
        <f>IF(AND(A8542&lt;&gt;"",ISNUMBER(A8542)),VLOOKUP(A8542,Studies!A:BR,5,FALSE),"")</f>
        <v>Alprazolam</v>
      </c>
      <c r="F8542" s="251" t="str">
        <f>IF(AND(A8542&lt;&gt;"",ISNUMBER(A8542)),VLOOKUP(A8542,Studies!A:BR,6,FALSE),"")</f>
        <v>Plasma</v>
      </c>
      <c r="G8542" s="194">
        <v>222</v>
      </c>
      <c r="H8542" s="50" t="s">
        <v>60</v>
      </c>
      <c r="I8542" s="187">
        <v>83.632509999999996</v>
      </c>
      <c r="J8542" s="41" t="s">
        <v>941</v>
      </c>
      <c r="K8542" s="41" t="s">
        <v>335</v>
      </c>
      <c r="O8542" s="199"/>
    </row>
    <row r="8543" spans="1:15" x14ac:dyDescent="0.2">
      <c r="A8543" s="30">
        <v>1104</v>
      </c>
      <c r="B8543" s="249" t="str">
        <f>IF(AND(A8543&lt;&gt;"",ISNUMBER(A8543)),VLOOKUP(A8543,Studies!A:BR,2,FALSE),"")</f>
        <v>Fleishaker 1994</v>
      </c>
      <c r="C8543" s="250" t="str">
        <f>IF(AND(A8543&lt;&gt;"",ISNUMBER(A8543)),VLOOKUP(A8543,Studies!A:BR,3,FALSE),"")</f>
        <v>https://www.ncbi.nlm.nih.gov/pubmed/8005185</v>
      </c>
      <c r="D8543" s="250" t="str">
        <f>IF(AND(A8543&lt;&gt;"",ISNUMBER(A8543)),VLOOKUP(A8543,Studies!A:BR,4,FALSE),"")</f>
        <v>Alprazolam + fluvoxamine</v>
      </c>
      <c r="E8543" s="250" t="str">
        <f>IF(AND(A8543&lt;&gt;"",ISNUMBER(A8543)),VLOOKUP(A8543,Studies!A:BR,5,FALSE),"")</f>
        <v>Alprazolam</v>
      </c>
      <c r="F8543" s="251" t="str">
        <f>IF(AND(A8543&lt;&gt;"",ISNUMBER(A8543)),VLOOKUP(A8543,Studies!A:BR,6,FALSE),"")</f>
        <v>Plasma</v>
      </c>
      <c r="G8543" s="194">
        <v>223</v>
      </c>
      <c r="H8543" s="50" t="s">
        <v>60</v>
      </c>
      <c r="I8543" s="187">
        <v>84.334450000000004</v>
      </c>
      <c r="J8543" s="41" t="s">
        <v>941</v>
      </c>
      <c r="K8543" s="41" t="s">
        <v>335</v>
      </c>
      <c r="O8543" s="199"/>
    </row>
    <row r="8544" spans="1:15" x14ac:dyDescent="0.2">
      <c r="A8544" s="30">
        <v>1104</v>
      </c>
      <c r="B8544" s="249" t="str">
        <f>IF(AND(A8544&lt;&gt;"",ISNUMBER(A8544)),VLOOKUP(A8544,Studies!A:BR,2,FALSE),"")</f>
        <v>Fleishaker 1994</v>
      </c>
      <c r="C8544" s="250" t="str">
        <f>IF(AND(A8544&lt;&gt;"",ISNUMBER(A8544)),VLOOKUP(A8544,Studies!A:BR,3,FALSE),"")</f>
        <v>https://www.ncbi.nlm.nih.gov/pubmed/8005185</v>
      </c>
      <c r="D8544" s="250" t="str">
        <f>IF(AND(A8544&lt;&gt;"",ISNUMBER(A8544)),VLOOKUP(A8544,Studies!A:BR,4,FALSE),"")</f>
        <v>Alprazolam + fluvoxamine</v>
      </c>
      <c r="E8544" s="250" t="str">
        <f>IF(AND(A8544&lt;&gt;"",ISNUMBER(A8544)),VLOOKUP(A8544,Studies!A:BR,5,FALSE),"")</f>
        <v>Alprazolam</v>
      </c>
      <c r="F8544" s="251" t="str">
        <f>IF(AND(A8544&lt;&gt;"",ISNUMBER(A8544)),VLOOKUP(A8544,Studies!A:BR,6,FALSE),"")</f>
        <v>Plasma</v>
      </c>
      <c r="G8544" s="194">
        <v>225</v>
      </c>
      <c r="H8544" s="50" t="s">
        <v>60</v>
      </c>
      <c r="I8544" s="187">
        <v>87.616510000000005</v>
      </c>
      <c r="J8544" s="41" t="s">
        <v>941</v>
      </c>
      <c r="K8544" s="41" t="s">
        <v>335</v>
      </c>
      <c r="O8544" s="199"/>
    </row>
    <row r="8545" spans="1:16" x14ac:dyDescent="0.2">
      <c r="A8545" s="30">
        <v>1104</v>
      </c>
      <c r="B8545" s="249" t="str">
        <f>IF(AND(A8545&lt;&gt;"",ISNUMBER(A8545)),VLOOKUP(A8545,Studies!A:BR,2,FALSE),"")</f>
        <v>Fleishaker 1994</v>
      </c>
      <c r="C8545" s="250" t="str">
        <f>IF(AND(A8545&lt;&gt;"",ISNUMBER(A8545)),VLOOKUP(A8545,Studies!A:BR,3,FALSE),"")</f>
        <v>https://www.ncbi.nlm.nih.gov/pubmed/8005185</v>
      </c>
      <c r="D8545" s="250" t="str">
        <f>IF(AND(A8545&lt;&gt;"",ISNUMBER(A8545)),VLOOKUP(A8545,Studies!A:BR,4,FALSE),"")</f>
        <v>Alprazolam + fluvoxamine</v>
      </c>
      <c r="E8545" s="250" t="str">
        <f>IF(AND(A8545&lt;&gt;"",ISNUMBER(A8545)),VLOOKUP(A8545,Studies!A:BR,5,FALSE),"")</f>
        <v>Alprazolam</v>
      </c>
      <c r="F8545" s="251" t="str">
        <f>IF(AND(A8545&lt;&gt;"",ISNUMBER(A8545)),VLOOKUP(A8545,Studies!A:BR,6,FALSE),"")</f>
        <v>Plasma</v>
      </c>
      <c r="G8545" s="194">
        <v>226</v>
      </c>
      <c r="H8545" s="50" t="s">
        <v>60</v>
      </c>
      <c r="I8545" s="187">
        <v>82.919619999999995</v>
      </c>
      <c r="J8545" s="41" t="s">
        <v>941</v>
      </c>
      <c r="K8545" s="41" t="s">
        <v>335</v>
      </c>
      <c r="O8545" s="199"/>
    </row>
    <row r="8546" spans="1:16" x14ac:dyDescent="0.2">
      <c r="A8546" s="30">
        <v>1104</v>
      </c>
      <c r="B8546" s="249" t="str">
        <f>IF(AND(A8546&lt;&gt;"",ISNUMBER(A8546)),VLOOKUP(A8546,Studies!A:BR,2,FALSE),"")</f>
        <v>Fleishaker 1994</v>
      </c>
      <c r="C8546" s="250" t="str">
        <f>IF(AND(A8546&lt;&gt;"",ISNUMBER(A8546)),VLOOKUP(A8546,Studies!A:BR,3,FALSE),"")</f>
        <v>https://www.ncbi.nlm.nih.gov/pubmed/8005185</v>
      </c>
      <c r="D8546" s="250" t="str">
        <f>IF(AND(A8546&lt;&gt;"",ISNUMBER(A8546)),VLOOKUP(A8546,Studies!A:BR,4,FALSE),"")</f>
        <v>Alprazolam + fluvoxamine</v>
      </c>
      <c r="E8546" s="250" t="str">
        <f>IF(AND(A8546&lt;&gt;"",ISNUMBER(A8546)),VLOOKUP(A8546,Studies!A:BR,5,FALSE),"")</f>
        <v>Alprazolam</v>
      </c>
      <c r="F8546" s="251" t="str">
        <f>IF(AND(A8546&lt;&gt;"",ISNUMBER(A8546)),VLOOKUP(A8546,Studies!A:BR,6,FALSE),"")</f>
        <v>Plasma</v>
      </c>
      <c r="G8546" s="194">
        <v>227</v>
      </c>
      <c r="H8546" s="50" t="s">
        <v>60</v>
      </c>
      <c r="I8546" s="187">
        <v>89.490120000000005</v>
      </c>
      <c r="J8546" s="41" t="s">
        <v>941</v>
      </c>
      <c r="K8546" s="41" t="s">
        <v>335</v>
      </c>
      <c r="O8546" s="199"/>
    </row>
    <row r="8547" spans="1:16" x14ac:dyDescent="0.2">
      <c r="A8547" s="30">
        <v>1104</v>
      </c>
      <c r="B8547" s="249" t="str">
        <f>IF(AND(A8547&lt;&gt;"",ISNUMBER(A8547)),VLOOKUP(A8547,Studies!A:BR,2,FALSE),"")</f>
        <v>Fleishaker 1994</v>
      </c>
      <c r="C8547" s="250" t="str">
        <f>IF(AND(A8547&lt;&gt;"",ISNUMBER(A8547)),VLOOKUP(A8547,Studies!A:BR,3,FALSE),"")</f>
        <v>https://www.ncbi.nlm.nih.gov/pubmed/8005185</v>
      </c>
      <c r="D8547" s="250" t="str">
        <f>IF(AND(A8547&lt;&gt;"",ISNUMBER(A8547)),VLOOKUP(A8547,Studies!A:BR,4,FALSE),"")</f>
        <v>Alprazolam + fluvoxamine</v>
      </c>
      <c r="E8547" s="250" t="str">
        <f>IF(AND(A8547&lt;&gt;"",ISNUMBER(A8547)),VLOOKUP(A8547,Studies!A:BR,5,FALSE),"")</f>
        <v>Alprazolam</v>
      </c>
      <c r="F8547" s="251" t="str">
        <f>IF(AND(A8547&lt;&gt;"",ISNUMBER(A8547)),VLOOKUP(A8547,Studies!A:BR,6,FALSE),"")</f>
        <v>Plasma</v>
      </c>
      <c r="G8547" s="194">
        <v>228</v>
      </c>
      <c r="H8547" s="50" t="s">
        <v>60</v>
      </c>
      <c r="I8547" s="187">
        <v>90.661540000000002</v>
      </c>
      <c r="J8547" s="41" t="s">
        <v>941</v>
      </c>
      <c r="K8547" s="41" t="s">
        <v>335</v>
      </c>
      <c r="O8547" s="199"/>
    </row>
    <row r="8548" spans="1:16" x14ac:dyDescent="0.2">
      <c r="A8548" s="30">
        <v>1104</v>
      </c>
      <c r="B8548" s="249" t="str">
        <f>IF(AND(A8548&lt;&gt;"",ISNUMBER(A8548)),VLOOKUP(A8548,Studies!A:BR,2,FALSE),"")</f>
        <v>Fleishaker 1994</v>
      </c>
      <c r="C8548" s="250" t="str">
        <f>IF(AND(A8548&lt;&gt;"",ISNUMBER(A8548)),VLOOKUP(A8548,Studies!A:BR,3,FALSE),"")</f>
        <v>https://www.ncbi.nlm.nih.gov/pubmed/8005185</v>
      </c>
      <c r="D8548" s="250" t="str">
        <f>IF(AND(A8548&lt;&gt;"",ISNUMBER(A8548)),VLOOKUP(A8548,Studies!A:BR,4,FALSE),"")</f>
        <v>Alprazolam + fluvoxamine</v>
      </c>
      <c r="E8548" s="250" t="str">
        <f>IF(AND(A8548&lt;&gt;"",ISNUMBER(A8548)),VLOOKUP(A8548,Studies!A:BR,5,FALSE),"")</f>
        <v>Alprazolam</v>
      </c>
      <c r="F8548" s="251" t="str">
        <f>IF(AND(A8548&lt;&gt;"",ISNUMBER(A8548)),VLOOKUP(A8548,Studies!A:BR,6,FALSE),"")</f>
        <v>Plasma</v>
      </c>
      <c r="G8548" s="194">
        <v>230</v>
      </c>
      <c r="H8548" s="50" t="s">
        <v>60</v>
      </c>
      <c r="I8548" s="187">
        <v>86.666330000000002</v>
      </c>
      <c r="J8548" s="41" t="s">
        <v>941</v>
      </c>
      <c r="K8548" s="41" t="s">
        <v>335</v>
      </c>
      <c r="O8548" s="199"/>
    </row>
    <row r="8549" spans="1:16" x14ac:dyDescent="0.2">
      <c r="A8549" s="30">
        <v>1104</v>
      </c>
      <c r="B8549" s="249" t="str">
        <f>IF(AND(A8549&lt;&gt;"",ISNUMBER(A8549)),VLOOKUP(A8549,Studies!A:BR,2,FALSE),"")</f>
        <v>Fleishaker 1994</v>
      </c>
      <c r="C8549" s="250" t="str">
        <f>IF(AND(A8549&lt;&gt;"",ISNUMBER(A8549)),VLOOKUP(A8549,Studies!A:BR,3,FALSE),"")</f>
        <v>https://www.ncbi.nlm.nih.gov/pubmed/8005185</v>
      </c>
      <c r="D8549" s="250" t="str">
        <f>IF(AND(A8549&lt;&gt;"",ISNUMBER(A8549)),VLOOKUP(A8549,Studies!A:BR,4,FALSE),"")</f>
        <v>Alprazolam + fluvoxamine</v>
      </c>
      <c r="E8549" s="250" t="str">
        <f>IF(AND(A8549&lt;&gt;"",ISNUMBER(A8549)),VLOOKUP(A8549,Studies!A:BR,5,FALSE),"")</f>
        <v>Alprazolam</v>
      </c>
      <c r="F8549" s="251" t="str">
        <f>IF(AND(A8549&lt;&gt;"",ISNUMBER(A8549)),VLOOKUP(A8549,Studies!A:BR,6,FALSE),"")</f>
        <v>Plasma</v>
      </c>
      <c r="G8549" s="194">
        <v>231</v>
      </c>
      <c r="H8549" s="50" t="s">
        <v>60</v>
      </c>
      <c r="I8549" s="187">
        <v>84.082369999999997</v>
      </c>
      <c r="J8549" s="41" t="s">
        <v>941</v>
      </c>
      <c r="K8549" s="41" t="s">
        <v>335</v>
      </c>
      <c r="O8549" s="199"/>
    </row>
    <row r="8550" spans="1:16" x14ac:dyDescent="0.2">
      <c r="A8550" s="30">
        <v>1104</v>
      </c>
      <c r="B8550" s="249" t="str">
        <f>IF(AND(A8550&lt;&gt;"",ISNUMBER(A8550)),VLOOKUP(A8550,Studies!A:BR,2,FALSE),"")</f>
        <v>Fleishaker 1994</v>
      </c>
      <c r="C8550" s="250" t="str">
        <f>IF(AND(A8550&lt;&gt;"",ISNUMBER(A8550)),VLOOKUP(A8550,Studies!A:BR,3,FALSE),"")</f>
        <v>https://www.ncbi.nlm.nih.gov/pubmed/8005185</v>
      </c>
      <c r="D8550" s="250" t="str">
        <f>IF(AND(A8550&lt;&gt;"",ISNUMBER(A8550)),VLOOKUP(A8550,Studies!A:BR,4,FALSE),"")</f>
        <v>Alprazolam + fluvoxamine</v>
      </c>
      <c r="E8550" s="250" t="str">
        <f>IF(AND(A8550&lt;&gt;"",ISNUMBER(A8550)),VLOOKUP(A8550,Studies!A:BR,5,FALSE),"")</f>
        <v>Alprazolam</v>
      </c>
      <c r="F8550" s="251" t="str">
        <f>IF(AND(A8550&lt;&gt;"",ISNUMBER(A8550)),VLOOKUP(A8550,Studies!A:BR,6,FALSE),"")</f>
        <v>Plasma</v>
      </c>
      <c r="G8550" s="194">
        <v>232</v>
      </c>
      <c r="H8550" s="50" t="s">
        <v>60</v>
      </c>
      <c r="I8550" s="187">
        <v>91.591840000000005</v>
      </c>
      <c r="J8550" s="41" t="s">
        <v>941</v>
      </c>
      <c r="K8550" s="41" t="s">
        <v>335</v>
      </c>
      <c r="O8550" s="199"/>
    </row>
    <row r="8551" spans="1:16" x14ac:dyDescent="0.2">
      <c r="A8551" s="30">
        <v>1104</v>
      </c>
      <c r="B8551" s="249" t="str">
        <f>IF(AND(A8551&lt;&gt;"",ISNUMBER(A8551)),VLOOKUP(A8551,Studies!A:BR,2,FALSE),"")</f>
        <v>Fleishaker 1994</v>
      </c>
      <c r="C8551" s="250" t="str">
        <f>IF(AND(A8551&lt;&gt;"",ISNUMBER(A8551)),VLOOKUP(A8551,Studies!A:BR,3,FALSE),"")</f>
        <v>https://www.ncbi.nlm.nih.gov/pubmed/8005185</v>
      </c>
      <c r="D8551" s="250" t="str">
        <f>IF(AND(A8551&lt;&gt;"",ISNUMBER(A8551)),VLOOKUP(A8551,Studies!A:BR,4,FALSE),"")</f>
        <v>Alprazolam + fluvoxamine</v>
      </c>
      <c r="E8551" s="250" t="str">
        <f>IF(AND(A8551&lt;&gt;"",ISNUMBER(A8551)),VLOOKUP(A8551,Studies!A:BR,5,FALSE),"")</f>
        <v>Alprazolam</v>
      </c>
      <c r="F8551" s="251" t="str">
        <f>IF(AND(A8551&lt;&gt;"",ISNUMBER(A8551)),VLOOKUP(A8551,Studies!A:BR,6,FALSE),"")</f>
        <v>Plasma</v>
      </c>
      <c r="G8551" s="194">
        <v>233</v>
      </c>
      <c r="H8551" s="50" t="s">
        <v>60</v>
      </c>
      <c r="I8551" s="187">
        <v>92.294030000000006</v>
      </c>
      <c r="J8551" s="41" t="s">
        <v>941</v>
      </c>
      <c r="K8551" s="41" t="s">
        <v>335</v>
      </c>
      <c r="O8551" s="199"/>
    </row>
    <row r="8552" spans="1:16" x14ac:dyDescent="0.2">
      <c r="A8552" s="30">
        <v>1104</v>
      </c>
      <c r="B8552" s="249" t="str">
        <f>IF(AND(A8552&lt;&gt;"",ISNUMBER(A8552)),VLOOKUP(A8552,Studies!A:BR,2,FALSE),"")</f>
        <v>Fleishaker 1994</v>
      </c>
      <c r="C8552" s="250" t="str">
        <f>IF(AND(A8552&lt;&gt;"",ISNUMBER(A8552)),VLOOKUP(A8552,Studies!A:BR,3,FALSE),"")</f>
        <v>https://www.ncbi.nlm.nih.gov/pubmed/8005185</v>
      </c>
      <c r="D8552" s="250" t="str">
        <f>IF(AND(A8552&lt;&gt;"",ISNUMBER(A8552)),VLOOKUP(A8552,Studies!A:BR,4,FALSE),"")</f>
        <v>Alprazolam + fluvoxamine</v>
      </c>
      <c r="E8552" s="250" t="str">
        <f>IF(AND(A8552&lt;&gt;"",ISNUMBER(A8552)),VLOOKUP(A8552,Studies!A:BR,5,FALSE),"")</f>
        <v>Alprazolam</v>
      </c>
      <c r="F8552" s="251" t="str">
        <f>IF(AND(A8552&lt;&gt;"",ISNUMBER(A8552)),VLOOKUP(A8552,Studies!A:BR,6,FALSE),"")</f>
        <v>Plasma</v>
      </c>
      <c r="G8552" s="194">
        <v>235</v>
      </c>
      <c r="H8552" s="50" t="s">
        <v>60</v>
      </c>
      <c r="I8552" s="187">
        <v>91.82047</v>
      </c>
      <c r="J8552" s="41" t="s">
        <v>941</v>
      </c>
      <c r="K8552" s="41" t="s">
        <v>335</v>
      </c>
      <c r="O8552" s="199"/>
    </row>
    <row r="8553" spans="1:16" x14ac:dyDescent="0.2">
      <c r="A8553" s="30">
        <v>1104</v>
      </c>
      <c r="B8553" s="249" t="str">
        <f>IF(AND(A8553&lt;&gt;"",ISNUMBER(A8553)),VLOOKUP(A8553,Studies!A:BR,2,FALSE),"")</f>
        <v>Fleishaker 1994</v>
      </c>
      <c r="C8553" s="250" t="str">
        <f>IF(AND(A8553&lt;&gt;"",ISNUMBER(A8553)),VLOOKUP(A8553,Studies!A:BR,3,FALSE),"")</f>
        <v>https://www.ncbi.nlm.nih.gov/pubmed/8005185</v>
      </c>
      <c r="D8553" s="250" t="str">
        <f>IF(AND(A8553&lt;&gt;"",ISNUMBER(A8553)),VLOOKUP(A8553,Studies!A:BR,4,FALSE),"")</f>
        <v>Alprazolam + fluvoxamine</v>
      </c>
      <c r="E8553" s="250" t="str">
        <f>IF(AND(A8553&lt;&gt;"",ISNUMBER(A8553)),VLOOKUP(A8553,Studies!A:BR,5,FALSE),"")</f>
        <v>Alprazolam</v>
      </c>
      <c r="F8553" s="251" t="str">
        <f>IF(AND(A8553&lt;&gt;"",ISNUMBER(A8553)),VLOOKUP(A8553,Studies!A:BR,6,FALSE),"")</f>
        <v>Plasma</v>
      </c>
      <c r="G8553" s="194">
        <v>237</v>
      </c>
      <c r="H8553" s="50" t="s">
        <v>60</v>
      </c>
      <c r="I8553" s="187">
        <v>86.416550000000001</v>
      </c>
      <c r="J8553" s="41" t="s">
        <v>941</v>
      </c>
      <c r="K8553" s="41" t="s">
        <v>335</v>
      </c>
      <c r="O8553" s="199"/>
    </row>
    <row r="8554" spans="1:16" x14ac:dyDescent="0.2">
      <c r="A8554" s="30">
        <v>1104</v>
      </c>
      <c r="B8554" s="249" t="str">
        <f>IF(AND(A8554&lt;&gt;"",ISNUMBER(A8554)),VLOOKUP(A8554,Studies!A:BR,2,FALSE),"")</f>
        <v>Fleishaker 1994</v>
      </c>
      <c r="C8554" s="250" t="str">
        <f>IF(AND(A8554&lt;&gt;"",ISNUMBER(A8554)),VLOOKUP(A8554,Studies!A:BR,3,FALSE),"")</f>
        <v>https://www.ncbi.nlm.nih.gov/pubmed/8005185</v>
      </c>
      <c r="D8554" s="250" t="str">
        <f>IF(AND(A8554&lt;&gt;"",ISNUMBER(A8554)),VLOOKUP(A8554,Studies!A:BR,4,FALSE),"")</f>
        <v>Alprazolam + fluvoxamine</v>
      </c>
      <c r="E8554" s="250" t="str">
        <f>IF(AND(A8554&lt;&gt;"",ISNUMBER(A8554)),VLOOKUP(A8554,Studies!A:BR,5,FALSE),"")</f>
        <v>Alprazolam</v>
      </c>
      <c r="F8554" s="251" t="str">
        <f>IF(AND(A8554&lt;&gt;"",ISNUMBER(A8554)),VLOOKUP(A8554,Studies!A:BR,6,FALSE),"")</f>
        <v>Plasma</v>
      </c>
      <c r="G8554" s="194">
        <v>240</v>
      </c>
      <c r="H8554" s="50" t="s">
        <v>60</v>
      </c>
      <c r="I8554" s="187">
        <v>86.410169999999994</v>
      </c>
      <c r="J8554" s="41" t="s">
        <v>941</v>
      </c>
      <c r="K8554" s="41" t="s">
        <v>335</v>
      </c>
      <c r="O8554" s="199"/>
    </row>
    <row r="8555" spans="1:16" x14ac:dyDescent="0.2">
      <c r="A8555" s="30">
        <v>1104</v>
      </c>
      <c r="B8555" s="249" t="str">
        <f>IF(AND(A8555&lt;&gt;"",ISNUMBER(A8555)),VLOOKUP(A8555,Studies!A:BR,2,FALSE),"")</f>
        <v>Fleishaker 1994</v>
      </c>
      <c r="C8555" s="250" t="str">
        <f>IF(AND(A8555&lt;&gt;"",ISNUMBER(A8555)),VLOOKUP(A8555,Studies!A:BR,3,FALSE),"")</f>
        <v>https://www.ncbi.nlm.nih.gov/pubmed/8005185</v>
      </c>
      <c r="D8555" s="250" t="str">
        <f>IF(AND(A8555&lt;&gt;"",ISNUMBER(A8555)),VLOOKUP(A8555,Studies!A:BR,4,FALSE),"")</f>
        <v>Alprazolam + fluvoxamine</v>
      </c>
      <c r="E8555" s="250" t="str">
        <f>IF(AND(A8555&lt;&gt;"",ISNUMBER(A8555)),VLOOKUP(A8555,Studies!A:BR,5,FALSE),"")</f>
        <v>Alprazolam</v>
      </c>
      <c r="F8555" s="251" t="str">
        <f>IF(AND(A8555&lt;&gt;"",ISNUMBER(A8555)),VLOOKUP(A8555,Studies!A:BR,6,FALSE),"")</f>
        <v>Plasma</v>
      </c>
      <c r="G8555" s="194">
        <v>245</v>
      </c>
      <c r="H8555" s="50" t="s">
        <v>60</v>
      </c>
      <c r="I8555" s="187">
        <v>77.948490000000007</v>
      </c>
      <c r="J8555" s="41" t="s">
        <v>941</v>
      </c>
      <c r="K8555" s="41" t="s">
        <v>335</v>
      </c>
      <c r="O8555" s="199"/>
    </row>
    <row r="8556" spans="1:16" x14ac:dyDescent="0.2">
      <c r="A8556" s="30">
        <v>1104</v>
      </c>
      <c r="B8556" s="249" t="str">
        <f>IF(AND(A8556&lt;&gt;"",ISNUMBER(A8556)),VLOOKUP(A8556,Studies!A:BR,2,FALSE),"")</f>
        <v>Fleishaker 1994</v>
      </c>
      <c r="C8556" s="250" t="str">
        <f>IF(AND(A8556&lt;&gt;"",ISNUMBER(A8556)),VLOOKUP(A8556,Studies!A:BR,3,FALSE),"")</f>
        <v>https://www.ncbi.nlm.nih.gov/pubmed/8005185</v>
      </c>
      <c r="D8556" s="250" t="str">
        <f>IF(AND(A8556&lt;&gt;"",ISNUMBER(A8556)),VLOOKUP(A8556,Studies!A:BR,4,FALSE),"")</f>
        <v>Alprazolam + fluvoxamine</v>
      </c>
      <c r="E8556" s="250" t="str">
        <f>IF(AND(A8556&lt;&gt;"",ISNUMBER(A8556)),VLOOKUP(A8556,Studies!A:BR,5,FALSE),"")</f>
        <v>Alprazolam</v>
      </c>
      <c r="F8556" s="251" t="str">
        <f>IF(AND(A8556&lt;&gt;"",ISNUMBER(A8556)),VLOOKUP(A8556,Studies!A:BR,6,FALSE),"")</f>
        <v>Plasma</v>
      </c>
      <c r="G8556" s="194">
        <v>252</v>
      </c>
      <c r="H8556" s="50" t="s">
        <v>60</v>
      </c>
      <c r="I8556" s="187">
        <v>68.309010000000001</v>
      </c>
      <c r="J8556" s="41" t="s">
        <v>941</v>
      </c>
      <c r="K8556" s="41" t="s">
        <v>335</v>
      </c>
      <c r="O8556" s="199"/>
    </row>
    <row r="8557" spans="1:16" x14ac:dyDescent="0.2">
      <c r="A8557" s="30">
        <v>1105</v>
      </c>
      <c r="B8557" s="249" t="str">
        <f>IF(AND(A8557&lt;&gt;"",ISNUMBER(A8557)),VLOOKUP(A8557,Studies!A:BR,2,FALSE),"")</f>
        <v>Fleishaker 1994</v>
      </c>
      <c r="C8557" s="250" t="str">
        <f>IF(AND(A8557&lt;&gt;"",ISNUMBER(A8557)),VLOOKUP(A8557,Studies!A:BR,3,FALSE),"")</f>
        <v>https://www.ncbi.nlm.nih.gov/pubmed/8005185</v>
      </c>
      <c r="D8557" s="250" t="str">
        <f>IF(AND(A8557&lt;&gt;"",ISNUMBER(A8557)),VLOOKUP(A8557,Studies!A:BR,4,FALSE),"")</f>
        <v>Fluvoxamine alone</v>
      </c>
      <c r="E8557" s="250" t="str">
        <f>IF(AND(A8557&lt;&gt;"",ISNUMBER(A8557)),VLOOKUP(A8557,Studies!A:BR,5,FALSE),"")</f>
        <v>Fluvoxamine</v>
      </c>
      <c r="F8557" s="251" t="str">
        <f>IF(AND(A8557&lt;&gt;"",ISNUMBER(A8557)),VLOOKUP(A8557,Studies!A:BR,6,FALSE),"")</f>
        <v>Plasma</v>
      </c>
      <c r="G8557" s="194">
        <v>1</v>
      </c>
      <c r="H8557" s="50" t="s">
        <v>60</v>
      </c>
      <c r="I8557" s="187">
        <v>2.5721780000000001</v>
      </c>
      <c r="J8557" s="41" t="s">
        <v>941</v>
      </c>
      <c r="K8557" s="41" t="s">
        <v>335</v>
      </c>
      <c r="O8557" s="199"/>
      <c r="P8557" s="42" t="s">
        <v>2878</v>
      </c>
    </row>
    <row r="8558" spans="1:16" x14ac:dyDescent="0.2">
      <c r="A8558" s="30">
        <v>1105</v>
      </c>
      <c r="B8558" s="249" t="str">
        <f>IF(AND(A8558&lt;&gt;"",ISNUMBER(A8558)),VLOOKUP(A8558,Studies!A:BR,2,FALSE),"")</f>
        <v>Fleishaker 1994</v>
      </c>
      <c r="C8558" s="250" t="str">
        <f>IF(AND(A8558&lt;&gt;"",ISNUMBER(A8558)),VLOOKUP(A8558,Studies!A:BR,3,FALSE),"")</f>
        <v>https://www.ncbi.nlm.nih.gov/pubmed/8005185</v>
      </c>
      <c r="D8558" s="250" t="str">
        <f>IF(AND(A8558&lt;&gt;"",ISNUMBER(A8558)),VLOOKUP(A8558,Studies!A:BR,4,FALSE),"")</f>
        <v>Fluvoxamine alone</v>
      </c>
      <c r="E8558" s="250" t="str">
        <f>IF(AND(A8558&lt;&gt;"",ISNUMBER(A8558)),VLOOKUP(A8558,Studies!A:BR,5,FALSE),"")</f>
        <v>Fluvoxamine</v>
      </c>
      <c r="F8558" s="251" t="str">
        <f>IF(AND(A8558&lt;&gt;"",ISNUMBER(A8558)),VLOOKUP(A8558,Studies!A:BR,6,FALSE),"")</f>
        <v>Plasma</v>
      </c>
      <c r="G8558" s="194">
        <v>2</v>
      </c>
      <c r="H8558" s="50" t="s">
        <v>60</v>
      </c>
      <c r="I8558" s="187">
        <v>8.2414690000000004</v>
      </c>
      <c r="J8558" s="41" t="s">
        <v>941</v>
      </c>
      <c r="K8558" s="41" t="s">
        <v>335</v>
      </c>
      <c r="O8558" s="199"/>
      <c r="P8558" s="42" t="s">
        <v>2878</v>
      </c>
    </row>
    <row r="8559" spans="1:16" x14ac:dyDescent="0.2">
      <c r="A8559" s="30">
        <v>1105</v>
      </c>
      <c r="B8559" s="249" t="str">
        <f>IF(AND(A8559&lt;&gt;"",ISNUMBER(A8559)),VLOOKUP(A8559,Studies!A:BR,2,FALSE),"")</f>
        <v>Fleishaker 1994</v>
      </c>
      <c r="C8559" s="250" t="str">
        <f>IF(AND(A8559&lt;&gt;"",ISNUMBER(A8559)),VLOOKUP(A8559,Studies!A:BR,3,FALSE),"")</f>
        <v>https://www.ncbi.nlm.nih.gov/pubmed/8005185</v>
      </c>
      <c r="D8559" s="250" t="str">
        <f>IF(AND(A8559&lt;&gt;"",ISNUMBER(A8559)),VLOOKUP(A8559,Studies!A:BR,4,FALSE),"")</f>
        <v>Fluvoxamine alone</v>
      </c>
      <c r="E8559" s="250" t="str">
        <f>IF(AND(A8559&lt;&gt;"",ISNUMBER(A8559)),VLOOKUP(A8559,Studies!A:BR,5,FALSE),"")</f>
        <v>Fluvoxamine</v>
      </c>
      <c r="F8559" s="251" t="str">
        <f>IF(AND(A8559&lt;&gt;"",ISNUMBER(A8559)),VLOOKUP(A8559,Studies!A:BR,6,FALSE),"")</f>
        <v>Plasma</v>
      </c>
      <c r="G8559" s="194">
        <v>4</v>
      </c>
      <c r="H8559" s="50" t="s">
        <v>60</v>
      </c>
      <c r="I8559" s="187">
        <v>17.480309999999999</v>
      </c>
      <c r="J8559" s="41" t="s">
        <v>941</v>
      </c>
      <c r="K8559" s="41" t="s">
        <v>335</v>
      </c>
      <c r="O8559" s="199"/>
      <c r="P8559" s="42" t="s">
        <v>2878</v>
      </c>
    </row>
    <row r="8560" spans="1:16" x14ac:dyDescent="0.2">
      <c r="A8560" s="30">
        <v>1105</v>
      </c>
      <c r="B8560" s="249" t="str">
        <f>IF(AND(A8560&lt;&gt;"",ISNUMBER(A8560)),VLOOKUP(A8560,Studies!A:BR,2,FALSE),"")</f>
        <v>Fleishaker 1994</v>
      </c>
      <c r="C8560" s="250" t="str">
        <f>IF(AND(A8560&lt;&gt;"",ISNUMBER(A8560)),VLOOKUP(A8560,Studies!A:BR,3,FALSE),"")</f>
        <v>https://www.ncbi.nlm.nih.gov/pubmed/8005185</v>
      </c>
      <c r="D8560" s="250" t="str">
        <f>IF(AND(A8560&lt;&gt;"",ISNUMBER(A8560)),VLOOKUP(A8560,Studies!A:BR,4,FALSE),"")</f>
        <v>Fluvoxamine alone</v>
      </c>
      <c r="E8560" s="250" t="str">
        <f>IF(AND(A8560&lt;&gt;"",ISNUMBER(A8560)),VLOOKUP(A8560,Studies!A:BR,5,FALSE),"")</f>
        <v>Fluvoxamine</v>
      </c>
      <c r="F8560" s="251" t="str">
        <f>IF(AND(A8560&lt;&gt;"",ISNUMBER(A8560)),VLOOKUP(A8560,Studies!A:BR,6,FALSE),"")</f>
        <v>Plasma</v>
      </c>
      <c r="G8560" s="194">
        <v>6</v>
      </c>
      <c r="H8560" s="50" t="s">
        <v>60</v>
      </c>
      <c r="I8560" s="187">
        <v>20</v>
      </c>
      <c r="J8560" s="41" t="s">
        <v>941</v>
      </c>
      <c r="K8560" s="41" t="s">
        <v>335</v>
      </c>
      <c r="O8560" s="199"/>
      <c r="P8560" s="42" t="s">
        <v>2878</v>
      </c>
    </row>
    <row r="8561" spans="1:16" x14ac:dyDescent="0.2">
      <c r="A8561" s="30">
        <v>1105</v>
      </c>
      <c r="B8561" s="249" t="str">
        <f>IF(AND(A8561&lt;&gt;"",ISNUMBER(A8561)),VLOOKUP(A8561,Studies!A:BR,2,FALSE),"")</f>
        <v>Fleishaker 1994</v>
      </c>
      <c r="C8561" s="250" t="str">
        <f>IF(AND(A8561&lt;&gt;"",ISNUMBER(A8561)),VLOOKUP(A8561,Studies!A:BR,3,FALSE),"")</f>
        <v>https://www.ncbi.nlm.nih.gov/pubmed/8005185</v>
      </c>
      <c r="D8561" s="250" t="str">
        <f>IF(AND(A8561&lt;&gt;"",ISNUMBER(A8561)),VLOOKUP(A8561,Studies!A:BR,4,FALSE),"")</f>
        <v>Fluvoxamine alone</v>
      </c>
      <c r="E8561" s="250" t="str">
        <f>IF(AND(A8561&lt;&gt;"",ISNUMBER(A8561)),VLOOKUP(A8561,Studies!A:BR,5,FALSE),"")</f>
        <v>Fluvoxamine</v>
      </c>
      <c r="F8561" s="251" t="str">
        <f>IF(AND(A8561&lt;&gt;"",ISNUMBER(A8561)),VLOOKUP(A8561,Studies!A:BR,6,FALSE),"")</f>
        <v>Plasma</v>
      </c>
      <c r="G8561" s="194">
        <v>8</v>
      </c>
      <c r="H8561" s="50" t="s">
        <v>60</v>
      </c>
      <c r="I8561" s="187">
        <v>19.370080000000002</v>
      </c>
      <c r="J8561" s="41" t="s">
        <v>941</v>
      </c>
      <c r="K8561" s="41" t="s">
        <v>335</v>
      </c>
      <c r="O8561" s="199"/>
      <c r="P8561" s="42" t="s">
        <v>2878</v>
      </c>
    </row>
    <row r="8562" spans="1:16" x14ac:dyDescent="0.2">
      <c r="A8562" s="30">
        <v>1105</v>
      </c>
      <c r="B8562" s="249" t="str">
        <f>IF(AND(A8562&lt;&gt;"",ISNUMBER(A8562)),VLOOKUP(A8562,Studies!A:BR,2,FALSE),"")</f>
        <v>Fleishaker 1994</v>
      </c>
      <c r="C8562" s="250" t="str">
        <f>IF(AND(A8562&lt;&gt;"",ISNUMBER(A8562)),VLOOKUP(A8562,Studies!A:BR,3,FALSE),"")</f>
        <v>https://www.ncbi.nlm.nih.gov/pubmed/8005185</v>
      </c>
      <c r="D8562" s="250" t="str">
        <f>IF(AND(A8562&lt;&gt;"",ISNUMBER(A8562)),VLOOKUP(A8562,Studies!A:BR,4,FALSE),"")</f>
        <v>Fluvoxamine alone</v>
      </c>
      <c r="E8562" s="250" t="str">
        <f>IF(AND(A8562&lt;&gt;"",ISNUMBER(A8562)),VLOOKUP(A8562,Studies!A:BR,5,FALSE),"")</f>
        <v>Fluvoxamine</v>
      </c>
      <c r="F8562" s="251" t="str">
        <f>IF(AND(A8562&lt;&gt;"",ISNUMBER(A8562)),VLOOKUP(A8562,Studies!A:BR,6,FALSE),"")</f>
        <v>Plasma</v>
      </c>
      <c r="G8562" s="194">
        <v>12</v>
      </c>
      <c r="H8562" s="50" t="s">
        <v>60</v>
      </c>
      <c r="I8562" s="187">
        <v>15.800520000000001</v>
      </c>
      <c r="J8562" s="41" t="s">
        <v>941</v>
      </c>
      <c r="K8562" s="41" t="s">
        <v>335</v>
      </c>
      <c r="O8562" s="199"/>
      <c r="P8562" s="42" t="s">
        <v>2878</v>
      </c>
    </row>
    <row r="8563" spans="1:16" x14ac:dyDescent="0.2">
      <c r="A8563" s="30">
        <v>1105</v>
      </c>
      <c r="B8563" s="249" t="str">
        <f>IF(AND(A8563&lt;&gt;"",ISNUMBER(A8563)),VLOOKUP(A8563,Studies!A:BR,2,FALSE),"")</f>
        <v>Fleishaker 1994</v>
      </c>
      <c r="C8563" s="250" t="str">
        <f>IF(AND(A8563&lt;&gt;"",ISNUMBER(A8563)),VLOOKUP(A8563,Studies!A:BR,3,FALSE),"")</f>
        <v>https://www.ncbi.nlm.nih.gov/pubmed/8005185</v>
      </c>
      <c r="D8563" s="250" t="str">
        <f>IF(AND(A8563&lt;&gt;"",ISNUMBER(A8563)),VLOOKUP(A8563,Studies!A:BR,4,FALSE),"")</f>
        <v>Fluvoxamine alone</v>
      </c>
      <c r="E8563" s="250" t="str">
        <f>IF(AND(A8563&lt;&gt;"",ISNUMBER(A8563)),VLOOKUP(A8563,Studies!A:BR,5,FALSE),"")</f>
        <v>Fluvoxamine</v>
      </c>
      <c r="F8563" s="251" t="str">
        <f>IF(AND(A8563&lt;&gt;"",ISNUMBER(A8563)),VLOOKUP(A8563,Studies!A:BR,6,FALSE),"")</f>
        <v>Plasma</v>
      </c>
      <c r="G8563" s="194">
        <v>16</v>
      </c>
      <c r="H8563" s="50" t="s">
        <v>60</v>
      </c>
      <c r="I8563" s="187">
        <v>13.28084</v>
      </c>
      <c r="J8563" s="41" t="s">
        <v>941</v>
      </c>
      <c r="K8563" s="41" t="s">
        <v>335</v>
      </c>
      <c r="O8563" s="199"/>
      <c r="P8563" s="42" t="s">
        <v>2878</v>
      </c>
    </row>
    <row r="8564" spans="1:16" x14ac:dyDescent="0.2">
      <c r="A8564" s="30">
        <v>1105</v>
      </c>
      <c r="B8564" s="249" t="str">
        <f>IF(AND(A8564&lt;&gt;"",ISNUMBER(A8564)),VLOOKUP(A8564,Studies!A:BR,2,FALSE),"")</f>
        <v>Fleishaker 1994</v>
      </c>
      <c r="C8564" s="250" t="str">
        <f>IF(AND(A8564&lt;&gt;"",ISNUMBER(A8564)),VLOOKUP(A8564,Studies!A:BR,3,FALSE),"")</f>
        <v>https://www.ncbi.nlm.nih.gov/pubmed/8005185</v>
      </c>
      <c r="D8564" s="250" t="str">
        <f>IF(AND(A8564&lt;&gt;"",ISNUMBER(A8564)),VLOOKUP(A8564,Studies!A:BR,4,FALSE),"")</f>
        <v>Fluvoxamine alone</v>
      </c>
      <c r="E8564" s="250" t="str">
        <f>IF(AND(A8564&lt;&gt;"",ISNUMBER(A8564)),VLOOKUP(A8564,Studies!A:BR,5,FALSE),"")</f>
        <v>Fluvoxamine</v>
      </c>
      <c r="F8564" s="251" t="str">
        <f>IF(AND(A8564&lt;&gt;"",ISNUMBER(A8564)),VLOOKUP(A8564,Studies!A:BR,6,FALSE),"")</f>
        <v>Plasma</v>
      </c>
      <c r="G8564" s="194">
        <v>20</v>
      </c>
      <c r="H8564" s="50" t="s">
        <v>60</v>
      </c>
      <c r="I8564" s="187">
        <v>11.181100000000001</v>
      </c>
      <c r="J8564" s="41" t="s">
        <v>941</v>
      </c>
      <c r="K8564" s="41" t="s">
        <v>335</v>
      </c>
      <c r="O8564" s="199"/>
      <c r="P8564" s="42" t="s">
        <v>2878</v>
      </c>
    </row>
    <row r="8565" spans="1:16" x14ac:dyDescent="0.2">
      <c r="A8565" s="30">
        <v>1105</v>
      </c>
      <c r="B8565" s="249" t="str">
        <f>IF(AND(A8565&lt;&gt;"",ISNUMBER(A8565)),VLOOKUP(A8565,Studies!A:BR,2,FALSE),"")</f>
        <v>Fleishaker 1994</v>
      </c>
      <c r="C8565" s="250" t="str">
        <f>IF(AND(A8565&lt;&gt;"",ISNUMBER(A8565)),VLOOKUP(A8565,Studies!A:BR,3,FALSE),"")</f>
        <v>https://www.ncbi.nlm.nih.gov/pubmed/8005185</v>
      </c>
      <c r="D8565" s="250" t="str">
        <f>IF(AND(A8565&lt;&gt;"",ISNUMBER(A8565)),VLOOKUP(A8565,Studies!A:BR,4,FALSE),"")</f>
        <v>Fluvoxamine alone</v>
      </c>
      <c r="E8565" s="250" t="str">
        <f>IF(AND(A8565&lt;&gt;"",ISNUMBER(A8565)),VLOOKUP(A8565,Studies!A:BR,5,FALSE),"")</f>
        <v>Fluvoxamine</v>
      </c>
      <c r="F8565" s="251" t="str">
        <f>IF(AND(A8565&lt;&gt;"",ISNUMBER(A8565)),VLOOKUP(A8565,Studies!A:BR,6,FALSE),"")</f>
        <v>Plasma</v>
      </c>
      <c r="G8565" s="194">
        <v>24</v>
      </c>
      <c r="H8565" s="50" t="s">
        <v>60</v>
      </c>
      <c r="I8565" s="187">
        <v>9.5013120000000004</v>
      </c>
      <c r="J8565" s="41" t="s">
        <v>941</v>
      </c>
      <c r="K8565" s="41" t="s">
        <v>335</v>
      </c>
      <c r="O8565" s="199"/>
      <c r="P8565" s="42" t="s">
        <v>2878</v>
      </c>
    </row>
    <row r="8566" spans="1:16" x14ac:dyDescent="0.2">
      <c r="A8566" s="30">
        <v>1105</v>
      </c>
      <c r="B8566" s="249" t="str">
        <f>IF(AND(A8566&lt;&gt;"",ISNUMBER(A8566)),VLOOKUP(A8566,Studies!A:BR,2,FALSE),"")</f>
        <v>Fleishaker 1994</v>
      </c>
      <c r="C8566" s="250" t="str">
        <f>IF(AND(A8566&lt;&gt;"",ISNUMBER(A8566)),VLOOKUP(A8566,Studies!A:BR,3,FALSE),"")</f>
        <v>https://www.ncbi.nlm.nih.gov/pubmed/8005185</v>
      </c>
      <c r="D8566" s="250" t="str">
        <f>IF(AND(A8566&lt;&gt;"",ISNUMBER(A8566)),VLOOKUP(A8566,Studies!A:BR,4,FALSE),"")</f>
        <v>Fluvoxamine alone</v>
      </c>
      <c r="E8566" s="250" t="str">
        <f>IF(AND(A8566&lt;&gt;"",ISNUMBER(A8566)),VLOOKUP(A8566,Studies!A:BR,5,FALSE),"")</f>
        <v>Fluvoxamine</v>
      </c>
      <c r="F8566" s="251" t="str">
        <f>IF(AND(A8566&lt;&gt;"",ISNUMBER(A8566)),VLOOKUP(A8566,Studies!A:BR,6,FALSE),"")</f>
        <v>Plasma</v>
      </c>
      <c r="G8566" s="194">
        <v>48</v>
      </c>
      <c r="H8566" s="50" t="s">
        <v>60</v>
      </c>
      <c r="I8566" s="187">
        <v>14.12074</v>
      </c>
      <c r="J8566" s="41" t="s">
        <v>941</v>
      </c>
      <c r="K8566" s="41" t="s">
        <v>335</v>
      </c>
      <c r="O8566" s="199"/>
      <c r="P8566" s="42" t="s">
        <v>2878</v>
      </c>
    </row>
    <row r="8567" spans="1:16" x14ac:dyDescent="0.2">
      <c r="A8567" s="30">
        <v>1105</v>
      </c>
      <c r="B8567" s="249" t="str">
        <f>IF(AND(A8567&lt;&gt;"",ISNUMBER(A8567)),VLOOKUP(A8567,Studies!A:BR,2,FALSE),"")</f>
        <v>Fleishaker 1994</v>
      </c>
      <c r="C8567" s="250" t="str">
        <f>IF(AND(A8567&lt;&gt;"",ISNUMBER(A8567)),VLOOKUP(A8567,Studies!A:BR,3,FALSE),"")</f>
        <v>https://www.ncbi.nlm.nih.gov/pubmed/8005185</v>
      </c>
      <c r="D8567" s="250" t="str">
        <f>IF(AND(A8567&lt;&gt;"",ISNUMBER(A8567)),VLOOKUP(A8567,Studies!A:BR,4,FALSE),"")</f>
        <v>Fluvoxamine alone</v>
      </c>
      <c r="E8567" s="250" t="str">
        <f>IF(AND(A8567&lt;&gt;"",ISNUMBER(A8567)),VLOOKUP(A8567,Studies!A:BR,5,FALSE),"")</f>
        <v>Fluvoxamine</v>
      </c>
      <c r="F8567" s="251" t="str">
        <f>IF(AND(A8567&lt;&gt;"",ISNUMBER(A8567)),VLOOKUP(A8567,Studies!A:BR,6,FALSE),"")</f>
        <v>Plasma</v>
      </c>
      <c r="G8567" s="194">
        <v>72</v>
      </c>
      <c r="H8567" s="50" t="s">
        <v>60</v>
      </c>
      <c r="I8567" s="187">
        <v>17.060369999999999</v>
      </c>
      <c r="J8567" s="41" t="s">
        <v>941</v>
      </c>
      <c r="K8567" s="41" t="s">
        <v>335</v>
      </c>
      <c r="O8567" s="199"/>
      <c r="P8567" s="42" t="s">
        <v>2878</v>
      </c>
    </row>
    <row r="8568" spans="1:16" x14ac:dyDescent="0.2">
      <c r="A8568" s="30">
        <v>1105</v>
      </c>
      <c r="B8568" s="249" t="str">
        <f>IF(AND(A8568&lt;&gt;"",ISNUMBER(A8568)),VLOOKUP(A8568,Studies!A:BR,2,FALSE),"")</f>
        <v>Fleishaker 1994</v>
      </c>
      <c r="C8568" s="250" t="str">
        <f>IF(AND(A8568&lt;&gt;"",ISNUMBER(A8568)),VLOOKUP(A8568,Studies!A:BR,3,FALSE),"")</f>
        <v>https://www.ncbi.nlm.nih.gov/pubmed/8005185</v>
      </c>
      <c r="D8568" s="250" t="str">
        <f>IF(AND(A8568&lt;&gt;"",ISNUMBER(A8568)),VLOOKUP(A8568,Studies!A:BR,4,FALSE),"")</f>
        <v>Fluvoxamine alone</v>
      </c>
      <c r="E8568" s="250" t="str">
        <f>IF(AND(A8568&lt;&gt;"",ISNUMBER(A8568)),VLOOKUP(A8568,Studies!A:BR,5,FALSE),"")</f>
        <v>Fluvoxamine</v>
      </c>
      <c r="F8568" s="251" t="str">
        <f>IF(AND(A8568&lt;&gt;"",ISNUMBER(A8568)),VLOOKUP(A8568,Studies!A:BR,6,FALSE),"")</f>
        <v>Plasma</v>
      </c>
      <c r="G8568" s="194">
        <v>96</v>
      </c>
      <c r="H8568" s="50" t="s">
        <v>60</v>
      </c>
      <c r="I8568" s="187">
        <v>32.59843</v>
      </c>
      <c r="J8568" s="41" t="s">
        <v>941</v>
      </c>
      <c r="K8568" s="41" t="s">
        <v>335</v>
      </c>
      <c r="O8568" s="199"/>
      <c r="P8568" s="42" t="s">
        <v>2878</v>
      </c>
    </row>
    <row r="8569" spans="1:16" x14ac:dyDescent="0.2">
      <c r="A8569" s="30">
        <v>1105</v>
      </c>
      <c r="B8569" s="249" t="str">
        <f>IF(AND(A8569&lt;&gt;"",ISNUMBER(A8569)),VLOOKUP(A8569,Studies!A:BR,2,FALSE),"")</f>
        <v>Fleishaker 1994</v>
      </c>
      <c r="C8569" s="250" t="str">
        <f>IF(AND(A8569&lt;&gt;"",ISNUMBER(A8569)),VLOOKUP(A8569,Studies!A:BR,3,FALSE),"")</f>
        <v>https://www.ncbi.nlm.nih.gov/pubmed/8005185</v>
      </c>
      <c r="D8569" s="250" t="str">
        <f>IF(AND(A8569&lt;&gt;"",ISNUMBER(A8569)),VLOOKUP(A8569,Studies!A:BR,4,FALSE),"")</f>
        <v>Fluvoxamine alone</v>
      </c>
      <c r="E8569" s="250" t="str">
        <f>IF(AND(A8569&lt;&gt;"",ISNUMBER(A8569)),VLOOKUP(A8569,Studies!A:BR,5,FALSE),"")</f>
        <v>Fluvoxamine</v>
      </c>
      <c r="F8569" s="251" t="str">
        <f>IF(AND(A8569&lt;&gt;"",ISNUMBER(A8569)),VLOOKUP(A8569,Studies!A:BR,6,FALSE),"")</f>
        <v>Plasma</v>
      </c>
      <c r="G8569" s="194">
        <v>120</v>
      </c>
      <c r="H8569" s="50" t="s">
        <v>60</v>
      </c>
      <c r="I8569" s="187">
        <v>40.787399999999998</v>
      </c>
      <c r="J8569" s="41" t="s">
        <v>941</v>
      </c>
      <c r="K8569" s="41" t="s">
        <v>335</v>
      </c>
      <c r="O8569" s="199"/>
      <c r="P8569" s="42" t="s">
        <v>2878</v>
      </c>
    </row>
    <row r="8570" spans="1:16" x14ac:dyDescent="0.2">
      <c r="A8570" s="30">
        <v>1105</v>
      </c>
      <c r="B8570" s="249" t="str">
        <f>IF(AND(A8570&lt;&gt;"",ISNUMBER(A8570)),VLOOKUP(A8570,Studies!A:BR,2,FALSE),"")</f>
        <v>Fleishaker 1994</v>
      </c>
      <c r="C8570" s="250" t="str">
        <f>IF(AND(A8570&lt;&gt;"",ISNUMBER(A8570)),VLOOKUP(A8570,Studies!A:BR,3,FALSE),"")</f>
        <v>https://www.ncbi.nlm.nih.gov/pubmed/8005185</v>
      </c>
      <c r="D8570" s="250" t="str">
        <f>IF(AND(A8570&lt;&gt;"",ISNUMBER(A8570)),VLOOKUP(A8570,Studies!A:BR,4,FALSE),"")</f>
        <v>Fluvoxamine alone</v>
      </c>
      <c r="E8570" s="250" t="str">
        <f>IF(AND(A8570&lt;&gt;"",ISNUMBER(A8570)),VLOOKUP(A8570,Studies!A:BR,5,FALSE),"")</f>
        <v>Fluvoxamine</v>
      </c>
      <c r="F8570" s="251" t="str">
        <f>IF(AND(A8570&lt;&gt;"",ISNUMBER(A8570)),VLOOKUP(A8570,Studies!A:BR,6,FALSE),"")</f>
        <v>Plasma</v>
      </c>
      <c r="G8570" s="194">
        <v>144</v>
      </c>
      <c r="H8570" s="50" t="s">
        <v>60</v>
      </c>
      <c r="I8570" s="187">
        <v>48.766399999999997</v>
      </c>
      <c r="J8570" s="41" t="s">
        <v>941</v>
      </c>
      <c r="K8570" s="41" t="s">
        <v>335</v>
      </c>
      <c r="O8570" s="199"/>
      <c r="P8570" s="42" t="s">
        <v>2878</v>
      </c>
    </row>
    <row r="8571" spans="1:16" x14ac:dyDescent="0.2">
      <c r="A8571" s="30">
        <v>1105</v>
      </c>
      <c r="B8571" s="249" t="str">
        <f>IF(AND(A8571&lt;&gt;"",ISNUMBER(A8571)),VLOOKUP(A8571,Studies!A:BR,2,FALSE),"")</f>
        <v>Fleishaker 1994</v>
      </c>
      <c r="C8571" s="250" t="str">
        <f>IF(AND(A8571&lt;&gt;"",ISNUMBER(A8571)),VLOOKUP(A8571,Studies!A:BR,3,FALSE),"")</f>
        <v>https://www.ncbi.nlm.nih.gov/pubmed/8005185</v>
      </c>
      <c r="D8571" s="250" t="str">
        <f>IF(AND(A8571&lt;&gt;"",ISNUMBER(A8571)),VLOOKUP(A8571,Studies!A:BR,4,FALSE),"")</f>
        <v>Fluvoxamine alone</v>
      </c>
      <c r="E8571" s="250" t="str">
        <f>IF(AND(A8571&lt;&gt;"",ISNUMBER(A8571)),VLOOKUP(A8571,Studies!A:BR,5,FALSE),"")</f>
        <v>Fluvoxamine</v>
      </c>
      <c r="F8571" s="251" t="str">
        <f>IF(AND(A8571&lt;&gt;"",ISNUMBER(A8571)),VLOOKUP(A8571,Studies!A:BR,6,FALSE),"")</f>
        <v>Plasma</v>
      </c>
      <c r="G8571" s="194">
        <v>168</v>
      </c>
      <c r="H8571" s="50" t="s">
        <v>60</v>
      </c>
      <c r="I8571" s="187">
        <v>51.49606</v>
      </c>
      <c r="J8571" s="41" t="s">
        <v>941</v>
      </c>
      <c r="K8571" s="41" t="s">
        <v>335</v>
      </c>
      <c r="O8571" s="199"/>
      <c r="P8571" s="42" t="s">
        <v>2878</v>
      </c>
    </row>
    <row r="8572" spans="1:16" x14ac:dyDescent="0.2">
      <c r="A8572" s="30">
        <v>1105</v>
      </c>
      <c r="B8572" s="249" t="str">
        <f>IF(AND(A8572&lt;&gt;"",ISNUMBER(A8572)),VLOOKUP(A8572,Studies!A:BR,2,FALSE),"")</f>
        <v>Fleishaker 1994</v>
      </c>
      <c r="C8572" s="250" t="str">
        <f>IF(AND(A8572&lt;&gt;"",ISNUMBER(A8572)),VLOOKUP(A8572,Studies!A:BR,3,FALSE),"")</f>
        <v>https://www.ncbi.nlm.nih.gov/pubmed/8005185</v>
      </c>
      <c r="D8572" s="250" t="str">
        <f>IF(AND(A8572&lt;&gt;"",ISNUMBER(A8572)),VLOOKUP(A8572,Studies!A:BR,4,FALSE),"")</f>
        <v>Fluvoxamine alone</v>
      </c>
      <c r="E8572" s="250" t="str">
        <f>IF(AND(A8572&lt;&gt;"",ISNUMBER(A8572)),VLOOKUP(A8572,Studies!A:BR,5,FALSE),"")</f>
        <v>Fluvoxamine</v>
      </c>
      <c r="F8572" s="251" t="str">
        <f>IF(AND(A8572&lt;&gt;"",ISNUMBER(A8572)),VLOOKUP(A8572,Studies!A:BR,6,FALSE),"")</f>
        <v>Plasma</v>
      </c>
      <c r="G8572" s="194">
        <v>192</v>
      </c>
      <c r="H8572" s="50" t="s">
        <v>60</v>
      </c>
      <c r="I8572" s="187">
        <v>57.585299999999997</v>
      </c>
      <c r="J8572" s="41" t="s">
        <v>941</v>
      </c>
      <c r="K8572" s="41" t="s">
        <v>335</v>
      </c>
      <c r="O8572" s="199"/>
      <c r="P8572" s="42" t="s">
        <v>2878</v>
      </c>
    </row>
    <row r="8573" spans="1:16" x14ac:dyDescent="0.2">
      <c r="A8573" s="30">
        <v>1105</v>
      </c>
      <c r="B8573" s="249" t="str">
        <f>IF(AND(A8573&lt;&gt;"",ISNUMBER(A8573)),VLOOKUP(A8573,Studies!A:BR,2,FALSE),"")</f>
        <v>Fleishaker 1994</v>
      </c>
      <c r="C8573" s="250" t="str">
        <f>IF(AND(A8573&lt;&gt;"",ISNUMBER(A8573)),VLOOKUP(A8573,Studies!A:BR,3,FALSE),"")</f>
        <v>https://www.ncbi.nlm.nih.gov/pubmed/8005185</v>
      </c>
      <c r="D8573" s="250" t="str">
        <f>IF(AND(A8573&lt;&gt;"",ISNUMBER(A8573)),VLOOKUP(A8573,Studies!A:BR,4,FALSE),"")</f>
        <v>Fluvoxamine alone</v>
      </c>
      <c r="E8573" s="250" t="str">
        <f>IF(AND(A8573&lt;&gt;"",ISNUMBER(A8573)),VLOOKUP(A8573,Studies!A:BR,5,FALSE),"")</f>
        <v>Fluvoxamine</v>
      </c>
      <c r="F8573" s="251" t="str">
        <f>IF(AND(A8573&lt;&gt;"",ISNUMBER(A8573)),VLOOKUP(A8573,Studies!A:BR,6,FALSE),"")</f>
        <v>Plasma</v>
      </c>
      <c r="G8573" s="194">
        <v>216</v>
      </c>
      <c r="H8573" s="50" t="s">
        <v>60</v>
      </c>
      <c r="I8573" s="187">
        <v>53.175849999999997</v>
      </c>
      <c r="J8573" s="41" t="s">
        <v>941</v>
      </c>
      <c r="K8573" s="41" t="s">
        <v>335</v>
      </c>
      <c r="O8573" s="199"/>
      <c r="P8573" s="42" t="s">
        <v>2878</v>
      </c>
    </row>
    <row r="8574" spans="1:16" x14ac:dyDescent="0.2">
      <c r="A8574" s="30">
        <v>1105</v>
      </c>
      <c r="B8574" s="249" t="str">
        <f>IF(AND(A8574&lt;&gt;"",ISNUMBER(A8574)),VLOOKUP(A8574,Studies!A:BR,2,FALSE),"")</f>
        <v>Fleishaker 1994</v>
      </c>
      <c r="C8574" s="250" t="str">
        <f>IF(AND(A8574&lt;&gt;"",ISNUMBER(A8574)),VLOOKUP(A8574,Studies!A:BR,3,FALSE),"")</f>
        <v>https://www.ncbi.nlm.nih.gov/pubmed/8005185</v>
      </c>
      <c r="D8574" s="250" t="str">
        <f>IF(AND(A8574&lt;&gt;"",ISNUMBER(A8574)),VLOOKUP(A8574,Studies!A:BR,4,FALSE),"")</f>
        <v>Fluvoxamine alone</v>
      </c>
      <c r="E8574" s="250" t="str">
        <f>IF(AND(A8574&lt;&gt;"",ISNUMBER(A8574)),VLOOKUP(A8574,Studies!A:BR,5,FALSE),"")</f>
        <v>Fluvoxamine</v>
      </c>
      <c r="F8574" s="251" t="str">
        <f>IF(AND(A8574&lt;&gt;"",ISNUMBER(A8574)),VLOOKUP(A8574,Studies!A:BR,6,FALSE),"")</f>
        <v>Plasma</v>
      </c>
      <c r="G8574" s="194">
        <v>217</v>
      </c>
      <c r="H8574" s="50" t="s">
        <v>60</v>
      </c>
      <c r="I8574" s="187">
        <v>58.635170000000002</v>
      </c>
      <c r="J8574" s="41" t="s">
        <v>941</v>
      </c>
      <c r="K8574" s="41" t="s">
        <v>335</v>
      </c>
      <c r="O8574" s="199"/>
      <c r="P8574" s="42" t="s">
        <v>2878</v>
      </c>
    </row>
    <row r="8575" spans="1:16" x14ac:dyDescent="0.2">
      <c r="A8575" s="30">
        <v>1105</v>
      </c>
      <c r="B8575" s="249" t="str">
        <f>IF(AND(A8575&lt;&gt;"",ISNUMBER(A8575)),VLOOKUP(A8575,Studies!A:BR,2,FALSE),"")</f>
        <v>Fleishaker 1994</v>
      </c>
      <c r="C8575" s="250" t="str">
        <f>IF(AND(A8575&lt;&gt;"",ISNUMBER(A8575)),VLOOKUP(A8575,Studies!A:BR,3,FALSE),"")</f>
        <v>https://www.ncbi.nlm.nih.gov/pubmed/8005185</v>
      </c>
      <c r="D8575" s="250" t="str">
        <f>IF(AND(A8575&lt;&gt;"",ISNUMBER(A8575)),VLOOKUP(A8575,Studies!A:BR,4,FALSE),"")</f>
        <v>Fluvoxamine alone</v>
      </c>
      <c r="E8575" s="250" t="str">
        <f>IF(AND(A8575&lt;&gt;"",ISNUMBER(A8575)),VLOOKUP(A8575,Studies!A:BR,5,FALSE),"")</f>
        <v>Fluvoxamine</v>
      </c>
      <c r="F8575" s="251" t="str">
        <f>IF(AND(A8575&lt;&gt;"",ISNUMBER(A8575)),VLOOKUP(A8575,Studies!A:BR,6,FALSE),"")</f>
        <v>Plasma</v>
      </c>
      <c r="G8575" s="194">
        <v>218</v>
      </c>
      <c r="H8575" s="50" t="s">
        <v>60</v>
      </c>
      <c r="I8575" s="187">
        <v>69.133859999999999</v>
      </c>
      <c r="J8575" s="41" t="s">
        <v>941</v>
      </c>
      <c r="K8575" s="41" t="s">
        <v>335</v>
      </c>
      <c r="O8575" s="199"/>
      <c r="P8575" s="42" t="s">
        <v>2878</v>
      </c>
    </row>
    <row r="8576" spans="1:16" x14ac:dyDescent="0.2">
      <c r="A8576" s="30">
        <v>1105</v>
      </c>
      <c r="B8576" s="249" t="str">
        <f>IF(AND(A8576&lt;&gt;"",ISNUMBER(A8576)),VLOOKUP(A8576,Studies!A:BR,2,FALSE),"")</f>
        <v>Fleishaker 1994</v>
      </c>
      <c r="C8576" s="250" t="str">
        <f>IF(AND(A8576&lt;&gt;"",ISNUMBER(A8576)),VLOOKUP(A8576,Studies!A:BR,3,FALSE),"")</f>
        <v>https://www.ncbi.nlm.nih.gov/pubmed/8005185</v>
      </c>
      <c r="D8576" s="250" t="str">
        <f>IF(AND(A8576&lt;&gt;"",ISNUMBER(A8576)),VLOOKUP(A8576,Studies!A:BR,4,FALSE),"")</f>
        <v>Fluvoxamine alone</v>
      </c>
      <c r="E8576" s="250" t="str">
        <f>IF(AND(A8576&lt;&gt;"",ISNUMBER(A8576)),VLOOKUP(A8576,Studies!A:BR,5,FALSE),"")</f>
        <v>Fluvoxamine</v>
      </c>
      <c r="F8576" s="251" t="str">
        <f>IF(AND(A8576&lt;&gt;"",ISNUMBER(A8576)),VLOOKUP(A8576,Studies!A:BR,6,FALSE),"")</f>
        <v>Plasma</v>
      </c>
      <c r="G8576" s="194">
        <v>220</v>
      </c>
      <c r="H8576" s="50" t="s">
        <v>60</v>
      </c>
      <c r="I8576" s="187">
        <v>84.25197</v>
      </c>
      <c r="J8576" s="41" t="s">
        <v>941</v>
      </c>
      <c r="K8576" s="41" t="s">
        <v>335</v>
      </c>
      <c r="O8576" s="199"/>
      <c r="P8576" s="42" t="s">
        <v>2878</v>
      </c>
    </row>
    <row r="8577" spans="1:16" x14ac:dyDescent="0.2">
      <c r="A8577" s="30">
        <v>1105</v>
      </c>
      <c r="B8577" s="249" t="str">
        <f>IF(AND(A8577&lt;&gt;"",ISNUMBER(A8577)),VLOOKUP(A8577,Studies!A:BR,2,FALSE),"")</f>
        <v>Fleishaker 1994</v>
      </c>
      <c r="C8577" s="250" t="str">
        <f>IF(AND(A8577&lt;&gt;"",ISNUMBER(A8577)),VLOOKUP(A8577,Studies!A:BR,3,FALSE),"")</f>
        <v>https://www.ncbi.nlm.nih.gov/pubmed/8005185</v>
      </c>
      <c r="D8577" s="250" t="str">
        <f>IF(AND(A8577&lt;&gt;"",ISNUMBER(A8577)),VLOOKUP(A8577,Studies!A:BR,4,FALSE),"")</f>
        <v>Fluvoxamine alone</v>
      </c>
      <c r="E8577" s="250" t="str">
        <f>IF(AND(A8577&lt;&gt;"",ISNUMBER(A8577)),VLOOKUP(A8577,Studies!A:BR,5,FALSE),"")</f>
        <v>Fluvoxamine</v>
      </c>
      <c r="F8577" s="251" t="str">
        <f>IF(AND(A8577&lt;&gt;"",ISNUMBER(A8577)),VLOOKUP(A8577,Studies!A:BR,6,FALSE),"")</f>
        <v>Plasma</v>
      </c>
      <c r="G8577" s="194">
        <v>221</v>
      </c>
      <c r="H8577" s="50" t="s">
        <v>60</v>
      </c>
      <c r="I8577" s="187">
        <v>88.241470000000007</v>
      </c>
      <c r="J8577" s="41" t="s">
        <v>941</v>
      </c>
      <c r="K8577" s="41" t="s">
        <v>335</v>
      </c>
      <c r="O8577" s="199"/>
      <c r="P8577" s="42" t="s">
        <v>2878</v>
      </c>
    </row>
    <row r="8578" spans="1:16" x14ac:dyDescent="0.2">
      <c r="A8578" s="30">
        <v>1105</v>
      </c>
      <c r="B8578" s="249" t="str">
        <f>IF(AND(A8578&lt;&gt;"",ISNUMBER(A8578)),VLOOKUP(A8578,Studies!A:BR,2,FALSE),"")</f>
        <v>Fleishaker 1994</v>
      </c>
      <c r="C8578" s="250" t="str">
        <f>IF(AND(A8578&lt;&gt;"",ISNUMBER(A8578)),VLOOKUP(A8578,Studies!A:BR,3,FALSE),"")</f>
        <v>https://www.ncbi.nlm.nih.gov/pubmed/8005185</v>
      </c>
      <c r="D8578" s="250" t="str">
        <f>IF(AND(A8578&lt;&gt;"",ISNUMBER(A8578)),VLOOKUP(A8578,Studies!A:BR,4,FALSE),"")</f>
        <v>Fluvoxamine alone</v>
      </c>
      <c r="E8578" s="250" t="str">
        <f>IF(AND(A8578&lt;&gt;"",ISNUMBER(A8578)),VLOOKUP(A8578,Studies!A:BR,5,FALSE),"")</f>
        <v>Fluvoxamine</v>
      </c>
      <c r="F8578" s="251" t="str">
        <f>IF(AND(A8578&lt;&gt;"",ISNUMBER(A8578)),VLOOKUP(A8578,Studies!A:BR,6,FALSE),"")</f>
        <v>Plasma</v>
      </c>
      <c r="G8578" s="194">
        <v>222</v>
      </c>
      <c r="H8578" s="50" t="s">
        <v>60</v>
      </c>
      <c r="I8578" s="187">
        <v>86.141729999999995</v>
      </c>
      <c r="J8578" s="41" t="s">
        <v>941</v>
      </c>
      <c r="K8578" s="41" t="s">
        <v>335</v>
      </c>
      <c r="O8578" s="199"/>
      <c r="P8578" s="42" t="s">
        <v>2878</v>
      </c>
    </row>
    <row r="8579" spans="1:16" x14ac:dyDescent="0.2">
      <c r="A8579" s="30">
        <v>1105</v>
      </c>
      <c r="B8579" s="249" t="str">
        <f>IF(AND(A8579&lt;&gt;"",ISNUMBER(A8579)),VLOOKUP(A8579,Studies!A:BR,2,FALSE),"")</f>
        <v>Fleishaker 1994</v>
      </c>
      <c r="C8579" s="250" t="str">
        <f>IF(AND(A8579&lt;&gt;"",ISNUMBER(A8579)),VLOOKUP(A8579,Studies!A:BR,3,FALSE),"")</f>
        <v>https://www.ncbi.nlm.nih.gov/pubmed/8005185</v>
      </c>
      <c r="D8579" s="250" t="str">
        <f>IF(AND(A8579&lt;&gt;"",ISNUMBER(A8579)),VLOOKUP(A8579,Studies!A:BR,4,FALSE),"")</f>
        <v>Fluvoxamine alone</v>
      </c>
      <c r="E8579" s="250" t="str">
        <f>IF(AND(A8579&lt;&gt;"",ISNUMBER(A8579)),VLOOKUP(A8579,Studies!A:BR,5,FALSE),"")</f>
        <v>Fluvoxamine</v>
      </c>
      <c r="F8579" s="251" t="str">
        <f>IF(AND(A8579&lt;&gt;"",ISNUMBER(A8579)),VLOOKUP(A8579,Studies!A:BR,6,FALSE),"")</f>
        <v>Plasma</v>
      </c>
      <c r="G8579" s="194">
        <v>223</v>
      </c>
      <c r="H8579" s="50" t="s">
        <v>60</v>
      </c>
      <c r="I8579" s="187">
        <v>84.881889999999999</v>
      </c>
      <c r="J8579" s="41" t="s">
        <v>941</v>
      </c>
      <c r="K8579" s="41" t="s">
        <v>335</v>
      </c>
      <c r="O8579" s="199"/>
      <c r="P8579" s="42" t="s">
        <v>2878</v>
      </c>
    </row>
    <row r="8580" spans="1:16" x14ac:dyDescent="0.2">
      <c r="A8580" s="30">
        <v>1105</v>
      </c>
      <c r="B8580" s="249" t="str">
        <f>IF(AND(A8580&lt;&gt;"",ISNUMBER(A8580)),VLOOKUP(A8580,Studies!A:BR,2,FALSE),"")</f>
        <v>Fleishaker 1994</v>
      </c>
      <c r="C8580" s="250" t="str">
        <f>IF(AND(A8580&lt;&gt;"",ISNUMBER(A8580)),VLOOKUP(A8580,Studies!A:BR,3,FALSE),"")</f>
        <v>https://www.ncbi.nlm.nih.gov/pubmed/8005185</v>
      </c>
      <c r="D8580" s="250" t="str">
        <f>IF(AND(A8580&lt;&gt;"",ISNUMBER(A8580)),VLOOKUP(A8580,Studies!A:BR,4,FALSE),"")</f>
        <v>Fluvoxamine alone</v>
      </c>
      <c r="E8580" s="250" t="str">
        <f>IF(AND(A8580&lt;&gt;"",ISNUMBER(A8580)),VLOOKUP(A8580,Studies!A:BR,5,FALSE),"")</f>
        <v>Fluvoxamine</v>
      </c>
      <c r="F8580" s="251" t="str">
        <f>IF(AND(A8580&lt;&gt;"",ISNUMBER(A8580)),VLOOKUP(A8580,Studies!A:BR,6,FALSE),"")</f>
        <v>Plasma</v>
      </c>
      <c r="G8580" s="194">
        <v>225</v>
      </c>
      <c r="H8580" s="50" t="s">
        <v>60</v>
      </c>
      <c r="I8580" s="187">
        <v>88.451449999999994</v>
      </c>
      <c r="J8580" s="41" t="s">
        <v>941</v>
      </c>
      <c r="K8580" s="41" t="s">
        <v>335</v>
      </c>
      <c r="O8580" s="199"/>
      <c r="P8580" s="42" t="s">
        <v>2878</v>
      </c>
    </row>
    <row r="8581" spans="1:16" x14ac:dyDescent="0.2">
      <c r="A8581" s="30">
        <v>1105</v>
      </c>
      <c r="B8581" s="249" t="str">
        <f>IF(AND(A8581&lt;&gt;"",ISNUMBER(A8581)),VLOOKUP(A8581,Studies!A:BR,2,FALSE),"")</f>
        <v>Fleishaker 1994</v>
      </c>
      <c r="C8581" s="250" t="str">
        <f>IF(AND(A8581&lt;&gt;"",ISNUMBER(A8581)),VLOOKUP(A8581,Studies!A:BR,3,FALSE),"")</f>
        <v>https://www.ncbi.nlm.nih.gov/pubmed/8005185</v>
      </c>
      <c r="D8581" s="250" t="str">
        <f>IF(AND(A8581&lt;&gt;"",ISNUMBER(A8581)),VLOOKUP(A8581,Studies!A:BR,4,FALSE),"")</f>
        <v>Fluvoxamine alone</v>
      </c>
      <c r="E8581" s="250" t="str">
        <f>IF(AND(A8581&lt;&gt;"",ISNUMBER(A8581)),VLOOKUP(A8581,Studies!A:BR,5,FALSE),"")</f>
        <v>Fluvoxamine</v>
      </c>
      <c r="F8581" s="251" t="str">
        <f>IF(AND(A8581&lt;&gt;"",ISNUMBER(A8581)),VLOOKUP(A8581,Studies!A:BR,6,FALSE),"")</f>
        <v>Plasma</v>
      </c>
      <c r="G8581" s="194">
        <v>226</v>
      </c>
      <c r="H8581" s="50" t="s">
        <v>60</v>
      </c>
      <c r="I8581" s="187">
        <v>84.671909999999997</v>
      </c>
      <c r="J8581" s="41" t="s">
        <v>941</v>
      </c>
      <c r="K8581" s="41" t="s">
        <v>335</v>
      </c>
      <c r="O8581" s="199"/>
      <c r="P8581" s="42" t="s">
        <v>2878</v>
      </c>
    </row>
    <row r="8582" spans="1:16" x14ac:dyDescent="0.2">
      <c r="A8582" s="30">
        <v>1105</v>
      </c>
      <c r="B8582" s="249" t="str">
        <f>IF(AND(A8582&lt;&gt;"",ISNUMBER(A8582)),VLOOKUP(A8582,Studies!A:BR,2,FALSE),"")</f>
        <v>Fleishaker 1994</v>
      </c>
      <c r="C8582" s="250" t="str">
        <f>IF(AND(A8582&lt;&gt;"",ISNUMBER(A8582)),VLOOKUP(A8582,Studies!A:BR,3,FALSE),"")</f>
        <v>https://www.ncbi.nlm.nih.gov/pubmed/8005185</v>
      </c>
      <c r="D8582" s="250" t="str">
        <f>IF(AND(A8582&lt;&gt;"",ISNUMBER(A8582)),VLOOKUP(A8582,Studies!A:BR,4,FALSE),"")</f>
        <v>Fluvoxamine alone</v>
      </c>
      <c r="E8582" s="250" t="str">
        <f>IF(AND(A8582&lt;&gt;"",ISNUMBER(A8582)),VLOOKUP(A8582,Studies!A:BR,5,FALSE),"")</f>
        <v>Fluvoxamine</v>
      </c>
      <c r="F8582" s="251" t="str">
        <f>IF(AND(A8582&lt;&gt;"",ISNUMBER(A8582)),VLOOKUP(A8582,Studies!A:BR,6,FALSE),"")</f>
        <v>Plasma</v>
      </c>
      <c r="G8582" s="194">
        <v>227</v>
      </c>
      <c r="H8582" s="50" t="s">
        <v>60</v>
      </c>
      <c r="I8582" s="187">
        <v>81.102360000000004</v>
      </c>
      <c r="J8582" s="41" t="s">
        <v>941</v>
      </c>
      <c r="K8582" s="41" t="s">
        <v>335</v>
      </c>
      <c r="O8582" s="199"/>
      <c r="P8582" s="42" t="s">
        <v>2878</v>
      </c>
    </row>
    <row r="8583" spans="1:16" x14ac:dyDescent="0.2">
      <c r="A8583" s="30">
        <v>1105</v>
      </c>
      <c r="B8583" s="249" t="str">
        <f>IF(AND(A8583&lt;&gt;"",ISNUMBER(A8583)),VLOOKUP(A8583,Studies!A:BR,2,FALSE),"")</f>
        <v>Fleishaker 1994</v>
      </c>
      <c r="C8583" s="250" t="str">
        <f>IF(AND(A8583&lt;&gt;"",ISNUMBER(A8583)),VLOOKUP(A8583,Studies!A:BR,3,FALSE),"")</f>
        <v>https://www.ncbi.nlm.nih.gov/pubmed/8005185</v>
      </c>
      <c r="D8583" s="250" t="str">
        <f>IF(AND(A8583&lt;&gt;"",ISNUMBER(A8583)),VLOOKUP(A8583,Studies!A:BR,4,FALSE),"")</f>
        <v>Fluvoxamine alone</v>
      </c>
      <c r="E8583" s="250" t="str">
        <f>IF(AND(A8583&lt;&gt;"",ISNUMBER(A8583)),VLOOKUP(A8583,Studies!A:BR,5,FALSE),"")</f>
        <v>Fluvoxamine</v>
      </c>
      <c r="F8583" s="251" t="str">
        <f>IF(AND(A8583&lt;&gt;"",ISNUMBER(A8583)),VLOOKUP(A8583,Studies!A:BR,6,FALSE),"")</f>
        <v>Plasma</v>
      </c>
      <c r="G8583" s="194">
        <v>228</v>
      </c>
      <c r="H8583" s="50" t="s">
        <v>60</v>
      </c>
      <c r="I8583" s="187">
        <v>77.112859999999998</v>
      </c>
      <c r="J8583" s="41" t="s">
        <v>941</v>
      </c>
      <c r="K8583" s="41" t="s">
        <v>335</v>
      </c>
      <c r="O8583" s="199"/>
      <c r="P8583" s="42" t="s">
        <v>2878</v>
      </c>
    </row>
    <row r="8584" spans="1:16" x14ac:dyDescent="0.2">
      <c r="A8584" s="30">
        <v>1105</v>
      </c>
      <c r="B8584" s="249" t="str">
        <f>IF(AND(A8584&lt;&gt;"",ISNUMBER(A8584)),VLOOKUP(A8584,Studies!A:BR,2,FALSE),"")</f>
        <v>Fleishaker 1994</v>
      </c>
      <c r="C8584" s="250" t="str">
        <f>IF(AND(A8584&lt;&gt;"",ISNUMBER(A8584)),VLOOKUP(A8584,Studies!A:BR,3,FALSE),"")</f>
        <v>https://www.ncbi.nlm.nih.gov/pubmed/8005185</v>
      </c>
      <c r="D8584" s="250" t="str">
        <f>IF(AND(A8584&lt;&gt;"",ISNUMBER(A8584)),VLOOKUP(A8584,Studies!A:BR,4,FALSE),"")</f>
        <v>Fluvoxamine alone</v>
      </c>
      <c r="E8584" s="250" t="str">
        <f>IF(AND(A8584&lt;&gt;"",ISNUMBER(A8584)),VLOOKUP(A8584,Studies!A:BR,5,FALSE),"")</f>
        <v>Fluvoxamine</v>
      </c>
      <c r="F8584" s="251" t="str">
        <f>IF(AND(A8584&lt;&gt;"",ISNUMBER(A8584)),VLOOKUP(A8584,Studies!A:BR,6,FALSE),"")</f>
        <v>Plasma</v>
      </c>
      <c r="G8584" s="194">
        <v>230</v>
      </c>
      <c r="H8584" s="50" t="s">
        <v>60</v>
      </c>
      <c r="I8584" s="187">
        <v>75.433070000000001</v>
      </c>
      <c r="J8584" s="41" t="s">
        <v>941</v>
      </c>
      <c r="K8584" s="41" t="s">
        <v>335</v>
      </c>
      <c r="O8584" s="199"/>
      <c r="P8584" s="42" t="s">
        <v>2878</v>
      </c>
    </row>
    <row r="8585" spans="1:16" x14ac:dyDescent="0.2">
      <c r="A8585" s="30">
        <v>1105</v>
      </c>
      <c r="B8585" s="249" t="str">
        <f>IF(AND(A8585&lt;&gt;"",ISNUMBER(A8585)),VLOOKUP(A8585,Studies!A:BR,2,FALSE),"")</f>
        <v>Fleishaker 1994</v>
      </c>
      <c r="C8585" s="250" t="str">
        <f>IF(AND(A8585&lt;&gt;"",ISNUMBER(A8585)),VLOOKUP(A8585,Studies!A:BR,3,FALSE),"")</f>
        <v>https://www.ncbi.nlm.nih.gov/pubmed/8005185</v>
      </c>
      <c r="D8585" s="250" t="str">
        <f>IF(AND(A8585&lt;&gt;"",ISNUMBER(A8585)),VLOOKUP(A8585,Studies!A:BR,4,FALSE),"")</f>
        <v>Fluvoxamine alone</v>
      </c>
      <c r="E8585" s="250" t="str">
        <f>IF(AND(A8585&lt;&gt;"",ISNUMBER(A8585)),VLOOKUP(A8585,Studies!A:BR,5,FALSE),"")</f>
        <v>Fluvoxamine</v>
      </c>
      <c r="F8585" s="251" t="str">
        <f>IF(AND(A8585&lt;&gt;"",ISNUMBER(A8585)),VLOOKUP(A8585,Studies!A:BR,6,FALSE),"")</f>
        <v>Plasma</v>
      </c>
      <c r="G8585" s="194">
        <v>231</v>
      </c>
      <c r="H8585" s="50" t="s">
        <v>60</v>
      </c>
      <c r="I8585" s="187">
        <v>72.493440000000007</v>
      </c>
      <c r="J8585" s="41" t="s">
        <v>941</v>
      </c>
      <c r="K8585" s="41" t="s">
        <v>335</v>
      </c>
      <c r="O8585" s="199"/>
      <c r="P8585" s="42" t="s">
        <v>2878</v>
      </c>
    </row>
    <row r="8586" spans="1:16" x14ac:dyDescent="0.2">
      <c r="A8586" s="30">
        <v>1105</v>
      </c>
      <c r="B8586" s="249" t="str">
        <f>IF(AND(A8586&lt;&gt;"",ISNUMBER(A8586)),VLOOKUP(A8586,Studies!A:BR,2,FALSE),"")</f>
        <v>Fleishaker 1994</v>
      </c>
      <c r="C8586" s="250" t="str">
        <f>IF(AND(A8586&lt;&gt;"",ISNUMBER(A8586)),VLOOKUP(A8586,Studies!A:BR,3,FALSE),"")</f>
        <v>https://www.ncbi.nlm.nih.gov/pubmed/8005185</v>
      </c>
      <c r="D8586" s="250" t="str">
        <f>IF(AND(A8586&lt;&gt;"",ISNUMBER(A8586)),VLOOKUP(A8586,Studies!A:BR,4,FALSE),"")</f>
        <v>Fluvoxamine alone</v>
      </c>
      <c r="E8586" s="250" t="str">
        <f>IF(AND(A8586&lt;&gt;"",ISNUMBER(A8586)),VLOOKUP(A8586,Studies!A:BR,5,FALSE),"")</f>
        <v>Fluvoxamine</v>
      </c>
      <c r="F8586" s="251" t="str">
        <f>IF(AND(A8586&lt;&gt;"",ISNUMBER(A8586)),VLOOKUP(A8586,Studies!A:BR,6,FALSE),"")</f>
        <v>Plasma</v>
      </c>
      <c r="G8586" s="194">
        <v>232</v>
      </c>
      <c r="H8586" s="50" t="s">
        <v>60</v>
      </c>
      <c r="I8586" s="187">
        <v>69.343829999999997</v>
      </c>
      <c r="J8586" s="41" t="s">
        <v>941</v>
      </c>
      <c r="K8586" s="41" t="s">
        <v>335</v>
      </c>
      <c r="O8586" s="199"/>
      <c r="P8586" s="42" t="s">
        <v>2878</v>
      </c>
    </row>
    <row r="8587" spans="1:16" x14ac:dyDescent="0.2">
      <c r="A8587" s="30">
        <v>1105</v>
      </c>
      <c r="B8587" s="249" t="str">
        <f>IF(AND(A8587&lt;&gt;"",ISNUMBER(A8587)),VLOOKUP(A8587,Studies!A:BR,2,FALSE),"")</f>
        <v>Fleishaker 1994</v>
      </c>
      <c r="C8587" s="250" t="str">
        <f>IF(AND(A8587&lt;&gt;"",ISNUMBER(A8587)),VLOOKUP(A8587,Studies!A:BR,3,FALSE),"")</f>
        <v>https://www.ncbi.nlm.nih.gov/pubmed/8005185</v>
      </c>
      <c r="D8587" s="250" t="str">
        <f>IF(AND(A8587&lt;&gt;"",ISNUMBER(A8587)),VLOOKUP(A8587,Studies!A:BR,4,FALSE),"")</f>
        <v>Fluvoxamine alone</v>
      </c>
      <c r="E8587" s="250" t="str">
        <f>IF(AND(A8587&lt;&gt;"",ISNUMBER(A8587)),VLOOKUP(A8587,Studies!A:BR,5,FALSE),"")</f>
        <v>Fluvoxamine</v>
      </c>
      <c r="F8587" s="251" t="str">
        <f>IF(AND(A8587&lt;&gt;"",ISNUMBER(A8587)),VLOOKUP(A8587,Studies!A:BR,6,FALSE),"")</f>
        <v>Plasma</v>
      </c>
      <c r="G8587" s="194">
        <v>233</v>
      </c>
      <c r="H8587" s="50" t="s">
        <v>60</v>
      </c>
      <c r="I8587" s="187">
        <v>70.393699999999995</v>
      </c>
      <c r="J8587" s="41" t="s">
        <v>941</v>
      </c>
      <c r="K8587" s="41" t="s">
        <v>335</v>
      </c>
      <c r="O8587" s="199"/>
      <c r="P8587" s="42" t="s">
        <v>2878</v>
      </c>
    </row>
    <row r="8588" spans="1:16" x14ac:dyDescent="0.2">
      <c r="A8588" s="30">
        <v>1105</v>
      </c>
      <c r="B8588" s="249" t="str">
        <f>IF(AND(A8588&lt;&gt;"",ISNUMBER(A8588)),VLOOKUP(A8588,Studies!A:BR,2,FALSE),"")</f>
        <v>Fleishaker 1994</v>
      </c>
      <c r="C8588" s="250" t="str">
        <f>IF(AND(A8588&lt;&gt;"",ISNUMBER(A8588)),VLOOKUP(A8588,Studies!A:BR,3,FALSE),"")</f>
        <v>https://www.ncbi.nlm.nih.gov/pubmed/8005185</v>
      </c>
      <c r="D8588" s="250" t="str">
        <f>IF(AND(A8588&lt;&gt;"",ISNUMBER(A8588)),VLOOKUP(A8588,Studies!A:BR,4,FALSE),"")</f>
        <v>Fluvoxamine alone</v>
      </c>
      <c r="E8588" s="250" t="str">
        <f>IF(AND(A8588&lt;&gt;"",ISNUMBER(A8588)),VLOOKUP(A8588,Studies!A:BR,5,FALSE),"")</f>
        <v>Fluvoxamine</v>
      </c>
      <c r="F8588" s="251" t="str">
        <f>IF(AND(A8588&lt;&gt;"",ISNUMBER(A8588)),VLOOKUP(A8588,Studies!A:BR,6,FALSE),"")</f>
        <v>Plasma</v>
      </c>
      <c r="G8588" s="194">
        <v>235</v>
      </c>
      <c r="H8588" s="50" t="s">
        <v>60</v>
      </c>
      <c r="I8588" s="187">
        <v>63.884509999999999</v>
      </c>
      <c r="J8588" s="41" t="s">
        <v>941</v>
      </c>
      <c r="K8588" s="41" t="s">
        <v>335</v>
      </c>
      <c r="O8588" s="199"/>
      <c r="P8588" s="42" t="s">
        <v>2878</v>
      </c>
    </row>
    <row r="8589" spans="1:16" x14ac:dyDescent="0.2">
      <c r="A8589" s="30">
        <v>1105</v>
      </c>
      <c r="B8589" s="249" t="str">
        <f>IF(AND(A8589&lt;&gt;"",ISNUMBER(A8589)),VLOOKUP(A8589,Studies!A:BR,2,FALSE),"")</f>
        <v>Fleishaker 1994</v>
      </c>
      <c r="C8589" s="250" t="str">
        <f>IF(AND(A8589&lt;&gt;"",ISNUMBER(A8589)),VLOOKUP(A8589,Studies!A:BR,3,FALSE),"")</f>
        <v>https://www.ncbi.nlm.nih.gov/pubmed/8005185</v>
      </c>
      <c r="D8589" s="250" t="str">
        <f>IF(AND(A8589&lt;&gt;"",ISNUMBER(A8589)),VLOOKUP(A8589,Studies!A:BR,4,FALSE),"")</f>
        <v>Fluvoxamine alone</v>
      </c>
      <c r="E8589" s="250" t="str">
        <f>IF(AND(A8589&lt;&gt;"",ISNUMBER(A8589)),VLOOKUP(A8589,Studies!A:BR,5,FALSE),"")</f>
        <v>Fluvoxamine</v>
      </c>
      <c r="F8589" s="251" t="str">
        <f>IF(AND(A8589&lt;&gt;"",ISNUMBER(A8589)),VLOOKUP(A8589,Studies!A:BR,6,FALSE),"")</f>
        <v>Plasma</v>
      </c>
      <c r="G8589" s="194">
        <v>237</v>
      </c>
      <c r="H8589" s="50" t="s">
        <v>60</v>
      </c>
      <c r="I8589" s="187">
        <v>60.734909999999999</v>
      </c>
      <c r="J8589" s="41" t="s">
        <v>941</v>
      </c>
      <c r="K8589" s="41" t="s">
        <v>335</v>
      </c>
      <c r="O8589" s="199"/>
      <c r="P8589" s="42" t="s">
        <v>2878</v>
      </c>
    </row>
    <row r="8590" spans="1:16" x14ac:dyDescent="0.2">
      <c r="A8590" s="30">
        <v>1105</v>
      </c>
      <c r="B8590" s="249" t="str">
        <f>IF(AND(A8590&lt;&gt;"",ISNUMBER(A8590)),VLOOKUP(A8590,Studies!A:BR,2,FALSE),"")</f>
        <v>Fleishaker 1994</v>
      </c>
      <c r="C8590" s="250" t="str">
        <f>IF(AND(A8590&lt;&gt;"",ISNUMBER(A8590)),VLOOKUP(A8590,Studies!A:BR,3,FALSE),"")</f>
        <v>https://www.ncbi.nlm.nih.gov/pubmed/8005185</v>
      </c>
      <c r="D8590" s="250" t="str">
        <f>IF(AND(A8590&lt;&gt;"",ISNUMBER(A8590)),VLOOKUP(A8590,Studies!A:BR,4,FALSE),"")</f>
        <v>Fluvoxamine alone</v>
      </c>
      <c r="E8590" s="250" t="str">
        <f>IF(AND(A8590&lt;&gt;"",ISNUMBER(A8590)),VLOOKUP(A8590,Studies!A:BR,5,FALSE),"")</f>
        <v>Fluvoxamine</v>
      </c>
      <c r="F8590" s="251" t="str">
        <f>IF(AND(A8590&lt;&gt;"",ISNUMBER(A8590)),VLOOKUP(A8590,Studies!A:BR,6,FALSE),"")</f>
        <v>Plasma</v>
      </c>
      <c r="G8590" s="194">
        <v>240</v>
      </c>
      <c r="H8590" s="50" t="s">
        <v>60</v>
      </c>
      <c r="I8590" s="187">
        <v>57.375329999999998</v>
      </c>
      <c r="J8590" s="41" t="s">
        <v>941</v>
      </c>
      <c r="K8590" s="41" t="s">
        <v>335</v>
      </c>
      <c r="O8590" s="199"/>
      <c r="P8590" s="42" t="s">
        <v>2878</v>
      </c>
    </row>
    <row r="8591" spans="1:16" x14ac:dyDescent="0.2">
      <c r="A8591" s="30">
        <v>1105</v>
      </c>
      <c r="B8591" s="249" t="str">
        <f>IF(AND(A8591&lt;&gt;"",ISNUMBER(A8591)),VLOOKUP(A8591,Studies!A:BR,2,FALSE),"")</f>
        <v>Fleishaker 1994</v>
      </c>
      <c r="C8591" s="250" t="str">
        <f>IF(AND(A8591&lt;&gt;"",ISNUMBER(A8591)),VLOOKUP(A8591,Studies!A:BR,3,FALSE),"")</f>
        <v>https://www.ncbi.nlm.nih.gov/pubmed/8005185</v>
      </c>
      <c r="D8591" s="250" t="str">
        <f>IF(AND(A8591&lt;&gt;"",ISNUMBER(A8591)),VLOOKUP(A8591,Studies!A:BR,4,FALSE),"")</f>
        <v>Fluvoxamine alone</v>
      </c>
      <c r="E8591" s="250" t="str">
        <f>IF(AND(A8591&lt;&gt;"",ISNUMBER(A8591)),VLOOKUP(A8591,Studies!A:BR,5,FALSE),"")</f>
        <v>Fluvoxamine</v>
      </c>
      <c r="F8591" s="251" t="str">
        <f>IF(AND(A8591&lt;&gt;"",ISNUMBER(A8591)),VLOOKUP(A8591,Studies!A:BR,6,FALSE),"")</f>
        <v>Plasma</v>
      </c>
      <c r="G8591" s="194">
        <v>245</v>
      </c>
      <c r="H8591" s="50" t="s">
        <v>60</v>
      </c>
      <c r="I8591" s="187">
        <v>55.695540000000001</v>
      </c>
      <c r="J8591" s="41" t="s">
        <v>941</v>
      </c>
      <c r="K8591" s="41" t="s">
        <v>335</v>
      </c>
      <c r="O8591" s="199"/>
      <c r="P8591" s="42" t="s">
        <v>2878</v>
      </c>
    </row>
    <row r="8592" spans="1:16" x14ac:dyDescent="0.2">
      <c r="A8592" s="30">
        <v>1105</v>
      </c>
      <c r="B8592" s="249" t="str">
        <f>IF(AND(A8592&lt;&gt;"",ISNUMBER(A8592)),VLOOKUP(A8592,Studies!A:BR,2,FALSE),"")</f>
        <v>Fleishaker 1994</v>
      </c>
      <c r="C8592" s="250" t="str">
        <f>IF(AND(A8592&lt;&gt;"",ISNUMBER(A8592)),VLOOKUP(A8592,Studies!A:BR,3,FALSE),"")</f>
        <v>https://www.ncbi.nlm.nih.gov/pubmed/8005185</v>
      </c>
      <c r="D8592" s="250" t="str">
        <f>IF(AND(A8592&lt;&gt;"",ISNUMBER(A8592)),VLOOKUP(A8592,Studies!A:BR,4,FALSE),"")</f>
        <v>Fluvoxamine alone</v>
      </c>
      <c r="E8592" s="250" t="str">
        <f>IF(AND(A8592&lt;&gt;"",ISNUMBER(A8592)),VLOOKUP(A8592,Studies!A:BR,5,FALSE),"")</f>
        <v>Fluvoxamine</v>
      </c>
      <c r="F8592" s="251" t="str">
        <f>IF(AND(A8592&lt;&gt;"",ISNUMBER(A8592)),VLOOKUP(A8592,Studies!A:BR,6,FALSE),"")</f>
        <v>Plasma</v>
      </c>
      <c r="G8592" s="194">
        <v>252</v>
      </c>
      <c r="H8592" s="50" t="s">
        <v>60</v>
      </c>
      <c r="I8592" s="187">
        <v>49.606299999999997</v>
      </c>
      <c r="J8592" s="41" t="s">
        <v>941</v>
      </c>
      <c r="K8592" s="41" t="s">
        <v>335</v>
      </c>
      <c r="O8592" s="199"/>
      <c r="P8592" s="42" t="s">
        <v>2878</v>
      </c>
    </row>
    <row r="8593" spans="1:16" x14ac:dyDescent="0.2">
      <c r="A8593" s="30">
        <v>1106</v>
      </c>
      <c r="B8593" s="249" t="str">
        <f>IF(AND(A8593&lt;&gt;"",ISNUMBER(A8593)),VLOOKUP(A8593,Studies!A:BR,2,FALSE),"")</f>
        <v>Fleishaker 1994</v>
      </c>
      <c r="C8593" s="250" t="str">
        <f>IF(AND(A8593&lt;&gt;"",ISNUMBER(A8593)),VLOOKUP(A8593,Studies!A:BR,3,FALSE),"")</f>
        <v>https://www.ncbi.nlm.nih.gov/pubmed/8005185</v>
      </c>
      <c r="D8593" s="250" t="str">
        <f>IF(AND(A8593&lt;&gt;"",ISNUMBER(A8593)),VLOOKUP(A8593,Studies!A:BR,4,FALSE),"")</f>
        <v>Fluvoxamine + alprazolam</v>
      </c>
      <c r="E8593" s="250" t="str">
        <f>IF(AND(A8593&lt;&gt;"",ISNUMBER(A8593)),VLOOKUP(A8593,Studies!A:BR,5,FALSE),"")</f>
        <v>Fluvoxamine</v>
      </c>
      <c r="F8593" s="251" t="str">
        <f>IF(AND(A8593&lt;&gt;"",ISNUMBER(A8593)),VLOOKUP(A8593,Studies!A:BR,6,FALSE),"")</f>
        <v>Plasma</v>
      </c>
      <c r="G8593" s="194">
        <v>1</v>
      </c>
      <c r="H8593" s="50" t="s">
        <v>60</v>
      </c>
      <c r="I8593" s="187">
        <v>2.617801</v>
      </c>
      <c r="J8593" s="41" t="s">
        <v>941</v>
      </c>
      <c r="K8593" s="41" t="s">
        <v>335</v>
      </c>
      <c r="O8593" s="199"/>
      <c r="P8593" s="42" t="s">
        <v>2878</v>
      </c>
    </row>
    <row r="8594" spans="1:16" x14ac:dyDescent="0.2">
      <c r="A8594" s="30">
        <v>1106</v>
      </c>
      <c r="B8594" s="249" t="str">
        <f>IF(AND(A8594&lt;&gt;"",ISNUMBER(A8594)),VLOOKUP(A8594,Studies!A:BR,2,FALSE),"")</f>
        <v>Fleishaker 1994</v>
      </c>
      <c r="C8594" s="250" t="str">
        <f>IF(AND(A8594&lt;&gt;"",ISNUMBER(A8594)),VLOOKUP(A8594,Studies!A:BR,3,FALSE),"")</f>
        <v>https://www.ncbi.nlm.nih.gov/pubmed/8005185</v>
      </c>
      <c r="D8594" s="250" t="str">
        <f>IF(AND(A8594&lt;&gt;"",ISNUMBER(A8594)),VLOOKUP(A8594,Studies!A:BR,4,FALSE),"")</f>
        <v>Fluvoxamine + alprazolam</v>
      </c>
      <c r="E8594" s="250" t="str">
        <f>IF(AND(A8594&lt;&gt;"",ISNUMBER(A8594)),VLOOKUP(A8594,Studies!A:BR,5,FALSE),"")</f>
        <v>Fluvoxamine</v>
      </c>
      <c r="F8594" s="251" t="str">
        <f>IF(AND(A8594&lt;&gt;"",ISNUMBER(A8594)),VLOOKUP(A8594,Studies!A:BR,6,FALSE),"")</f>
        <v>Plasma</v>
      </c>
      <c r="G8594" s="194">
        <v>2</v>
      </c>
      <c r="H8594" s="50" t="s">
        <v>60</v>
      </c>
      <c r="I8594" s="187">
        <v>7.2251310000000002</v>
      </c>
      <c r="J8594" s="41" t="s">
        <v>941</v>
      </c>
      <c r="K8594" s="41" t="s">
        <v>335</v>
      </c>
      <c r="O8594" s="199"/>
      <c r="P8594" s="42" t="s">
        <v>2878</v>
      </c>
    </row>
    <row r="8595" spans="1:16" x14ac:dyDescent="0.2">
      <c r="A8595" s="30">
        <v>1106</v>
      </c>
      <c r="B8595" s="249" t="str">
        <f>IF(AND(A8595&lt;&gt;"",ISNUMBER(A8595)),VLOOKUP(A8595,Studies!A:BR,2,FALSE),"")</f>
        <v>Fleishaker 1994</v>
      </c>
      <c r="C8595" s="250" t="str">
        <f>IF(AND(A8595&lt;&gt;"",ISNUMBER(A8595)),VLOOKUP(A8595,Studies!A:BR,3,FALSE),"")</f>
        <v>https://www.ncbi.nlm.nih.gov/pubmed/8005185</v>
      </c>
      <c r="D8595" s="250" t="str">
        <f>IF(AND(A8595&lt;&gt;"",ISNUMBER(A8595)),VLOOKUP(A8595,Studies!A:BR,4,FALSE),"")</f>
        <v>Fluvoxamine + alprazolam</v>
      </c>
      <c r="E8595" s="250" t="str">
        <f>IF(AND(A8595&lt;&gt;"",ISNUMBER(A8595)),VLOOKUP(A8595,Studies!A:BR,5,FALSE),"")</f>
        <v>Fluvoxamine</v>
      </c>
      <c r="F8595" s="251" t="str">
        <f>IF(AND(A8595&lt;&gt;"",ISNUMBER(A8595)),VLOOKUP(A8595,Studies!A:BR,6,FALSE),"")</f>
        <v>Plasma</v>
      </c>
      <c r="G8595" s="194">
        <v>4</v>
      </c>
      <c r="H8595" s="50" t="s">
        <v>60</v>
      </c>
      <c r="I8595" s="187">
        <v>15.81152</v>
      </c>
      <c r="J8595" s="41" t="s">
        <v>941</v>
      </c>
      <c r="K8595" s="41" t="s">
        <v>335</v>
      </c>
      <c r="O8595" s="199"/>
      <c r="P8595" s="42" t="s">
        <v>2878</v>
      </c>
    </row>
    <row r="8596" spans="1:16" x14ac:dyDescent="0.2">
      <c r="A8596" s="30">
        <v>1106</v>
      </c>
      <c r="B8596" s="249" t="str">
        <f>IF(AND(A8596&lt;&gt;"",ISNUMBER(A8596)),VLOOKUP(A8596,Studies!A:BR,2,FALSE),"")</f>
        <v>Fleishaker 1994</v>
      </c>
      <c r="C8596" s="250" t="str">
        <f>IF(AND(A8596&lt;&gt;"",ISNUMBER(A8596)),VLOOKUP(A8596,Studies!A:BR,3,FALSE),"")</f>
        <v>https://www.ncbi.nlm.nih.gov/pubmed/8005185</v>
      </c>
      <c r="D8596" s="250" t="str">
        <f>IF(AND(A8596&lt;&gt;"",ISNUMBER(A8596)),VLOOKUP(A8596,Studies!A:BR,4,FALSE),"")</f>
        <v>Fluvoxamine + alprazolam</v>
      </c>
      <c r="E8596" s="250" t="str">
        <f>IF(AND(A8596&lt;&gt;"",ISNUMBER(A8596)),VLOOKUP(A8596,Studies!A:BR,5,FALSE),"")</f>
        <v>Fluvoxamine</v>
      </c>
      <c r="F8596" s="251" t="str">
        <f>IF(AND(A8596&lt;&gt;"",ISNUMBER(A8596)),VLOOKUP(A8596,Studies!A:BR,6,FALSE),"")</f>
        <v>Plasma</v>
      </c>
      <c r="G8596" s="194">
        <v>6</v>
      </c>
      <c r="H8596" s="50" t="s">
        <v>60</v>
      </c>
      <c r="I8596" s="187">
        <v>18.32461</v>
      </c>
      <c r="J8596" s="41" t="s">
        <v>941</v>
      </c>
      <c r="K8596" s="41" t="s">
        <v>335</v>
      </c>
      <c r="O8596" s="199"/>
      <c r="P8596" s="42" t="s">
        <v>2878</v>
      </c>
    </row>
    <row r="8597" spans="1:16" x14ac:dyDescent="0.2">
      <c r="A8597" s="30">
        <v>1106</v>
      </c>
      <c r="B8597" s="249" t="str">
        <f>IF(AND(A8597&lt;&gt;"",ISNUMBER(A8597)),VLOOKUP(A8597,Studies!A:BR,2,FALSE),"")</f>
        <v>Fleishaker 1994</v>
      </c>
      <c r="C8597" s="250" t="str">
        <f>IF(AND(A8597&lt;&gt;"",ISNUMBER(A8597)),VLOOKUP(A8597,Studies!A:BR,3,FALSE),"")</f>
        <v>https://www.ncbi.nlm.nih.gov/pubmed/8005185</v>
      </c>
      <c r="D8597" s="250" t="str">
        <f>IF(AND(A8597&lt;&gt;"",ISNUMBER(A8597)),VLOOKUP(A8597,Studies!A:BR,4,FALSE),"")</f>
        <v>Fluvoxamine + alprazolam</v>
      </c>
      <c r="E8597" s="250" t="str">
        <f>IF(AND(A8597&lt;&gt;"",ISNUMBER(A8597)),VLOOKUP(A8597,Studies!A:BR,5,FALSE),"")</f>
        <v>Fluvoxamine</v>
      </c>
      <c r="F8597" s="251" t="str">
        <f>IF(AND(A8597&lt;&gt;"",ISNUMBER(A8597)),VLOOKUP(A8597,Studies!A:BR,6,FALSE),"")</f>
        <v>Plasma</v>
      </c>
      <c r="G8597" s="194">
        <v>8</v>
      </c>
      <c r="H8597" s="50" t="s">
        <v>60</v>
      </c>
      <c r="I8597" s="187">
        <v>19.371729999999999</v>
      </c>
      <c r="J8597" s="41" t="s">
        <v>941</v>
      </c>
      <c r="K8597" s="41" t="s">
        <v>335</v>
      </c>
      <c r="O8597" s="199"/>
      <c r="P8597" s="42" t="s">
        <v>2878</v>
      </c>
    </row>
    <row r="8598" spans="1:16" x14ac:dyDescent="0.2">
      <c r="A8598" s="30">
        <v>1106</v>
      </c>
      <c r="B8598" s="249" t="str">
        <f>IF(AND(A8598&lt;&gt;"",ISNUMBER(A8598)),VLOOKUP(A8598,Studies!A:BR,2,FALSE),"")</f>
        <v>Fleishaker 1994</v>
      </c>
      <c r="C8598" s="250" t="str">
        <f>IF(AND(A8598&lt;&gt;"",ISNUMBER(A8598)),VLOOKUP(A8598,Studies!A:BR,3,FALSE),"")</f>
        <v>https://www.ncbi.nlm.nih.gov/pubmed/8005185</v>
      </c>
      <c r="D8598" s="250" t="str">
        <f>IF(AND(A8598&lt;&gt;"",ISNUMBER(A8598)),VLOOKUP(A8598,Studies!A:BR,4,FALSE),"")</f>
        <v>Fluvoxamine + alprazolam</v>
      </c>
      <c r="E8598" s="250" t="str">
        <f>IF(AND(A8598&lt;&gt;"",ISNUMBER(A8598)),VLOOKUP(A8598,Studies!A:BR,5,FALSE),"")</f>
        <v>Fluvoxamine</v>
      </c>
      <c r="F8598" s="251" t="str">
        <f>IF(AND(A8598&lt;&gt;"",ISNUMBER(A8598)),VLOOKUP(A8598,Studies!A:BR,6,FALSE),"")</f>
        <v>Plasma</v>
      </c>
      <c r="G8598" s="194">
        <v>12</v>
      </c>
      <c r="H8598" s="50" t="s">
        <v>60</v>
      </c>
      <c r="I8598" s="187">
        <v>14.345549999999999</v>
      </c>
      <c r="J8598" s="41" t="s">
        <v>941</v>
      </c>
      <c r="K8598" s="41" t="s">
        <v>335</v>
      </c>
      <c r="O8598" s="199"/>
      <c r="P8598" s="42" t="s">
        <v>2878</v>
      </c>
    </row>
    <row r="8599" spans="1:16" x14ac:dyDescent="0.2">
      <c r="A8599" s="30">
        <v>1106</v>
      </c>
      <c r="B8599" s="249" t="str">
        <f>IF(AND(A8599&lt;&gt;"",ISNUMBER(A8599)),VLOOKUP(A8599,Studies!A:BR,2,FALSE),"")</f>
        <v>Fleishaker 1994</v>
      </c>
      <c r="C8599" s="250" t="str">
        <f>IF(AND(A8599&lt;&gt;"",ISNUMBER(A8599)),VLOOKUP(A8599,Studies!A:BR,3,FALSE),"")</f>
        <v>https://www.ncbi.nlm.nih.gov/pubmed/8005185</v>
      </c>
      <c r="D8599" s="250" t="str">
        <f>IF(AND(A8599&lt;&gt;"",ISNUMBER(A8599)),VLOOKUP(A8599,Studies!A:BR,4,FALSE),"")</f>
        <v>Fluvoxamine + alprazolam</v>
      </c>
      <c r="E8599" s="250" t="str">
        <f>IF(AND(A8599&lt;&gt;"",ISNUMBER(A8599)),VLOOKUP(A8599,Studies!A:BR,5,FALSE),"")</f>
        <v>Fluvoxamine</v>
      </c>
      <c r="F8599" s="251" t="str">
        <f>IF(AND(A8599&lt;&gt;"",ISNUMBER(A8599)),VLOOKUP(A8599,Studies!A:BR,6,FALSE),"")</f>
        <v>Plasma</v>
      </c>
      <c r="G8599" s="194">
        <v>16</v>
      </c>
      <c r="H8599" s="50" t="s">
        <v>60</v>
      </c>
      <c r="I8599" s="187">
        <v>11.832459999999999</v>
      </c>
      <c r="J8599" s="41" t="s">
        <v>941</v>
      </c>
      <c r="K8599" s="41" t="s">
        <v>335</v>
      </c>
      <c r="O8599" s="199"/>
      <c r="P8599" s="42" t="s">
        <v>2878</v>
      </c>
    </row>
    <row r="8600" spans="1:16" x14ac:dyDescent="0.2">
      <c r="A8600" s="30">
        <v>1106</v>
      </c>
      <c r="B8600" s="249" t="str">
        <f>IF(AND(A8600&lt;&gt;"",ISNUMBER(A8600)),VLOOKUP(A8600,Studies!A:BR,2,FALSE),"")</f>
        <v>Fleishaker 1994</v>
      </c>
      <c r="C8600" s="250" t="str">
        <f>IF(AND(A8600&lt;&gt;"",ISNUMBER(A8600)),VLOOKUP(A8600,Studies!A:BR,3,FALSE),"")</f>
        <v>https://www.ncbi.nlm.nih.gov/pubmed/8005185</v>
      </c>
      <c r="D8600" s="250" t="str">
        <f>IF(AND(A8600&lt;&gt;"",ISNUMBER(A8600)),VLOOKUP(A8600,Studies!A:BR,4,FALSE),"")</f>
        <v>Fluvoxamine + alprazolam</v>
      </c>
      <c r="E8600" s="250" t="str">
        <f>IF(AND(A8600&lt;&gt;"",ISNUMBER(A8600)),VLOOKUP(A8600,Studies!A:BR,5,FALSE),"")</f>
        <v>Fluvoxamine</v>
      </c>
      <c r="F8600" s="251" t="str">
        <f>IF(AND(A8600&lt;&gt;"",ISNUMBER(A8600)),VLOOKUP(A8600,Studies!A:BR,6,FALSE),"")</f>
        <v>Plasma</v>
      </c>
      <c r="G8600" s="194">
        <v>20</v>
      </c>
      <c r="H8600" s="50" t="s">
        <v>60</v>
      </c>
      <c r="I8600" s="187">
        <v>9.5287959999999998</v>
      </c>
      <c r="J8600" s="41" t="s">
        <v>941</v>
      </c>
      <c r="K8600" s="41" t="s">
        <v>335</v>
      </c>
      <c r="O8600" s="199"/>
      <c r="P8600" s="42" t="s">
        <v>2878</v>
      </c>
    </row>
    <row r="8601" spans="1:16" x14ac:dyDescent="0.2">
      <c r="A8601" s="30">
        <v>1106</v>
      </c>
      <c r="B8601" s="249" t="str">
        <f>IF(AND(A8601&lt;&gt;"",ISNUMBER(A8601)),VLOOKUP(A8601,Studies!A:BR,2,FALSE),"")</f>
        <v>Fleishaker 1994</v>
      </c>
      <c r="C8601" s="250" t="str">
        <f>IF(AND(A8601&lt;&gt;"",ISNUMBER(A8601)),VLOOKUP(A8601,Studies!A:BR,3,FALSE),"")</f>
        <v>https://www.ncbi.nlm.nih.gov/pubmed/8005185</v>
      </c>
      <c r="D8601" s="250" t="str">
        <f>IF(AND(A8601&lt;&gt;"",ISNUMBER(A8601)),VLOOKUP(A8601,Studies!A:BR,4,FALSE),"")</f>
        <v>Fluvoxamine + alprazolam</v>
      </c>
      <c r="E8601" s="250" t="str">
        <f>IF(AND(A8601&lt;&gt;"",ISNUMBER(A8601)),VLOOKUP(A8601,Studies!A:BR,5,FALSE),"")</f>
        <v>Fluvoxamine</v>
      </c>
      <c r="F8601" s="251" t="str">
        <f>IF(AND(A8601&lt;&gt;"",ISNUMBER(A8601)),VLOOKUP(A8601,Studies!A:BR,6,FALSE),"")</f>
        <v>Plasma</v>
      </c>
      <c r="G8601" s="194">
        <v>24</v>
      </c>
      <c r="H8601" s="50" t="s">
        <v>60</v>
      </c>
      <c r="I8601" s="187">
        <v>7.8534030000000001</v>
      </c>
      <c r="J8601" s="41" t="s">
        <v>941</v>
      </c>
      <c r="K8601" s="41" t="s">
        <v>335</v>
      </c>
      <c r="O8601" s="199"/>
      <c r="P8601" s="42" t="s">
        <v>2878</v>
      </c>
    </row>
    <row r="8602" spans="1:16" x14ac:dyDescent="0.2">
      <c r="A8602" s="30">
        <v>1106</v>
      </c>
      <c r="B8602" s="249" t="str">
        <f>IF(AND(A8602&lt;&gt;"",ISNUMBER(A8602)),VLOOKUP(A8602,Studies!A:BR,2,FALSE),"")</f>
        <v>Fleishaker 1994</v>
      </c>
      <c r="C8602" s="250" t="str">
        <f>IF(AND(A8602&lt;&gt;"",ISNUMBER(A8602)),VLOOKUP(A8602,Studies!A:BR,3,FALSE),"")</f>
        <v>https://www.ncbi.nlm.nih.gov/pubmed/8005185</v>
      </c>
      <c r="D8602" s="250" t="str">
        <f>IF(AND(A8602&lt;&gt;"",ISNUMBER(A8602)),VLOOKUP(A8602,Studies!A:BR,4,FALSE),"")</f>
        <v>Fluvoxamine + alprazolam</v>
      </c>
      <c r="E8602" s="250" t="str">
        <f>IF(AND(A8602&lt;&gt;"",ISNUMBER(A8602)),VLOOKUP(A8602,Studies!A:BR,5,FALSE),"")</f>
        <v>Fluvoxamine</v>
      </c>
      <c r="F8602" s="251" t="str">
        <f>IF(AND(A8602&lt;&gt;"",ISNUMBER(A8602)),VLOOKUP(A8602,Studies!A:BR,6,FALSE),"")</f>
        <v>Plasma</v>
      </c>
      <c r="G8602" s="194">
        <v>48</v>
      </c>
      <c r="H8602" s="50" t="s">
        <v>60</v>
      </c>
      <c r="I8602" s="187">
        <v>11.204190000000001</v>
      </c>
      <c r="J8602" s="41" t="s">
        <v>941</v>
      </c>
      <c r="K8602" s="41" t="s">
        <v>335</v>
      </c>
      <c r="O8602" s="199"/>
      <c r="P8602" s="42" t="s">
        <v>2878</v>
      </c>
    </row>
    <row r="8603" spans="1:16" x14ac:dyDescent="0.2">
      <c r="A8603" s="30">
        <v>1106</v>
      </c>
      <c r="B8603" s="249" t="str">
        <f>IF(AND(A8603&lt;&gt;"",ISNUMBER(A8603)),VLOOKUP(A8603,Studies!A:BR,2,FALSE),"")</f>
        <v>Fleishaker 1994</v>
      </c>
      <c r="C8603" s="250" t="str">
        <f>IF(AND(A8603&lt;&gt;"",ISNUMBER(A8603)),VLOOKUP(A8603,Studies!A:BR,3,FALSE),"")</f>
        <v>https://www.ncbi.nlm.nih.gov/pubmed/8005185</v>
      </c>
      <c r="D8603" s="250" t="str">
        <f>IF(AND(A8603&lt;&gt;"",ISNUMBER(A8603)),VLOOKUP(A8603,Studies!A:BR,4,FALSE),"")</f>
        <v>Fluvoxamine + alprazolam</v>
      </c>
      <c r="E8603" s="250" t="str">
        <f>IF(AND(A8603&lt;&gt;"",ISNUMBER(A8603)),VLOOKUP(A8603,Studies!A:BR,5,FALSE),"")</f>
        <v>Fluvoxamine</v>
      </c>
      <c r="F8603" s="251" t="str">
        <f>IF(AND(A8603&lt;&gt;"",ISNUMBER(A8603)),VLOOKUP(A8603,Studies!A:BR,6,FALSE),"")</f>
        <v>Plasma</v>
      </c>
      <c r="G8603" s="194">
        <v>72</v>
      </c>
      <c r="H8603" s="50" t="s">
        <v>60</v>
      </c>
      <c r="I8603" s="187">
        <v>13.9267</v>
      </c>
      <c r="J8603" s="41" t="s">
        <v>941</v>
      </c>
      <c r="K8603" s="41" t="s">
        <v>335</v>
      </c>
      <c r="O8603" s="199"/>
      <c r="P8603" s="42" t="s">
        <v>2878</v>
      </c>
    </row>
    <row r="8604" spans="1:16" x14ac:dyDescent="0.2">
      <c r="A8604" s="30">
        <v>1106</v>
      </c>
      <c r="B8604" s="249" t="str">
        <f>IF(AND(A8604&lt;&gt;"",ISNUMBER(A8604)),VLOOKUP(A8604,Studies!A:BR,2,FALSE),"")</f>
        <v>Fleishaker 1994</v>
      </c>
      <c r="C8604" s="250" t="str">
        <f>IF(AND(A8604&lt;&gt;"",ISNUMBER(A8604)),VLOOKUP(A8604,Studies!A:BR,3,FALSE),"")</f>
        <v>https://www.ncbi.nlm.nih.gov/pubmed/8005185</v>
      </c>
      <c r="D8604" s="250" t="str">
        <f>IF(AND(A8604&lt;&gt;"",ISNUMBER(A8604)),VLOOKUP(A8604,Studies!A:BR,4,FALSE),"")</f>
        <v>Fluvoxamine + alprazolam</v>
      </c>
      <c r="E8604" s="250" t="str">
        <f>IF(AND(A8604&lt;&gt;"",ISNUMBER(A8604)),VLOOKUP(A8604,Studies!A:BR,5,FALSE),"")</f>
        <v>Fluvoxamine</v>
      </c>
      <c r="F8604" s="251" t="str">
        <f>IF(AND(A8604&lt;&gt;"",ISNUMBER(A8604)),VLOOKUP(A8604,Studies!A:BR,6,FALSE),"")</f>
        <v>Plasma</v>
      </c>
      <c r="G8604" s="194">
        <v>96</v>
      </c>
      <c r="H8604" s="50" t="s">
        <v>60</v>
      </c>
      <c r="I8604" s="187">
        <v>25.445029999999999</v>
      </c>
      <c r="J8604" s="41" t="s">
        <v>941</v>
      </c>
      <c r="K8604" s="41" t="s">
        <v>335</v>
      </c>
      <c r="O8604" s="199"/>
      <c r="P8604" s="42" t="s">
        <v>2878</v>
      </c>
    </row>
    <row r="8605" spans="1:16" x14ac:dyDescent="0.2">
      <c r="A8605" s="30">
        <v>1106</v>
      </c>
      <c r="B8605" s="249" t="str">
        <f>IF(AND(A8605&lt;&gt;"",ISNUMBER(A8605)),VLOOKUP(A8605,Studies!A:BR,2,FALSE),"")</f>
        <v>Fleishaker 1994</v>
      </c>
      <c r="C8605" s="250" t="str">
        <f>IF(AND(A8605&lt;&gt;"",ISNUMBER(A8605)),VLOOKUP(A8605,Studies!A:BR,3,FALSE),"")</f>
        <v>https://www.ncbi.nlm.nih.gov/pubmed/8005185</v>
      </c>
      <c r="D8605" s="250" t="str">
        <f>IF(AND(A8605&lt;&gt;"",ISNUMBER(A8605)),VLOOKUP(A8605,Studies!A:BR,4,FALSE),"")</f>
        <v>Fluvoxamine + alprazolam</v>
      </c>
      <c r="E8605" s="250" t="str">
        <f>IF(AND(A8605&lt;&gt;"",ISNUMBER(A8605)),VLOOKUP(A8605,Studies!A:BR,5,FALSE),"")</f>
        <v>Fluvoxamine</v>
      </c>
      <c r="F8605" s="251" t="str">
        <f>IF(AND(A8605&lt;&gt;"",ISNUMBER(A8605)),VLOOKUP(A8605,Studies!A:BR,6,FALSE),"")</f>
        <v>Plasma</v>
      </c>
      <c r="G8605" s="194">
        <v>120</v>
      </c>
      <c r="H8605" s="50" t="s">
        <v>60</v>
      </c>
      <c r="I8605" s="187">
        <v>29.633510000000001</v>
      </c>
      <c r="J8605" s="41" t="s">
        <v>941</v>
      </c>
      <c r="K8605" s="41" t="s">
        <v>335</v>
      </c>
      <c r="O8605" s="199"/>
      <c r="P8605" s="42" t="s">
        <v>2878</v>
      </c>
    </row>
    <row r="8606" spans="1:16" x14ac:dyDescent="0.2">
      <c r="A8606" s="30">
        <v>1106</v>
      </c>
      <c r="B8606" s="249" t="str">
        <f>IF(AND(A8606&lt;&gt;"",ISNUMBER(A8606)),VLOOKUP(A8606,Studies!A:BR,2,FALSE),"")</f>
        <v>Fleishaker 1994</v>
      </c>
      <c r="C8606" s="250" t="str">
        <f>IF(AND(A8606&lt;&gt;"",ISNUMBER(A8606)),VLOOKUP(A8606,Studies!A:BR,3,FALSE),"")</f>
        <v>https://www.ncbi.nlm.nih.gov/pubmed/8005185</v>
      </c>
      <c r="D8606" s="250" t="str">
        <f>IF(AND(A8606&lt;&gt;"",ISNUMBER(A8606)),VLOOKUP(A8606,Studies!A:BR,4,FALSE),"")</f>
        <v>Fluvoxamine + alprazolam</v>
      </c>
      <c r="E8606" s="250" t="str">
        <f>IF(AND(A8606&lt;&gt;"",ISNUMBER(A8606)),VLOOKUP(A8606,Studies!A:BR,5,FALSE),"")</f>
        <v>Fluvoxamine</v>
      </c>
      <c r="F8606" s="251" t="str">
        <f>IF(AND(A8606&lt;&gt;"",ISNUMBER(A8606)),VLOOKUP(A8606,Studies!A:BR,6,FALSE),"")</f>
        <v>Plasma</v>
      </c>
      <c r="G8606" s="194">
        <v>144</v>
      </c>
      <c r="H8606" s="50" t="s">
        <v>60</v>
      </c>
      <c r="I8606" s="187">
        <v>31.937169999999998</v>
      </c>
      <c r="J8606" s="41" t="s">
        <v>941</v>
      </c>
      <c r="K8606" s="41" t="s">
        <v>335</v>
      </c>
      <c r="O8606" s="199"/>
      <c r="P8606" s="42" t="s">
        <v>2878</v>
      </c>
    </row>
    <row r="8607" spans="1:16" x14ac:dyDescent="0.2">
      <c r="A8607" s="30">
        <v>1106</v>
      </c>
      <c r="B8607" s="249" t="str">
        <f>IF(AND(A8607&lt;&gt;"",ISNUMBER(A8607)),VLOOKUP(A8607,Studies!A:BR,2,FALSE),"")</f>
        <v>Fleishaker 1994</v>
      </c>
      <c r="C8607" s="250" t="str">
        <f>IF(AND(A8607&lt;&gt;"",ISNUMBER(A8607)),VLOOKUP(A8607,Studies!A:BR,3,FALSE),"")</f>
        <v>https://www.ncbi.nlm.nih.gov/pubmed/8005185</v>
      </c>
      <c r="D8607" s="250" t="str">
        <f>IF(AND(A8607&lt;&gt;"",ISNUMBER(A8607)),VLOOKUP(A8607,Studies!A:BR,4,FALSE),"")</f>
        <v>Fluvoxamine + alprazolam</v>
      </c>
      <c r="E8607" s="250" t="str">
        <f>IF(AND(A8607&lt;&gt;"",ISNUMBER(A8607)),VLOOKUP(A8607,Studies!A:BR,5,FALSE),"")</f>
        <v>Fluvoxamine</v>
      </c>
      <c r="F8607" s="251" t="str">
        <f>IF(AND(A8607&lt;&gt;"",ISNUMBER(A8607)),VLOOKUP(A8607,Studies!A:BR,6,FALSE),"")</f>
        <v>Plasma</v>
      </c>
      <c r="G8607" s="194">
        <v>168</v>
      </c>
      <c r="H8607" s="50" t="s">
        <v>60</v>
      </c>
      <c r="I8607" s="187">
        <v>34.031410000000001</v>
      </c>
      <c r="J8607" s="41" t="s">
        <v>941</v>
      </c>
      <c r="K8607" s="41" t="s">
        <v>335</v>
      </c>
      <c r="O8607" s="199"/>
      <c r="P8607" s="42" t="s">
        <v>2878</v>
      </c>
    </row>
    <row r="8608" spans="1:16" x14ac:dyDescent="0.2">
      <c r="A8608" s="30">
        <v>1106</v>
      </c>
      <c r="B8608" s="249" t="str">
        <f>IF(AND(A8608&lt;&gt;"",ISNUMBER(A8608)),VLOOKUP(A8608,Studies!A:BR,2,FALSE),"")</f>
        <v>Fleishaker 1994</v>
      </c>
      <c r="C8608" s="250" t="str">
        <f>IF(AND(A8608&lt;&gt;"",ISNUMBER(A8608)),VLOOKUP(A8608,Studies!A:BR,3,FALSE),"")</f>
        <v>https://www.ncbi.nlm.nih.gov/pubmed/8005185</v>
      </c>
      <c r="D8608" s="250" t="str">
        <f>IF(AND(A8608&lt;&gt;"",ISNUMBER(A8608)),VLOOKUP(A8608,Studies!A:BR,4,FALSE),"")</f>
        <v>Fluvoxamine + alprazolam</v>
      </c>
      <c r="E8608" s="250" t="str">
        <f>IF(AND(A8608&lt;&gt;"",ISNUMBER(A8608)),VLOOKUP(A8608,Studies!A:BR,5,FALSE),"")</f>
        <v>Fluvoxamine</v>
      </c>
      <c r="F8608" s="251" t="str">
        <f>IF(AND(A8608&lt;&gt;"",ISNUMBER(A8608)),VLOOKUP(A8608,Studies!A:BR,6,FALSE),"")</f>
        <v>Plasma</v>
      </c>
      <c r="G8608" s="194">
        <v>192</v>
      </c>
      <c r="H8608" s="50" t="s">
        <v>60</v>
      </c>
      <c r="I8608" s="187">
        <v>37.382199999999997</v>
      </c>
      <c r="J8608" s="41" t="s">
        <v>941</v>
      </c>
      <c r="K8608" s="41" t="s">
        <v>335</v>
      </c>
      <c r="O8608" s="199"/>
      <c r="P8608" s="42" t="s">
        <v>2878</v>
      </c>
    </row>
    <row r="8609" spans="1:16" x14ac:dyDescent="0.2">
      <c r="A8609" s="30">
        <v>1106</v>
      </c>
      <c r="B8609" s="249" t="str">
        <f>IF(AND(A8609&lt;&gt;"",ISNUMBER(A8609)),VLOOKUP(A8609,Studies!A:BR,2,FALSE),"")</f>
        <v>Fleishaker 1994</v>
      </c>
      <c r="C8609" s="250" t="str">
        <f>IF(AND(A8609&lt;&gt;"",ISNUMBER(A8609)),VLOOKUP(A8609,Studies!A:BR,3,FALSE),"")</f>
        <v>https://www.ncbi.nlm.nih.gov/pubmed/8005185</v>
      </c>
      <c r="D8609" s="250" t="str">
        <f>IF(AND(A8609&lt;&gt;"",ISNUMBER(A8609)),VLOOKUP(A8609,Studies!A:BR,4,FALSE),"")</f>
        <v>Fluvoxamine + alprazolam</v>
      </c>
      <c r="E8609" s="250" t="str">
        <f>IF(AND(A8609&lt;&gt;"",ISNUMBER(A8609)),VLOOKUP(A8609,Studies!A:BR,5,FALSE),"")</f>
        <v>Fluvoxamine</v>
      </c>
      <c r="F8609" s="251" t="str">
        <f>IF(AND(A8609&lt;&gt;"",ISNUMBER(A8609)),VLOOKUP(A8609,Studies!A:BR,6,FALSE),"")</f>
        <v>Plasma</v>
      </c>
      <c r="G8609" s="194">
        <v>216</v>
      </c>
      <c r="H8609" s="50" t="s">
        <v>60</v>
      </c>
      <c r="I8609" s="187">
        <v>39.895290000000003</v>
      </c>
      <c r="J8609" s="41" t="s">
        <v>941</v>
      </c>
      <c r="K8609" s="41" t="s">
        <v>335</v>
      </c>
      <c r="O8609" s="199"/>
      <c r="P8609" s="42" t="s">
        <v>2878</v>
      </c>
    </row>
    <row r="8610" spans="1:16" x14ac:dyDescent="0.2">
      <c r="A8610" s="30">
        <v>1106</v>
      </c>
      <c r="B8610" s="249" t="str">
        <f>IF(AND(A8610&lt;&gt;"",ISNUMBER(A8610)),VLOOKUP(A8610,Studies!A:BR,2,FALSE),"")</f>
        <v>Fleishaker 1994</v>
      </c>
      <c r="C8610" s="250" t="str">
        <f>IF(AND(A8610&lt;&gt;"",ISNUMBER(A8610)),VLOOKUP(A8610,Studies!A:BR,3,FALSE),"")</f>
        <v>https://www.ncbi.nlm.nih.gov/pubmed/8005185</v>
      </c>
      <c r="D8610" s="250" t="str">
        <f>IF(AND(A8610&lt;&gt;"",ISNUMBER(A8610)),VLOOKUP(A8610,Studies!A:BR,4,FALSE),"")</f>
        <v>Fluvoxamine + alprazolam</v>
      </c>
      <c r="E8610" s="250" t="str">
        <f>IF(AND(A8610&lt;&gt;"",ISNUMBER(A8610)),VLOOKUP(A8610,Studies!A:BR,5,FALSE),"")</f>
        <v>Fluvoxamine</v>
      </c>
      <c r="F8610" s="251" t="str">
        <f>IF(AND(A8610&lt;&gt;"",ISNUMBER(A8610)),VLOOKUP(A8610,Studies!A:BR,6,FALSE),"")</f>
        <v>Plasma</v>
      </c>
      <c r="G8610" s="194">
        <v>217</v>
      </c>
      <c r="H8610" s="50" t="s">
        <v>60</v>
      </c>
      <c r="I8610" s="187">
        <v>43.664920000000002</v>
      </c>
      <c r="J8610" s="41" t="s">
        <v>941</v>
      </c>
      <c r="K8610" s="41" t="s">
        <v>335</v>
      </c>
      <c r="O8610" s="199"/>
      <c r="P8610" s="42" t="s">
        <v>2878</v>
      </c>
    </row>
    <row r="8611" spans="1:16" x14ac:dyDescent="0.2">
      <c r="A8611" s="30">
        <v>1106</v>
      </c>
      <c r="B8611" s="249" t="str">
        <f>IF(AND(A8611&lt;&gt;"",ISNUMBER(A8611)),VLOOKUP(A8611,Studies!A:BR,2,FALSE),"")</f>
        <v>Fleishaker 1994</v>
      </c>
      <c r="C8611" s="250" t="str">
        <f>IF(AND(A8611&lt;&gt;"",ISNUMBER(A8611)),VLOOKUP(A8611,Studies!A:BR,3,FALSE),"")</f>
        <v>https://www.ncbi.nlm.nih.gov/pubmed/8005185</v>
      </c>
      <c r="D8611" s="250" t="str">
        <f>IF(AND(A8611&lt;&gt;"",ISNUMBER(A8611)),VLOOKUP(A8611,Studies!A:BR,4,FALSE),"")</f>
        <v>Fluvoxamine + alprazolam</v>
      </c>
      <c r="E8611" s="250" t="str">
        <f>IF(AND(A8611&lt;&gt;"",ISNUMBER(A8611)),VLOOKUP(A8611,Studies!A:BR,5,FALSE),"")</f>
        <v>Fluvoxamine</v>
      </c>
      <c r="F8611" s="251" t="str">
        <f>IF(AND(A8611&lt;&gt;"",ISNUMBER(A8611)),VLOOKUP(A8611,Studies!A:BR,6,FALSE),"")</f>
        <v>Plasma</v>
      </c>
      <c r="G8611" s="194">
        <v>218</v>
      </c>
      <c r="H8611" s="50" t="s">
        <v>60</v>
      </c>
      <c r="I8611" s="187">
        <v>49.738219999999998</v>
      </c>
      <c r="J8611" s="41" t="s">
        <v>941</v>
      </c>
      <c r="K8611" s="41" t="s">
        <v>335</v>
      </c>
      <c r="O8611" s="199"/>
      <c r="P8611" s="42" t="s">
        <v>2878</v>
      </c>
    </row>
    <row r="8612" spans="1:16" x14ac:dyDescent="0.2">
      <c r="A8612" s="30">
        <v>1106</v>
      </c>
      <c r="B8612" s="249" t="str">
        <f>IF(AND(A8612&lt;&gt;"",ISNUMBER(A8612)),VLOOKUP(A8612,Studies!A:BR,2,FALSE),"")</f>
        <v>Fleishaker 1994</v>
      </c>
      <c r="C8612" s="250" t="str">
        <f>IF(AND(A8612&lt;&gt;"",ISNUMBER(A8612)),VLOOKUP(A8612,Studies!A:BR,3,FALSE),"")</f>
        <v>https://www.ncbi.nlm.nih.gov/pubmed/8005185</v>
      </c>
      <c r="D8612" s="250" t="str">
        <f>IF(AND(A8612&lt;&gt;"",ISNUMBER(A8612)),VLOOKUP(A8612,Studies!A:BR,4,FALSE),"")</f>
        <v>Fluvoxamine + alprazolam</v>
      </c>
      <c r="E8612" s="250" t="str">
        <f>IF(AND(A8612&lt;&gt;"",ISNUMBER(A8612)),VLOOKUP(A8612,Studies!A:BR,5,FALSE),"")</f>
        <v>Fluvoxamine</v>
      </c>
      <c r="F8612" s="251" t="str">
        <f>IF(AND(A8612&lt;&gt;"",ISNUMBER(A8612)),VLOOKUP(A8612,Studies!A:BR,6,FALSE),"")</f>
        <v>Plasma</v>
      </c>
      <c r="G8612" s="194">
        <v>220</v>
      </c>
      <c r="H8612" s="50" t="s">
        <v>60</v>
      </c>
      <c r="I8612" s="187">
        <v>66.073300000000003</v>
      </c>
      <c r="J8612" s="41" t="s">
        <v>941</v>
      </c>
      <c r="K8612" s="41" t="s">
        <v>335</v>
      </c>
      <c r="O8612" s="199"/>
      <c r="P8612" s="42" t="s">
        <v>2878</v>
      </c>
    </row>
    <row r="8613" spans="1:16" x14ac:dyDescent="0.2">
      <c r="A8613" s="30">
        <v>1106</v>
      </c>
      <c r="B8613" s="249" t="str">
        <f>IF(AND(A8613&lt;&gt;"",ISNUMBER(A8613)),VLOOKUP(A8613,Studies!A:BR,2,FALSE),"")</f>
        <v>Fleishaker 1994</v>
      </c>
      <c r="C8613" s="250" t="str">
        <f>IF(AND(A8613&lt;&gt;"",ISNUMBER(A8613)),VLOOKUP(A8613,Studies!A:BR,3,FALSE),"")</f>
        <v>https://www.ncbi.nlm.nih.gov/pubmed/8005185</v>
      </c>
      <c r="D8613" s="250" t="str">
        <f>IF(AND(A8613&lt;&gt;"",ISNUMBER(A8613)),VLOOKUP(A8613,Studies!A:BR,4,FALSE),"")</f>
        <v>Fluvoxamine + alprazolam</v>
      </c>
      <c r="E8613" s="250" t="str">
        <f>IF(AND(A8613&lt;&gt;"",ISNUMBER(A8613)),VLOOKUP(A8613,Studies!A:BR,5,FALSE),"")</f>
        <v>Fluvoxamine</v>
      </c>
      <c r="F8613" s="251" t="str">
        <f>IF(AND(A8613&lt;&gt;"",ISNUMBER(A8613)),VLOOKUP(A8613,Studies!A:BR,6,FALSE),"")</f>
        <v>Plasma</v>
      </c>
      <c r="G8613" s="194">
        <v>221</v>
      </c>
      <c r="H8613" s="50" t="s">
        <v>60</v>
      </c>
      <c r="I8613" s="187">
        <v>70.890050000000002</v>
      </c>
      <c r="J8613" s="41" t="s">
        <v>941</v>
      </c>
      <c r="K8613" s="41" t="s">
        <v>335</v>
      </c>
      <c r="O8613" s="199"/>
      <c r="P8613" s="42" t="s">
        <v>2878</v>
      </c>
    </row>
    <row r="8614" spans="1:16" x14ac:dyDescent="0.2">
      <c r="A8614" s="30">
        <v>1106</v>
      </c>
      <c r="B8614" s="249" t="str">
        <f>IF(AND(A8614&lt;&gt;"",ISNUMBER(A8614)),VLOOKUP(A8614,Studies!A:BR,2,FALSE),"")</f>
        <v>Fleishaker 1994</v>
      </c>
      <c r="C8614" s="250" t="str">
        <f>IF(AND(A8614&lt;&gt;"",ISNUMBER(A8614)),VLOOKUP(A8614,Studies!A:BR,3,FALSE),"")</f>
        <v>https://www.ncbi.nlm.nih.gov/pubmed/8005185</v>
      </c>
      <c r="D8614" s="250" t="str">
        <f>IF(AND(A8614&lt;&gt;"",ISNUMBER(A8614)),VLOOKUP(A8614,Studies!A:BR,4,FALSE),"")</f>
        <v>Fluvoxamine + alprazolam</v>
      </c>
      <c r="E8614" s="250" t="str">
        <f>IF(AND(A8614&lt;&gt;"",ISNUMBER(A8614)),VLOOKUP(A8614,Studies!A:BR,5,FALSE),"")</f>
        <v>Fluvoxamine</v>
      </c>
      <c r="F8614" s="251" t="str">
        <f>IF(AND(A8614&lt;&gt;"",ISNUMBER(A8614)),VLOOKUP(A8614,Studies!A:BR,6,FALSE),"")</f>
        <v>Plasma</v>
      </c>
      <c r="G8614" s="194">
        <v>222</v>
      </c>
      <c r="H8614" s="50" t="s">
        <v>60</v>
      </c>
      <c r="I8614" s="187">
        <v>71.308899999999994</v>
      </c>
      <c r="J8614" s="41" t="s">
        <v>941</v>
      </c>
      <c r="K8614" s="41" t="s">
        <v>335</v>
      </c>
      <c r="O8614" s="199"/>
      <c r="P8614" s="42" t="s">
        <v>2878</v>
      </c>
    </row>
    <row r="8615" spans="1:16" x14ac:dyDescent="0.2">
      <c r="A8615" s="30">
        <v>1106</v>
      </c>
      <c r="B8615" s="249" t="str">
        <f>IF(AND(A8615&lt;&gt;"",ISNUMBER(A8615)),VLOOKUP(A8615,Studies!A:BR,2,FALSE),"")</f>
        <v>Fleishaker 1994</v>
      </c>
      <c r="C8615" s="250" t="str">
        <f>IF(AND(A8615&lt;&gt;"",ISNUMBER(A8615)),VLOOKUP(A8615,Studies!A:BR,3,FALSE),"")</f>
        <v>https://www.ncbi.nlm.nih.gov/pubmed/8005185</v>
      </c>
      <c r="D8615" s="250" t="str">
        <f>IF(AND(A8615&lt;&gt;"",ISNUMBER(A8615)),VLOOKUP(A8615,Studies!A:BR,4,FALSE),"")</f>
        <v>Fluvoxamine + alprazolam</v>
      </c>
      <c r="E8615" s="250" t="str">
        <f>IF(AND(A8615&lt;&gt;"",ISNUMBER(A8615)),VLOOKUP(A8615,Studies!A:BR,5,FALSE),"")</f>
        <v>Fluvoxamine</v>
      </c>
      <c r="F8615" s="251" t="str">
        <f>IF(AND(A8615&lt;&gt;"",ISNUMBER(A8615)),VLOOKUP(A8615,Studies!A:BR,6,FALSE),"")</f>
        <v>Plasma</v>
      </c>
      <c r="G8615" s="194">
        <v>223</v>
      </c>
      <c r="H8615" s="50" t="s">
        <v>60</v>
      </c>
      <c r="I8615" s="187">
        <v>70.890050000000002</v>
      </c>
      <c r="J8615" s="41" t="s">
        <v>941</v>
      </c>
      <c r="K8615" s="41" t="s">
        <v>335</v>
      </c>
      <c r="O8615" s="199"/>
      <c r="P8615" s="42" t="s">
        <v>2878</v>
      </c>
    </row>
    <row r="8616" spans="1:16" x14ac:dyDescent="0.2">
      <c r="A8616" s="30">
        <v>1106</v>
      </c>
      <c r="B8616" s="249" t="str">
        <f>IF(AND(A8616&lt;&gt;"",ISNUMBER(A8616)),VLOOKUP(A8616,Studies!A:BR,2,FALSE),"")</f>
        <v>Fleishaker 1994</v>
      </c>
      <c r="C8616" s="250" t="str">
        <f>IF(AND(A8616&lt;&gt;"",ISNUMBER(A8616)),VLOOKUP(A8616,Studies!A:BR,3,FALSE),"")</f>
        <v>https://www.ncbi.nlm.nih.gov/pubmed/8005185</v>
      </c>
      <c r="D8616" s="250" t="str">
        <f>IF(AND(A8616&lt;&gt;"",ISNUMBER(A8616)),VLOOKUP(A8616,Studies!A:BR,4,FALSE),"")</f>
        <v>Fluvoxamine + alprazolam</v>
      </c>
      <c r="E8616" s="250" t="str">
        <f>IF(AND(A8616&lt;&gt;"",ISNUMBER(A8616)),VLOOKUP(A8616,Studies!A:BR,5,FALSE),"")</f>
        <v>Fluvoxamine</v>
      </c>
      <c r="F8616" s="251" t="str">
        <f>IF(AND(A8616&lt;&gt;"",ISNUMBER(A8616)),VLOOKUP(A8616,Studies!A:BR,6,FALSE),"")</f>
        <v>Plasma</v>
      </c>
      <c r="G8616" s="194">
        <v>225</v>
      </c>
      <c r="H8616" s="50" t="s">
        <v>60</v>
      </c>
      <c r="I8616" s="187">
        <v>71.937169999999995</v>
      </c>
      <c r="J8616" s="41" t="s">
        <v>941</v>
      </c>
      <c r="K8616" s="41" t="s">
        <v>335</v>
      </c>
      <c r="O8616" s="199"/>
      <c r="P8616" s="42" t="s">
        <v>2878</v>
      </c>
    </row>
    <row r="8617" spans="1:16" x14ac:dyDescent="0.2">
      <c r="A8617" s="30">
        <v>1106</v>
      </c>
      <c r="B8617" s="249" t="str">
        <f>IF(AND(A8617&lt;&gt;"",ISNUMBER(A8617)),VLOOKUP(A8617,Studies!A:BR,2,FALSE),"")</f>
        <v>Fleishaker 1994</v>
      </c>
      <c r="C8617" s="250" t="str">
        <f>IF(AND(A8617&lt;&gt;"",ISNUMBER(A8617)),VLOOKUP(A8617,Studies!A:BR,3,FALSE),"")</f>
        <v>https://www.ncbi.nlm.nih.gov/pubmed/8005185</v>
      </c>
      <c r="D8617" s="250" t="str">
        <f>IF(AND(A8617&lt;&gt;"",ISNUMBER(A8617)),VLOOKUP(A8617,Studies!A:BR,4,FALSE),"")</f>
        <v>Fluvoxamine + alprazolam</v>
      </c>
      <c r="E8617" s="250" t="str">
        <f>IF(AND(A8617&lt;&gt;"",ISNUMBER(A8617)),VLOOKUP(A8617,Studies!A:BR,5,FALSE),"")</f>
        <v>Fluvoxamine</v>
      </c>
      <c r="F8617" s="251" t="str">
        <f>IF(AND(A8617&lt;&gt;"",ISNUMBER(A8617)),VLOOKUP(A8617,Studies!A:BR,6,FALSE),"")</f>
        <v>Plasma</v>
      </c>
      <c r="G8617" s="194">
        <v>226</v>
      </c>
      <c r="H8617" s="50" t="s">
        <v>60</v>
      </c>
      <c r="I8617" s="187">
        <v>67.329840000000004</v>
      </c>
      <c r="J8617" s="41" t="s">
        <v>941</v>
      </c>
      <c r="K8617" s="41" t="s">
        <v>335</v>
      </c>
      <c r="O8617" s="199"/>
      <c r="P8617" s="42" t="s">
        <v>2878</v>
      </c>
    </row>
    <row r="8618" spans="1:16" x14ac:dyDescent="0.2">
      <c r="A8618" s="30">
        <v>1106</v>
      </c>
      <c r="B8618" s="249" t="str">
        <f>IF(AND(A8618&lt;&gt;"",ISNUMBER(A8618)),VLOOKUP(A8618,Studies!A:BR,2,FALSE),"")</f>
        <v>Fleishaker 1994</v>
      </c>
      <c r="C8618" s="250" t="str">
        <f>IF(AND(A8618&lt;&gt;"",ISNUMBER(A8618)),VLOOKUP(A8618,Studies!A:BR,3,FALSE),"")</f>
        <v>https://www.ncbi.nlm.nih.gov/pubmed/8005185</v>
      </c>
      <c r="D8618" s="250" t="str">
        <f>IF(AND(A8618&lt;&gt;"",ISNUMBER(A8618)),VLOOKUP(A8618,Studies!A:BR,4,FALSE),"")</f>
        <v>Fluvoxamine + alprazolam</v>
      </c>
      <c r="E8618" s="250" t="str">
        <f>IF(AND(A8618&lt;&gt;"",ISNUMBER(A8618)),VLOOKUP(A8618,Studies!A:BR,5,FALSE),"")</f>
        <v>Fluvoxamine</v>
      </c>
      <c r="F8618" s="251" t="str">
        <f>IF(AND(A8618&lt;&gt;"",ISNUMBER(A8618)),VLOOKUP(A8618,Studies!A:BR,6,FALSE),"")</f>
        <v>Plasma</v>
      </c>
      <c r="G8618" s="194">
        <v>227</v>
      </c>
      <c r="H8618" s="50" t="s">
        <v>60</v>
      </c>
      <c r="I8618" s="187">
        <v>64.188479999999998</v>
      </c>
      <c r="J8618" s="41" t="s">
        <v>941</v>
      </c>
      <c r="K8618" s="41" t="s">
        <v>335</v>
      </c>
      <c r="O8618" s="199"/>
      <c r="P8618" s="42" t="s">
        <v>2878</v>
      </c>
    </row>
    <row r="8619" spans="1:16" x14ac:dyDescent="0.2">
      <c r="A8619" s="30">
        <v>1106</v>
      </c>
      <c r="B8619" s="249" t="str">
        <f>IF(AND(A8619&lt;&gt;"",ISNUMBER(A8619)),VLOOKUP(A8619,Studies!A:BR,2,FALSE),"")</f>
        <v>Fleishaker 1994</v>
      </c>
      <c r="C8619" s="250" t="str">
        <f>IF(AND(A8619&lt;&gt;"",ISNUMBER(A8619)),VLOOKUP(A8619,Studies!A:BR,3,FALSE),"")</f>
        <v>https://www.ncbi.nlm.nih.gov/pubmed/8005185</v>
      </c>
      <c r="D8619" s="250" t="str">
        <f>IF(AND(A8619&lt;&gt;"",ISNUMBER(A8619)),VLOOKUP(A8619,Studies!A:BR,4,FALSE),"")</f>
        <v>Fluvoxamine + alprazolam</v>
      </c>
      <c r="E8619" s="250" t="str">
        <f>IF(AND(A8619&lt;&gt;"",ISNUMBER(A8619)),VLOOKUP(A8619,Studies!A:BR,5,FALSE),"")</f>
        <v>Fluvoxamine</v>
      </c>
      <c r="F8619" s="251" t="str">
        <f>IF(AND(A8619&lt;&gt;"",ISNUMBER(A8619)),VLOOKUP(A8619,Studies!A:BR,6,FALSE),"")</f>
        <v>Plasma</v>
      </c>
      <c r="G8619" s="194">
        <v>228</v>
      </c>
      <c r="H8619" s="50" t="s">
        <v>60</v>
      </c>
      <c r="I8619" s="187">
        <v>62.303669999999997</v>
      </c>
      <c r="J8619" s="41" t="s">
        <v>941</v>
      </c>
      <c r="K8619" s="41" t="s">
        <v>335</v>
      </c>
      <c r="O8619" s="199"/>
      <c r="P8619" s="42" t="s">
        <v>2878</v>
      </c>
    </row>
    <row r="8620" spans="1:16" x14ac:dyDescent="0.2">
      <c r="A8620" s="30">
        <v>1106</v>
      </c>
      <c r="B8620" s="249" t="str">
        <f>IF(AND(A8620&lt;&gt;"",ISNUMBER(A8620)),VLOOKUP(A8620,Studies!A:BR,2,FALSE),"")</f>
        <v>Fleishaker 1994</v>
      </c>
      <c r="C8620" s="250" t="str">
        <f>IF(AND(A8620&lt;&gt;"",ISNUMBER(A8620)),VLOOKUP(A8620,Studies!A:BR,3,FALSE),"")</f>
        <v>https://www.ncbi.nlm.nih.gov/pubmed/8005185</v>
      </c>
      <c r="D8620" s="250" t="str">
        <f>IF(AND(A8620&lt;&gt;"",ISNUMBER(A8620)),VLOOKUP(A8620,Studies!A:BR,4,FALSE),"")</f>
        <v>Fluvoxamine + alprazolam</v>
      </c>
      <c r="E8620" s="250" t="str">
        <f>IF(AND(A8620&lt;&gt;"",ISNUMBER(A8620)),VLOOKUP(A8620,Studies!A:BR,5,FALSE),"")</f>
        <v>Fluvoxamine</v>
      </c>
      <c r="F8620" s="251" t="str">
        <f>IF(AND(A8620&lt;&gt;"",ISNUMBER(A8620)),VLOOKUP(A8620,Studies!A:BR,6,FALSE),"")</f>
        <v>Plasma</v>
      </c>
      <c r="G8620" s="194">
        <v>230</v>
      </c>
      <c r="H8620" s="50" t="s">
        <v>60</v>
      </c>
      <c r="I8620" s="187">
        <v>57.27749</v>
      </c>
      <c r="J8620" s="41" t="s">
        <v>941</v>
      </c>
      <c r="K8620" s="41" t="s">
        <v>335</v>
      </c>
      <c r="O8620" s="199"/>
      <c r="P8620" s="42" t="s">
        <v>2878</v>
      </c>
    </row>
    <row r="8621" spans="1:16" x14ac:dyDescent="0.2">
      <c r="A8621" s="30">
        <v>1106</v>
      </c>
      <c r="B8621" s="249" t="str">
        <f>IF(AND(A8621&lt;&gt;"",ISNUMBER(A8621)),VLOOKUP(A8621,Studies!A:BR,2,FALSE),"")</f>
        <v>Fleishaker 1994</v>
      </c>
      <c r="C8621" s="250" t="str">
        <f>IF(AND(A8621&lt;&gt;"",ISNUMBER(A8621)),VLOOKUP(A8621,Studies!A:BR,3,FALSE),"")</f>
        <v>https://www.ncbi.nlm.nih.gov/pubmed/8005185</v>
      </c>
      <c r="D8621" s="250" t="str">
        <f>IF(AND(A8621&lt;&gt;"",ISNUMBER(A8621)),VLOOKUP(A8621,Studies!A:BR,4,FALSE),"")</f>
        <v>Fluvoxamine + alprazolam</v>
      </c>
      <c r="E8621" s="250" t="str">
        <f>IF(AND(A8621&lt;&gt;"",ISNUMBER(A8621)),VLOOKUP(A8621,Studies!A:BR,5,FALSE),"")</f>
        <v>Fluvoxamine</v>
      </c>
      <c r="F8621" s="251" t="str">
        <f>IF(AND(A8621&lt;&gt;"",ISNUMBER(A8621)),VLOOKUP(A8621,Studies!A:BR,6,FALSE),"")</f>
        <v>Plasma</v>
      </c>
      <c r="G8621" s="194">
        <v>231</v>
      </c>
      <c r="H8621" s="50" t="s">
        <v>60</v>
      </c>
      <c r="I8621" s="187">
        <v>53.717280000000002</v>
      </c>
      <c r="J8621" s="41" t="s">
        <v>941</v>
      </c>
      <c r="K8621" s="41" t="s">
        <v>335</v>
      </c>
      <c r="O8621" s="199"/>
      <c r="P8621" s="42" t="s">
        <v>2878</v>
      </c>
    </row>
    <row r="8622" spans="1:16" x14ac:dyDescent="0.2">
      <c r="A8622" s="30">
        <v>1106</v>
      </c>
      <c r="B8622" s="249" t="str">
        <f>IF(AND(A8622&lt;&gt;"",ISNUMBER(A8622)),VLOOKUP(A8622,Studies!A:BR,2,FALSE),"")</f>
        <v>Fleishaker 1994</v>
      </c>
      <c r="C8622" s="250" t="str">
        <f>IF(AND(A8622&lt;&gt;"",ISNUMBER(A8622)),VLOOKUP(A8622,Studies!A:BR,3,FALSE),"")</f>
        <v>https://www.ncbi.nlm.nih.gov/pubmed/8005185</v>
      </c>
      <c r="D8622" s="250" t="str">
        <f>IF(AND(A8622&lt;&gt;"",ISNUMBER(A8622)),VLOOKUP(A8622,Studies!A:BR,4,FALSE),"")</f>
        <v>Fluvoxamine + alprazolam</v>
      </c>
      <c r="E8622" s="250" t="str">
        <f>IF(AND(A8622&lt;&gt;"",ISNUMBER(A8622)),VLOOKUP(A8622,Studies!A:BR,5,FALSE),"")</f>
        <v>Fluvoxamine</v>
      </c>
      <c r="F8622" s="251" t="str">
        <f>IF(AND(A8622&lt;&gt;"",ISNUMBER(A8622)),VLOOKUP(A8622,Studies!A:BR,6,FALSE),"")</f>
        <v>Plasma</v>
      </c>
      <c r="G8622" s="194">
        <v>232</v>
      </c>
      <c r="H8622" s="50" t="s">
        <v>60</v>
      </c>
      <c r="I8622" s="187">
        <v>51.832459999999998</v>
      </c>
      <c r="J8622" s="41" t="s">
        <v>941</v>
      </c>
      <c r="K8622" s="41" t="s">
        <v>335</v>
      </c>
      <c r="O8622" s="199"/>
      <c r="P8622" s="42" t="s">
        <v>2878</v>
      </c>
    </row>
    <row r="8623" spans="1:16" x14ac:dyDescent="0.2">
      <c r="A8623" s="30">
        <v>1106</v>
      </c>
      <c r="B8623" s="249" t="str">
        <f>IF(AND(A8623&lt;&gt;"",ISNUMBER(A8623)),VLOOKUP(A8623,Studies!A:BR,2,FALSE),"")</f>
        <v>Fleishaker 1994</v>
      </c>
      <c r="C8623" s="250" t="str">
        <f>IF(AND(A8623&lt;&gt;"",ISNUMBER(A8623)),VLOOKUP(A8623,Studies!A:BR,3,FALSE),"")</f>
        <v>https://www.ncbi.nlm.nih.gov/pubmed/8005185</v>
      </c>
      <c r="D8623" s="250" t="str">
        <f>IF(AND(A8623&lt;&gt;"",ISNUMBER(A8623)),VLOOKUP(A8623,Studies!A:BR,4,FALSE),"")</f>
        <v>Fluvoxamine + alprazolam</v>
      </c>
      <c r="E8623" s="250" t="str">
        <f>IF(AND(A8623&lt;&gt;"",ISNUMBER(A8623)),VLOOKUP(A8623,Studies!A:BR,5,FALSE),"")</f>
        <v>Fluvoxamine</v>
      </c>
      <c r="F8623" s="251" t="str">
        <f>IF(AND(A8623&lt;&gt;"",ISNUMBER(A8623)),VLOOKUP(A8623,Studies!A:BR,6,FALSE),"")</f>
        <v>Plasma</v>
      </c>
      <c r="G8623" s="194">
        <v>233</v>
      </c>
      <c r="H8623" s="50" t="s">
        <v>60</v>
      </c>
      <c r="I8623" s="187">
        <v>47.22513</v>
      </c>
      <c r="J8623" s="41" t="s">
        <v>941</v>
      </c>
      <c r="K8623" s="41" t="s">
        <v>335</v>
      </c>
      <c r="O8623" s="199"/>
      <c r="P8623" s="42" t="s">
        <v>2878</v>
      </c>
    </row>
    <row r="8624" spans="1:16" x14ac:dyDescent="0.2">
      <c r="A8624" s="30">
        <v>1106</v>
      </c>
      <c r="B8624" s="249" t="str">
        <f>IF(AND(A8624&lt;&gt;"",ISNUMBER(A8624)),VLOOKUP(A8624,Studies!A:BR,2,FALSE),"")</f>
        <v>Fleishaker 1994</v>
      </c>
      <c r="C8624" s="250" t="str">
        <f>IF(AND(A8624&lt;&gt;"",ISNUMBER(A8624)),VLOOKUP(A8624,Studies!A:BR,3,FALSE),"")</f>
        <v>https://www.ncbi.nlm.nih.gov/pubmed/8005185</v>
      </c>
      <c r="D8624" s="250" t="str">
        <f>IF(AND(A8624&lt;&gt;"",ISNUMBER(A8624)),VLOOKUP(A8624,Studies!A:BR,4,FALSE),"")</f>
        <v>Fluvoxamine + alprazolam</v>
      </c>
      <c r="E8624" s="250" t="str">
        <f>IF(AND(A8624&lt;&gt;"",ISNUMBER(A8624)),VLOOKUP(A8624,Studies!A:BR,5,FALSE),"")</f>
        <v>Fluvoxamine</v>
      </c>
      <c r="F8624" s="251" t="str">
        <f>IF(AND(A8624&lt;&gt;"",ISNUMBER(A8624)),VLOOKUP(A8624,Studies!A:BR,6,FALSE),"")</f>
        <v>Plasma</v>
      </c>
      <c r="G8624" s="194">
        <v>235</v>
      </c>
      <c r="H8624" s="50" t="s">
        <v>60</v>
      </c>
      <c r="I8624" s="187">
        <v>45.759160000000001</v>
      </c>
      <c r="J8624" s="41" t="s">
        <v>941</v>
      </c>
      <c r="K8624" s="41" t="s">
        <v>335</v>
      </c>
      <c r="O8624" s="199"/>
      <c r="P8624" s="42" t="s">
        <v>2878</v>
      </c>
    </row>
    <row r="8625" spans="1:16" x14ac:dyDescent="0.2">
      <c r="A8625" s="30">
        <v>1106</v>
      </c>
      <c r="B8625" s="249" t="str">
        <f>IF(AND(A8625&lt;&gt;"",ISNUMBER(A8625)),VLOOKUP(A8625,Studies!A:BR,2,FALSE),"")</f>
        <v>Fleishaker 1994</v>
      </c>
      <c r="C8625" s="250" t="str">
        <f>IF(AND(A8625&lt;&gt;"",ISNUMBER(A8625)),VLOOKUP(A8625,Studies!A:BR,3,FALSE),"")</f>
        <v>https://www.ncbi.nlm.nih.gov/pubmed/8005185</v>
      </c>
      <c r="D8625" s="250" t="str">
        <f>IF(AND(A8625&lt;&gt;"",ISNUMBER(A8625)),VLOOKUP(A8625,Studies!A:BR,4,FALSE),"")</f>
        <v>Fluvoxamine + alprazolam</v>
      </c>
      <c r="E8625" s="250" t="str">
        <f>IF(AND(A8625&lt;&gt;"",ISNUMBER(A8625)),VLOOKUP(A8625,Studies!A:BR,5,FALSE),"")</f>
        <v>Fluvoxamine</v>
      </c>
      <c r="F8625" s="251" t="str">
        <f>IF(AND(A8625&lt;&gt;"",ISNUMBER(A8625)),VLOOKUP(A8625,Studies!A:BR,6,FALSE),"")</f>
        <v>Plasma</v>
      </c>
      <c r="G8625" s="194">
        <v>237</v>
      </c>
      <c r="H8625" s="50" t="s">
        <v>60</v>
      </c>
      <c r="I8625" s="187">
        <v>41.570680000000003</v>
      </c>
      <c r="J8625" s="41" t="s">
        <v>941</v>
      </c>
      <c r="K8625" s="41" t="s">
        <v>335</v>
      </c>
      <c r="O8625" s="199"/>
      <c r="P8625" s="42" t="s">
        <v>2878</v>
      </c>
    </row>
    <row r="8626" spans="1:16" x14ac:dyDescent="0.2">
      <c r="A8626" s="30">
        <v>1106</v>
      </c>
      <c r="B8626" s="249" t="str">
        <f>IF(AND(A8626&lt;&gt;"",ISNUMBER(A8626)),VLOOKUP(A8626,Studies!A:BR,2,FALSE),"")</f>
        <v>Fleishaker 1994</v>
      </c>
      <c r="C8626" s="250" t="str">
        <f>IF(AND(A8626&lt;&gt;"",ISNUMBER(A8626)),VLOOKUP(A8626,Studies!A:BR,3,FALSE),"")</f>
        <v>https://www.ncbi.nlm.nih.gov/pubmed/8005185</v>
      </c>
      <c r="D8626" s="250" t="str">
        <f>IF(AND(A8626&lt;&gt;"",ISNUMBER(A8626)),VLOOKUP(A8626,Studies!A:BR,4,FALSE),"")</f>
        <v>Fluvoxamine + alprazolam</v>
      </c>
      <c r="E8626" s="250" t="str">
        <f>IF(AND(A8626&lt;&gt;"",ISNUMBER(A8626)),VLOOKUP(A8626,Studies!A:BR,5,FALSE),"")</f>
        <v>Fluvoxamine</v>
      </c>
      <c r="F8626" s="251" t="str">
        <f>IF(AND(A8626&lt;&gt;"",ISNUMBER(A8626)),VLOOKUP(A8626,Studies!A:BR,6,FALSE),"")</f>
        <v>Plasma</v>
      </c>
      <c r="G8626" s="194">
        <v>240</v>
      </c>
      <c r="H8626" s="50" t="s">
        <v>60</v>
      </c>
      <c r="I8626" s="187">
        <v>39.895290000000003</v>
      </c>
      <c r="J8626" s="41" t="s">
        <v>941</v>
      </c>
      <c r="K8626" s="41" t="s">
        <v>335</v>
      </c>
      <c r="O8626" s="199"/>
      <c r="P8626" s="42" t="s">
        <v>2878</v>
      </c>
    </row>
    <row r="8627" spans="1:16" x14ac:dyDescent="0.2">
      <c r="A8627" s="30">
        <v>1106</v>
      </c>
      <c r="B8627" s="249" t="str">
        <f>IF(AND(A8627&lt;&gt;"",ISNUMBER(A8627)),VLOOKUP(A8627,Studies!A:BR,2,FALSE),"")</f>
        <v>Fleishaker 1994</v>
      </c>
      <c r="C8627" s="250" t="str">
        <f>IF(AND(A8627&lt;&gt;"",ISNUMBER(A8627)),VLOOKUP(A8627,Studies!A:BR,3,FALSE),"")</f>
        <v>https://www.ncbi.nlm.nih.gov/pubmed/8005185</v>
      </c>
      <c r="D8627" s="250" t="str">
        <f>IF(AND(A8627&lt;&gt;"",ISNUMBER(A8627)),VLOOKUP(A8627,Studies!A:BR,4,FALSE),"")</f>
        <v>Fluvoxamine + alprazolam</v>
      </c>
      <c r="E8627" s="250" t="str">
        <f>IF(AND(A8627&lt;&gt;"",ISNUMBER(A8627)),VLOOKUP(A8627,Studies!A:BR,5,FALSE),"")</f>
        <v>Fluvoxamine</v>
      </c>
      <c r="F8627" s="251" t="str">
        <f>IF(AND(A8627&lt;&gt;"",ISNUMBER(A8627)),VLOOKUP(A8627,Studies!A:BR,6,FALSE),"")</f>
        <v>Plasma</v>
      </c>
      <c r="G8627" s="194">
        <v>245</v>
      </c>
      <c r="H8627" s="50" t="s">
        <v>60</v>
      </c>
      <c r="I8627" s="187">
        <v>38.848170000000003</v>
      </c>
      <c r="J8627" s="41" t="s">
        <v>941</v>
      </c>
      <c r="K8627" s="41" t="s">
        <v>335</v>
      </c>
      <c r="O8627" s="199"/>
      <c r="P8627" s="42" t="s">
        <v>2878</v>
      </c>
    </row>
    <row r="8628" spans="1:16" x14ac:dyDescent="0.2">
      <c r="A8628" s="30">
        <v>1106</v>
      </c>
      <c r="B8628" s="249" t="str">
        <f>IF(AND(A8628&lt;&gt;"",ISNUMBER(A8628)),VLOOKUP(A8628,Studies!A:BR,2,FALSE),"")</f>
        <v>Fleishaker 1994</v>
      </c>
      <c r="C8628" s="250" t="str">
        <f>IF(AND(A8628&lt;&gt;"",ISNUMBER(A8628)),VLOOKUP(A8628,Studies!A:BR,3,FALSE),"")</f>
        <v>https://www.ncbi.nlm.nih.gov/pubmed/8005185</v>
      </c>
      <c r="D8628" s="250" t="str">
        <f>IF(AND(A8628&lt;&gt;"",ISNUMBER(A8628)),VLOOKUP(A8628,Studies!A:BR,4,FALSE),"")</f>
        <v>Fluvoxamine + alprazolam</v>
      </c>
      <c r="E8628" s="250" t="str">
        <f>IF(AND(A8628&lt;&gt;"",ISNUMBER(A8628)),VLOOKUP(A8628,Studies!A:BR,5,FALSE),"")</f>
        <v>Fluvoxamine</v>
      </c>
      <c r="F8628" s="251" t="str">
        <f>IF(AND(A8628&lt;&gt;"",ISNUMBER(A8628)),VLOOKUP(A8628,Studies!A:BR,6,FALSE),"")</f>
        <v>Plasma</v>
      </c>
      <c r="G8628" s="194">
        <v>252</v>
      </c>
      <c r="H8628" s="50" t="s">
        <v>60</v>
      </c>
      <c r="I8628" s="187">
        <v>31.518319999999999</v>
      </c>
      <c r="J8628" s="41" t="s">
        <v>941</v>
      </c>
      <c r="K8628" s="41" t="s">
        <v>335</v>
      </c>
      <c r="O8628" s="199"/>
      <c r="P8628" s="42" t="s">
        <v>2878</v>
      </c>
    </row>
    <row r="8629" spans="1:16" x14ac:dyDescent="0.2">
      <c r="A8629" s="30">
        <v>1107</v>
      </c>
      <c r="B8629" s="249" t="str">
        <f>IF(AND(A8629&lt;&gt;"",ISNUMBER(A8629)),VLOOKUP(A8629,Studies!A:BR,2,FALSE),"")</f>
        <v>Backman 1994</v>
      </c>
      <c r="C8629" s="250" t="str">
        <f>IF(AND(A8629&lt;&gt;"",ISNUMBER(A8629)),VLOOKUP(A8629,Studies!A:BR,3,FALSE),"")</f>
        <v>https://www.ncbi.nlm.nih.gov/pubmed/8198928</v>
      </c>
      <c r="D8629" s="250" t="str">
        <f>IF(AND(A8629&lt;&gt;"",ISNUMBER(A8629)),VLOOKUP(A8629,Studies!A:BR,4,FALSE),"")</f>
        <v>Midazolam with placebo</v>
      </c>
      <c r="E8629" s="250" t="str">
        <f>IF(AND(A8629&lt;&gt;"",ISNUMBER(A8629)),VLOOKUP(A8629,Studies!A:BR,5,FALSE),"")</f>
        <v>Midazolam</v>
      </c>
      <c r="F8629" s="251" t="str">
        <f>IF(AND(A8629&lt;&gt;"",ISNUMBER(A8629)),VLOOKUP(A8629,Studies!A:BR,6,FALSE),"")</f>
        <v>Plasma</v>
      </c>
      <c r="G8629" s="194">
        <v>0.5</v>
      </c>
      <c r="H8629" s="50" t="s">
        <v>60</v>
      </c>
      <c r="I8629" s="187">
        <v>49.970860000000002</v>
      </c>
      <c r="J8629" s="41" t="s">
        <v>941</v>
      </c>
      <c r="K8629" s="41" t="s">
        <v>335</v>
      </c>
      <c r="O8629" s="199">
        <v>1</v>
      </c>
    </row>
    <row r="8630" spans="1:16" x14ac:dyDescent="0.2">
      <c r="A8630" s="30">
        <v>1107</v>
      </c>
      <c r="B8630" s="249" t="str">
        <f>IF(AND(A8630&lt;&gt;"",ISNUMBER(A8630)),VLOOKUP(A8630,Studies!A:BR,2,FALSE),"")</f>
        <v>Backman 1994</v>
      </c>
      <c r="C8630" s="250" t="str">
        <f>IF(AND(A8630&lt;&gt;"",ISNUMBER(A8630)),VLOOKUP(A8630,Studies!A:BR,3,FALSE),"")</f>
        <v>https://www.ncbi.nlm.nih.gov/pubmed/8198928</v>
      </c>
      <c r="D8630" s="250" t="str">
        <f>IF(AND(A8630&lt;&gt;"",ISNUMBER(A8630)),VLOOKUP(A8630,Studies!A:BR,4,FALSE),"")</f>
        <v>Midazolam with placebo</v>
      </c>
      <c r="E8630" s="250" t="str">
        <f>IF(AND(A8630&lt;&gt;"",ISNUMBER(A8630)),VLOOKUP(A8630,Studies!A:BR,5,FALSE),"")</f>
        <v>Midazolam</v>
      </c>
      <c r="F8630" s="251" t="str">
        <f>IF(AND(A8630&lt;&gt;"",ISNUMBER(A8630)),VLOOKUP(A8630,Studies!A:BR,6,FALSE),"")</f>
        <v>Plasma</v>
      </c>
      <c r="G8630" s="194">
        <v>1</v>
      </c>
      <c r="H8630" s="50" t="s">
        <v>60</v>
      </c>
      <c r="I8630" s="187">
        <v>42.854790000000001</v>
      </c>
      <c r="J8630" s="41" t="s">
        <v>941</v>
      </c>
      <c r="K8630" s="41" t="s">
        <v>335</v>
      </c>
      <c r="O8630" s="199">
        <v>1</v>
      </c>
    </row>
    <row r="8631" spans="1:16" x14ac:dyDescent="0.2">
      <c r="A8631" s="30">
        <v>1107</v>
      </c>
      <c r="B8631" s="249" t="str">
        <f>IF(AND(A8631&lt;&gt;"",ISNUMBER(A8631)),VLOOKUP(A8631,Studies!A:BR,2,FALSE),"")</f>
        <v>Backman 1994</v>
      </c>
      <c r="C8631" s="250" t="str">
        <f>IF(AND(A8631&lt;&gt;"",ISNUMBER(A8631)),VLOOKUP(A8631,Studies!A:BR,3,FALSE),"")</f>
        <v>https://www.ncbi.nlm.nih.gov/pubmed/8198928</v>
      </c>
      <c r="D8631" s="250" t="str">
        <f>IF(AND(A8631&lt;&gt;"",ISNUMBER(A8631)),VLOOKUP(A8631,Studies!A:BR,4,FALSE),"")</f>
        <v>Midazolam with placebo</v>
      </c>
      <c r="E8631" s="250" t="str">
        <f>IF(AND(A8631&lt;&gt;"",ISNUMBER(A8631)),VLOOKUP(A8631,Studies!A:BR,5,FALSE),"")</f>
        <v>Midazolam</v>
      </c>
      <c r="F8631" s="251" t="str">
        <f>IF(AND(A8631&lt;&gt;"",ISNUMBER(A8631)),VLOOKUP(A8631,Studies!A:BR,6,FALSE),"")</f>
        <v>Plasma</v>
      </c>
      <c r="G8631" s="194">
        <v>1.5</v>
      </c>
      <c r="H8631" s="50" t="s">
        <v>60</v>
      </c>
      <c r="I8631" s="187">
        <v>38.79804</v>
      </c>
      <c r="J8631" s="41" t="s">
        <v>941</v>
      </c>
      <c r="K8631" s="41" t="s">
        <v>335</v>
      </c>
      <c r="O8631" s="199">
        <v>1</v>
      </c>
    </row>
    <row r="8632" spans="1:16" x14ac:dyDescent="0.2">
      <c r="A8632" s="30">
        <v>1107</v>
      </c>
      <c r="B8632" s="249" t="str">
        <f>IF(AND(A8632&lt;&gt;"",ISNUMBER(A8632)),VLOOKUP(A8632,Studies!A:BR,2,FALSE),"")</f>
        <v>Backman 1994</v>
      </c>
      <c r="C8632" s="250" t="str">
        <f>IF(AND(A8632&lt;&gt;"",ISNUMBER(A8632)),VLOOKUP(A8632,Studies!A:BR,3,FALSE),"")</f>
        <v>https://www.ncbi.nlm.nih.gov/pubmed/8198928</v>
      </c>
      <c r="D8632" s="250" t="str">
        <f>IF(AND(A8632&lt;&gt;"",ISNUMBER(A8632)),VLOOKUP(A8632,Studies!A:BR,4,FALSE),"")</f>
        <v>Midazolam with placebo</v>
      </c>
      <c r="E8632" s="250" t="str">
        <f>IF(AND(A8632&lt;&gt;"",ISNUMBER(A8632)),VLOOKUP(A8632,Studies!A:BR,5,FALSE),"")</f>
        <v>Midazolam</v>
      </c>
      <c r="F8632" s="251" t="str">
        <f>IF(AND(A8632&lt;&gt;"",ISNUMBER(A8632)),VLOOKUP(A8632,Studies!A:BR,6,FALSE),"")</f>
        <v>Plasma</v>
      </c>
      <c r="G8632" s="194">
        <v>2</v>
      </c>
      <c r="H8632" s="50" t="s">
        <v>60</v>
      </c>
      <c r="I8632" s="187">
        <v>33.380989999999997</v>
      </c>
      <c r="J8632" s="41" t="s">
        <v>941</v>
      </c>
      <c r="K8632" s="41" t="s">
        <v>335</v>
      </c>
      <c r="O8632" s="199">
        <v>1</v>
      </c>
    </row>
    <row r="8633" spans="1:16" x14ac:dyDescent="0.2">
      <c r="A8633" s="30">
        <v>1107</v>
      </c>
      <c r="B8633" s="249" t="str">
        <f>IF(AND(A8633&lt;&gt;"",ISNUMBER(A8633)),VLOOKUP(A8633,Studies!A:BR,2,FALSE),"")</f>
        <v>Backman 1994</v>
      </c>
      <c r="C8633" s="250" t="str">
        <f>IF(AND(A8633&lt;&gt;"",ISNUMBER(A8633)),VLOOKUP(A8633,Studies!A:BR,3,FALSE),"")</f>
        <v>https://www.ncbi.nlm.nih.gov/pubmed/8198928</v>
      </c>
      <c r="D8633" s="250" t="str">
        <f>IF(AND(A8633&lt;&gt;"",ISNUMBER(A8633)),VLOOKUP(A8633,Studies!A:BR,4,FALSE),"")</f>
        <v>Midazolam with placebo</v>
      </c>
      <c r="E8633" s="250" t="str">
        <f>IF(AND(A8633&lt;&gt;"",ISNUMBER(A8633)),VLOOKUP(A8633,Studies!A:BR,5,FALSE),"")</f>
        <v>Midazolam</v>
      </c>
      <c r="F8633" s="251" t="str">
        <f>IF(AND(A8633&lt;&gt;"",ISNUMBER(A8633)),VLOOKUP(A8633,Studies!A:BR,6,FALSE),"")</f>
        <v>Plasma</v>
      </c>
      <c r="G8633" s="194">
        <v>3</v>
      </c>
      <c r="H8633" s="50" t="s">
        <v>60</v>
      </c>
      <c r="I8633" s="187">
        <v>23.566279999999999</v>
      </c>
      <c r="J8633" s="41" t="s">
        <v>941</v>
      </c>
      <c r="K8633" s="41" t="s">
        <v>335</v>
      </c>
      <c r="O8633" s="199">
        <v>1</v>
      </c>
    </row>
    <row r="8634" spans="1:16" x14ac:dyDescent="0.2">
      <c r="A8634" s="30">
        <v>1107</v>
      </c>
      <c r="B8634" s="249" t="str">
        <f>IF(AND(A8634&lt;&gt;"",ISNUMBER(A8634)),VLOOKUP(A8634,Studies!A:BR,2,FALSE),"")</f>
        <v>Backman 1994</v>
      </c>
      <c r="C8634" s="250" t="str">
        <f>IF(AND(A8634&lt;&gt;"",ISNUMBER(A8634)),VLOOKUP(A8634,Studies!A:BR,3,FALSE),"")</f>
        <v>https://www.ncbi.nlm.nih.gov/pubmed/8198928</v>
      </c>
      <c r="D8634" s="250" t="str">
        <f>IF(AND(A8634&lt;&gt;"",ISNUMBER(A8634)),VLOOKUP(A8634,Studies!A:BR,4,FALSE),"")</f>
        <v>Midazolam with placebo</v>
      </c>
      <c r="E8634" s="250" t="str">
        <f>IF(AND(A8634&lt;&gt;"",ISNUMBER(A8634)),VLOOKUP(A8634,Studies!A:BR,5,FALSE),"")</f>
        <v>Midazolam</v>
      </c>
      <c r="F8634" s="251" t="str">
        <f>IF(AND(A8634&lt;&gt;"",ISNUMBER(A8634)),VLOOKUP(A8634,Studies!A:BR,6,FALSE),"")</f>
        <v>Plasma</v>
      </c>
      <c r="G8634" s="194">
        <v>4</v>
      </c>
      <c r="H8634" s="50" t="s">
        <v>60</v>
      </c>
      <c r="I8634" s="187">
        <v>15.451700000000001</v>
      </c>
      <c r="J8634" s="41" t="s">
        <v>941</v>
      </c>
      <c r="K8634" s="41" t="s">
        <v>335</v>
      </c>
      <c r="O8634" s="199">
        <v>1</v>
      </c>
    </row>
    <row r="8635" spans="1:16" x14ac:dyDescent="0.2">
      <c r="A8635" s="30">
        <v>1107</v>
      </c>
      <c r="B8635" s="249" t="str">
        <f>IF(AND(A8635&lt;&gt;"",ISNUMBER(A8635)),VLOOKUP(A8635,Studies!A:BR,2,FALSE),"")</f>
        <v>Backman 1994</v>
      </c>
      <c r="C8635" s="250" t="str">
        <f>IF(AND(A8635&lt;&gt;"",ISNUMBER(A8635)),VLOOKUP(A8635,Studies!A:BR,3,FALSE),"")</f>
        <v>https://www.ncbi.nlm.nih.gov/pubmed/8198928</v>
      </c>
      <c r="D8635" s="250" t="str">
        <f>IF(AND(A8635&lt;&gt;"",ISNUMBER(A8635)),VLOOKUP(A8635,Studies!A:BR,4,FALSE),"")</f>
        <v>Midazolam with placebo</v>
      </c>
      <c r="E8635" s="250" t="str">
        <f>IF(AND(A8635&lt;&gt;"",ISNUMBER(A8635)),VLOOKUP(A8635,Studies!A:BR,5,FALSE),"")</f>
        <v>Midazolam</v>
      </c>
      <c r="F8635" s="251" t="str">
        <f>IF(AND(A8635&lt;&gt;"",ISNUMBER(A8635)),VLOOKUP(A8635,Studies!A:BR,6,FALSE),"")</f>
        <v>Plasma</v>
      </c>
      <c r="G8635" s="194">
        <v>5</v>
      </c>
      <c r="H8635" s="50" t="s">
        <v>60</v>
      </c>
      <c r="I8635" s="187">
        <v>10.735139999999999</v>
      </c>
      <c r="J8635" s="41" t="s">
        <v>941</v>
      </c>
      <c r="K8635" s="41" t="s">
        <v>335</v>
      </c>
      <c r="O8635" s="199">
        <v>1</v>
      </c>
    </row>
    <row r="8636" spans="1:16" x14ac:dyDescent="0.2">
      <c r="A8636" s="30">
        <v>1107</v>
      </c>
      <c r="B8636" s="249" t="str">
        <f>IF(AND(A8636&lt;&gt;"",ISNUMBER(A8636)),VLOOKUP(A8636,Studies!A:BR,2,FALSE),"")</f>
        <v>Backman 1994</v>
      </c>
      <c r="C8636" s="250" t="str">
        <f>IF(AND(A8636&lt;&gt;"",ISNUMBER(A8636)),VLOOKUP(A8636,Studies!A:BR,3,FALSE),"")</f>
        <v>https://www.ncbi.nlm.nih.gov/pubmed/8198928</v>
      </c>
      <c r="D8636" s="250" t="str">
        <f>IF(AND(A8636&lt;&gt;"",ISNUMBER(A8636)),VLOOKUP(A8636,Studies!A:BR,4,FALSE),"")</f>
        <v>Midazolam with placebo</v>
      </c>
      <c r="E8636" s="250" t="str">
        <f>IF(AND(A8636&lt;&gt;"",ISNUMBER(A8636)),VLOOKUP(A8636,Studies!A:BR,5,FALSE),"")</f>
        <v>Midazolam</v>
      </c>
      <c r="F8636" s="251" t="str">
        <f>IF(AND(A8636&lt;&gt;"",ISNUMBER(A8636)),VLOOKUP(A8636,Studies!A:BR,6,FALSE),"")</f>
        <v>Plasma</v>
      </c>
      <c r="G8636" s="194">
        <v>6</v>
      </c>
      <c r="H8636" s="50" t="s">
        <v>60</v>
      </c>
      <c r="I8636" s="187">
        <v>9.0746140000000004</v>
      </c>
      <c r="J8636" s="41" t="s">
        <v>941</v>
      </c>
      <c r="K8636" s="41" t="s">
        <v>335</v>
      </c>
      <c r="O8636" s="199">
        <v>1</v>
      </c>
    </row>
    <row r="8637" spans="1:16" x14ac:dyDescent="0.2">
      <c r="A8637" s="30">
        <v>1107</v>
      </c>
      <c r="B8637" s="249" t="str">
        <f>IF(AND(A8637&lt;&gt;"",ISNUMBER(A8637)),VLOOKUP(A8637,Studies!A:BR,2,FALSE),"")</f>
        <v>Backman 1994</v>
      </c>
      <c r="C8637" s="250" t="str">
        <f>IF(AND(A8637&lt;&gt;"",ISNUMBER(A8637)),VLOOKUP(A8637,Studies!A:BR,3,FALSE),"")</f>
        <v>https://www.ncbi.nlm.nih.gov/pubmed/8198928</v>
      </c>
      <c r="D8637" s="250" t="str">
        <f>IF(AND(A8637&lt;&gt;"",ISNUMBER(A8637)),VLOOKUP(A8637,Studies!A:BR,4,FALSE),"")</f>
        <v>Midazolam with placebo</v>
      </c>
      <c r="E8637" s="250" t="str">
        <f>IF(AND(A8637&lt;&gt;"",ISNUMBER(A8637)),VLOOKUP(A8637,Studies!A:BR,5,FALSE),"")</f>
        <v>Midazolam</v>
      </c>
      <c r="F8637" s="251" t="str">
        <f>IF(AND(A8637&lt;&gt;"",ISNUMBER(A8637)),VLOOKUP(A8637,Studies!A:BR,6,FALSE),"")</f>
        <v>Plasma</v>
      </c>
      <c r="G8637" s="194">
        <v>7</v>
      </c>
      <c r="H8637" s="50" t="s">
        <v>60</v>
      </c>
      <c r="I8637" s="187">
        <v>7.4162860000000004</v>
      </c>
      <c r="J8637" s="41" t="s">
        <v>941</v>
      </c>
      <c r="K8637" s="41" t="s">
        <v>335</v>
      </c>
      <c r="O8637" s="199">
        <v>1</v>
      </c>
    </row>
    <row r="8638" spans="1:16" x14ac:dyDescent="0.2">
      <c r="A8638" s="30">
        <v>1107</v>
      </c>
      <c r="B8638" s="249" t="str">
        <f>IF(AND(A8638&lt;&gt;"",ISNUMBER(A8638)),VLOOKUP(A8638,Studies!A:BR,2,FALSE),"")</f>
        <v>Backman 1994</v>
      </c>
      <c r="C8638" s="250" t="str">
        <f>IF(AND(A8638&lt;&gt;"",ISNUMBER(A8638)),VLOOKUP(A8638,Studies!A:BR,3,FALSE),"")</f>
        <v>https://www.ncbi.nlm.nih.gov/pubmed/8198928</v>
      </c>
      <c r="D8638" s="250" t="str">
        <f>IF(AND(A8638&lt;&gt;"",ISNUMBER(A8638)),VLOOKUP(A8638,Studies!A:BR,4,FALSE),"")</f>
        <v>Midazolam with placebo</v>
      </c>
      <c r="E8638" s="250" t="str">
        <f>IF(AND(A8638&lt;&gt;"",ISNUMBER(A8638)),VLOOKUP(A8638,Studies!A:BR,5,FALSE),"")</f>
        <v>Midazolam</v>
      </c>
      <c r="F8638" s="251" t="str">
        <f>IF(AND(A8638&lt;&gt;"",ISNUMBER(A8638)),VLOOKUP(A8638,Studies!A:BR,6,FALSE),"")</f>
        <v>Plasma</v>
      </c>
      <c r="G8638" s="194">
        <v>17</v>
      </c>
      <c r="H8638" s="50" t="s">
        <v>60</v>
      </c>
      <c r="I8638" s="187">
        <v>2.0377190000000001</v>
      </c>
      <c r="J8638" s="41" t="s">
        <v>941</v>
      </c>
      <c r="K8638" s="41" t="s">
        <v>335</v>
      </c>
      <c r="O8638" s="199">
        <v>1</v>
      </c>
    </row>
    <row r="8639" spans="1:16" x14ac:dyDescent="0.2">
      <c r="A8639" s="30">
        <v>1108</v>
      </c>
      <c r="B8639" s="249" t="str">
        <f>IF(AND(A8639&lt;&gt;"",ISNUMBER(A8639)),VLOOKUP(A8639,Studies!A:BR,2,FALSE),"")</f>
        <v>Backman 1994</v>
      </c>
      <c r="C8639" s="250" t="str">
        <f>IF(AND(A8639&lt;&gt;"",ISNUMBER(A8639)),VLOOKUP(A8639,Studies!A:BR,3,FALSE),"")</f>
        <v>https://www.ncbi.nlm.nih.gov/pubmed/8198928</v>
      </c>
      <c r="D8639" s="250" t="str">
        <f>IF(AND(A8639&lt;&gt;"",ISNUMBER(A8639)),VLOOKUP(A8639,Studies!A:BR,4,FALSE),"")</f>
        <v>Midazolam with verapamil</v>
      </c>
      <c r="E8639" s="250" t="str">
        <f>IF(AND(A8639&lt;&gt;"",ISNUMBER(A8639)),VLOOKUP(A8639,Studies!A:BR,5,FALSE),"")</f>
        <v>Midazolam</v>
      </c>
      <c r="F8639" s="251" t="str">
        <f>IF(AND(A8639&lt;&gt;"",ISNUMBER(A8639)),VLOOKUP(A8639,Studies!A:BR,6,FALSE),"")</f>
        <v>Plasma</v>
      </c>
      <c r="G8639" s="194">
        <v>25</v>
      </c>
      <c r="H8639" s="50" t="s">
        <v>60</v>
      </c>
      <c r="I8639" s="187">
        <v>0.5</v>
      </c>
      <c r="J8639" s="41" t="s">
        <v>941</v>
      </c>
      <c r="K8639" s="41" t="s">
        <v>335</v>
      </c>
      <c r="O8639" s="199">
        <v>1</v>
      </c>
    </row>
    <row r="8640" spans="1:16" x14ac:dyDescent="0.2">
      <c r="A8640" s="30">
        <v>1108</v>
      </c>
      <c r="B8640" s="249" t="str">
        <f>IF(AND(A8640&lt;&gt;"",ISNUMBER(A8640)),VLOOKUP(A8640,Studies!A:BR,2,FALSE),"")</f>
        <v>Backman 1994</v>
      </c>
      <c r="C8640" s="250" t="str">
        <f>IF(AND(A8640&lt;&gt;"",ISNUMBER(A8640)),VLOOKUP(A8640,Studies!A:BR,3,FALSE),"")</f>
        <v>https://www.ncbi.nlm.nih.gov/pubmed/8198928</v>
      </c>
      <c r="D8640" s="250" t="str">
        <f>IF(AND(A8640&lt;&gt;"",ISNUMBER(A8640)),VLOOKUP(A8640,Studies!A:BR,4,FALSE),"")</f>
        <v>Midazolam with verapamil</v>
      </c>
      <c r="E8640" s="250" t="str">
        <f>IF(AND(A8640&lt;&gt;"",ISNUMBER(A8640)),VLOOKUP(A8640,Studies!A:BR,5,FALSE),"")</f>
        <v>Midazolam</v>
      </c>
      <c r="F8640" s="251" t="str">
        <f>IF(AND(A8640&lt;&gt;"",ISNUMBER(A8640)),VLOOKUP(A8640,Studies!A:BR,6,FALSE),"")</f>
        <v>Plasma</v>
      </c>
      <c r="G8640" s="194">
        <v>25.5</v>
      </c>
      <c r="H8640" s="50" t="s">
        <v>60</v>
      </c>
      <c r="I8640" s="187">
        <v>102.30159999999999</v>
      </c>
      <c r="J8640" s="41" t="s">
        <v>941</v>
      </c>
      <c r="K8640" s="41" t="s">
        <v>335</v>
      </c>
      <c r="O8640" s="199">
        <v>1</v>
      </c>
    </row>
    <row r="8641" spans="1:15" x14ac:dyDescent="0.2">
      <c r="A8641" s="30">
        <v>1108</v>
      </c>
      <c r="B8641" s="249" t="str">
        <f>IF(AND(A8641&lt;&gt;"",ISNUMBER(A8641)),VLOOKUP(A8641,Studies!A:BR,2,FALSE),"")</f>
        <v>Backman 1994</v>
      </c>
      <c r="C8641" s="250" t="str">
        <f>IF(AND(A8641&lt;&gt;"",ISNUMBER(A8641)),VLOOKUP(A8641,Studies!A:BR,3,FALSE),"")</f>
        <v>https://www.ncbi.nlm.nih.gov/pubmed/8198928</v>
      </c>
      <c r="D8641" s="250" t="str">
        <f>IF(AND(A8641&lt;&gt;"",ISNUMBER(A8641)),VLOOKUP(A8641,Studies!A:BR,4,FALSE),"")</f>
        <v>Midazolam with verapamil</v>
      </c>
      <c r="E8641" s="250" t="str">
        <f>IF(AND(A8641&lt;&gt;"",ISNUMBER(A8641)),VLOOKUP(A8641,Studies!A:BR,5,FALSE),"")</f>
        <v>Midazolam</v>
      </c>
      <c r="F8641" s="251" t="str">
        <f>IF(AND(A8641&lt;&gt;"",ISNUMBER(A8641)),VLOOKUP(A8641,Studies!A:BR,6,FALSE),"")</f>
        <v>Plasma</v>
      </c>
      <c r="G8641" s="194">
        <v>26</v>
      </c>
      <c r="H8641" s="50" t="s">
        <v>60</v>
      </c>
      <c r="I8641" s="187">
        <v>105.38079999999999</v>
      </c>
      <c r="J8641" s="41" t="s">
        <v>941</v>
      </c>
      <c r="K8641" s="41" t="s">
        <v>335</v>
      </c>
      <c r="O8641" s="199">
        <v>1</v>
      </c>
    </row>
    <row r="8642" spans="1:15" x14ac:dyDescent="0.2">
      <c r="A8642" s="30">
        <v>1108</v>
      </c>
      <c r="B8642" s="249" t="str">
        <f>IF(AND(A8642&lt;&gt;"",ISNUMBER(A8642)),VLOOKUP(A8642,Studies!A:BR,2,FALSE),"")</f>
        <v>Backman 1994</v>
      </c>
      <c r="C8642" s="250" t="str">
        <f>IF(AND(A8642&lt;&gt;"",ISNUMBER(A8642)),VLOOKUP(A8642,Studies!A:BR,3,FALSE),"")</f>
        <v>https://www.ncbi.nlm.nih.gov/pubmed/8198928</v>
      </c>
      <c r="D8642" s="250" t="str">
        <f>IF(AND(A8642&lt;&gt;"",ISNUMBER(A8642)),VLOOKUP(A8642,Studies!A:BR,4,FALSE),"")</f>
        <v>Midazolam with verapamil</v>
      </c>
      <c r="E8642" s="250" t="str">
        <f>IF(AND(A8642&lt;&gt;"",ISNUMBER(A8642)),VLOOKUP(A8642,Studies!A:BR,5,FALSE),"")</f>
        <v>Midazolam</v>
      </c>
      <c r="F8642" s="251" t="str">
        <f>IF(AND(A8642&lt;&gt;"",ISNUMBER(A8642)),VLOOKUP(A8642,Studies!A:BR,6,FALSE),"")</f>
        <v>Plasma</v>
      </c>
      <c r="G8642" s="194">
        <v>26.5</v>
      </c>
      <c r="H8642" s="50" t="s">
        <v>60</v>
      </c>
      <c r="I8642" s="187">
        <v>78.894810000000007</v>
      </c>
      <c r="J8642" s="41" t="s">
        <v>941</v>
      </c>
      <c r="K8642" s="41" t="s">
        <v>335</v>
      </c>
      <c r="O8642" s="199">
        <v>1</v>
      </c>
    </row>
    <row r="8643" spans="1:15" x14ac:dyDescent="0.2">
      <c r="A8643" s="30">
        <v>1108</v>
      </c>
      <c r="B8643" s="249" t="str">
        <f>IF(AND(A8643&lt;&gt;"",ISNUMBER(A8643)),VLOOKUP(A8643,Studies!A:BR,2,FALSE),"")</f>
        <v>Backman 1994</v>
      </c>
      <c r="C8643" s="250" t="str">
        <f>IF(AND(A8643&lt;&gt;"",ISNUMBER(A8643)),VLOOKUP(A8643,Studies!A:BR,3,FALSE),"")</f>
        <v>https://www.ncbi.nlm.nih.gov/pubmed/8198928</v>
      </c>
      <c r="D8643" s="250" t="str">
        <f>IF(AND(A8643&lt;&gt;"",ISNUMBER(A8643)),VLOOKUP(A8643,Studies!A:BR,4,FALSE),"")</f>
        <v>Midazolam with verapamil</v>
      </c>
      <c r="E8643" s="250" t="str">
        <f>IF(AND(A8643&lt;&gt;"",ISNUMBER(A8643)),VLOOKUP(A8643,Studies!A:BR,5,FALSE),"")</f>
        <v>Midazolam</v>
      </c>
      <c r="F8643" s="251" t="str">
        <f>IF(AND(A8643&lt;&gt;"",ISNUMBER(A8643)),VLOOKUP(A8643,Studies!A:BR,6,FALSE),"")</f>
        <v>Plasma</v>
      </c>
      <c r="G8643" s="194">
        <v>27</v>
      </c>
      <c r="H8643" s="50" t="s">
        <v>60</v>
      </c>
      <c r="I8643" s="187">
        <v>69.060320000000004</v>
      </c>
      <c r="J8643" s="41" t="s">
        <v>941</v>
      </c>
      <c r="K8643" s="41" t="s">
        <v>335</v>
      </c>
      <c r="O8643" s="199">
        <v>1</v>
      </c>
    </row>
    <row r="8644" spans="1:15" x14ac:dyDescent="0.2">
      <c r="A8644" s="30">
        <v>1108</v>
      </c>
      <c r="B8644" s="249" t="str">
        <f>IF(AND(A8644&lt;&gt;"",ISNUMBER(A8644)),VLOOKUP(A8644,Studies!A:BR,2,FALSE),"")</f>
        <v>Backman 1994</v>
      </c>
      <c r="C8644" s="250" t="str">
        <f>IF(AND(A8644&lt;&gt;"",ISNUMBER(A8644)),VLOOKUP(A8644,Studies!A:BR,3,FALSE),"")</f>
        <v>https://www.ncbi.nlm.nih.gov/pubmed/8198928</v>
      </c>
      <c r="D8644" s="250" t="str">
        <f>IF(AND(A8644&lt;&gt;"",ISNUMBER(A8644)),VLOOKUP(A8644,Studies!A:BR,4,FALSE),"")</f>
        <v>Midazolam with verapamil</v>
      </c>
      <c r="E8644" s="250" t="str">
        <f>IF(AND(A8644&lt;&gt;"",ISNUMBER(A8644)),VLOOKUP(A8644,Studies!A:BR,5,FALSE),"")</f>
        <v>Midazolam</v>
      </c>
      <c r="F8644" s="251" t="str">
        <f>IF(AND(A8644&lt;&gt;"",ISNUMBER(A8644)),VLOOKUP(A8644,Studies!A:BR,6,FALSE),"")</f>
        <v>Plasma</v>
      </c>
      <c r="G8644" s="194">
        <v>28</v>
      </c>
      <c r="H8644" s="50" t="s">
        <v>60</v>
      </c>
      <c r="I8644" s="187">
        <v>53.808770000000003</v>
      </c>
      <c r="J8644" s="41" t="s">
        <v>941</v>
      </c>
      <c r="K8644" s="41" t="s">
        <v>335</v>
      </c>
      <c r="O8644" s="199">
        <v>1</v>
      </c>
    </row>
    <row r="8645" spans="1:15" x14ac:dyDescent="0.2">
      <c r="A8645" s="30">
        <v>1108</v>
      </c>
      <c r="B8645" s="249" t="str">
        <f>IF(AND(A8645&lt;&gt;"",ISNUMBER(A8645)),VLOOKUP(A8645,Studies!A:BR,2,FALSE),"")</f>
        <v>Backman 1994</v>
      </c>
      <c r="C8645" s="250" t="str">
        <f>IF(AND(A8645&lt;&gt;"",ISNUMBER(A8645)),VLOOKUP(A8645,Studies!A:BR,3,FALSE),"")</f>
        <v>https://www.ncbi.nlm.nih.gov/pubmed/8198928</v>
      </c>
      <c r="D8645" s="250" t="str">
        <f>IF(AND(A8645&lt;&gt;"",ISNUMBER(A8645)),VLOOKUP(A8645,Studies!A:BR,4,FALSE),"")</f>
        <v>Midazolam with verapamil</v>
      </c>
      <c r="E8645" s="250" t="str">
        <f>IF(AND(A8645&lt;&gt;"",ISNUMBER(A8645)),VLOOKUP(A8645,Studies!A:BR,5,FALSE),"")</f>
        <v>Midazolam</v>
      </c>
      <c r="F8645" s="251" t="str">
        <f>IF(AND(A8645&lt;&gt;"",ISNUMBER(A8645)),VLOOKUP(A8645,Studies!A:BR,6,FALSE),"")</f>
        <v>Plasma</v>
      </c>
      <c r="G8645" s="194">
        <v>29</v>
      </c>
      <c r="H8645" s="50" t="s">
        <v>60</v>
      </c>
      <c r="I8645" s="187">
        <v>43.995159999999998</v>
      </c>
      <c r="J8645" s="41" t="s">
        <v>941</v>
      </c>
      <c r="K8645" s="41" t="s">
        <v>335</v>
      </c>
      <c r="O8645" s="199">
        <v>1</v>
      </c>
    </row>
    <row r="8646" spans="1:15" x14ac:dyDescent="0.2">
      <c r="A8646" s="30">
        <v>1108</v>
      </c>
      <c r="B8646" s="249" t="str">
        <f>IF(AND(A8646&lt;&gt;"",ISNUMBER(A8646)),VLOOKUP(A8646,Studies!A:BR,2,FALSE),"")</f>
        <v>Backman 1994</v>
      </c>
      <c r="C8646" s="250" t="str">
        <f>IF(AND(A8646&lt;&gt;"",ISNUMBER(A8646)),VLOOKUP(A8646,Studies!A:BR,3,FALSE),"")</f>
        <v>https://www.ncbi.nlm.nih.gov/pubmed/8198928</v>
      </c>
      <c r="D8646" s="250" t="str">
        <f>IF(AND(A8646&lt;&gt;"",ISNUMBER(A8646)),VLOOKUP(A8646,Studies!A:BR,4,FALSE),"")</f>
        <v>Midazolam with verapamil</v>
      </c>
      <c r="E8646" s="250" t="str">
        <f>IF(AND(A8646&lt;&gt;"",ISNUMBER(A8646)),VLOOKUP(A8646,Studies!A:BR,5,FALSE),"")</f>
        <v>Midazolam</v>
      </c>
      <c r="F8646" s="251" t="str">
        <f>IF(AND(A8646&lt;&gt;"",ISNUMBER(A8646)),VLOOKUP(A8646,Studies!A:BR,6,FALSE),"")</f>
        <v>Plasma</v>
      </c>
      <c r="G8646" s="194">
        <v>30</v>
      </c>
      <c r="H8646" s="50" t="s">
        <v>60</v>
      </c>
      <c r="I8646" s="187">
        <v>31.122229999999998</v>
      </c>
      <c r="J8646" s="41" t="s">
        <v>941</v>
      </c>
      <c r="K8646" s="41" t="s">
        <v>335</v>
      </c>
      <c r="O8646" s="199">
        <v>1</v>
      </c>
    </row>
    <row r="8647" spans="1:15" x14ac:dyDescent="0.2">
      <c r="A8647" s="30">
        <v>1108</v>
      </c>
      <c r="B8647" s="249" t="str">
        <f>IF(AND(A8647&lt;&gt;"",ISNUMBER(A8647)),VLOOKUP(A8647,Studies!A:BR,2,FALSE),"")</f>
        <v>Backman 1994</v>
      </c>
      <c r="C8647" s="250" t="str">
        <f>IF(AND(A8647&lt;&gt;"",ISNUMBER(A8647)),VLOOKUP(A8647,Studies!A:BR,3,FALSE),"")</f>
        <v>https://www.ncbi.nlm.nih.gov/pubmed/8198928</v>
      </c>
      <c r="D8647" s="250" t="str">
        <f>IF(AND(A8647&lt;&gt;"",ISNUMBER(A8647)),VLOOKUP(A8647,Studies!A:BR,4,FALSE),"")</f>
        <v>Midazolam with verapamil</v>
      </c>
      <c r="E8647" s="250" t="str">
        <f>IF(AND(A8647&lt;&gt;"",ISNUMBER(A8647)),VLOOKUP(A8647,Studies!A:BR,5,FALSE),"")</f>
        <v>Midazolam</v>
      </c>
      <c r="F8647" s="251" t="str">
        <f>IF(AND(A8647&lt;&gt;"",ISNUMBER(A8647)),VLOOKUP(A8647,Studies!A:BR,6,FALSE),"")</f>
        <v>Plasma</v>
      </c>
      <c r="G8647" s="194">
        <v>31</v>
      </c>
      <c r="H8647" s="50" t="s">
        <v>60</v>
      </c>
      <c r="I8647" s="187">
        <v>24.364660000000001</v>
      </c>
      <c r="J8647" s="41" t="s">
        <v>941</v>
      </c>
      <c r="K8647" s="41" t="s">
        <v>335</v>
      </c>
      <c r="O8647" s="199">
        <v>1</v>
      </c>
    </row>
    <row r="8648" spans="1:15" x14ac:dyDescent="0.2">
      <c r="A8648" s="30">
        <v>1108</v>
      </c>
      <c r="B8648" s="249" t="str">
        <f>IF(AND(A8648&lt;&gt;"",ISNUMBER(A8648)),VLOOKUP(A8648,Studies!A:BR,2,FALSE),"")</f>
        <v>Backman 1994</v>
      </c>
      <c r="C8648" s="250" t="str">
        <f>IF(AND(A8648&lt;&gt;"",ISNUMBER(A8648)),VLOOKUP(A8648,Studies!A:BR,3,FALSE),"")</f>
        <v>https://www.ncbi.nlm.nih.gov/pubmed/8198928</v>
      </c>
      <c r="D8648" s="250" t="str">
        <f>IF(AND(A8648&lt;&gt;"",ISNUMBER(A8648)),VLOOKUP(A8648,Studies!A:BR,4,FALSE),"")</f>
        <v>Midazolam with verapamil</v>
      </c>
      <c r="E8648" s="250" t="str">
        <f>IF(AND(A8648&lt;&gt;"",ISNUMBER(A8648)),VLOOKUP(A8648,Studies!A:BR,5,FALSE),"")</f>
        <v>Midazolam</v>
      </c>
      <c r="F8648" s="251" t="str">
        <f>IF(AND(A8648&lt;&gt;"",ISNUMBER(A8648)),VLOOKUP(A8648,Studies!A:BR,6,FALSE),"")</f>
        <v>Plasma</v>
      </c>
      <c r="G8648" s="194">
        <v>32</v>
      </c>
      <c r="H8648" s="50" t="s">
        <v>60</v>
      </c>
      <c r="I8648" s="187">
        <v>20.668610000000001</v>
      </c>
      <c r="J8648" s="41" t="s">
        <v>941</v>
      </c>
      <c r="K8648" s="41" t="s">
        <v>335</v>
      </c>
      <c r="O8648" s="199">
        <v>1</v>
      </c>
    </row>
    <row r="8649" spans="1:15" x14ac:dyDescent="0.2">
      <c r="A8649" s="30">
        <v>1108</v>
      </c>
      <c r="B8649" s="249" t="str">
        <f>IF(AND(A8649&lt;&gt;"",ISNUMBER(A8649)),VLOOKUP(A8649,Studies!A:BR,2,FALSE),"")</f>
        <v>Backman 1994</v>
      </c>
      <c r="C8649" s="250" t="str">
        <f>IF(AND(A8649&lt;&gt;"",ISNUMBER(A8649)),VLOOKUP(A8649,Studies!A:BR,3,FALSE),"")</f>
        <v>https://www.ncbi.nlm.nih.gov/pubmed/8198928</v>
      </c>
      <c r="D8649" s="250" t="str">
        <f>IF(AND(A8649&lt;&gt;"",ISNUMBER(A8649)),VLOOKUP(A8649,Studies!A:BR,4,FALSE),"")</f>
        <v>Midazolam with verapamil</v>
      </c>
      <c r="E8649" s="250" t="str">
        <f>IF(AND(A8649&lt;&gt;"",ISNUMBER(A8649)),VLOOKUP(A8649,Studies!A:BR,5,FALSE),"")</f>
        <v>Midazolam</v>
      </c>
      <c r="F8649" s="251" t="str">
        <f>IF(AND(A8649&lt;&gt;"",ISNUMBER(A8649)),VLOOKUP(A8649,Studies!A:BR,6,FALSE),"")</f>
        <v>Plasma</v>
      </c>
      <c r="G8649" s="194">
        <v>42</v>
      </c>
      <c r="H8649" s="50" t="s">
        <v>60</v>
      </c>
      <c r="I8649" s="187">
        <v>8.1552749999999996</v>
      </c>
      <c r="J8649" s="41" t="s">
        <v>941</v>
      </c>
      <c r="K8649" s="41" t="s">
        <v>335</v>
      </c>
      <c r="O8649" s="199">
        <v>1</v>
      </c>
    </row>
    <row r="8650" spans="1:15" x14ac:dyDescent="0.2">
      <c r="A8650" s="30">
        <v>1109</v>
      </c>
      <c r="B8650" s="249" t="str">
        <f>IF(AND(A8650&lt;&gt;"",ISNUMBER(A8650)),VLOOKUP(A8650,Studies!A:BR,2,FALSE),"")</f>
        <v>Backman 1994</v>
      </c>
      <c r="C8650" s="250" t="str">
        <f>IF(AND(A8650&lt;&gt;"",ISNUMBER(A8650)),VLOOKUP(A8650,Studies!A:BR,3,FALSE),"")</f>
        <v>https://www.ncbi.nlm.nih.gov/pubmed/8198928</v>
      </c>
      <c r="D8650" s="250" t="str">
        <f>IF(AND(A8650&lt;&gt;"",ISNUMBER(A8650)),VLOOKUP(A8650,Studies!A:BR,4,FALSE),"")</f>
        <v>Verapamil</v>
      </c>
      <c r="E8650" s="250" t="str">
        <f>IF(AND(A8650&lt;&gt;"",ISNUMBER(A8650)),VLOOKUP(A8650,Studies!A:BR,5,FALSE),"")</f>
        <v>Verapamil</v>
      </c>
      <c r="F8650" s="251" t="str">
        <f>IF(AND(A8650&lt;&gt;"",ISNUMBER(A8650)),VLOOKUP(A8650,Studies!A:BR,6,FALSE),"")</f>
        <v>Plasma</v>
      </c>
      <c r="G8650" s="194">
        <v>0</v>
      </c>
      <c r="H8650" s="50" t="s">
        <v>60</v>
      </c>
      <c r="I8650" s="187">
        <v>54.501040000000003</v>
      </c>
      <c r="J8650" s="41" t="s">
        <v>941</v>
      </c>
      <c r="K8650" s="41" t="s">
        <v>335</v>
      </c>
      <c r="O8650" s="199"/>
    </row>
    <row r="8651" spans="1:15" x14ac:dyDescent="0.2">
      <c r="A8651" s="30">
        <v>1109</v>
      </c>
      <c r="B8651" s="249" t="str">
        <f>IF(AND(A8651&lt;&gt;"",ISNUMBER(A8651)),VLOOKUP(A8651,Studies!A:BR,2,FALSE),"")</f>
        <v>Backman 1994</v>
      </c>
      <c r="C8651" s="250" t="str">
        <f>IF(AND(A8651&lt;&gt;"",ISNUMBER(A8651)),VLOOKUP(A8651,Studies!A:BR,3,FALSE),"")</f>
        <v>https://www.ncbi.nlm.nih.gov/pubmed/8198928</v>
      </c>
      <c r="D8651" s="250" t="str">
        <f>IF(AND(A8651&lt;&gt;"",ISNUMBER(A8651)),VLOOKUP(A8651,Studies!A:BR,4,FALSE),"")</f>
        <v>Verapamil</v>
      </c>
      <c r="E8651" s="250" t="str">
        <f>IF(AND(A8651&lt;&gt;"",ISNUMBER(A8651)),VLOOKUP(A8651,Studies!A:BR,5,FALSE),"")</f>
        <v>Verapamil</v>
      </c>
      <c r="F8651" s="251" t="str">
        <f>IF(AND(A8651&lt;&gt;"",ISNUMBER(A8651)),VLOOKUP(A8651,Studies!A:BR,6,FALSE),"")</f>
        <v>Plasma</v>
      </c>
      <c r="G8651" s="194">
        <v>0.5</v>
      </c>
      <c r="H8651" s="50" t="s">
        <v>60</v>
      </c>
      <c r="I8651" s="187">
        <v>85.150220000000004</v>
      </c>
      <c r="J8651" s="41" t="s">
        <v>941</v>
      </c>
      <c r="K8651" s="41" t="s">
        <v>335</v>
      </c>
      <c r="O8651" s="199"/>
    </row>
    <row r="8652" spans="1:15" x14ac:dyDescent="0.2">
      <c r="A8652" s="30">
        <v>1109</v>
      </c>
      <c r="B8652" s="249" t="str">
        <f>IF(AND(A8652&lt;&gt;"",ISNUMBER(A8652)),VLOOKUP(A8652,Studies!A:BR,2,FALSE),"")</f>
        <v>Backman 1994</v>
      </c>
      <c r="C8652" s="250" t="str">
        <f>IF(AND(A8652&lt;&gt;"",ISNUMBER(A8652)),VLOOKUP(A8652,Studies!A:BR,3,FALSE),"")</f>
        <v>https://www.ncbi.nlm.nih.gov/pubmed/8198928</v>
      </c>
      <c r="D8652" s="250" t="str">
        <f>IF(AND(A8652&lt;&gt;"",ISNUMBER(A8652)),VLOOKUP(A8652,Studies!A:BR,4,FALSE),"")</f>
        <v>Verapamil</v>
      </c>
      <c r="E8652" s="250" t="str">
        <f>IF(AND(A8652&lt;&gt;"",ISNUMBER(A8652)),VLOOKUP(A8652,Studies!A:BR,5,FALSE),"")</f>
        <v>Verapamil</v>
      </c>
      <c r="F8652" s="251" t="str">
        <f>IF(AND(A8652&lt;&gt;"",ISNUMBER(A8652)),VLOOKUP(A8652,Studies!A:BR,6,FALSE),"")</f>
        <v>Plasma</v>
      </c>
      <c r="G8652" s="194">
        <v>1</v>
      </c>
      <c r="H8652" s="50" t="s">
        <v>60</v>
      </c>
      <c r="I8652" s="187">
        <v>74.924509999999998</v>
      </c>
      <c r="J8652" s="41" t="s">
        <v>941</v>
      </c>
      <c r="K8652" s="41" t="s">
        <v>335</v>
      </c>
      <c r="O8652" s="199"/>
    </row>
    <row r="8653" spans="1:15" x14ac:dyDescent="0.2">
      <c r="A8653" s="30">
        <v>1109</v>
      </c>
      <c r="B8653" s="249" t="str">
        <f>IF(AND(A8653&lt;&gt;"",ISNUMBER(A8653)),VLOOKUP(A8653,Studies!A:BR,2,FALSE),"")</f>
        <v>Backman 1994</v>
      </c>
      <c r="C8653" s="250" t="str">
        <f>IF(AND(A8653&lt;&gt;"",ISNUMBER(A8653)),VLOOKUP(A8653,Studies!A:BR,3,FALSE),"")</f>
        <v>https://www.ncbi.nlm.nih.gov/pubmed/8198928</v>
      </c>
      <c r="D8653" s="250" t="str">
        <f>IF(AND(A8653&lt;&gt;"",ISNUMBER(A8653)),VLOOKUP(A8653,Studies!A:BR,4,FALSE),"")</f>
        <v>Verapamil</v>
      </c>
      <c r="E8653" s="250" t="str">
        <f>IF(AND(A8653&lt;&gt;"",ISNUMBER(A8653)),VLOOKUP(A8653,Studies!A:BR,5,FALSE),"")</f>
        <v>Verapamil</v>
      </c>
      <c r="F8653" s="251" t="str">
        <f>IF(AND(A8653&lt;&gt;"",ISNUMBER(A8653)),VLOOKUP(A8653,Studies!A:BR,6,FALSE),"")</f>
        <v>Plasma</v>
      </c>
      <c r="G8653" s="194">
        <v>1.5</v>
      </c>
      <c r="H8653" s="50" t="s">
        <v>60</v>
      </c>
      <c r="I8653" s="187">
        <v>67.374420000000001</v>
      </c>
      <c r="J8653" s="41" t="s">
        <v>941</v>
      </c>
      <c r="K8653" s="41" t="s">
        <v>335</v>
      </c>
      <c r="O8653" s="199"/>
    </row>
    <row r="8654" spans="1:15" x14ac:dyDescent="0.2">
      <c r="A8654" s="30">
        <v>1109</v>
      </c>
      <c r="B8654" s="249" t="str">
        <f>IF(AND(A8654&lt;&gt;"",ISNUMBER(A8654)),VLOOKUP(A8654,Studies!A:BR,2,FALSE),"")</f>
        <v>Backman 1994</v>
      </c>
      <c r="C8654" s="250" t="str">
        <f>IF(AND(A8654&lt;&gt;"",ISNUMBER(A8654)),VLOOKUP(A8654,Studies!A:BR,3,FALSE),"")</f>
        <v>https://www.ncbi.nlm.nih.gov/pubmed/8198928</v>
      </c>
      <c r="D8654" s="250" t="str">
        <f>IF(AND(A8654&lt;&gt;"",ISNUMBER(A8654)),VLOOKUP(A8654,Studies!A:BR,4,FALSE),"")</f>
        <v>Verapamil</v>
      </c>
      <c r="E8654" s="250" t="str">
        <f>IF(AND(A8654&lt;&gt;"",ISNUMBER(A8654)),VLOOKUP(A8654,Studies!A:BR,5,FALSE),"")</f>
        <v>Verapamil</v>
      </c>
      <c r="F8654" s="251" t="str">
        <f>IF(AND(A8654&lt;&gt;"",ISNUMBER(A8654)),VLOOKUP(A8654,Studies!A:BR,6,FALSE),"")</f>
        <v>Plasma</v>
      </c>
      <c r="G8654" s="194">
        <v>2</v>
      </c>
      <c r="H8654" s="50" t="s">
        <v>60</v>
      </c>
      <c r="I8654" s="187">
        <v>60.554650000000002</v>
      </c>
      <c r="J8654" s="41" t="s">
        <v>941</v>
      </c>
      <c r="K8654" s="41" t="s">
        <v>335</v>
      </c>
      <c r="O8654" s="199"/>
    </row>
    <row r="8655" spans="1:15" x14ac:dyDescent="0.2">
      <c r="A8655" s="30">
        <v>1109</v>
      </c>
      <c r="B8655" s="249" t="str">
        <f>IF(AND(A8655&lt;&gt;"",ISNUMBER(A8655)),VLOOKUP(A8655,Studies!A:BR,2,FALSE),"")</f>
        <v>Backman 1994</v>
      </c>
      <c r="C8655" s="250" t="str">
        <f>IF(AND(A8655&lt;&gt;"",ISNUMBER(A8655)),VLOOKUP(A8655,Studies!A:BR,3,FALSE),"")</f>
        <v>https://www.ncbi.nlm.nih.gov/pubmed/8198928</v>
      </c>
      <c r="D8655" s="250" t="str">
        <f>IF(AND(A8655&lt;&gt;"",ISNUMBER(A8655)),VLOOKUP(A8655,Studies!A:BR,4,FALSE),"")</f>
        <v>Verapamil</v>
      </c>
      <c r="E8655" s="250" t="str">
        <f>IF(AND(A8655&lt;&gt;"",ISNUMBER(A8655)),VLOOKUP(A8655,Studies!A:BR,5,FALSE),"")</f>
        <v>Verapamil</v>
      </c>
      <c r="F8655" s="251" t="str">
        <f>IF(AND(A8655&lt;&gt;"",ISNUMBER(A8655)),VLOOKUP(A8655,Studies!A:BR,6,FALSE),"")</f>
        <v>Plasma</v>
      </c>
      <c r="G8655" s="194">
        <v>3</v>
      </c>
      <c r="H8655" s="50" t="s">
        <v>60</v>
      </c>
      <c r="I8655" s="187">
        <v>51.294310000000003</v>
      </c>
      <c r="J8655" s="41" t="s">
        <v>941</v>
      </c>
      <c r="K8655" s="41" t="s">
        <v>335</v>
      </c>
      <c r="O8655" s="199"/>
    </row>
    <row r="8656" spans="1:15" x14ac:dyDescent="0.2">
      <c r="A8656" s="30">
        <v>1109</v>
      </c>
      <c r="B8656" s="249" t="str">
        <f>IF(AND(A8656&lt;&gt;"",ISNUMBER(A8656)),VLOOKUP(A8656,Studies!A:BR,2,FALSE),"")</f>
        <v>Backman 1994</v>
      </c>
      <c r="C8656" s="250" t="str">
        <f>IF(AND(A8656&lt;&gt;"",ISNUMBER(A8656)),VLOOKUP(A8656,Studies!A:BR,3,FALSE),"")</f>
        <v>https://www.ncbi.nlm.nih.gov/pubmed/8198928</v>
      </c>
      <c r="D8656" s="250" t="str">
        <f>IF(AND(A8656&lt;&gt;"",ISNUMBER(A8656)),VLOOKUP(A8656,Studies!A:BR,4,FALSE),"")</f>
        <v>Verapamil</v>
      </c>
      <c r="E8656" s="250" t="str">
        <f>IF(AND(A8656&lt;&gt;"",ISNUMBER(A8656)),VLOOKUP(A8656,Studies!A:BR,5,FALSE),"")</f>
        <v>Verapamil</v>
      </c>
      <c r="F8656" s="251" t="str">
        <f>IF(AND(A8656&lt;&gt;"",ISNUMBER(A8656)),VLOOKUP(A8656,Studies!A:BR,6,FALSE),"")</f>
        <v>Plasma</v>
      </c>
      <c r="G8656" s="194">
        <v>4</v>
      </c>
      <c r="H8656" s="50" t="s">
        <v>60</v>
      </c>
      <c r="I8656" s="187">
        <v>41.791049999999998</v>
      </c>
      <c r="J8656" s="41" t="s">
        <v>941</v>
      </c>
      <c r="K8656" s="41" t="s">
        <v>335</v>
      </c>
      <c r="O8656" s="199"/>
    </row>
    <row r="8657" spans="1:15" x14ac:dyDescent="0.2">
      <c r="A8657" s="30">
        <v>1109</v>
      </c>
      <c r="B8657" s="249" t="str">
        <f>IF(AND(A8657&lt;&gt;"",ISNUMBER(A8657)),VLOOKUP(A8657,Studies!A:BR,2,FALSE),"")</f>
        <v>Backman 1994</v>
      </c>
      <c r="C8657" s="250" t="str">
        <f>IF(AND(A8657&lt;&gt;"",ISNUMBER(A8657)),VLOOKUP(A8657,Studies!A:BR,3,FALSE),"")</f>
        <v>https://www.ncbi.nlm.nih.gov/pubmed/8198928</v>
      </c>
      <c r="D8657" s="250" t="str">
        <f>IF(AND(A8657&lt;&gt;"",ISNUMBER(A8657)),VLOOKUP(A8657,Studies!A:BR,4,FALSE),"")</f>
        <v>Verapamil</v>
      </c>
      <c r="E8657" s="250" t="str">
        <f>IF(AND(A8657&lt;&gt;"",ISNUMBER(A8657)),VLOOKUP(A8657,Studies!A:BR,5,FALSE),"")</f>
        <v>Verapamil</v>
      </c>
      <c r="F8657" s="251" t="str">
        <f>IF(AND(A8657&lt;&gt;"",ISNUMBER(A8657)),VLOOKUP(A8657,Studies!A:BR,6,FALSE),"")</f>
        <v>Plasma</v>
      </c>
      <c r="G8657" s="194">
        <v>5</v>
      </c>
      <c r="H8657" s="50" t="s">
        <v>60</v>
      </c>
      <c r="I8657" s="187">
        <v>35.694119999999998</v>
      </c>
      <c r="J8657" s="41" t="s">
        <v>941</v>
      </c>
      <c r="K8657" s="41" t="s">
        <v>335</v>
      </c>
      <c r="O8657" s="199"/>
    </row>
    <row r="8658" spans="1:15" x14ac:dyDescent="0.2">
      <c r="A8658" s="30">
        <v>1109</v>
      </c>
      <c r="B8658" s="249" t="str">
        <f>IF(AND(A8658&lt;&gt;"",ISNUMBER(A8658)),VLOOKUP(A8658,Studies!A:BR,2,FALSE),"")</f>
        <v>Backman 1994</v>
      </c>
      <c r="C8658" s="250" t="str">
        <f>IF(AND(A8658&lt;&gt;"",ISNUMBER(A8658)),VLOOKUP(A8658,Studies!A:BR,3,FALSE),"")</f>
        <v>https://www.ncbi.nlm.nih.gov/pubmed/8198928</v>
      </c>
      <c r="D8658" s="250" t="str">
        <f>IF(AND(A8658&lt;&gt;"",ISNUMBER(A8658)),VLOOKUP(A8658,Studies!A:BR,4,FALSE),"")</f>
        <v>Verapamil</v>
      </c>
      <c r="E8658" s="250" t="str">
        <f>IF(AND(A8658&lt;&gt;"",ISNUMBER(A8658)),VLOOKUP(A8658,Studies!A:BR,5,FALSE),"")</f>
        <v>Verapamil</v>
      </c>
      <c r="F8658" s="251" t="str">
        <f>IF(AND(A8658&lt;&gt;"",ISNUMBER(A8658)),VLOOKUP(A8658,Studies!A:BR,6,FALSE),"")</f>
        <v>Plasma</v>
      </c>
      <c r="G8658" s="194">
        <v>6</v>
      </c>
      <c r="H8658" s="50" t="s">
        <v>60</v>
      </c>
      <c r="I8658" s="187">
        <v>29.597200000000001</v>
      </c>
      <c r="J8658" s="41" t="s">
        <v>941</v>
      </c>
      <c r="K8658" s="41" t="s">
        <v>335</v>
      </c>
      <c r="O8658" s="199"/>
    </row>
    <row r="8659" spans="1:15" x14ac:dyDescent="0.2">
      <c r="A8659" s="30">
        <v>1109</v>
      </c>
      <c r="B8659" s="249" t="str">
        <f>IF(AND(A8659&lt;&gt;"",ISNUMBER(A8659)),VLOOKUP(A8659,Studies!A:BR,2,FALSE),"")</f>
        <v>Backman 1994</v>
      </c>
      <c r="C8659" s="250" t="str">
        <f>IF(AND(A8659&lt;&gt;"",ISNUMBER(A8659)),VLOOKUP(A8659,Studies!A:BR,3,FALSE),"")</f>
        <v>https://www.ncbi.nlm.nih.gov/pubmed/8198928</v>
      </c>
      <c r="D8659" s="250" t="str">
        <f>IF(AND(A8659&lt;&gt;"",ISNUMBER(A8659)),VLOOKUP(A8659,Studies!A:BR,4,FALSE),"")</f>
        <v>Verapamil</v>
      </c>
      <c r="E8659" s="250" t="str">
        <f>IF(AND(A8659&lt;&gt;"",ISNUMBER(A8659)),VLOOKUP(A8659,Studies!A:BR,5,FALSE),"")</f>
        <v>Verapamil</v>
      </c>
      <c r="F8659" s="251" t="str">
        <f>IF(AND(A8659&lt;&gt;"",ISNUMBER(A8659)),VLOOKUP(A8659,Studies!A:BR,6,FALSE),"")</f>
        <v>Plasma</v>
      </c>
      <c r="G8659" s="194">
        <v>7</v>
      </c>
      <c r="H8659" s="50" t="s">
        <v>60</v>
      </c>
      <c r="I8659" s="187">
        <v>26.419599999999999</v>
      </c>
      <c r="J8659" s="41" t="s">
        <v>941</v>
      </c>
      <c r="K8659" s="41" t="s">
        <v>335</v>
      </c>
      <c r="O8659" s="199"/>
    </row>
    <row r="8660" spans="1:15" x14ac:dyDescent="0.2">
      <c r="A8660" s="30">
        <v>1109</v>
      </c>
      <c r="B8660" s="249" t="str">
        <f>IF(AND(A8660&lt;&gt;"",ISNUMBER(A8660)),VLOOKUP(A8660,Studies!A:BR,2,FALSE),"")</f>
        <v>Backman 1994</v>
      </c>
      <c r="C8660" s="250" t="str">
        <f>IF(AND(A8660&lt;&gt;"",ISNUMBER(A8660)),VLOOKUP(A8660,Studies!A:BR,3,FALSE),"")</f>
        <v>https://www.ncbi.nlm.nih.gov/pubmed/8198928</v>
      </c>
      <c r="D8660" s="250" t="str">
        <f>IF(AND(A8660&lt;&gt;"",ISNUMBER(A8660)),VLOOKUP(A8660,Studies!A:BR,4,FALSE),"")</f>
        <v>Verapamil</v>
      </c>
      <c r="E8660" s="250" t="str">
        <f>IF(AND(A8660&lt;&gt;"",ISNUMBER(A8660)),VLOOKUP(A8660,Studies!A:BR,5,FALSE),"")</f>
        <v>Verapamil</v>
      </c>
      <c r="F8660" s="251" t="str">
        <f>IF(AND(A8660&lt;&gt;"",ISNUMBER(A8660)),VLOOKUP(A8660,Studies!A:BR,6,FALSE),"")</f>
        <v>Plasma</v>
      </c>
      <c r="G8660" s="194">
        <v>17</v>
      </c>
      <c r="H8660" s="50" t="s">
        <v>60</v>
      </c>
      <c r="I8660" s="187">
        <v>28.953099999999999</v>
      </c>
      <c r="J8660" s="41" t="s">
        <v>941</v>
      </c>
      <c r="K8660" s="41" t="s">
        <v>335</v>
      </c>
      <c r="O8660" s="199"/>
    </row>
    <row r="8661" spans="1:15" x14ac:dyDescent="0.2">
      <c r="A8661" s="30">
        <v>2000</v>
      </c>
      <c r="B8661" s="249" t="str">
        <f>IF(AND(A8661&lt;&gt;"",ISNUMBER(A8661)),VLOOKUP(A8661,Studies!A:BR,2,FALSE),"")</f>
        <v>van Dyk 2018</v>
      </c>
      <c r="C8661" s="250" t="str">
        <f>IF(AND(A8661&lt;&gt;"",ISNUMBER(A8661)),VLOOKUP(A8661,Studies!A:BR,3,FALSE),"")</f>
        <v>https://www.ncbi.nlm.nih.gov/pubmed/29572563</v>
      </c>
      <c r="D8661" s="250" t="str">
        <f>IF(AND(A8661&lt;&gt;"",ISNUMBER(A8661)),VLOOKUP(A8661,Studies!A:BR,4,FALSE),"")</f>
        <v xml:space="preserve">Midazolam in Caucasian at baseline </v>
      </c>
      <c r="E8661" s="250" t="str">
        <f>IF(AND(A8661&lt;&gt;"",ISNUMBER(A8661)),VLOOKUP(A8661,Studies!A:BR,5,FALSE),"")</f>
        <v>Midazolam</v>
      </c>
      <c r="F8661" s="251" t="str">
        <f>IF(AND(A8661&lt;&gt;"",ISNUMBER(A8661)),VLOOKUP(A8661,Studies!A:BR,6,FALSE),"")</f>
        <v>Plasma</v>
      </c>
      <c r="G8661" s="194">
        <v>15</v>
      </c>
      <c r="H8661" s="50" t="s">
        <v>953</v>
      </c>
      <c r="I8661" s="187">
        <v>1.097804</v>
      </c>
      <c r="J8661" s="41" t="s">
        <v>968</v>
      </c>
      <c r="K8661" s="41" t="s">
        <v>335</v>
      </c>
      <c r="L8661" s="195">
        <v>0.19960030000000001</v>
      </c>
      <c r="M8661" s="52" t="s">
        <v>968</v>
      </c>
      <c r="N8661" s="52" t="s">
        <v>117</v>
      </c>
      <c r="O8661" s="199">
        <v>0.2</v>
      </c>
    </row>
    <row r="8662" spans="1:15" x14ac:dyDescent="0.2">
      <c r="A8662" s="30">
        <v>2000</v>
      </c>
      <c r="B8662" s="249" t="str">
        <f>IF(AND(A8662&lt;&gt;"",ISNUMBER(A8662)),VLOOKUP(A8662,Studies!A:BR,2,FALSE),"")</f>
        <v>van Dyk 2018</v>
      </c>
      <c r="C8662" s="250" t="str">
        <f>IF(AND(A8662&lt;&gt;"",ISNUMBER(A8662)),VLOOKUP(A8662,Studies!A:BR,3,FALSE),"")</f>
        <v>https://www.ncbi.nlm.nih.gov/pubmed/29572563</v>
      </c>
      <c r="D8662" s="250" t="str">
        <f>IF(AND(A8662&lt;&gt;"",ISNUMBER(A8662)),VLOOKUP(A8662,Studies!A:BR,4,FALSE),"")</f>
        <v xml:space="preserve">Midazolam in Caucasian at baseline </v>
      </c>
      <c r="E8662" s="250" t="str">
        <f>IF(AND(A8662&lt;&gt;"",ISNUMBER(A8662)),VLOOKUP(A8662,Studies!A:BR,5,FALSE),"")</f>
        <v>Midazolam</v>
      </c>
      <c r="F8662" s="251" t="str">
        <f>IF(AND(A8662&lt;&gt;"",ISNUMBER(A8662)),VLOOKUP(A8662,Studies!A:BR,6,FALSE),"")</f>
        <v>Plasma</v>
      </c>
      <c r="G8662" s="194">
        <v>30</v>
      </c>
      <c r="H8662" s="50" t="s">
        <v>953</v>
      </c>
      <c r="I8662" s="187">
        <v>5.0299399999999999</v>
      </c>
      <c r="J8662" s="41" t="s">
        <v>968</v>
      </c>
      <c r="K8662" s="41" t="s">
        <v>335</v>
      </c>
      <c r="L8662" s="195">
        <v>0.499002</v>
      </c>
      <c r="M8662" s="52" t="s">
        <v>968</v>
      </c>
      <c r="N8662" s="52" t="s">
        <v>117</v>
      </c>
      <c r="O8662" s="199">
        <v>0.2</v>
      </c>
    </row>
    <row r="8663" spans="1:15" x14ac:dyDescent="0.2">
      <c r="A8663" s="30">
        <v>2000</v>
      </c>
      <c r="B8663" s="249" t="str">
        <f>IF(AND(A8663&lt;&gt;"",ISNUMBER(A8663)),VLOOKUP(A8663,Studies!A:BR,2,FALSE),"")</f>
        <v>van Dyk 2018</v>
      </c>
      <c r="C8663" s="250" t="str">
        <f>IF(AND(A8663&lt;&gt;"",ISNUMBER(A8663)),VLOOKUP(A8663,Studies!A:BR,3,FALSE),"")</f>
        <v>https://www.ncbi.nlm.nih.gov/pubmed/29572563</v>
      </c>
      <c r="D8663" s="250" t="str">
        <f>IF(AND(A8663&lt;&gt;"",ISNUMBER(A8663)),VLOOKUP(A8663,Studies!A:BR,4,FALSE),"")</f>
        <v xml:space="preserve">Midazolam in Caucasian at baseline </v>
      </c>
      <c r="E8663" s="250" t="str">
        <f>IF(AND(A8663&lt;&gt;"",ISNUMBER(A8663)),VLOOKUP(A8663,Studies!A:BR,5,FALSE),"")</f>
        <v>Midazolam</v>
      </c>
      <c r="F8663" s="251" t="str">
        <f>IF(AND(A8663&lt;&gt;"",ISNUMBER(A8663)),VLOOKUP(A8663,Studies!A:BR,6,FALSE),"")</f>
        <v>Plasma</v>
      </c>
      <c r="G8663" s="194">
        <v>45</v>
      </c>
      <c r="H8663" s="50" t="s">
        <v>953</v>
      </c>
      <c r="I8663" s="187">
        <v>7.1856289999999996</v>
      </c>
      <c r="J8663" s="41" t="s">
        <v>968</v>
      </c>
      <c r="K8663" s="41" t="s">
        <v>335</v>
      </c>
      <c r="L8663" s="195">
        <v>0.83832359999999995</v>
      </c>
      <c r="M8663" s="52" t="s">
        <v>968</v>
      </c>
      <c r="N8663" s="52" t="s">
        <v>117</v>
      </c>
      <c r="O8663" s="199">
        <v>0.2</v>
      </c>
    </row>
    <row r="8664" spans="1:15" x14ac:dyDescent="0.2">
      <c r="A8664" s="30">
        <v>2000</v>
      </c>
      <c r="B8664" s="249" t="str">
        <f>IF(AND(A8664&lt;&gt;"",ISNUMBER(A8664)),VLOOKUP(A8664,Studies!A:BR,2,FALSE),"")</f>
        <v>van Dyk 2018</v>
      </c>
      <c r="C8664" s="250" t="str">
        <f>IF(AND(A8664&lt;&gt;"",ISNUMBER(A8664)),VLOOKUP(A8664,Studies!A:BR,3,FALSE),"")</f>
        <v>https://www.ncbi.nlm.nih.gov/pubmed/29572563</v>
      </c>
      <c r="D8664" s="250" t="str">
        <f>IF(AND(A8664&lt;&gt;"",ISNUMBER(A8664)),VLOOKUP(A8664,Studies!A:BR,4,FALSE),"")</f>
        <v xml:space="preserve">Midazolam in Caucasian at baseline </v>
      </c>
      <c r="E8664" s="250" t="str">
        <f>IF(AND(A8664&lt;&gt;"",ISNUMBER(A8664)),VLOOKUP(A8664,Studies!A:BR,5,FALSE),"")</f>
        <v>Midazolam</v>
      </c>
      <c r="F8664" s="251" t="str">
        <f>IF(AND(A8664&lt;&gt;"",ISNUMBER(A8664)),VLOOKUP(A8664,Studies!A:BR,6,FALSE),"")</f>
        <v>Plasma</v>
      </c>
      <c r="G8664" s="194">
        <v>60</v>
      </c>
      <c r="H8664" s="50" t="s">
        <v>953</v>
      </c>
      <c r="I8664" s="187">
        <v>6.886228</v>
      </c>
      <c r="J8664" s="41" t="s">
        <v>968</v>
      </c>
      <c r="K8664" s="41" t="s">
        <v>335</v>
      </c>
      <c r="L8664" s="195">
        <v>0.83832260000000003</v>
      </c>
      <c r="M8664" s="52" t="s">
        <v>968</v>
      </c>
      <c r="N8664" s="52" t="s">
        <v>117</v>
      </c>
      <c r="O8664" s="199">
        <v>0.2</v>
      </c>
    </row>
    <row r="8665" spans="1:15" x14ac:dyDescent="0.2">
      <c r="A8665" s="30">
        <v>2000</v>
      </c>
      <c r="B8665" s="249" t="str">
        <f>IF(AND(A8665&lt;&gt;"",ISNUMBER(A8665)),VLOOKUP(A8665,Studies!A:BR,2,FALSE),"")</f>
        <v>van Dyk 2018</v>
      </c>
      <c r="C8665" s="250" t="str">
        <f>IF(AND(A8665&lt;&gt;"",ISNUMBER(A8665)),VLOOKUP(A8665,Studies!A:BR,3,FALSE),"")</f>
        <v>https://www.ncbi.nlm.nih.gov/pubmed/29572563</v>
      </c>
      <c r="D8665" s="250" t="str">
        <f>IF(AND(A8665&lt;&gt;"",ISNUMBER(A8665)),VLOOKUP(A8665,Studies!A:BR,4,FALSE),"")</f>
        <v xml:space="preserve">Midazolam in Caucasian at baseline </v>
      </c>
      <c r="E8665" s="250" t="str">
        <f>IF(AND(A8665&lt;&gt;"",ISNUMBER(A8665)),VLOOKUP(A8665,Studies!A:BR,5,FALSE),"")</f>
        <v>Midazolam</v>
      </c>
      <c r="F8665" s="251" t="str">
        <f>IF(AND(A8665&lt;&gt;"",ISNUMBER(A8665)),VLOOKUP(A8665,Studies!A:BR,6,FALSE),"")</f>
        <v>Plasma</v>
      </c>
      <c r="G8665" s="194">
        <v>120</v>
      </c>
      <c r="H8665" s="50" t="s">
        <v>953</v>
      </c>
      <c r="I8665" s="187">
        <v>3.4331339999999999</v>
      </c>
      <c r="J8665" s="41" t="s">
        <v>968</v>
      </c>
      <c r="K8665" s="41" t="s">
        <v>335</v>
      </c>
      <c r="L8665" s="195">
        <v>0.39920119999999998</v>
      </c>
      <c r="M8665" s="52" t="s">
        <v>968</v>
      </c>
      <c r="N8665" s="52" t="s">
        <v>117</v>
      </c>
      <c r="O8665" s="199">
        <v>0.2</v>
      </c>
    </row>
    <row r="8666" spans="1:15" x14ac:dyDescent="0.2">
      <c r="A8666" s="30">
        <v>2000</v>
      </c>
      <c r="B8666" s="249" t="str">
        <f>IF(AND(A8666&lt;&gt;"",ISNUMBER(A8666)),VLOOKUP(A8666,Studies!A:BR,2,FALSE),"")</f>
        <v>van Dyk 2018</v>
      </c>
      <c r="C8666" s="250" t="str">
        <f>IF(AND(A8666&lt;&gt;"",ISNUMBER(A8666)),VLOOKUP(A8666,Studies!A:BR,3,FALSE),"")</f>
        <v>https://www.ncbi.nlm.nih.gov/pubmed/29572563</v>
      </c>
      <c r="D8666" s="250" t="str">
        <f>IF(AND(A8666&lt;&gt;"",ISNUMBER(A8666)),VLOOKUP(A8666,Studies!A:BR,4,FALSE),"")</f>
        <v xml:space="preserve">Midazolam in Caucasian at baseline </v>
      </c>
      <c r="E8666" s="250" t="str">
        <f>IF(AND(A8666&lt;&gt;"",ISNUMBER(A8666)),VLOOKUP(A8666,Studies!A:BR,5,FALSE),"")</f>
        <v>Midazolam</v>
      </c>
      <c r="F8666" s="251" t="str">
        <f>IF(AND(A8666&lt;&gt;"",ISNUMBER(A8666)),VLOOKUP(A8666,Studies!A:BR,6,FALSE),"")</f>
        <v>Plasma</v>
      </c>
      <c r="G8666" s="194">
        <v>180</v>
      </c>
      <c r="H8666" s="50" t="s">
        <v>953</v>
      </c>
      <c r="I8666" s="187">
        <v>2.3353290000000002</v>
      </c>
      <c r="J8666" s="41" t="s">
        <v>968</v>
      </c>
      <c r="K8666" s="41" t="s">
        <v>335</v>
      </c>
      <c r="L8666" s="195">
        <v>0.35928179999999998</v>
      </c>
      <c r="M8666" s="52" t="s">
        <v>968</v>
      </c>
      <c r="N8666" s="52" t="s">
        <v>117</v>
      </c>
      <c r="O8666" s="199">
        <v>0.2</v>
      </c>
    </row>
    <row r="8667" spans="1:15" x14ac:dyDescent="0.2">
      <c r="A8667" s="30">
        <v>2000</v>
      </c>
      <c r="B8667" s="249" t="str">
        <f>IF(AND(A8667&lt;&gt;"",ISNUMBER(A8667)),VLOOKUP(A8667,Studies!A:BR,2,FALSE),"")</f>
        <v>van Dyk 2018</v>
      </c>
      <c r="C8667" s="250" t="str">
        <f>IF(AND(A8667&lt;&gt;"",ISNUMBER(A8667)),VLOOKUP(A8667,Studies!A:BR,3,FALSE),"")</f>
        <v>https://www.ncbi.nlm.nih.gov/pubmed/29572563</v>
      </c>
      <c r="D8667" s="250" t="str">
        <f>IF(AND(A8667&lt;&gt;"",ISNUMBER(A8667)),VLOOKUP(A8667,Studies!A:BR,4,FALSE),"")</f>
        <v xml:space="preserve">Midazolam in Caucasian at baseline </v>
      </c>
      <c r="E8667" s="250" t="str">
        <f>IF(AND(A8667&lt;&gt;"",ISNUMBER(A8667)),VLOOKUP(A8667,Studies!A:BR,5,FALSE),"")</f>
        <v>Midazolam</v>
      </c>
      <c r="F8667" s="251" t="str">
        <f>IF(AND(A8667&lt;&gt;"",ISNUMBER(A8667)),VLOOKUP(A8667,Studies!A:BR,6,FALSE),"")</f>
        <v>Plasma</v>
      </c>
      <c r="G8667" s="194">
        <v>240</v>
      </c>
      <c r="H8667" s="50" t="s">
        <v>953</v>
      </c>
      <c r="I8667" s="187">
        <v>1.7964070000000001</v>
      </c>
      <c r="J8667" s="41" t="s">
        <v>968</v>
      </c>
      <c r="K8667" s="41" t="s">
        <v>335</v>
      </c>
      <c r="L8667" s="195">
        <v>0.1996011</v>
      </c>
      <c r="M8667" s="52" t="s">
        <v>968</v>
      </c>
      <c r="N8667" s="52" t="s">
        <v>117</v>
      </c>
      <c r="O8667" s="199">
        <v>0.2</v>
      </c>
    </row>
    <row r="8668" spans="1:15" x14ac:dyDescent="0.2">
      <c r="A8668" s="30">
        <v>2000</v>
      </c>
      <c r="B8668" s="249" t="str">
        <f>IF(AND(A8668&lt;&gt;"",ISNUMBER(A8668)),VLOOKUP(A8668,Studies!A:BR,2,FALSE),"")</f>
        <v>van Dyk 2018</v>
      </c>
      <c r="C8668" s="250" t="str">
        <f>IF(AND(A8668&lt;&gt;"",ISNUMBER(A8668)),VLOOKUP(A8668,Studies!A:BR,3,FALSE),"")</f>
        <v>https://www.ncbi.nlm.nih.gov/pubmed/29572563</v>
      </c>
      <c r="D8668" s="250" t="str">
        <f>IF(AND(A8668&lt;&gt;"",ISNUMBER(A8668)),VLOOKUP(A8668,Studies!A:BR,4,FALSE),"")</f>
        <v xml:space="preserve">Midazolam in Caucasian at baseline </v>
      </c>
      <c r="E8668" s="250" t="str">
        <f>IF(AND(A8668&lt;&gt;"",ISNUMBER(A8668)),VLOOKUP(A8668,Studies!A:BR,5,FALSE),"")</f>
        <v>Midazolam</v>
      </c>
      <c r="F8668" s="251" t="str">
        <f>IF(AND(A8668&lt;&gt;"",ISNUMBER(A8668)),VLOOKUP(A8668,Studies!A:BR,6,FALSE),"")</f>
        <v>Plasma</v>
      </c>
      <c r="G8668" s="194">
        <v>360</v>
      </c>
      <c r="H8668" s="50" t="s">
        <v>953</v>
      </c>
      <c r="I8668" s="187">
        <v>1.3972059999999999</v>
      </c>
      <c r="J8668" s="41" t="s">
        <v>968</v>
      </c>
      <c r="K8668" s="41" t="s">
        <v>335</v>
      </c>
      <c r="L8668" s="195">
        <v>0.27944079999999999</v>
      </c>
      <c r="M8668" s="52" t="s">
        <v>968</v>
      </c>
      <c r="N8668" s="52" t="s">
        <v>117</v>
      </c>
      <c r="O8668" s="199">
        <v>0.2</v>
      </c>
    </row>
    <row r="8669" spans="1:15" x14ac:dyDescent="0.2">
      <c r="A8669" s="30">
        <v>2001</v>
      </c>
      <c r="B8669" s="249" t="str">
        <f>IF(AND(A8669&lt;&gt;"",ISNUMBER(A8669)),VLOOKUP(A8669,Studies!A:BR,2,FALSE),"")</f>
        <v>van Dyk 2018</v>
      </c>
      <c r="C8669" s="250" t="str">
        <f>IF(AND(A8669&lt;&gt;"",ISNUMBER(A8669)),VLOOKUP(A8669,Studies!A:BR,3,FALSE),"")</f>
        <v>https://www.ncbi.nlm.nih.gov/pubmed/29572563</v>
      </c>
      <c r="D8669" s="250" t="str">
        <f>IF(AND(A8669&lt;&gt;"",ISNUMBER(A8669)),VLOOKUP(A8669,Studies!A:BR,4,FALSE),"")</f>
        <v>Midazolam in South Asian at baseline</v>
      </c>
      <c r="E8669" s="250" t="str">
        <f>IF(AND(A8669&lt;&gt;"",ISNUMBER(A8669)),VLOOKUP(A8669,Studies!A:BR,5,FALSE),"")</f>
        <v>Midazolam</v>
      </c>
      <c r="F8669" s="251" t="str">
        <f>IF(AND(A8669&lt;&gt;"",ISNUMBER(A8669)),VLOOKUP(A8669,Studies!A:BR,6,FALSE),"")</f>
        <v>Plasma</v>
      </c>
      <c r="G8669" s="194">
        <v>15</v>
      </c>
      <c r="H8669" s="50" t="s">
        <v>953</v>
      </c>
      <c r="I8669" s="187">
        <v>1.257485</v>
      </c>
      <c r="J8669" s="41" t="s">
        <v>968</v>
      </c>
      <c r="K8669" s="41" t="s">
        <v>335</v>
      </c>
      <c r="L8669" s="195">
        <v>0.1397206</v>
      </c>
      <c r="M8669" s="52" t="s">
        <v>968</v>
      </c>
      <c r="N8669" s="52" t="s">
        <v>117</v>
      </c>
      <c r="O8669" s="199">
        <v>0.2</v>
      </c>
    </row>
    <row r="8670" spans="1:15" x14ac:dyDescent="0.2">
      <c r="A8670" s="30">
        <v>2001</v>
      </c>
      <c r="B8670" s="249" t="str">
        <f>IF(AND(A8670&lt;&gt;"",ISNUMBER(A8670)),VLOOKUP(A8670,Studies!A:BR,2,FALSE),"")</f>
        <v>van Dyk 2018</v>
      </c>
      <c r="C8670" s="250" t="str">
        <f>IF(AND(A8670&lt;&gt;"",ISNUMBER(A8670)),VLOOKUP(A8670,Studies!A:BR,3,FALSE),"")</f>
        <v>https://www.ncbi.nlm.nih.gov/pubmed/29572563</v>
      </c>
      <c r="D8670" s="250" t="str">
        <f>IF(AND(A8670&lt;&gt;"",ISNUMBER(A8670)),VLOOKUP(A8670,Studies!A:BR,4,FALSE),"")</f>
        <v>Midazolam in South Asian at baseline</v>
      </c>
      <c r="E8670" s="250" t="str">
        <f>IF(AND(A8670&lt;&gt;"",ISNUMBER(A8670)),VLOOKUP(A8670,Studies!A:BR,5,FALSE),"")</f>
        <v>Midazolam</v>
      </c>
      <c r="F8670" s="251" t="str">
        <f>IF(AND(A8670&lt;&gt;"",ISNUMBER(A8670)),VLOOKUP(A8670,Studies!A:BR,6,FALSE),"")</f>
        <v>Plasma</v>
      </c>
      <c r="G8670" s="194">
        <v>30</v>
      </c>
      <c r="H8670" s="50" t="s">
        <v>953</v>
      </c>
      <c r="I8670" s="187">
        <v>3.3333330000000001</v>
      </c>
      <c r="J8670" s="41" t="s">
        <v>968</v>
      </c>
      <c r="K8670" s="41" t="s">
        <v>335</v>
      </c>
      <c r="L8670" s="195">
        <v>0.37924190000000002</v>
      </c>
      <c r="M8670" s="52" t="s">
        <v>968</v>
      </c>
      <c r="N8670" s="52" t="s">
        <v>117</v>
      </c>
      <c r="O8670" s="199">
        <v>0.2</v>
      </c>
    </row>
    <row r="8671" spans="1:15" x14ac:dyDescent="0.2">
      <c r="A8671" s="30">
        <v>2001</v>
      </c>
      <c r="B8671" s="249" t="str">
        <f>IF(AND(A8671&lt;&gt;"",ISNUMBER(A8671)),VLOOKUP(A8671,Studies!A:BR,2,FALSE),"")</f>
        <v>van Dyk 2018</v>
      </c>
      <c r="C8671" s="250" t="str">
        <f>IF(AND(A8671&lt;&gt;"",ISNUMBER(A8671)),VLOOKUP(A8671,Studies!A:BR,3,FALSE),"")</f>
        <v>https://www.ncbi.nlm.nih.gov/pubmed/29572563</v>
      </c>
      <c r="D8671" s="250" t="str">
        <f>IF(AND(A8671&lt;&gt;"",ISNUMBER(A8671)),VLOOKUP(A8671,Studies!A:BR,4,FALSE),"")</f>
        <v>Midazolam in South Asian at baseline</v>
      </c>
      <c r="E8671" s="250" t="str">
        <f>IF(AND(A8671&lt;&gt;"",ISNUMBER(A8671)),VLOOKUP(A8671,Studies!A:BR,5,FALSE),"")</f>
        <v>Midazolam</v>
      </c>
      <c r="F8671" s="251" t="str">
        <f>IF(AND(A8671&lt;&gt;"",ISNUMBER(A8671)),VLOOKUP(A8671,Studies!A:BR,6,FALSE),"")</f>
        <v>Plasma</v>
      </c>
      <c r="G8671" s="194">
        <v>45</v>
      </c>
      <c r="H8671" s="50" t="s">
        <v>953</v>
      </c>
      <c r="I8671" s="187">
        <v>5.548902</v>
      </c>
      <c r="J8671" s="41" t="s">
        <v>968</v>
      </c>
      <c r="K8671" s="41" t="s">
        <v>335</v>
      </c>
      <c r="L8671" s="195">
        <v>0.65868280000000001</v>
      </c>
      <c r="M8671" s="52" t="s">
        <v>968</v>
      </c>
      <c r="N8671" s="52" t="s">
        <v>117</v>
      </c>
      <c r="O8671" s="199">
        <v>0.2</v>
      </c>
    </row>
    <row r="8672" spans="1:15" x14ac:dyDescent="0.2">
      <c r="A8672" s="30">
        <v>2001</v>
      </c>
      <c r="B8672" s="249" t="str">
        <f>IF(AND(A8672&lt;&gt;"",ISNUMBER(A8672)),VLOOKUP(A8672,Studies!A:BR,2,FALSE),"")</f>
        <v>van Dyk 2018</v>
      </c>
      <c r="C8672" s="250" t="str">
        <f>IF(AND(A8672&lt;&gt;"",ISNUMBER(A8672)),VLOOKUP(A8672,Studies!A:BR,3,FALSE),"")</f>
        <v>https://www.ncbi.nlm.nih.gov/pubmed/29572563</v>
      </c>
      <c r="D8672" s="250" t="str">
        <f>IF(AND(A8672&lt;&gt;"",ISNUMBER(A8672)),VLOOKUP(A8672,Studies!A:BR,4,FALSE),"")</f>
        <v>Midazolam in South Asian at baseline</v>
      </c>
      <c r="E8672" s="250" t="str">
        <f>IF(AND(A8672&lt;&gt;"",ISNUMBER(A8672)),VLOOKUP(A8672,Studies!A:BR,5,FALSE),"")</f>
        <v>Midazolam</v>
      </c>
      <c r="F8672" s="251" t="str">
        <f>IF(AND(A8672&lt;&gt;"",ISNUMBER(A8672)),VLOOKUP(A8672,Studies!A:BR,6,FALSE),"")</f>
        <v>Plasma</v>
      </c>
      <c r="G8672" s="194">
        <v>60</v>
      </c>
      <c r="H8672" s="50" t="s">
        <v>953</v>
      </c>
      <c r="I8672" s="187">
        <v>5.4291419999999997</v>
      </c>
      <c r="J8672" s="41" t="s">
        <v>968</v>
      </c>
      <c r="K8672" s="41" t="s">
        <v>335</v>
      </c>
      <c r="L8672" s="195">
        <v>0.61876299999999995</v>
      </c>
      <c r="M8672" s="52" t="s">
        <v>968</v>
      </c>
      <c r="N8672" s="52" t="s">
        <v>117</v>
      </c>
      <c r="O8672" s="199">
        <v>0.2</v>
      </c>
    </row>
    <row r="8673" spans="1:16" x14ac:dyDescent="0.2">
      <c r="A8673" s="30">
        <v>2001</v>
      </c>
      <c r="B8673" s="249" t="str">
        <f>IF(AND(A8673&lt;&gt;"",ISNUMBER(A8673)),VLOOKUP(A8673,Studies!A:BR,2,FALSE),"")</f>
        <v>van Dyk 2018</v>
      </c>
      <c r="C8673" s="250" t="str">
        <f>IF(AND(A8673&lt;&gt;"",ISNUMBER(A8673)),VLOOKUP(A8673,Studies!A:BR,3,FALSE),"")</f>
        <v>https://www.ncbi.nlm.nih.gov/pubmed/29572563</v>
      </c>
      <c r="D8673" s="250" t="str">
        <f>IF(AND(A8673&lt;&gt;"",ISNUMBER(A8673)),VLOOKUP(A8673,Studies!A:BR,4,FALSE),"")</f>
        <v>Midazolam in South Asian at baseline</v>
      </c>
      <c r="E8673" s="250" t="str">
        <f>IF(AND(A8673&lt;&gt;"",ISNUMBER(A8673)),VLOOKUP(A8673,Studies!A:BR,5,FALSE),"")</f>
        <v>Midazolam</v>
      </c>
      <c r="F8673" s="251" t="str">
        <f>IF(AND(A8673&lt;&gt;"",ISNUMBER(A8673)),VLOOKUP(A8673,Studies!A:BR,6,FALSE),"")</f>
        <v>Plasma</v>
      </c>
      <c r="G8673" s="194">
        <v>120</v>
      </c>
      <c r="H8673" s="50" t="s">
        <v>953</v>
      </c>
      <c r="I8673" s="187">
        <v>2.5149699999999999</v>
      </c>
      <c r="J8673" s="41" t="s">
        <v>968</v>
      </c>
      <c r="K8673" s="41" t="s">
        <v>335</v>
      </c>
      <c r="L8673" s="195">
        <v>0.29940129999999998</v>
      </c>
      <c r="M8673" s="52" t="s">
        <v>968</v>
      </c>
      <c r="N8673" s="52" t="s">
        <v>117</v>
      </c>
      <c r="O8673" s="199">
        <v>0.2</v>
      </c>
    </row>
    <row r="8674" spans="1:16" x14ac:dyDescent="0.2">
      <c r="A8674" s="30">
        <v>2001</v>
      </c>
      <c r="B8674" s="249" t="str">
        <f>IF(AND(A8674&lt;&gt;"",ISNUMBER(A8674)),VLOOKUP(A8674,Studies!A:BR,2,FALSE),"")</f>
        <v>van Dyk 2018</v>
      </c>
      <c r="C8674" s="250" t="str">
        <f>IF(AND(A8674&lt;&gt;"",ISNUMBER(A8674)),VLOOKUP(A8674,Studies!A:BR,3,FALSE),"")</f>
        <v>https://www.ncbi.nlm.nih.gov/pubmed/29572563</v>
      </c>
      <c r="D8674" s="250" t="str">
        <f>IF(AND(A8674&lt;&gt;"",ISNUMBER(A8674)),VLOOKUP(A8674,Studies!A:BR,4,FALSE),"")</f>
        <v>Midazolam in South Asian at baseline</v>
      </c>
      <c r="E8674" s="250" t="str">
        <f>IF(AND(A8674&lt;&gt;"",ISNUMBER(A8674)),VLOOKUP(A8674,Studies!A:BR,5,FALSE),"")</f>
        <v>Midazolam</v>
      </c>
      <c r="F8674" s="251" t="str">
        <f>IF(AND(A8674&lt;&gt;"",ISNUMBER(A8674)),VLOOKUP(A8674,Studies!A:BR,6,FALSE),"")</f>
        <v>Plasma</v>
      </c>
      <c r="G8674" s="194">
        <v>180</v>
      </c>
      <c r="H8674" s="50" t="s">
        <v>953</v>
      </c>
      <c r="I8674" s="187">
        <v>1.6167659999999999</v>
      </c>
      <c r="J8674" s="41" t="s">
        <v>968</v>
      </c>
      <c r="K8674" s="41" t="s">
        <v>335</v>
      </c>
      <c r="L8674" s="195">
        <v>0.27944160000000001</v>
      </c>
      <c r="M8674" s="52" t="s">
        <v>968</v>
      </c>
      <c r="N8674" s="52" t="s">
        <v>117</v>
      </c>
      <c r="O8674" s="199">
        <v>0.2</v>
      </c>
    </row>
    <row r="8675" spans="1:16" x14ac:dyDescent="0.2">
      <c r="A8675" s="30">
        <v>2001</v>
      </c>
      <c r="B8675" s="249" t="str">
        <f>IF(AND(A8675&lt;&gt;"",ISNUMBER(A8675)),VLOOKUP(A8675,Studies!A:BR,2,FALSE),"")</f>
        <v>van Dyk 2018</v>
      </c>
      <c r="C8675" s="250" t="str">
        <f>IF(AND(A8675&lt;&gt;"",ISNUMBER(A8675)),VLOOKUP(A8675,Studies!A:BR,3,FALSE),"")</f>
        <v>https://www.ncbi.nlm.nih.gov/pubmed/29572563</v>
      </c>
      <c r="D8675" s="250" t="str">
        <f>IF(AND(A8675&lt;&gt;"",ISNUMBER(A8675)),VLOOKUP(A8675,Studies!A:BR,4,FALSE),"")</f>
        <v>Midazolam in South Asian at baseline</v>
      </c>
      <c r="E8675" s="250" t="str">
        <f>IF(AND(A8675&lt;&gt;"",ISNUMBER(A8675)),VLOOKUP(A8675,Studies!A:BR,5,FALSE),"")</f>
        <v>Midazolam</v>
      </c>
      <c r="F8675" s="251" t="str">
        <f>IF(AND(A8675&lt;&gt;"",ISNUMBER(A8675)),VLOOKUP(A8675,Studies!A:BR,6,FALSE),"")</f>
        <v>Plasma</v>
      </c>
      <c r="G8675" s="194">
        <v>240</v>
      </c>
      <c r="H8675" s="50" t="s">
        <v>953</v>
      </c>
      <c r="I8675" s="187">
        <v>1.1776450000000001</v>
      </c>
      <c r="J8675" s="41" t="s">
        <v>968</v>
      </c>
      <c r="K8675" s="41" t="s">
        <v>335</v>
      </c>
      <c r="L8675" s="195">
        <v>0.35928120000000002</v>
      </c>
      <c r="M8675" s="52" t="s">
        <v>968</v>
      </c>
      <c r="N8675" s="52" t="s">
        <v>117</v>
      </c>
      <c r="O8675" s="199">
        <v>0.2</v>
      </c>
    </row>
    <row r="8676" spans="1:16" x14ac:dyDescent="0.2">
      <c r="A8676" s="30">
        <v>2001</v>
      </c>
      <c r="B8676" s="249" t="str">
        <f>IF(AND(A8676&lt;&gt;"",ISNUMBER(A8676)),VLOOKUP(A8676,Studies!A:BR,2,FALSE),"")</f>
        <v>van Dyk 2018</v>
      </c>
      <c r="C8676" s="250" t="str">
        <f>IF(AND(A8676&lt;&gt;"",ISNUMBER(A8676)),VLOOKUP(A8676,Studies!A:BR,3,FALSE),"")</f>
        <v>https://www.ncbi.nlm.nih.gov/pubmed/29572563</v>
      </c>
      <c r="D8676" s="250" t="str">
        <f>IF(AND(A8676&lt;&gt;"",ISNUMBER(A8676)),VLOOKUP(A8676,Studies!A:BR,4,FALSE),"")</f>
        <v>Midazolam in South Asian at baseline</v>
      </c>
      <c r="E8676" s="250" t="str">
        <f>IF(AND(A8676&lt;&gt;"",ISNUMBER(A8676)),VLOOKUP(A8676,Studies!A:BR,5,FALSE),"")</f>
        <v>Midazolam</v>
      </c>
      <c r="F8676" s="251" t="str">
        <f>IF(AND(A8676&lt;&gt;"",ISNUMBER(A8676)),VLOOKUP(A8676,Studies!A:BR,6,FALSE),"")</f>
        <v>Plasma</v>
      </c>
      <c r="G8676" s="194">
        <v>360</v>
      </c>
      <c r="H8676" s="50" t="s">
        <v>953</v>
      </c>
      <c r="I8676" s="187">
        <v>0.81836319999999996</v>
      </c>
      <c r="J8676" s="41" t="s">
        <v>968</v>
      </c>
      <c r="K8676" s="41" t="s">
        <v>335</v>
      </c>
      <c r="L8676" s="195">
        <v>0.25948100000000002</v>
      </c>
      <c r="M8676" s="52" t="s">
        <v>968</v>
      </c>
      <c r="N8676" s="52" t="s">
        <v>117</v>
      </c>
      <c r="O8676" s="199">
        <v>0.2</v>
      </c>
    </row>
    <row r="8677" spans="1:16" x14ac:dyDescent="0.2">
      <c r="A8677" s="30">
        <v>2008</v>
      </c>
      <c r="B8677" s="249" t="str">
        <f>IF(AND(A8677&lt;&gt;"",ISNUMBER(A8677)),VLOOKUP(A8677,Studies!A:BR,2,FALSE),"")</f>
        <v>Gashaw 2003</v>
      </c>
      <c r="C8677" s="250" t="str">
        <f>IF(AND(A8677&lt;&gt;"",ISNUMBER(A8677)),VLOOKUP(A8677,Studies!A:BR,3,FALSE),"")</f>
        <v>https://www.ncbi.nlm.nih.gov/pubmed/?term=14586385</v>
      </c>
      <c r="D8677" s="250" t="str">
        <f>IF(AND(A8677&lt;&gt;"",ISNUMBER(A8677)),VLOOKUP(A8677,Studies!A:BR,4,FALSE),"")</f>
        <v>Alprazolam 10h concentration before Rifampin treatment (control conditions, day 2)</v>
      </c>
      <c r="E8677" s="250" t="str">
        <f>IF(AND(A8677&lt;&gt;"",ISNUMBER(A8677)),VLOOKUP(A8677,Studies!A:BR,5,FALSE),"")</f>
        <v>Alprazolam</v>
      </c>
      <c r="F8677" s="251" t="str">
        <f>IF(AND(A8677&lt;&gt;"",ISNUMBER(A8677)),VLOOKUP(A8677,Studies!A:BR,6,FALSE),"")</f>
        <v>Plasma</v>
      </c>
      <c r="G8677" s="194">
        <v>10</v>
      </c>
      <c r="H8677" s="50" t="s">
        <v>60</v>
      </c>
      <c r="I8677" s="187">
        <v>8.4</v>
      </c>
      <c r="J8677" s="41" t="s">
        <v>968</v>
      </c>
      <c r="K8677" s="41" t="s">
        <v>335</v>
      </c>
      <c r="L8677" s="195">
        <v>1.9</v>
      </c>
      <c r="M8677" s="52" t="s">
        <v>968</v>
      </c>
      <c r="N8677" s="52" t="s">
        <v>117</v>
      </c>
      <c r="O8677" s="199"/>
    </row>
    <row r="8678" spans="1:16" x14ac:dyDescent="0.2">
      <c r="A8678" s="30">
        <v>2009</v>
      </c>
      <c r="B8678" s="249" t="str">
        <f>IF(AND(A8678&lt;&gt;"",ISNUMBER(A8678)),VLOOKUP(A8678,Studies!A:BR,2,FALSE),"")</f>
        <v>Gashaw 2003</v>
      </c>
      <c r="C8678" s="250" t="str">
        <f>IF(AND(A8678&lt;&gt;"",ISNUMBER(A8678)),VLOOKUP(A8678,Studies!A:BR,3,FALSE),"")</f>
        <v>https://www.ncbi.nlm.nih.gov/pubmed/?term=14586385</v>
      </c>
      <c r="D8678" s="250" t="str">
        <f>IF(AND(A8678&lt;&gt;"",ISNUMBER(A8678)),VLOOKUP(A8678,Studies!A:BR,4,FALSE),"")</f>
        <v>Alprazolam 10h concentration after Rifampin treatment (5 day rifampin treatment, day 7)</v>
      </c>
      <c r="E8678" s="250" t="str">
        <f>IF(AND(A8678&lt;&gt;"",ISNUMBER(A8678)),VLOOKUP(A8678,Studies!A:BR,5,FALSE),"")</f>
        <v>Alprazolam</v>
      </c>
      <c r="F8678" s="251" t="str">
        <f>IF(AND(A8678&lt;&gt;"",ISNUMBER(A8678)),VLOOKUP(A8678,Studies!A:BR,6,FALSE),"")</f>
        <v>Plasma</v>
      </c>
      <c r="G8678" s="194">
        <v>110</v>
      </c>
      <c r="H8678" s="50" t="s">
        <v>60</v>
      </c>
      <c r="I8678" s="187">
        <v>1.8</v>
      </c>
      <c r="J8678" s="41" t="s">
        <v>968</v>
      </c>
      <c r="K8678" s="41" t="s">
        <v>335</v>
      </c>
      <c r="L8678" s="195">
        <v>0.8</v>
      </c>
      <c r="M8678" s="52" t="s">
        <v>968</v>
      </c>
      <c r="N8678" s="52" t="s">
        <v>117</v>
      </c>
      <c r="O8678" s="199"/>
    </row>
    <row r="8679" spans="1:16" x14ac:dyDescent="0.2">
      <c r="A8679" s="30">
        <v>2010</v>
      </c>
      <c r="B8679" s="249" t="str">
        <f>IF(AND(A8679&lt;&gt;"",ISNUMBER(A8679)),VLOOKUP(A8679,Studies!A:BR,2,FALSE),"")</f>
        <v>Gashaw 2003</v>
      </c>
      <c r="C8679" s="250" t="str">
        <f>IF(AND(A8679&lt;&gt;"",ISNUMBER(A8679)),VLOOKUP(A8679,Studies!A:BR,3,FALSE),"")</f>
        <v>https://www.ncbi.nlm.nih.gov/pubmed/?term=14586385</v>
      </c>
      <c r="D8679" s="250" t="str">
        <f>IF(AND(A8679&lt;&gt;"",ISNUMBER(A8679)),VLOOKUP(A8679,Studies!A:BR,4,FALSE),"")</f>
        <v>Alprazolam 10h concentration after wash out (day 22)</v>
      </c>
      <c r="E8679" s="250" t="str">
        <f>IF(AND(A8679&lt;&gt;"",ISNUMBER(A8679)),VLOOKUP(A8679,Studies!A:BR,5,FALSE),"")</f>
        <v>Alprazolam</v>
      </c>
      <c r="F8679" s="251" t="str">
        <f>IF(AND(A8679&lt;&gt;"",ISNUMBER(A8679)),VLOOKUP(A8679,Studies!A:BR,6,FALSE),"")</f>
        <v>Plasma</v>
      </c>
      <c r="G8679" s="194">
        <v>446</v>
      </c>
      <c r="H8679" s="50" t="s">
        <v>60</v>
      </c>
      <c r="I8679" s="187">
        <v>7.8</v>
      </c>
      <c r="J8679" s="41" t="s">
        <v>968</v>
      </c>
      <c r="K8679" s="41" t="s">
        <v>335</v>
      </c>
      <c r="L8679" s="195">
        <v>1.9</v>
      </c>
      <c r="M8679" s="52" t="s">
        <v>968</v>
      </c>
      <c r="N8679" s="52" t="s">
        <v>117</v>
      </c>
      <c r="O8679" s="199"/>
    </row>
    <row r="8680" spans="1:16" x14ac:dyDescent="0.2">
      <c r="A8680" s="30">
        <v>2021</v>
      </c>
      <c r="B8680" s="249" t="str">
        <f>IF(AND(A8680&lt;&gt;"",ISNUMBER(A8680)),VLOOKUP(A8680,Studies!A:BR,2,FALSE),"")</f>
        <v>Quinney 2008</v>
      </c>
      <c r="C8680" s="250" t="str">
        <f>IF(AND(A8680&lt;&gt;"",ISNUMBER(A8680)),VLOOKUP(A8680,Studies!A:BR,3,FALSE),"")</f>
        <v>https://www.ncbi.nlm.nih.gov/pubmed/17635500</v>
      </c>
      <c r="D8680" s="250" t="str">
        <f>IF(AND(A8680&lt;&gt;"",ISNUMBER(A8680)),VLOOKUP(A8680,Studies!A:BR,4,FALSE),"")</f>
        <v>Control iv Midazolam All</v>
      </c>
      <c r="E8680" s="250" t="str">
        <f>IF(AND(A8680&lt;&gt;"",ISNUMBER(A8680)),VLOOKUP(A8680,Studies!A:BR,5,FALSE),"")</f>
        <v>Midazolam</v>
      </c>
      <c r="F8680" s="251" t="str">
        <f>IF(AND(A8680&lt;&gt;"",ISNUMBER(A8680)),VLOOKUP(A8680,Studies!A:BR,6,FALSE),"")</f>
        <v>Whole Blood</v>
      </c>
      <c r="G8680" s="194">
        <v>0.08</v>
      </c>
      <c r="H8680" s="50" t="s">
        <v>60</v>
      </c>
      <c r="I8680" s="187">
        <v>20.70937</v>
      </c>
      <c r="J8680" s="41" t="s">
        <v>968</v>
      </c>
      <c r="K8680" s="41" t="s">
        <v>335</v>
      </c>
      <c r="L8680" s="195">
        <v>14.419140000000001</v>
      </c>
      <c r="M8680" s="52" t="s">
        <v>968</v>
      </c>
      <c r="N8680" s="52" t="s">
        <v>117</v>
      </c>
      <c r="O8680" s="199">
        <v>1</v>
      </c>
      <c r="P8680" s="42" t="s">
        <v>2648</v>
      </c>
    </row>
    <row r="8681" spans="1:16" x14ac:dyDescent="0.2">
      <c r="A8681" s="30">
        <v>2021</v>
      </c>
      <c r="B8681" s="249" t="str">
        <f>IF(AND(A8681&lt;&gt;"",ISNUMBER(A8681)),VLOOKUP(A8681,Studies!A:BR,2,FALSE),"")</f>
        <v>Quinney 2008</v>
      </c>
      <c r="C8681" s="250" t="str">
        <f>IF(AND(A8681&lt;&gt;"",ISNUMBER(A8681)),VLOOKUP(A8681,Studies!A:BR,3,FALSE),"")</f>
        <v>https://www.ncbi.nlm.nih.gov/pubmed/17635500</v>
      </c>
      <c r="D8681" s="250" t="str">
        <f>IF(AND(A8681&lt;&gt;"",ISNUMBER(A8681)),VLOOKUP(A8681,Studies!A:BR,4,FALSE),"")</f>
        <v>Control iv Midazolam All</v>
      </c>
      <c r="E8681" s="250" t="str">
        <f>IF(AND(A8681&lt;&gt;"",ISNUMBER(A8681)),VLOOKUP(A8681,Studies!A:BR,5,FALSE),"")</f>
        <v>Midazolam</v>
      </c>
      <c r="F8681" s="251" t="str">
        <f>IF(AND(A8681&lt;&gt;"",ISNUMBER(A8681)),VLOOKUP(A8681,Studies!A:BR,6,FALSE),"")</f>
        <v>Whole Blood</v>
      </c>
      <c r="G8681" s="194">
        <v>0.25</v>
      </c>
      <c r="H8681" s="50" t="s">
        <v>60</v>
      </c>
      <c r="I8681" s="187">
        <v>38.301430000000003</v>
      </c>
      <c r="J8681" s="41" t="s">
        <v>968</v>
      </c>
      <c r="K8681" s="41" t="s">
        <v>335</v>
      </c>
      <c r="L8681" s="195">
        <v>15.206939999999999</v>
      </c>
      <c r="M8681" s="52" t="s">
        <v>968</v>
      </c>
      <c r="N8681" s="52" t="s">
        <v>117</v>
      </c>
      <c r="O8681" s="199">
        <v>1</v>
      </c>
    </row>
    <row r="8682" spans="1:16" x14ac:dyDescent="0.2">
      <c r="A8682" s="30">
        <v>2021</v>
      </c>
      <c r="B8682" s="249" t="str">
        <f>IF(AND(A8682&lt;&gt;"",ISNUMBER(A8682)),VLOOKUP(A8682,Studies!A:BR,2,FALSE),"")</f>
        <v>Quinney 2008</v>
      </c>
      <c r="C8682" s="250" t="str">
        <f>IF(AND(A8682&lt;&gt;"",ISNUMBER(A8682)),VLOOKUP(A8682,Studies!A:BR,3,FALSE),"")</f>
        <v>https://www.ncbi.nlm.nih.gov/pubmed/17635500</v>
      </c>
      <c r="D8682" s="250" t="str">
        <f>IF(AND(A8682&lt;&gt;"",ISNUMBER(A8682)),VLOOKUP(A8682,Studies!A:BR,4,FALSE),"")</f>
        <v>Control iv Midazolam All</v>
      </c>
      <c r="E8682" s="250" t="str">
        <f>IF(AND(A8682&lt;&gt;"",ISNUMBER(A8682)),VLOOKUP(A8682,Studies!A:BR,5,FALSE),"")</f>
        <v>Midazolam</v>
      </c>
      <c r="F8682" s="251" t="str">
        <f>IF(AND(A8682&lt;&gt;"",ISNUMBER(A8682)),VLOOKUP(A8682,Studies!A:BR,6,FALSE),"")</f>
        <v>Whole Blood</v>
      </c>
      <c r="G8682" s="194">
        <v>0.5</v>
      </c>
      <c r="H8682" s="50" t="s">
        <v>60</v>
      </c>
      <c r="I8682" s="187">
        <v>55.27966</v>
      </c>
      <c r="J8682" s="41" t="s">
        <v>968</v>
      </c>
      <c r="K8682" s="41" t="s">
        <v>335</v>
      </c>
      <c r="L8682" s="195">
        <v>20.297239999999999</v>
      </c>
      <c r="M8682" s="52" t="s">
        <v>968</v>
      </c>
      <c r="N8682" s="52" t="s">
        <v>117</v>
      </c>
      <c r="O8682" s="199">
        <v>1</v>
      </c>
    </row>
    <row r="8683" spans="1:16" x14ac:dyDescent="0.2">
      <c r="A8683" s="30">
        <v>2021</v>
      </c>
      <c r="B8683" s="249" t="str">
        <f>IF(AND(A8683&lt;&gt;"",ISNUMBER(A8683)),VLOOKUP(A8683,Studies!A:BR,2,FALSE),"")</f>
        <v>Quinney 2008</v>
      </c>
      <c r="C8683" s="250" t="str">
        <f>IF(AND(A8683&lt;&gt;"",ISNUMBER(A8683)),VLOOKUP(A8683,Studies!A:BR,3,FALSE),"")</f>
        <v>https://www.ncbi.nlm.nih.gov/pubmed/17635500</v>
      </c>
      <c r="D8683" s="250" t="str">
        <f>IF(AND(A8683&lt;&gt;"",ISNUMBER(A8683)),VLOOKUP(A8683,Studies!A:BR,4,FALSE),"")</f>
        <v>Control iv Midazolam All</v>
      </c>
      <c r="E8683" s="250" t="str">
        <f>IF(AND(A8683&lt;&gt;"",ISNUMBER(A8683)),VLOOKUP(A8683,Studies!A:BR,5,FALSE),"")</f>
        <v>Midazolam</v>
      </c>
      <c r="F8683" s="251" t="str">
        <f>IF(AND(A8683&lt;&gt;"",ISNUMBER(A8683)),VLOOKUP(A8683,Studies!A:BR,6,FALSE),"")</f>
        <v>Whole Blood</v>
      </c>
      <c r="G8683" s="194">
        <v>0.75</v>
      </c>
      <c r="H8683" s="50" t="s">
        <v>60</v>
      </c>
      <c r="I8683" s="187">
        <v>32.59545</v>
      </c>
      <c r="J8683" s="41" t="s">
        <v>968</v>
      </c>
      <c r="K8683" s="41" t="s">
        <v>335</v>
      </c>
      <c r="L8683" s="195">
        <v>10.54942</v>
      </c>
      <c r="M8683" s="52" t="s">
        <v>968</v>
      </c>
      <c r="N8683" s="52" t="s">
        <v>117</v>
      </c>
      <c r="O8683" s="199">
        <v>1</v>
      </c>
    </row>
    <row r="8684" spans="1:16" x14ac:dyDescent="0.2">
      <c r="A8684" s="30">
        <v>2021</v>
      </c>
      <c r="B8684" s="249" t="str">
        <f>IF(AND(A8684&lt;&gt;"",ISNUMBER(A8684)),VLOOKUP(A8684,Studies!A:BR,2,FALSE),"")</f>
        <v>Quinney 2008</v>
      </c>
      <c r="C8684" s="250" t="str">
        <f>IF(AND(A8684&lt;&gt;"",ISNUMBER(A8684)),VLOOKUP(A8684,Studies!A:BR,3,FALSE),"")</f>
        <v>https://www.ncbi.nlm.nih.gov/pubmed/17635500</v>
      </c>
      <c r="D8684" s="250" t="str">
        <f>IF(AND(A8684&lt;&gt;"",ISNUMBER(A8684)),VLOOKUP(A8684,Studies!A:BR,4,FALSE),"")</f>
        <v>Control iv Midazolam All</v>
      </c>
      <c r="E8684" s="250" t="str">
        <f>IF(AND(A8684&lt;&gt;"",ISNUMBER(A8684)),VLOOKUP(A8684,Studies!A:BR,5,FALSE),"")</f>
        <v>Midazolam</v>
      </c>
      <c r="F8684" s="251" t="str">
        <f>IF(AND(A8684&lt;&gt;"",ISNUMBER(A8684)),VLOOKUP(A8684,Studies!A:BR,6,FALSE),"")</f>
        <v>Whole Blood</v>
      </c>
      <c r="G8684" s="194">
        <v>1</v>
      </c>
      <c r="H8684" s="50" t="s">
        <v>60</v>
      </c>
      <c r="I8684" s="187">
        <v>25.995380000000001</v>
      </c>
      <c r="J8684" s="41" t="s">
        <v>968</v>
      </c>
      <c r="K8684" s="41" t="s">
        <v>335</v>
      </c>
      <c r="L8684" s="195">
        <v>6.2572590000000003</v>
      </c>
      <c r="M8684" s="52" t="s">
        <v>968</v>
      </c>
      <c r="N8684" s="52" t="s">
        <v>117</v>
      </c>
      <c r="O8684" s="199">
        <v>1</v>
      </c>
    </row>
    <row r="8685" spans="1:16" x14ac:dyDescent="0.2">
      <c r="A8685" s="30">
        <v>2021</v>
      </c>
      <c r="B8685" s="249" t="str">
        <f>IF(AND(A8685&lt;&gt;"",ISNUMBER(A8685)),VLOOKUP(A8685,Studies!A:BR,2,FALSE),"")</f>
        <v>Quinney 2008</v>
      </c>
      <c r="C8685" s="250" t="str">
        <f>IF(AND(A8685&lt;&gt;"",ISNUMBER(A8685)),VLOOKUP(A8685,Studies!A:BR,3,FALSE),"")</f>
        <v>https://www.ncbi.nlm.nih.gov/pubmed/17635500</v>
      </c>
      <c r="D8685" s="250" t="str">
        <f>IF(AND(A8685&lt;&gt;"",ISNUMBER(A8685)),VLOOKUP(A8685,Studies!A:BR,4,FALSE),"")</f>
        <v>Control iv Midazolam All</v>
      </c>
      <c r="E8685" s="250" t="str">
        <f>IF(AND(A8685&lt;&gt;"",ISNUMBER(A8685)),VLOOKUP(A8685,Studies!A:BR,5,FALSE),"")</f>
        <v>Midazolam</v>
      </c>
      <c r="F8685" s="251" t="str">
        <f>IF(AND(A8685&lt;&gt;"",ISNUMBER(A8685)),VLOOKUP(A8685,Studies!A:BR,6,FALSE),"")</f>
        <v>Whole Blood</v>
      </c>
      <c r="G8685" s="194">
        <v>1.5</v>
      </c>
      <c r="H8685" s="50" t="s">
        <v>60</v>
      </c>
      <c r="I8685" s="187">
        <v>18.416419999999999</v>
      </c>
      <c r="J8685" s="41" t="s">
        <v>968</v>
      </c>
      <c r="K8685" s="41" t="s">
        <v>335</v>
      </c>
      <c r="L8685" s="195">
        <v>7.0359420000000004</v>
      </c>
      <c r="M8685" s="52" t="s">
        <v>968</v>
      </c>
      <c r="N8685" s="52" t="s">
        <v>117</v>
      </c>
      <c r="O8685" s="199">
        <v>1</v>
      </c>
    </row>
    <row r="8686" spans="1:16" x14ac:dyDescent="0.2">
      <c r="A8686" s="30">
        <v>2021</v>
      </c>
      <c r="B8686" s="249" t="str">
        <f>IF(AND(A8686&lt;&gt;"",ISNUMBER(A8686)),VLOOKUP(A8686,Studies!A:BR,2,FALSE),"")</f>
        <v>Quinney 2008</v>
      </c>
      <c r="C8686" s="250" t="str">
        <f>IF(AND(A8686&lt;&gt;"",ISNUMBER(A8686)),VLOOKUP(A8686,Studies!A:BR,3,FALSE),"")</f>
        <v>https://www.ncbi.nlm.nih.gov/pubmed/17635500</v>
      </c>
      <c r="D8686" s="250" t="str">
        <f>IF(AND(A8686&lt;&gt;"",ISNUMBER(A8686)),VLOOKUP(A8686,Studies!A:BR,4,FALSE),"")</f>
        <v>Control iv Midazolam All</v>
      </c>
      <c r="E8686" s="250" t="str">
        <f>IF(AND(A8686&lt;&gt;"",ISNUMBER(A8686)),VLOOKUP(A8686,Studies!A:BR,5,FALSE),"")</f>
        <v>Midazolam</v>
      </c>
      <c r="F8686" s="251" t="str">
        <f>IF(AND(A8686&lt;&gt;"",ISNUMBER(A8686)),VLOOKUP(A8686,Studies!A:BR,6,FALSE),"")</f>
        <v>Whole Blood</v>
      </c>
      <c r="G8686" s="194">
        <v>2</v>
      </c>
      <c r="H8686" s="50" t="s">
        <v>60</v>
      </c>
      <c r="I8686" s="187">
        <v>14.85005</v>
      </c>
      <c r="J8686" s="41" t="s">
        <v>968</v>
      </c>
      <c r="K8686" s="41" t="s">
        <v>335</v>
      </c>
      <c r="L8686" s="195">
        <v>5.673063</v>
      </c>
      <c r="M8686" s="52" t="s">
        <v>968</v>
      </c>
      <c r="N8686" s="52" t="s">
        <v>117</v>
      </c>
      <c r="O8686" s="199">
        <v>1</v>
      </c>
    </row>
    <row r="8687" spans="1:16" x14ac:dyDescent="0.2">
      <c r="A8687" s="30">
        <v>2021</v>
      </c>
      <c r="B8687" s="249" t="str">
        <f>IF(AND(A8687&lt;&gt;"",ISNUMBER(A8687)),VLOOKUP(A8687,Studies!A:BR,2,FALSE),"")</f>
        <v>Quinney 2008</v>
      </c>
      <c r="C8687" s="250" t="str">
        <f>IF(AND(A8687&lt;&gt;"",ISNUMBER(A8687)),VLOOKUP(A8687,Studies!A:BR,3,FALSE),"")</f>
        <v>https://www.ncbi.nlm.nih.gov/pubmed/17635500</v>
      </c>
      <c r="D8687" s="250" t="str">
        <f>IF(AND(A8687&lt;&gt;"",ISNUMBER(A8687)),VLOOKUP(A8687,Studies!A:BR,4,FALSE),"")</f>
        <v>Control iv Midazolam All</v>
      </c>
      <c r="E8687" s="250" t="str">
        <f>IF(AND(A8687&lt;&gt;"",ISNUMBER(A8687)),VLOOKUP(A8687,Studies!A:BR,5,FALSE),"")</f>
        <v>Midazolam</v>
      </c>
      <c r="F8687" s="251" t="str">
        <f>IF(AND(A8687&lt;&gt;"",ISNUMBER(A8687)),VLOOKUP(A8687,Studies!A:BR,6,FALSE),"")</f>
        <v>Whole Blood</v>
      </c>
      <c r="G8687" s="194">
        <v>2.5</v>
      </c>
      <c r="H8687" s="50" t="s">
        <v>60</v>
      </c>
      <c r="I8687" s="187">
        <v>12.36786</v>
      </c>
      <c r="J8687" s="41" t="s">
        <v>968</v>
      </c>
      <c r="K8687" s="41" t="s">
        <v>335</v>
      </c>
      <c r="L8687" s="195">
        <v>4.7248109999999999</v>
      </c>
      <c r="M8687" s="52" t="s">
        <v>968</v>
      </c>
      <c r="N8687" s="52" t="s">
        <v>117</v>
      </c>
      <c r="O8687" s="199">
        <v>1</v>
      </c>
    </row>
    <row r="8688" spans="1:16" x14ac:dyDescent="0.2">
      <c r="A8688" s="30">
        <v>2021</v>
      </c>
      <c r="B8688" s="249" t="str">
        <f>IF(AND(A8688&lt;&gt;"",ISNUMBER(A8688)),VLOOKUP(A8688,Studies!A:BR,2,FALSE),"")</f>
        <v>Quinney 2008</v>
      </c>
      <c r="C8688" s="250" t="str">
        <f>IF(AND(A8688&lt;&gt;"",ISNUMBER(A8688)),VLOOKUP(A8688,Studies!A:BR,3,FALSE),"")</f>
        <v>https://www.ncbi.nlm.nih.gov/pubmed/17635500</v>
      </c>
      <c r="D8688" s="250" t="str">
        <f>IF(AND(A8688&lt;&gt;"",ISNUMBER(A8688)),VLOOKUP(A8688,Studies!A:BR,4,FALSE),"")</f>
        <v>Control iv Midazolam All</v>
      </c>
      <c r="E8688" s="250" t="str">
        <f>IF(AND(A8688&lt;&gt;"",ISNUMBER(A8688)),VLOOKUP(A8688,Studies!A:BR,5,FALSE),"")</f>
        <v>Midazolam</v>
      </c>
      <c r="F8688" s="251" t="str">
        <f>IF(AND(A8688&lt;&gt;"",ISNUMBER(A8688)),VLOOKUP(A8688,Studies!A:BR,6,FALSE),"")</f>
        <v>Whole Blood</v>
      </c>
      <c r="G8688" s="194">
        <v>3</v>
      </c>
      <c r="H8688" s="50" t="s">
        <v>60</v>
      </c>
      <c r="I8688" s="187">
        <v>10.87128</v>
      </c>
      <c r="J8688" s="41" t="s">
        <v>968</v>
      </c>
      <c r="K8688" s="41" t="s">
        <v>335</v>
      </c>
      <c r="L8688" s="195">
        <v>4.153073</v>
      </c>
      <c r="M8688" s="52" t="s">
        <v>968</v>
      </c>
      <c r="N8688" s="52" t="s">
        <v>117</v>
      </c>
      <c r="O8688" s="199">
        <v>1</v>
      </c>
    </row>
    <row r="8689" spans="1:16" x14ac:dyDescent="0.2">
      <c r="A8689" s="30">
        <v>2021</v>
      </c>
      <c r="B8689" s="249" t="str">
        <f>IF(AND(A8689&lt;&gt;"",ISNUMBER(A8689)),VLOOKUP(A8689,Studies!A:BR,2,FALSE),"")</f>
        <v>Quinney 2008</v>
      </c>
      <c r="C8689" s="250" t="str">
        <f>IF(AND(A8689&lt;&gt;"",ISNUMBER(A8689)),VLOOKUP(A8689,Studies!A:BR,3,FALSE),"")</f>
        <v>https://www.ncbi.nlm.nih.gov/pubmed/17635500</v>
      </c>
      <c r="D8689" s="250" t="str">
        <f>IF(AND(A8689&lt;&gt;"",ISNUMBER(A8689)),VLOOKUP(A8689,Studies!A:BR,4,FALSE),"")</f>
        <v>Control iv Midazolam All</v>
      </c>
      <c r="E8689" s="250" t="str">
        <f>IF(AND(A8689&lt;&gt;"",ISNUMBER(A8689)),VLOOKUP(A8689,Studies!A:BR,5,FALSE),"")</f>
        <v>Midazolam</v>
      </c>
      <c r="F8689" s="251" t="str">
        <f>IF(AND(A8689&lt;&gt;"",ISNUMBER(A8689)),VLOOKUP(A8689,Studies!A:BR,6,FALSE),"")</f>
        <v>Whole Blood</v>
      </c>
      <c r="G8689" s="194">
        <v>4</v>
      </c>
      <c r="H8689" s="50" t="s">
        <v>60</v>
      </c>
      <c r="I8689" s="187">
        <v>9.0583039999999997</v>
      </c>
      <c r="J8689" s="41" t="s">
        <v>968</v>
      </c>
      <c r="K8689" s="41" t="s">
        <v>335</v>
      </c>
      <c r="L8689" s="195">
        <v>4.2973499999999998</v>
      </c>
      <c r="M8689" s="52" t="s">
        <v>968</v>
      </c>
      <c r="N8689" s="52" t="s">
        <v>117</v>
      </c>
      <c r="O8689" s="199">
        <v>1</v>
      </c>
    </row>
    <row r="8690" spans="1:16" x14ac:dyDescent="0.2">
      <c r="A8690" s="30">
        <v>2021</v>
      </c>
      <c r="B8690" s="249" t="str">
        <f>IF(AND(A8690&lt;&gt;"",ISNUMBER(A8690)),VLOOKUP(A8690,Studies!A:BR,2,FALSE),"")</f>
        <v>Quinney 2008</v>
      </c>
      <c r="C8690" s="250" t="str">
        <f>IF(AND(A8690&lt;&gt;"",ISNUMBER(A8690)),VLOOKUP(A8690,Studies!A:BR,3,FALSE),"")</f>
        <v>https://www.ncbi.nlm.nih.gov/pubmed/17635500</v>
      </c>
      <c r="D8690" s="250" t="str">
        <f>IF(AND(A8690&lt;&gt;"",ISNUMBER(A8690)),VLOOKUP(A8690,Studies!A:BR,4,FALSE),"")</f>
        <v>Control iv Midazolam All</v>
      </c>
      <c r="E8690" s="250" t="str">
        <f>IF(AND(A8690&lt;&gt;"",ISNUMBER(A8690)),VLOOKUP(A8690,Studies!A:BR,5,FALSE),"")</f>
        <v>Midazolam</v>
      </c>
      <c r="F8690" s="251" t="str">
        <f>IF(AND(A8690&lt;&gt;"",ISNUMBER(A8690)),VLOOKUP(A8690,Studies!A:BR,6,FALSE),"")</f>
        <v>Whole Blood</v>
      </c>
      <c r="G8690" s="194">
        <v>6</v>
      </c>
      <c r="H8690" s="50" t="s">
        <v>60</v>
      </c>
      <c r="I8690" s="187">
        <v>5.1238239999999999</v>
      </c>
      <c r="J8690" s="41" t="s">
        <v>968</v>
      </c>
      <c r="K8690" s="41" t="s">
        <v>335</v>
      </c>
      <c r="L8690" s="195">
        <v>2.9356710000000001</v>
      </c>
      <c r="M8690" s="52" t="s">
        <v>968</v>
      </c>
      <c r="N8690" s="52" t="s">
        <v>117</v>
      </c>
      <c r="O8690" s="199">
        <v>1</v>
      </c>
    </row>
    <row r="8691" spans="1:16" x14ac:dyDescent="0.2">
      <c r="A8691" s="30">
        <v>2021</v>
      </c>
      <c r="B8691" s="249" t="str">
        <f>IF(AND(A8691&lt;&gt;"",ISNUMBER(A8691)),VLOOKUP(A8691,Studies!A:BR,2,FALSE),"")</f>
        <v>Quinney 2008</v>
      </c>
      <c r="C8691" s="250" t="str">
        <f>IF(AND(A8691&lt;&gt;"",ISNUMBER(A8691)),VLOOKUP(A8691,Studies!A:BR,3,FALSE),"")</f>
        <v>https://www.ncbi.nlm.nih.gov/pubmed/17635500</v>
      </c>
      <c r="D8691" s="250" t="str">
        <f>IF(AND(A8691&lt;&gt;"",ISNUMBER(A8691)),VLOOKUP(A8691,Studies!A:BR,4,FALSE),"")</f>
        <v>Control iv Midazolam All</v>
      </c>
      <c r="E8691" s="250" t="str">
        <f>IF(AND(A8691&lt;&gt;"",ISNUMBER(A8691)),VLOOKUP(A8691,Studies!A:BR,5,FALSE),"")</f>
        <v>Midazolam</v>
      </c>
      <c r="F8691" s="251" t="str">
        <f>IF(AND(A8691&lt;&gt;"",ISNUMBER(A8691)),VLOOKUP(A8691,Studies!A:BR,6,FALSE),"")</f>
        <v>Whole Blood</v>
      </c>
      <c r="G8691" s="194">
        <v>8</v>
      </c>
      <c r="H8691" s="50" t="s">
        <v>60</v>
      </c>
      <c r="I8691" s="187">
        <v>3.4071509999999998</v>
      </c>
      <c r="J8691" s="41" t="s">
        <v>968</v>
      </c>
      <c r="K8691" s="41" t="s">
        <v>335</v>
      </c>
      <c r="L8691" s="195">
        <v>2.5625309999999999</v>
      </c>
      <c r="M8691" s="52" t="s">
        <v>968</v>
      </c>
      <c r="N8691" s="52" t="s">
        <v>117</v>
      </c>
      <c r="O8691" s="199">
        <v>1</v>
      </c>
    </row>
    <row r="8692" spans="1:16" x14ac:dyDescent="0.2">
      <c r="A8692" s="30">
        <v>2021</v>
      </c>
      <c r="B8692" s="249" t="str">
        <f>IF(AND(A8692&lt;&gt;"",ISNUMBER(A8692)),VLOOKUP(A8692,Studies!A:BR,2,FALSE),"")</f>
        <v>Quinney 2008</v>
      </c>
      <c r="C8692" s="250" t="str">
        <f>IF(AND(A8692&lt;&gt;"",ISNUMBER(A8692)),VLOOKUP(A8692,Studies!A:BR,3,FALSE),"")</f>
        <v>https://www.ncbi.nlm.nih.gov/pubmed/17635500</v>
      </c>
      <c r="D8692" s="250" t="str">
        <f>IF(AND(A8692&lt;&gt;"",ISNUMBER(A8692)),VLOOKUP(A8692,Studies!A:BR,4,FALSE),"")</f>
        <v>Control iv Midazolam All</v>
      </c>
      <c r="E8692" s="250" t="str">
        <f>IF(AND(A8692&lt;&gt;"",ISNUMBER(A8692)),VLOOKUP(A8692,Studies!A:BR,5,FALSE),"")</f>
        <v>Midazolam</v>
      </c>
      <c r="F8692" s="251" t="str">
        <f>IF(AND(A8692&lt;&gt;"",ISNUMBER(A8692)),VLOOKUP(A8692,Studies!A:BR,6,FALSE),"")</f>
        <v>Whole Blood</v>
      </c>
      <c r="G8692" s="194">
        <v>10</v>
      </c>
      <c r="H8692" s="50" t="s">
        <v>60</v>
      </c>
      <c r="I8692" s="187">
        <v>2.9349509999999999</v>
      </c>
      <c r="J8692" s="41" t="s">
        <v>968</v>
      </c>
      <c r="K8692" s="41" t="s">
        <v>335</v>
      </c>
      <c r="L8692" s="195">
        <v>2.1522250000000001</v>
      </c>
      <c r="M8692" s="52" t="s">
        <v>968</v>
      </c>
      <c r="N8692" s="52" t="s">
        <v>117</v>
      </c>
      <c r="O8692" s="199">
        <v>1</v>
      </c>
    </row>
    <row r="8693" spans="1:16" x14ac:dyDescent="0.2">
      <c r="A8693" s="30">
        <v>2021</v>
      </c>
      <c r="B8693" s="249" t="str">
        <f>IF(AND(A8693&lt;&gt;"",ISNUMBER(A8693)),VLOOKUP(A8693,Studies!A:BR,2,FALSE),"")</f>
        <v>Quinney 2008</v>
      </c>
      <c r="C8693" s="250" t="str">
        <f>IF(AND(A8693&lt;&gt;"",ISNUMBER(A8693)),VLOOKUP(A8693,Studies!A:BR,3,FALSE),"")</f>
        <v>https://www.ncbi.nlm.nih.gov/pubmed/17635500</v>
      </c>
      <c r="D8693" s="250" t="str">
        <f>IF(AND(A8693&lt;&gt;"",ISNUMBER(A8693)),VLOOKUP(A8693,Studies!A:BR,4,FALSE),"")</f>
        <v>Control iv Midazolam All</v>
      </c>
      <c r="E8693" s="250" t="str">
        <f>IF(AND(A8693&lt;&gt;"",ISNUMBER(A8693)),VLOOKUP(A8693,Studies!A:BR,5,FALSE),"")</f>
        <v>Midazolam</v>
      </c>
      <c r="F8693" s="251" t="str">
        <f>IF(AND(A8693&lt;&gt;"",ISNUMBER(A8693)),VLOOKUP(A8693,Studies!A:BR,6,FALSE),"")</f>
        <v>Whole Blood</v>
      </c>
      <c r="G8693" s="194">
        <v>12</v>
      </c>
      <c r="H8693" s="50" t="s">
        <v>60</v>
      </c>
      <c r="I8693" s="187">
        <v>2.3955139999999999</v>
      </c>
      <c r="J8693" s="41" t="s">
        <v>968</v>
      </c>
      <c r="K8693" s="41" t="s">
        <v>335</v>
      </c>
      <c r="L8693" s="195">
        <v>1.8471109999999999</v>
      </c>
      <c r="M8693" s="52" t="s">
        <v>968</v>
      </c>
      <c r="N8693" s="52" t="s">
        <v>117</v>
      </c>
      <c r="O8693" s="199">
        <v>1</v>
      </c>
    </row>
    <row r="8694" spans="1:16" x14ac:dyDescent="0.2">
      <c r="A8694" s="30">
        <v>2024</v>
      </c>
      <c r="B8694" s="249" t="str">
        <f>IF(AND(A8694&lt;&gt;"",ISNUMBER(A8694)),VLOOKUP(A8694,Studies!A:BR,2,FALSE),"")</f>
        <v>Quinney 2008</v>
      </c>
      <c r="C8694" s="250" t="str">
        <f>IF(AND(A8694&lt;&gt;"",ISNUMBER(A8694)),VLOOKUP(A8694,Studies!A:BR,3,FALSE),"")</f>
        <v>https://www.ncbi.nlm.nih.gov/pubmed/17635500</v>
      </c>
      <c r="D8694" s="250" t="str">
        <f>IF(AND(A8694&lt;&gt;"",ISNUMBER(A8694)),VLOOKUP(A8694,Studies!A:BR,4,FALSE),"")</f>
        <v>Control po Midazolam All</v>
      </c>
      <c r="E8694" s="250" t="str">
        <f>IF(AND(A8694&lt;&gt;"",ISNUMBER(A8694)),VLOOKUP(A8694,Studies!A:BR,5,FALSE),"")</f>
        <v>Midazolam</v>
      </c>
      <c r="F8694" s="251" t="str">
        <f>IF(AND(A8694&lt;&gt;"",ISNUMBER(A8694)),VLOOKUP(A8694,Studies!A:BR,6,FALSE),"")</f>
        <v>Whole Blood</v>
      </c>
      <c r="G8694" s="194">
        <v>0.25</v>
      </c>
      <c r="H8694" s="50" t="s">
        <v>60</v>
      </c>
      <c r="I8694" s="187">
        <v>6.068511</v>
      </c>
      <c r="J8694" s="41" t="s">
        <v>968</v>
      </c>
      <c r="K8694" s="41" t="s">
        <v>335</v>
      </c>
      <c r="L8694" s="195">
        <v>5.8844269999999996</v>
      </c>
      <c r="M8694" s="52" t="s">
        <v>968</v>
      </c>
      <c r="N8694" s="52" t="s">
        <v>117</v>
      </c>
      <c r="O8694" s="199">
        <v>1</v>
      </c>
      <c r="P8694" s="42" t="s">
        <v>2649</v>
      </c>
    </row>
    <row r="8695" spans="1:16" x14ac:dyDescent="0.2">
      <c r="A8695" s="30">
        <v>2024</v>
      </c>
      <c r="B8695" s="249" t="str">
        <f>IF(AND(A8695&lt;&gt;"",ISNUMBER(A8695)),VLOOKUP(A8695,Studies!A:BR,2,FALSE),"")</f>
        <v>Quinney 2008</v>
      </c>
      <c r="C8695" s="250" t="str">
        <f>IF(AND(A8695&lt;&gt;"",ISNUMBER(A8695)),VLOOKUP(A8695,Studies!A:BR,3,FALSE),"")</f>
        <v>https://www.ncbi.nlm.nih.gov/pubmed/17635500</v>
      </c>
      <c r="D8695" s="250" t="str">
        <f>IF(AND(A8695&lt;&gt;"",ISNUMBER(A8695)),VLOOKUP(A8695,Studies!A:BR,4,FALSE),"")</f>
        <v>Control po Midazolam All</v>
      </c>
      <c r="E8695" s="250" t="str">
        <f>IF(AND(A8695&lt;&gt;"",ISNUMBER(A8695)),VLOOKUP(A8695,Studies!A:BR,5,FALSE),"")</f>
        <v>Midazolam</v>
      </c>
      <c r="F8695" s="251" t="str">
        <f>IF(AND(A8695&lt;&gt;"",ISNUMBER(A8695)),VLOOKUP(A8695,Studies!A:BR,6,FALSE),"")</f>
        <v>Whole Blood</v>
      </c>
      <c r="G8695" s="194">
        <v>0.5</v>
      </c>
      <c r="H8695" s="50" t="s">
        <v>60</v>
      </c>
      <c r="I8695" s="187">
        <v>7.2865409999999997</v>
      </c>
      <c r="J8695" s="41" t="s">
        <v>968</v>
      </c>
      <c r="K8695" s="41" t="s">
        <v>335</v>
      </c>
      <c r="L8695" s="195">
        <v>4.2867259999999998</v>
      </c>
      <c r="M8695" s="52" t="s">
        <v>968</v>
      </c>
      <c r="N8695" s="52" t="s">
        <v>117</v>
      </c>
      <c r="O8695" s="199">
        <v>1</v>
      </c>
    </row>
    <row r="8696" spans="1:16" x14ac:dyDescent="0.2">
      <c r="A8696" s="30">
        <v>2024</v>
      </c>
      <c r="B8696" s="249" t="str">
        <f>IF(AND(A8696&lt;&gt;"",ISNUMBER(A8696)),VLOOKUP(A8696,Studies!A:BR,2,FALSE),"")</f>
        <v>Quinney 2008</v>
      </c>
      <c r="C8696" s="250" t="str">
        <f>IF(AND(A8696&lt;&gt;"",ISNUMBER(A8696)),VLOOKUP(A8696,Studies!A:BR,3,FALSE),"")</f>
        <v>https://www.ncbi.nlm.nih.gov/pubmed/17635500</v>
      </c>
      <c r="D8696" s="250" t="str">
        <f>IF(AND(A8696&lt;&gt;"",ISNUMBER(A8696)),VLOOKUP(A8696,Studies!A:BR,4,FALSE),"")</f>
        <v>Control po Midazolam All</v>
      </c>
      <c r="E8696" s="250" t="str">
        <f>IF(AND(A8696&lt;&gt;"",ISNUMBER(A8696)),VLOOKUP(A8696,Studies!A:BR,5,FALSE),"")</f>
        <v>Midazolam</v>
      </c>
      <c r="F8696" s="251" t="str">
        <f>IF(AND(A8696&lt;&gt;"",ISNUMBER(A8696)),VLOOKUP(A8696,Studies!A:BR,6,FALSE),"")</f>
        <v>Whole Blood</v>
      </c>
      <c r="G8696" s="194">
        <v>0.75</v>
      </c>
      <c r="H8696" s="50" t="s">
        <v>60</v>
      </c>
      <c r="I8696" s="187">
        <v>6.3353960000000002</v>
      </c>
      <c r="J8696" s="41" t="s">
        <v>968</v>
      </c>
      <c r="K8696" s="41" t="s">
        <v>335</v>
      </c>
      <c r="L8696" s="195">
        <v>3.2001119999999998</v>
      </c>
      <c r="M8696" s="52" t="s">
        <v>968</v>
      </c>
      <c r="N8696" s="52" t="s">
        <v>117</v>
      </c>
      <c r="O8696" s="199">
        <v>1</v>
      </c>
    </row>
    <row r="8697" spans="1:16" x14ac:dyDescent="0.2">
      <c r="A8697" s="30">
        <v>2024</v>
      </c>
      <c r="B8697" s="249" t="str">
        <f>IF(AND(A8697&lt;&gt;"",ISNUMBER(A8697)),VLOOKUP(A8697,Studies!A:BR,2,FALSE),"")</f>
        <v>Quinney 2008</v>
      </c>
      <c r="C8697" s="250" t="str">
        <f>IF(AND(A8697&lt;&gt;"",ISNUMBER(A8697)),VLOOKUP(A8697,Studies!A:BR,3,FALSE),"")</f>
        <v>https://www.ncbi.nlm.nih.gov/pubmed/17635500</v>
      </c>
      <c r="D8697" s="250" t="str">
        <f>IF(AND(A8697&lt;&gt;"",ISNUMBER(A8697)),VLOOKUP(A8697,Studies!A:BR,4,FALSE),"")</f>
        <v>Control po Midazolam All</v>
      </c>
      <c r="E8697" s="250" t="str">
        <f>IF(AND(A8697&lt;&gt;"",ISNUMBER(A8697)),VLOOKUP(A8697,Studies!A:BR,5,FALSE),"")</f>
        <v>Midazolam</v>
      </c>
      <c r="F8697" s="251" t="str">
        <f>IF(AND(A8697&lt;&gt;"",ISNUMBER(A8697)),VLOOKUP(A8697,Studies!A:BR,6,FALSE),"")</f>
        <v>Whole Blood</v>
      </c>
      <c r="G8697" s="194">
        <v>1</v>
      </c>
      <c r="H8697" s="50" t="s">
        <v>60</v>
      </c>
      <c r="I8697" s="187">
        <v>6.2005179999999998</v>
      </c>
      <c r="J8697" s="41" t="s">
        <v>968</v>
      </c>
      <c r="K8697" s="41" t="s">
        <v>335</v>
      </c>
      <c r="L8697" s="195">
        <v>2.9332980000000002</v>
      </c>
      <c r="M8697" s="52" t="s">
        <v>968</v>
      </c>
      <c r="N8697" s="52" t="s">
        <v>117</v>
      </c>
      <c r="O8697" s="199">
        <v>1</v>
      </c>
    </row>
    <row r="8698" spans="1:16" x14ac:dyDescent="0.2">
      <c r="A8698" s="30">
        <v>2024</v>
      </c>
      <c r="B8698" s="249" t="str">
        <f>IF(AND(A8698&lt;&gt;"",ISNUMBER(A8698)),VLOOKUP(A8698,Studies!A:BR,2,FALSE),"")</f>
        <v>Quinney 2008</v>
      </c>
      <c r="C8698" s="250" t="str">
        <f>IF(AND(A8698&lt;&gt;"",ISNUMBER(A8698)),VLOOKUP(A8698,Studies!A:BR,3,FALSE),"")</f>
        <v>https://www.ncbi.nlm.nih.gov/pubmed/17635500</v>
      </c>
      <c r="D8698" s="250" t="str">
        <f>IF(AND(A8698&lt;&gt;"",ISNUMBER(A8698)),VLOOKUP(A8698,Studies!A:BR,4,FALSE),"")</f>
        <v>Control po Midazolam All</v>
      </c>
      <c r="E8698" s="250" t="str">
        <f>IF(AND(A8698&lt;&gt;"",ISNUMBER(A8698)),VLOOKUP(A8698,Studies!A:BR,5,FALSE),"")</f>
        <v>Midazolam</v>
      </c>
      <c r="F8698" s="251" t="str">
        <f>IF(AND(A8698&lt;&gt;"",ISNUMBER(A8698)),VLOOKUP(A8698,Studies!A:BR,6,FALSE),"")</f>
        <v>Whole Blood</v>
      </c>
      <c r="G8698" s="194">
        <v>1.5</v>
      </c>
      <c r="H8698" s="50" t="s">
        <v>60</v>
      </c>
      <c r="I8698" s="187">
        <v>5.6282310000000004</v>
      </c>
      <c r="J8698" s="41" t="s">
        <v>968</v>
      </c>
      <c r="K8698" s="41" t="s">
        <v>335</v>
      </c>
      <c r="L8698" s="195">
        <v>2.3133059999999999</v>
      </c>
      <c r="M8698" s="52" t="s">
        <v>968</v>
      </c>
      <c r="N8698" s="52" t="s">
        <v>117</v>
      </c>
      <c r="O8698" s="199">
        <v>1</v>
      </c>
    </row>
    <row r="8699" spans="1:16" x14ac:dyDescent="0.2">
      <c r="A8699" s="30">
        <v>2024</v>
      </c>
      <c r="B8699" s="249" t="str">
        <f>IF(AND(A8699&lt;&gt;"",ISNUMBER(A8699)),VLOOKUP(A8699,Studies!A:BR,2,FALSE),"")</f>
        <v>Quinney 2008</v>
      </c>
      <c r="C8699" s="250" t="str">
        <f>IF(AND(A8699&lt;&gt;"",ISNUMBER(A8699)),VLOOKUP(A8699,Studies!A:BR,3,FALSE),"")</f>
        <v>https://www.ncbi.nlm.nih.gov/pubmed/17635500</v>
      </c>
      <c r="D8699" s="250" t="str">
        <f>IF(AND(A8699&lt;&gt;"",ISNUMBER(A8699)),VLOOKUP(A8699,Studies!A:BR,4,FALSE),"")</f>
        <v>Control po Midazolam All</v>
      </c>
      <c r="E8699" s="250" t="str">
        <f>IF(AND(A8699&lt;&gt;"",ISNUMBER(A8699)),VLOOKUP(A8699,Studies!A:BR,5,FALSE),"")</f>
        <v>Midazolam</v>
      </c>
      <c r="F8699" s="251" t="str">
        <f>IF(AND(A8699&lt;&gt;"",ISNUMBER(A8699)),VLOOKUP(A8699,Studies!A:BR,6,FALSE),"")</f>
        <v>Whole Blood</v>
      </c>
      <c r="G8699" s="194">
        <v>2</v>
      </c>
      <c r="H8699" s="50" t="s">
        <v>60</v>
      </c>
      <c r="I8699" s="187">
        <v>5.4494559999999996</v>
      </c>
      <c r="J8699" s="41" t="s">
        <v>968</v>
      </c>
      <c r="K8699" s="41" t="s">
        <v>335</v>
      </c>
      <c r="L8699" s="195">
        <v>2.8413390000000001</v>
      </c>
      <c r="M8699" s="52" t="s">
        <v>968</v>
      </c>
      <c r="N8699" s="52" t="s">
        <v>117</v>
      </c>
      <c r="O8699" s="199">
        <v>1</v>
      </c>
    </row>
    <row r="8700" spans="1:16" x14ac:dyDescent="0.2">
      <c r="A8700" s="30">
        <v>2024</v>
      </c>
      <c r="B8700" s="249" t="str">
        <f>IF(AND(A8700&lt;&gt;"",ISNUMBER(A8700)),VLOOKUP(A8700,Studies!A:BR,2,FALSE),"")</f>
        <v>Quinney 2008</v>
      </c>
      <c r="C8700" s="250" t="str">
        <f>IF(AND(A8700&lt;&gt;"",ISNUMBER(A8700)),VLOOKUP(A8700,Studies!A:BR,3,FALSE),"")</f>
        <v>https://www.ncbi.nlm.nih.gov/pubmed/17635500</v>
      </c>
      <c r="D8700" s="250" t="str">
        <f>IF(AND(A8700&lt;&gt;"",ISNUMBER(A8700)),VLOOKUP(A8700,Studies!A:BR,4,FALSE),"")</f>
        <v>Control po Midazolam All</v>
      </c>
      <c r="E8700" s="250" t="str">
        <f>IF(AND(A8700&lt;&gt;"",ISNUMBER(A8700)),VLOOKUP(A8700,Studies!A:BR,5,FALSE),"")</f>
        <v>Midazolam</v>
      </c>
      <c r="F8700" s="251" t="str">
        <f>IF(AND(A8700&lt;&gt;"",ISNUMBER(A8700)),VLOOKUP(A8700,Studies!A:BR,6,FALSE),"")</f>
        <v>Whole Blood</v>
      </c>
      <c r="G8700" s="194">
        <v>2.5</v>
      </c>
      <c r="H8700" s="50" t="s">
        <v>60</v>
      </c>
      <c r="I8700" s="187">
        <v>4.300802</v>
      </c>
      <c r="J8700" s="41" t="s">
        <v>968</v>
      </c>
      <c r="K8700" s="41" t="s">
        <v>335</v>
      </c>
      <c r="L8700" s="195">
        <v>2.3847649999999998</v>
      </c>
      <c r="M8700" s="52" t="s">
        <v>968</v>
      </c>
      <c r="N8700" s="52" t="s">
        <v>117</v>
      </c>
      <c r="O8700" s="199">
        <v>1</v>
      </c>
    </row>
    <row r="8701" spans="1:16" x14ac:dyDescent="0.2">
      <c r="A8701" s="30">
        <v>2024</v>
      </c>
      <c r="B8701" s="249" t="str">
        <f>IF(AND(A8701&lt;&gt;"",ISNUMBER(A8701)),VLOOKUP(A8701,Studies!A:BR,2,FALSE),"")</f>
        <v>Quinney 2008</v>
      </c>
      <c r="C8701" s="250" t="str">
        <f>IF(AND(A8701&lt;&gt;"",ISNUMBER(A8701)),VLOOKUP(A8701,Studies!A:BR,3,FALSE),"")</f>
        <v>https://www.ncbi.nlm.nih.gov/pubmed/17635500</v>
      </c>
      <c r="D8701" s="250" t="str">
        <f>IF(AND(A8701&lt;&gt;"",ISNUMBER(A8701)),VLOOKUP(A8701,Studies!A:BR,4,FALSE),"")</f>
        <v>Control po Midazolam All</v>
      </c>
      <c r="E8701" s="250" t="str">
        <f>IF(AND(A8701&lt;&gt;"",ISNUMBER(A8701)),VLOOKUP(A8701,Studies!A:BR,5,FALSE),"")</f>
        <v>Midazolam</v>
      </c>
      <c r="F8701" s="251" t="str">
        <f>IF(AND(A8701&lt;&gt;"",ISNUMBER(A8701)),VLOOKUP(A8701,Studies!A:BR,6,FALSE),"")</f>
        <v>Whole Blood</v>
      </c>
      <c r="G8701" s="194">
        <v>3</v>
      </c>
      <c r="H8701" s="50" t="s">
        <v>60</v>
      </c>
      <c r="I8701" s="187">
        <v>3.468099</v>
      </c>
      <c r="J8701" s="41" t="s">
        <v>968</v>
      </c>
      <c r="K8701" s="41" t="s">
        <v>335</v>
      </c>
      <c r="L8701" s="195">
        <v>2.099898</v>
      </c>
      <c r="M8701" s="52" t="s">
        <v>968</v>
      </c>
      <c r="N8701" s="52" t="s">
        <v>117</v>
      </c>
      <c r="O8701" s="199">
        <v>1</v>
      </c>
    </row>
    <row r="8702" spans="1:16" x14ac:dyDescent="0.2">
      <c r="A8702" s="30">
        <v>2024</v>
      </c>
      <c r="B8702" s="249" t="str">
        <f>IF(AND(A8702&lt;&gt;"",ISNUMBER(A8702)),VLOOKUP(A8702,Studies!A:BR,2,FALSE),"")</f>
        <v>Quinney 2008</v>
      </c>
      <c r="C8702" s="250" t="str">
        <f>IF(AND(A8702&lt;&gt;"",ISNUMBER(A8702)),VLOOKUP(A8702,Studies!A:BR,3,FALSE),"")</f>
        <v>https://www.ncbi.nlm.nih.gov/pubmed/17635500</v>
      </c>
      <c r="D8702" s="250" t="str">
        <f>IF(AND(A8702&lt;&gt;"",ISNUMBER(A8702)),VLOOKUP(A8702,Studies!A:BR,4,FALSE),"")</f>
        <v>Control po Midazolam All</v>
      </c>
      <c r="E8702" s="250" t="str">
        <f>IF(AND(A8702&lt;&gt;"",ISNUMBER(A8702)),VLOOKUP(A8702,Studies!A:BR,5,FALSE),"")</f>
        <v>Midazolam</v>
      </c>
      <c r="F8702" s="251" t="str">
        <f>IF(AND(A8702&lt;&gt;"",ISNUMBER(A8702)),VLOOKUP(A8702,Studies!A:BR,6,FALSE),"")</f>
        <v>Whole Blood</v>
      </c>
      <c r="G8702" s="194">
        <v>4</v>
      </c>
      <c r="H8702" s="50" t="s">
        <v>60</v>
      </c>
      <c r="I8702" s="187">
        <v>2.707789</v>
      </c>
      <c r="J8702" s="41" t="s">
        <v>968</v>
      </c>
      <c r="K8702" s="41" t="s">
        <v>335</v>
      </c>
      <c r="L8702" s="195">
        <v>2.0303249999999999</v>
      </c>
      <c r="M8702" s="52" t="s">
        <v>968</v>
      </c>
      <c r="N8702" s="52" t="s">
        <v>117</v>
      </c>
      <c r="O8702" s="199">
        <v>1</v>
      </c>
    </row>
    <row r="8703" spans="1:16" x14ac:dyDescent="0.2">
      <c r="A8703" s="30">
        <v>2024</v>
      </c>
      <c r="B8703" s="249" t="str">
        <f>IF(AND(A8703&lt;&gt;"",ISNUMBER(A8703)),VLOOKUP(A8703,Studies!A:BR,2,FALSE),"")</f>
        <v>Quinney 2008</v>
      </c>
      <c r="C8703" s="250" t="str">
        <f>IF(AND(A8703&lt;&gt;"",ISNUMBER(A8703)),VLOOKUP(A8703,Studies!A:BR,3,FALSE),"")</f>
        <v>https://www.ncbi.nlm.nih.gov/pubmed/17635500</v>
      </c>
      <c r="D8703" s="250" t="str">
        <f>IF(AND(A8703&lt;&gt;"",ISNUMBER(A8703)),VLOOKUP(A8703,Studies!A:BR,4,FALSE),"")</f>
        <v>Control po Midazolam All</v>
      </c>
      <c r="E8703" s="250" t="str">
        <f>IF(AND(A8703&lt;&gt;"",ISNUMBER(A8703)),VLOOKUP(A8703,Studies!A:BR,5,FALSE),"")</f>
        <v>Midazolam</v>
      </c>
      <c r="F8703" s="251" t="str">
        <f>IF(AND(A8703&lt;&gt;"",ISNUMBER(A8703)),VLOOKUP(A8703,Studies!A:BR,6,FALSE),"")</f>
        <v>Whole Blood</v>
      </c>
      <c r="G8703" s="194">
        <v>6</v>
      </c>
      <c r="H8703" s="50" t="s">
        <v>60</v>
      </c>
      <c r="I8703" s="187">
        <v>1.3896170000000001</v>
      </c>
      <c r="J8703" s="41" t="s">
        <v>968</v>
      </c>
      <c r="K8703" s="41" t="s">
        <v>335</v>
      </c>
      <c r="L8703" s="195">
        <v>1.9683219999999999</v>
      </c>
      <c r="M8703" s="52" t="s">
        <v>968</v>
      </c>
      <c r="N8703" s="52" t="s">
        <v>117</v>
      </c>
      <c r="O8703" s="199">
        <v>1</v>
      </c>
    </row>
    <row r="8704" spans="1:16" x14ac:dyDescent="0.2">
      <c r="A8704" s="30">
        <v>2024</v>
      </c>
      <c r="B8704" s="249" t="str">
        <f>IF(AND(A8704&lt;&gt;"",ISNUMBER(A8704)),VLOOKUP(A8704,Studies!A:BR,2,FALSE),"")</f>
        <v>Quinney 2008</v>
      </c>
      <c r="C8704" s="250" t="str">
        <f>IF(AND(A8704&lt;&gt;"",ISNUMBER(A8704)),VLOOKUP(A8704,Studies!A:BR,3,FALSE),"")</f>
        <v>https://www.ncbi.nlm.nih.gov/pubmed/17635500</v>
      </c>
      <c r="D8704" s="250" t="str">
        <f>IF(AND(A8704&lt;&gt;"",ISNUMBER(A8704)),VLOOKUP(A8704,Studies!A:BR,4,FALSE),"")</f>
        <v>Control po Midazolam All</v>
      </c>
      <c r="E8704" s="250" t="str">
        <f>IF(AND(A8704&lt;&gt;"",ISNUMBER(A8704)),VLOOKUP(A8704,Studies!A:BR,5,FALSE),"")</f>
        <v>Midazolam</v>
      </c>
      <c r="F8704" s="251" t="str">
        <f>IF(AND(A8704&lt;&gt;"",ISNUMBER(A8704)),VLOOKUP(A8704,Studies!A:BR,6,FALSE),"")</f>
        <v>Whole Blood</v>
      </c>
      <c r="G8704" s="194">
        <v>8</v>
      </c>
      <c r="H8704" s="50" t="s">
        <v>60</v>
      </c>
      <c r="I8704" s="187">
        <v>1.30274</v>
      </c>
      <c r="J8704" s="41" t="s">
        <v>968</v>
      </c>
      <c r="K8704" s="41" t="s">
        <v>335</v>
      </c>
      <c r="L8704" s="195">
        <v>1.6168720000000001</v>
      </c>
      <c r="M8704" s="52" t="s">
        <v>968</v>
      </c>
      <c r="N8704" s="52" t="s">
        <v>117</v>
      </c>
      <c r="O8704" s="199">
        <v>1</v>
      </c>
    </row>
    <row r="8705" spans="1:16" x14ac:dyDescent="0.2">
      <c r="A8705" s="30">
        <v>2024</v>
      </c>
      <c r="B8705" s="249" t="str">
        <f>IF(AND(A8705&lt;&gt;"",ISNUMBER(A8705)),VLOOKUP(A8705,Studies!A:BR,2,FALSE),"")</f>
        <v>Quinney 2008</v>
      </c>
      <c r="C8705" s="250" t="str">
        <f>IF(AND(A8705&lt;&gt;"",ISNUMBER(A8705)),VLOOKUP(A8705,Studies!A:BR,3,FALSE),"")</f>
        <v>https://www.ncbi.nlm.nih.gov/pubmed/17635500</v>
      </c>
      <c r="D8705" s="250" t="str">
        <f>IF(AND(A8705&lt;&gt;"",ISNUMBER(A8705)),VLOOKUP(A8705,Studies!A:BR,4,FALSE),"")</f>
        <v>Control po Midazolam All</v>
      </c>
      <c r="E8705" s="250" t="str">
        <f>IF(AND(A8705&lt;&gt;"",ISNUMBER(A8705)),VLOOKUP(A8705,Studies!A:BR,5,FALSE),"")</f>
        <v>Midazolam</v>
      </c>
      <c r="F8705" s="251" t="str">
        <f>IF(AND(A8705&lt;&gt;"",ISNUMBER(A8705)),VLOOKUP(A8705,Studies!A:BR,6,FALSE),"")</f>
        <v>Whole Blood</v>
      </c>
      <c r="G8705" s="194">
        <v>10</v>
      </c>
      <c r="H8705" s="50" t="s">
        <v>60</v>
      </c>
      <c r="I8705" s="187">
        <v>0.87490449999999997</v>
      </c>
      <c r="J8705" s="41" t="s">
        <v>968</v>
      </c>
      <c r="K8705" s="41" t="s">
        <v>335</v>
      </c>
      <c r="L8705" s="195">
        <v>1.380247</v>
      </c>
      <c r="M8705" s="52" t="s">
        <v>968</v>
      </c>
      <c r="N8705" s="52" t="s">
        <v>117</v>
      </c>
      <c r="O8705" s="199">
        <v>1</v>
      </c>
    </row>
    <row r="8706" spans="1:16" x14ac:dyDescent="0.2">
      <c r="A8706" s="30">
        <v>2027</v>
      </c>
      <c r="B8706" s="249" t="str">
        <f>IF(AND(A8706&lt;&gt;"",ISNUMBER(A8706)),VLOOKUP(A8706,Studies!A:BR,2,FALSE),"")</f>
        <v>Quinney 2008</v>
      </c>
      <c r="C8706" s="250" t="str">
        <f>IF(AND(A8706&lt;&gt;"",ISNUMBER(A8706)),VLOOKUP(A8706,Studies!A:BR,3,FALSE),"")</f>
        <v>https://www.ncbi.nlm.nih.gov/pubmed/17635500</v>
      </c>
      <c r="D8706" s="250" t="str">
        <f>IF(AND(A8706&lt;&gt;"",ISNUMBER(A8706)),VLOOKUP(A8706,Studies!A:BR,4,FALSE),"")</f>
        <v>iv Midazolam All after clarithromycin</v>
      </c>
      <c r="E8706" s="250" t="str">
        <f>IF(AND(A8706&lt;&gt;"",ISNUMBER(A8706)),VLOOKUP(A8706,Studies!A:BR,5,FALSE),"")</f>
        <v>Midazolam</v>
      </c>
      <c r="F8706" s="251" t="str">
        <f>IF(AND(A8706&lt;&gt;"",ISNUMBER(A8706)),VLOOKUP(A8706,Studies!A:BR,6,FALSE),"")</f>
        <v>Whole Blood</v>
      </c>
      <c r="G8706" s="194">
        <v>146.08000000000001</v>
      </c>
      <c r="H8706" s="50" t="s">
        <v>60</v>
      </c>
      <c r="I8706" s="187">
        <v>15.815060000000001</v>
      </c>
      <c r="J8706" s="41" t="s">
        <v>968</v>
      </c>
      <c r="K8706" s="41" t="s">
        <v>335</v>
      </c>
      <c r="L8706" s="195">
        <v>11.59732</v>
      </c>
      <c r="M8706" s="52" t="s">
        <v>968</v>
      </c>
      <c r="N8706" s="52" t="s">
        <v>117</v>
      </c>
      <c r="O8706" s="199">
        <v>1</v>
      </c>
      <c r="P8706" s="42" t="s">
        <v>2648</v>
      </c>
    </row>
    <row r="8707" spans="1:16" x14ac:dyDescent="0.2">
      <c r="A8707" s="30">
        <v>2027</v>
      </c>
      <c r="B8707" s="249" t="str">
        <f>IF(AND(A8707&lt;&gt;"",ISNUMBER(A8707)),VLOOKUP(A8707,Studies!A:BR,2,FALSE),"")</f>
        <v>Quinney 2008</v>
      </c>
      <c r="C8707" s="250" t="str">
        <f>IF(AND(A8707&lt;&gt;"",ISNUMBER(A8707)),VLOOKUP(A8707,Studies!A:BR,3,FALSE),"")</f>
        <v>https://www.ncbi.nlm.nih.gov/pubmed/17635500</v>
      </c>
      <c r="D8707" s="250" t="str">
        <f>IF(AND(A8707&lt;&gt;"",ISNUMBER(A8707)),VLOOKUP(A8707,Studies!A:BR,4,FALSE),"")</f>
        <v>iv Midazolam All after clarithromycin</v>
      </c>
      <c r="E8707" s="250" t="str">
        <f>IF(AND(A8707&lt;&gt;"",ISNUMBER(A8707)),VLOOKUP(A8707,Studies!A:BR,5,FALSE),"")</f>
        <v>Midazolam</v>
      </c>
      <c r="F8707" s="251" t="str">
        <f>IF(AND(A8707&lt;&gt;"",ISNUMBER(A8707)),VLOOKUP(A8707,Studies!A:BR,6,FALSE),"")</f>
        <v>Whole Blood</v>
      </c>
      <c r="G8707" s="194">
        <v>146.25</v>
      </c>
      <c r="H8707" s="194" t="s">
        <v>60</v>
      </c>
      <c r="I8707" s="187">
        <v>33.65184</v>
      </c>
      <c r="J8707" s="41" t="s">
        <v>968</v>
      </c>
      <c r="K8707" s="41" t="s">
        <v>335</v>
      </c>
      <c r="L8707" s="195">
        <v>14.38513</v>
      </c>
      <c r="M8707" s="52" t="s">
        <v>968</v>
      </c>
      <c r="N8707" s="52" t="s">
        <v>117</v>
      </c>
      <c r="O8707" s="199">
        <v>1</v>
      </c>
    </row>
    <row r="8708" spans="1:16" x14ac:dyDescent="0.2">
      <c r="A8708" s="30">
        <v>2027</v>
      </c>
      <c r="B8708" s="249" t="str">
        <f>IF(AND(A8708&lt;&gt;"",ISNUMBER(A8708)),VLOOKUP(A8708,Studies!A:BR,2,FALSE),"")</f>
        <v>Quinney 2008</v>
      </c>
      <c r="C8708" s="250" t="str">
        <f>IF(AND(A8708&lt;&gt;"",ISNUMBER(A8708)),VLOOKUP(A8708,Studies!A:BR,3,FALSE),"")</f>
        <v>https://www.ncbi.nlm.nih.gov/pubmed/17635500</v>
      </c>
      <c r="D8708" s="250" t="str">
        <f>IF(AND(A8708&lt;&gt;"",ISNUMBER(A8708)),VLOOKUP(A8708,Studies!A:BR,4,FALSE),"")</f>
        <v>iv Midazolam All after clarithromycin</v>
      </c>
      <c r="E8708" s="250" t="str">
        <f>IF(AND(A8708&lt;&gt;"",ISNUMBER(A8708)),VLOOKUP(A8708,Studies!A:BR,5,FALSE),"")</f>
        <v>Midazolam</v>
      </c>
      <c r="F8708" s="251" t="str">
        <f>IF(AND(A8708&lt;&gt;"",ISNUMBER(A8708)),VLOOKUP(A8708,Studies!A:BR,6,FALSE),"")</f>
        <v>Whole Blood</v>
      </c>
      <c r="G8708" s="194">
        <v>146.5</v>
      </c>
      <c r="H8708" s="194" t="s">
        <v>60</v>
      </c>
      <c r="I8708" s="187">
        <v>48.568150000000003</v>
      </c>
      <c r="J8708" s="41" t="s">
        <v>968</v>
      </c>
      <c r="K8708" s="41" t="s">
        <v>335</v>
      </c>
      <c r="L8708" s="195">
        <v>14.348240000000001</v>
      </c>
      <c r="M8708" s="52" t="s">
        <v>968</v>
      </c>
      <c r="N8708" s="52" t="s">
        <v>117</v>
      </c>
      <c r="O8708" s="199">
        <v>1</v>
      </c>
    </row>
    <row r="8709" spans="1:16" x14ac:dyDescent="0.2">
      <c r="A8709" s="30">
        <v>2027</v>
      </c>
      <c r="B8709" s="249" t="str">
        <f>IF(AND(A8709&lt;&gt;"",ISNUMBER(A8709)),VLOOKUP(A8709,Studies!A:BR,2,FALSE),"")</f>
        <v>Quinney 2008</v>
      </c>
      <c r="C8709" s="250" t="str">
        <f>IF(AND(A8709&lt;&gt;"",ISNUMBER(A8709)),VLOOKUP(A8709,Studies!A:BR,3,FALSE),"")</f>
        <v>https://www.ncbi.nlm.nih.gov/pubmed/17635500</v>
      </c>
      <c r="D8709" s="250" t="str">
        <f>IF(AND(A8709&lt;&gt;"",ISNUMBER(A8709)),VLOOKUP(A8709,Studies!A:BR,4,FALSE),"")</f>
        <v>iv Midazolam All after clarithromycin</v>
      </c>
      <c r="E8709" s="250" t="str">
        <f>IF(AND(A8709&lt;&gt;"",ISNUMBER(A8709)),VLOOKUP(A8709,Studies!A:BR,5,FALSE),"")</f>
        <v>Midazolam</v>
      </c>
      <c r="F8709" s="251" t="str">
        <f>IF(AND(A8709&lt;&gt;"",ISNUMBER(A8709)),VLOOKUP(A8709,Studies!A:BR,6,FALSE),"")</f>
        <v>Whole Blood</v>
      </c>
      <c r="G8709" s="194">
        <v>146.75</v>
      </c>
      <c r="H8709" s="194" t="s">
        <v>60</v>
      </c>
      <c r="I8709" s="187">
        <v>27.42887</v>
      </c>
      <c r="J8709" s="41" t="s">
        <v>968</v>
      </c>
      <c r="K8709" s="41" t="s">
        <v>335</v>
      </c>
      <c r="L8709" s="195">
        <v>8.8779090000000007</v>
      </c>
      <c r="M8709" s="52" t="s">
        <v>968</v>
      </c>
      <c r="N8709" s="52" t="s">
        <v>117</v>
      </c>
      <c r="O8709" s="199">
        <v>1</v>
      </c>
    </row>
    <row r="8710" spans="1:16" x14ac:dyDescent="0.2">
      <c r="A8710" s="30">
        <v>2027</v>
      </c>
      <c r="B8710" s="249" t="str">
        <f>IF(AND(A8710&lt;&gt;"",ISNUMBER(A8710)),VLOOKUP(A8710,Studies!A:BR,2,FALSE),"")</f>
        <v>Quinney 2008</v>
      </c>
      <c r="C8710" s="250" t="str">
        <f>IF(AND(A8710&lt;&gt;"",ISNUMBER(A8710)),VLOOKUP(A8710,Studies!A:BR,3,FALSE),"")</f>
        <v>https://www.ncbi.nlm.nih.gov/pubmed/17635500</v>
      </c>
      <c r="D8710" s="250" t="str">
        <f>IF(AND(A8710&lt;&gt;"",ISNUMBER(A8710)),VLOOKUP(A8710,Studies!A:BR,4,FALSE),"")</f>
        <v>iv Midazolam All after clarithromycin</v>
      </c>
      <c r="E8710" s="250" t="str">
        <f>IF(AND(A8710&lt;&gt;"",ISNUMBER(A8710)),VLOOKUP(A8710,Studies!A:BR,5,FALSE),"")</f>
        <v>Midazolam</v>
      </c>
      <c r="F8710" s="251" t="str">
        <f>IF(AND(A8710&lt;&gt;"",ISNUMBER(A8710)),VLOOKUP(A8710,Studies!A:BR,6,FALSE),"")</f>
        <v>Whole Blood</v>
      </c>
      <c r="G8710" s="194">
        <v>147</v>
      </c>
      <c r="H8710" s="194" t="s">
        <v>60</v>
      </c>
      <c r="I8710" s="187">
        <v>24.897349999999999</v>
      </c>
      <c r="J8710" s="41" t="s">
        <v>968</v>
      </c>
      <c r="K8710" s="41" t="s">
        <v>335</v>
      </c>
      <c r="L8710" s="195">
        <v>8.0591159999999995</v>
      </c>
      <c r="M8710" s="52" t="s">
        <v>968</v>
      </c>
      <c r="N8710" s="52" t="s">
        <v>117</v>
      </c>
      <c r="O8710" s="199">
        <v>1</v>
      </c>
    </row>
    <row r="8711" spans="1:16" x14ac:dyDescent="0.2">
      <c r="A8711" s="30">
        <v>2027</v>
      </c>
      <c r="B8711" s="249" t="str">
        <f>IF(AND(A8711&lt;&gt;"",ISNUMBER(A8711)),VLOOKUP(A8711,Studies!A:BR,2,FALSE),"")</f>
        <v>Quinney 2008</v>
      </c>
      <c r="C8711" s="250" t="str">
        <f>IF(AND(A8711&lt;&gt;"",ISNUMBER(A8711)),VLOOKUP(A8711,Studies!A:BR,3,FALSE),"")</f>
        <v>https://www.ncbi.nlm.nih.gov/pubmed/17635500</v>
      </c>
      <c r="D8711" s="250" t="str">
        <f>IF(AND(A8711&lt;&gt;"",ISNUMBER(A8711)),VLOOKUP(A8711,Studies!A:BR,4,FALSE),"")</f>
        <v>iv Midazolam All after clarithromycin</v>
      </c>
      <c r="E8711" s="250" t="str">
        <f>IF(AND(A8711&lt;&gt;"",ISNUMBER(A8711)),VLOOKUP(A8711,Studies!A:BR,5,FALSE),"")</f>
        <v>Midazolam</v>
      </c>
      <c r="F8711" s="251" t="str">
        <f>IF(AND(A8711&lt;&gt;"",ISNUMBER(A8711)),VLOOKUP(A8711,Studies!A:BR,6,FALSE),"")</f>
        <v>Whole Blood</v>
      </c>
      <c r="G8711" s="194">
        <v>147.5</v>
      </c>
      <c r="H8711" s="194" t="s">
        <v>60</v>
      </c>
      <c r="I8711" s="187">
        <v>19.02169</v>
      </c>
      <c r="J8711" s="41" t="s">
        <v>968</v>
      </c>
      <c r="K8711" s="41" t="s">
        <v>335</v>
      </c>
      <c r="L8711" s="195">
        <v>6.7062049999999997</v>
      </c>
      <c r="M8711" s="52" t="s">
        <v>968</v>
      </c>
      <c r="N8711" s="52" t="s">
        <v>117</v>
      </c>
      <c r="O8711" s="199">
        <v>1</v>
      </c>
    </row>
    <row r="8712" spans="1:16" x14ac:dyDescent="0.2">
      <c r="A8712" s="30">
        <v>2027</v>
      </c>
      <c r="B8712" s="249" t="str">
        <f>IF(AND(A8712&lt;&gt;"",ISNUMBER(A8712)),VLOOKUP(A8712,Studies!A:BR,2,FALSE),"")</f>
        <v>Quinney 2008</v>
      </c>
      <c r="C8712" s="250" t="str">
        <f>IF(AND(A8712&lt;&gt;"",ISNUMBER(A8712)),VLOOKUP(A8712,Studies!A:BR,3,FALSE),"")</f>
        <v>https://www.ncbi.nlm.nih.gov/pubmed/17635500</v>
      </c>
      <c r="D8712" s="250" t="str">
        <f>IF(AND(A8712&lt;&gt;"",ISNUMBER(A8712)),VLOOKUP(A8712,Studies!A:BR,4,FALSE),"")</f>
        <v>iv Midazolam All after clarithromycin</v>
      </c>
      <c r="E8712" s="250" t="str">
        <f>IF(AND(A8712&lt;&gt;"",ISNUMBER(A8712)),VLOOKUP(A8712,Studies!A:BR,5,FALSE),"")</f>
        <v>Midazolam</v>
      </c>
      <c r="F8712" s="251" t="str">
        <f>IF(AND(A8712&lt;&gt;"",ISNUMBER(A8712)),VLOOKUP(A8712,Studies!A:BR,6,FALSE),"")</f>
        <v>Whole Blood</v>
      </c>
      <c r="G8712" s="194">
        <v>148</v>
      </c>
      <c r="H8712" s="194" t="s">
        <v>60</v>
      </c>
      <c r="I8712" s="187">
        <v>18.227239999999998</v>
      </c>
      <c r="J8712" s="41" t="s">
        <v>968</v>
      </c>
      <c r="K8712" s="41" t="s">
        <v>335</v>
      </c>
      <c r="L8712" s="195">
        <v>6.6930100000000001</v>
      </c>
      <c r="M8712" s="52" t="s">
        <v>968</v>
      </c>
      <c r="N8712" s="52" t="s">
        <v>117</v>
      </c>
      <c r="O8712" s="199">
        <v>1</v>
      </c>
    </row>
    <row r="8713" spans="1:16" x14ac:dyDescent="0.2">
      <c r="A8713" s="30">
        <v>2027</v>
      </c>
      <c r="B8713" s="249" t="str">
        <f>IF(AND(A8713&lt;&gt;"",ISNUMBER(A8713)),VLOOKUP(A8713,Studies!A:BR,2,FALSE),"")</f>
        <v>Quinney 2008</v>
      </c>
      <c r="C8713" s="250" t="str">
        <f>IF(AND(A8713&lt;&gt;"",ISNUMBER(A8713)),VLOOKUP(A8713,Studies!A:BR,3,FALSE),"")</f>
        <v>https://www.ncbi.nlm.nih.gov/pubmed/17635500</v>
      </c>
      <c r="D8713" s="250" t="str">
        <f>IF(AND(A8713&lt;&gt;"",ISNUMBER(A8713)),VLOOKUP(A8713,Studies!A:BR,4,FALSE),"")</f>
        <v>iv Midazolam All after clarithromycin</v>
      </c>
      <c r="E8713" s="250" t="str">
        <f>IF(AND(A8713&lt;&gt;"",ISNUMBER(A8713)),VLOOKUP(A8713,Studies!A:BR,5,FALSE),"")</f>
        <v>Midazolam</v>
      </c>
      <c r="F8713" s="251" t="str">
        <f>IF(AND(A8713&lt;&gt;"",ISNUMBER(A8713)),VLOOKUP(A8713,Studies!A:BR,6,FALSE),"")</f>
        <v>Whole Blood</v>
      </c>
      <c r="G8713" s="194">
        <v>148.5</v>
      </c>
      <c r="H8713" s="194" t="s">
        <v>60</v>
      </c>
      <c r="I8713" s="187">
        <v>15.34543</v>
      </c>
      <c r="J8713" s="41" t="s">
        <v>968</v>
      </c>
      <c r="K8713" s="41" t="s">
        <v>335</v>
      </c>
      <c r="L8713" s="195">
        <v>7.036537</v>
      </c>
      <c r="M8713" s="52" t="s">
        <v>968</v>
      </c>
      <c r="N8713" s="52" t="s">
        <v>117</v>
      </c>
      <c r="O8713" s="199">
        <v>1</v>
      </c>
    </row>
    <row r="8714" spans="1:16" x14ac:dyDescent="0.2">
      <c r="A8714" s="30">
        <v>2027</v>
      </c>
      <c r="B8714" s="249" t="str">
        <f>IF(AND(A8714&lt;&gt;"",ISNUMBER(A8714)),VLOOKUP(A8714,Studies!A:BR,2,FALSE),"")</f>
        <v>Quinney 2008</v>
      </c>
      <c r="C8714" s="250" t="str">
        <f>IF(AND(A8714&lt;&gt;"",ISNUMBER(A8714)),VLOOKUP(A8714,Studies!A:BR,3,FALSE),"")</f>
        <v>https://www.ncbi.nlm.nih.gov/pubmed/17635500</v>
      </c>
      <c r="D8714" s="250" t="str">
        <f>IF(AND(A8714&lt;&gt;"",ISNUMBER(A8714)),VLOOKUP(A8714,Studies!A:BR,4,FALSE),"")</f>
        <v>iv Midazolam All after clarithromycin</v>
      </c>
      <c r="E8714" s="250" t="str">
        <f>IF(AND(A8714&lt;&gt;"",ISNUMBER(A8714)),VLOOKUP(A8714,Studies!A:BR,5,FALSE),"")</f>
        <v>Midazolam</v>
      </c>
      <c r="F8714" s="251" t="str">
        <f>IF(AND(A8714&lt;&gt;"",ISNUMBER(A8714)),VLOOKUP(A8714,Studies!A:BR,6,FALSE),"")</f>
        <v>Whole Blood</v>
      </c>
      <c r="G8714" s="194">
        <v>149</v>
      </c>
      <c r="H8714" s="194" t="s">
        <v>60</v>
      </c>
      <c r="I8714" s="187">
        <v>15.18727</v>
      </c>
      <c r="J8714" s="41" t="s">
        <v>968</v>
      </c>
      <c r="K8714" s="41" t="s">
        <v>335</v>
      </c>
      <c r="L8714" s="195">
        <v>5.3543580000000004</v>
      </c>
      <c r="M8714" s="52" t="s">
        <v>968</v>
      </c>
      <c r="N8714" s="52" t="s">
        <v>117</v>
      </c>
      <c r="O8714" s="199">
        <v>1</v>
      </c>
    </row>
    <row r="8715" spans="1:16" x14ac:dyDescent="0.2">
      <c r="A8715" s="30">
        <v>2027</v>
      </c>
      <c r="B8715" s="249" t="str">
        <f>IF(AND(A8715&lt;&gt;"",ISNUMBER(A8715)),VLOOKUP(A8715,Studies!A:BR,2,FALSE),"")</f>
        <v>Quinney 2008</v>
      </c>
      <c r="C8715" s="250" t="str">
        <f>IF(AND(A8715&lt;&gt;"",ISNUMBER(A8715)),VLOOKUP(A8715,Studies!A:BR,3,FALSE),"")</f>
        <v>https://www.ncbi.nlm.nih.gov/pubmed/17635500</v>
      </c>
      <c r="D8715" s="250" t="str">
        <f>IF(AND(A8715&lt;&gt;"",ISNUMBER(A8715)),VLOOKUP(A8715,Studies!A:BR,4,FALSE),"")</f>
        <v>iv Midazolam All after clarithromycin</v>
      </c>
      <c r="E8715" s="250" t="str">
        <f>IF(AND(A8715&lt;&gt;"",ISNUMBER(A8715)),VLOOKUP(A8715,Studies!A:BR,5,FALSE),"")</f>
        <v>Midazolam</v>
      </c>
      <c r="F8715" s="251" t="str">
        <f>IF(AND(A8715&lt;&gt;"",ISNUMBER(A8715)),VLOOKUP(A8715,Studies!A:BR,6,FALSE),"")</f>
        <v>Whole Blood</v>
      </c>
      <c r="G8715" s="194">
        <v>150</v>
      </c>
      <c r="H8715" s="194" t="s">
        <v>60</v>
      </c>
      <c r="I8715" s="187">
        <v>13.355650000000001</v>
      </c>
      <c r="J8715" s="41" t="s">
        <v>968</v>
      </c>
      <c r="K8715" s="41" t="s">
        <v>335</v>
      </c>
      <c r="L8715" s="195">
        <v>4.3231469999999996</v>
      </c>
      <c r="M8715" s="52" t="s">
        <v>968</v>
      </c>
      <c r="N8715" s="52" t="s">
        <v>117</v>
      </c>
      <c r="O8715" s="199">
        <v>1</v>
      </c>
    </row>
    <row r="8716" spans="1:16" x14ac:dyDescent="0.2">
      <c r="A8716" s="30">
        <v>2027</v>
      </c>
      <c r="B8716" s="249" t="str">
        <f>IF(AND(A8716&lt;&gt;"",ISNUMBER(A8716)),VLOOKUP(A8716,Studies!A:BR,2,FALSE),"")</f>
        <v>Quinney 2008</v>
      </c>
      <c r="C8716" s="250" t="str">
        <f>IF(AND(A8716&lt;&gt;"",ISNUMBER(A8716)),VLOOKUP(A8716,Studies!A:BR,3,FALSE),"")</f>
        <v>https://www.ncbi.nlm.nih.gov/pubmed/17635500</v>
      </c>
      <c r="D8716" s="250" t="str">
        <f>IF(AND(A8716&lt;&gt;"",ISNUMBER(A8716)),VLOOKUP(A8716,Studies!A:BR,4,FALSE),"")</f>
        <v>iv Midazolam All after clarithromycin</v>
      </c>
      <c r="E8716" s="250" t="str">
        <f>IF(AND(A8716&lt;&gt;"",ISNUMBER(A8716)),VLOOKUP(A8716,Studies!A:BR,5,FALSE),"")</f>
        <v>Midazolam</v>
      </c>
      <c r="F8716" s="251" t="str">
        <f>IF(AND(A8716&lt;&gt;"",ISNUMBER(A8716)),VLOOKUP(A8716,Studies!A:BR,6,FALSE),"")</f>
        <v>Whole Blood</v>
      </c>
      <c r="G8716" s="194">
        <v>152</v>
      </c>
      <c r="H8716" s="194" t="s">
        <v>60</v>
      </c>
      <c r="I8716" s="187">
        <v>9.4748669999999997</v>
      </c>
      <c r="J8716" s="41" t="s">
        <v>968</v>
      </c>
      <c r="K8716" s="41" t="s">
        <v>335</v>
      </c>
      <c r="L8716" s="195">
        <v>2.6674470000000001</v>
      </c>
      <c r="M8716" s="52" t="s">
        <v>968</v>
      </c>
      <c r="N8716" s="52" t="s">
        <v>117</v>
      </c>
      <c r="O8716" s="199">
        <v>1</v>
      </c>
    </row>
    <row r="8717" spans="1:16" x14ac:dyDescent="0.2">
      <c r="A8717" s="30">
        <v>2027</v>
      </c>
      <c r="B8717" s="249" t="str">
        <f>IF(AND(A8717&lt;&gt;"",ISNUMBER(A8717)),VLOOKUP(A8717,Studies!A:BR,2,FALSE),"")</f>
        <v>Quinney 2008</v>
      </c>
      <c r="C8717" s="250" t="str">
        <f>IF(AND(A8717&lt;&gt;"",ISNUMBER(A8717)),VLOOKUP(A8717,Studies!A:BR,3,FALSE),"")</f>
        <v>https://www.ncbi.nlm.nih.gov/pubmed/17635500</v>
      </c>
      <c r="D8717" s="250" t="str">
        <f>IF(AND(A8717&lt;&gt;"",ISNUMBER(A8717)),VLOOKUP(A8717,Studies!A:BR,4,FALSE),"")</f>
        <v>iv Midazolam All after clarithromycin</v>
      </c>
      <c r="E8717" s="250" t="str">
        <f>IF(AND(A8717&lt;&gt;"",ISNUMBER(A8717)),VLOOKUP(A8717,Studies!A:BR,5,FALSE),"")</f>
        <v>Midazolam</v>
      </c>
      <c r="F8717" s="251" t="str">
        <f>IF(AND(A8717&lt;&gt;"",ISNUMBER(A8717)),VLOOKUP(A8717,Studies!A:BR,6,FALSE),"")</f>
        <v>Whole Blood</v>
      </c>
      <c r="G8717" s="194">
        <v>154</v>
      </c>
      <c r="H8717" s="194" t="s">
        <v>60</v>
      </c>
      <c r="I8717" s="187">
        <v>8.5215370000000004</v>
      </c>
      <c r="J8717" s="41" t="s">
        <v>968</v>
      </c>
      <c r="K8717" s="41" t="s">
        <v>335</v>
      </c>
      <c r="L8717" s="195">
        <v>2.5174720000000002</v>
      </c>
      <c r="M8717" s="52" t="s">
        <v>968</v>
      </c>
      <c r="N8717" s="52" t="s">
        <v>117</v>
      </c>
      <c r="O8717" s="199">
        <v>1</v>
      </c>
    </row>
    <row r="8718" spans="1:16" x14ac:dyDescent="0.2">
      <c r="A8718" s="30">
        <v>2027</v>
      </c>
      <c r="B8718" s="249" t="str">
        <f>IF(AND(A8718&lt;&gt;"",ISNUMBER(A8718)),VLOOKUP(A8718,Studies!A:BR,2,FALSE),"")</f>
        <v>Quinney 2008</v>
      </c>
      <c r="C8718" s="250" t="str">
        <f>IF(AND(A8718&lt;&gt;"",ISNUMBER(A8718)),VLOOKUP(A8718,Studies!A:BR,3,FALSE),"")</f>
        <v>https://www.ncbi.nlm.nih.gov/pubmed/17635500</v>
      </c>
      <c r="D8718" s="250" t="str">
        <f>IF(AND(A8718&lt;&gt;"",ISNUMBER(A8718)),VLOOKUP(A8718,Studies!A:BR,4,FALSE),"")</f>
        <v>iv Midazolam All after clarithromycin</v>
      </c>
      <c r="E8718" s="250" t="str">
        <f>IF(AND(A8718&lt;&gt;"",ISNUMBER(A8718)),VLOOKUP(A8718,Studies!A:BR,5,FALSE),"")</f>
        <v>Midazolam</v>
      </c>
      <c r="F8718" s="251" t="str">
        <f>IF(AND(A8718&lt;&gt;"",ISNUMBER(A8718)),VLOOKUP(A8718,Studies!A:BR,6,FALSE),"")</f>
        <v>Whole Blood</v>
      </c>
      <c r="G8718" s="194">
        <v>156</v>
      </c>
      <c r="H8718" s="194" t="s">
        <v>60</v>
      </c>
      <c r="I8718" s="187">
        <v>7.5819140000000003</v>
      </c>
      <c r="J8718" s="41" t="s">
        <v>968</v>
      </c>
      <c r="K8718" s="41" t="s">
        <v>335</v>
      </c>
      <c r="L8718" s="195">
        <v>2.7840630000000002</v>
      </c>
      <c r="M8718" s="52" t="s">
        <v>968</v>
      </c>
      <c r="N8718" s="52" t="s">
        <v>117</v>
      </c>
      <c r="O8718" s="199">
        <v>1</v>
      </c>
    </row>
    <row r="8719" spans="1:16" x14ac:dyDescent="0.2">
      <c r="A8719" s="30">
        <v>2027</v>
      </c>
      <c r="B8719" s="249" t="str">
        <f>IF(AND(A8719&lt;&gt;"",ISNUMBER(A8719)),VLOOKUP(A8719,Studies!A:BR,2,FALSE),"")</f>
        <v>Quinney 2008</v>
      </c>
      <c r="C8719" s="250" t="str">
        <f>IF(AND(A8719&lt;&gt;"",ISNUMBER(A8719)),VLOOKUP(A8719,Studies!A:BR,3,FALSE),"")</f>
        <v>https://www.ncbi.nlm.nih.gov/pubmed/17635500</v>
      </c>
      <c r="D8719" s="250" t="str">
        <f>IF(AND(A8719&lt;&gt;"",ISNUMBER(A8719)),VLOOKUP(A8719,Studies!A:BR,4,FALSE),"")</f>
        <v>iv Midazolam All after clarithromycin</v>
      </c>
      <c r="E8719" s="250" t="str">
        <f>IF(AND(A8719&lt;&gt;"",ISNUMBER(A8719)),VLOOKUP(A8719,Studies!A:BR,5,FALSE),"")</f>
        <v>Midazolam</v>
      </c>
      <c r="F8719" s="251" t="str">
        <f>IF(AND(A8719&lt;&gt;"",ISNUMBER(A8719)),VLOOKUP(A8719,Studies!A:BR,6,FALSE),"")</f>
        <v>Whole Blood</v>
      </c>
      <c r="G8719" s="194">
        <v>158</v>
      </c>
      <c r="H8719" s="194" t="s">
        <v>60</v>
      </c>
      <c r="I8719" s="187">
        <v>6.8191670000000002</v>
      </c>
      <c r="J8719" s="41" t="s">
        <v>968</v>
      </c>
      <c r="K8719" s="41" t="s">
        <v>335</v>
      </c>
      <c r="L8719" s="195">
        <v>2.503819</v>
      </c>
      <c r="M8719" s="52" t="s">
        <v>968</v>
      </c>
      <c r="N8719" s="52" t="s">
        <v>117</v>
      </c>
      <c r="O8719" s="199">
        <v>1</v>
      </c>
    </row>
    <row r="8720" spans="1:16" x14ac:dyDescent="0.2">
      <c r="A8720" s="30">
        <v>2030</v>
      </c>
      <c r="B8720" s="249" t="str">
        <f>IF(AND(A8720&lt;&gt;"",ISNUMBER(A8720)),VLOOKUP(A8720,Studies!A:BR,2,FALSE),"")</f>
        <v>Quinney 2008</v>
      </c>
      <c r="C8720" s="250" t="str">
        <f>IF(AND(A8720&lt;&gt;"",ISNUMBER(A8720)),VLOOKUP(A8720,Studies!A:BR,3,FALSE),"")</f>
        <v>https://www.ncbi.nlm.nih.gov/pubmed/17635500</v>
      </c>
      <c r="D8720" s="250" t="str">
        <f>IF(AND(A8720&lt;&gt;"",ISNUMBER(A8720)),VLOOKUP(A8720,Studies!A:BR,4,FALSE),"")</f>
        <v>po Midazolam All after clarithromycin</v>
      </c>
      <c r="E8720" s="250" t="str">
        <f>IF(AND(A8720&lt;&gt;"",ISNUMBER(A8720)),VLOOKUP(A8720,Studies!A:BR,5,FALSE),"")</f>
        <v>Midazolam</v>
      </c>
      <c r="F8720" s="251" t="str">
        <f>IF(AND(A8720&lt;&gt;"",ISNUMBER(A8720)),VLOOKUP(A8720,Studies!A:BR,6,FALSE),"")</f>
        <v>Whole Blood</v>
      </c>
      <c r="G8720" s="194">
        <v>146.25</v>
      </c>
      <c r="H8720" s="194" t="s">
        <v>60</v>
      </c>
      <c r="I8720" s="187">
        <v>13.0274</v>
      </c>
      <c r="J8720" s="41" t="s">
        <v>968</v>
      </c>
      <c r="K8720" s="41" t="s">
        <v>335</v>
      </c>
      <c r="L8720" s="195">
        <v>10.515890000000001</v>
      </c>
      <c r="M8720" s="52" t="s">
        <v>968</v>
      </c>
      <c r="N8720" s="52" t="s">
        <v>117</v>
      </c>
      <c r="O8720" s="199">
        <v>1</v>
      </c>
      <c r="P8720" s="42" t="s">
        <v>2649</v>
      </c>
    </row>
    <row r="8721" spans="1:16" x14ac:dyDescent="0.2">
      <c r="A8721" s="30">
        <v>2030</v>
      </c>
      <c r="B8721" s="249" t="str">
        <f>IF(AND(A8721&lt;&gt;"",ISNUMBER(A8721)),VLOOKUP(A8721,Studies!A:BR,2,FALSE),"")</f>
        <v>Quinney 2008</v>
      </c>
      <c r="C8721" s="250" t="str">
        <f>IF(AND(A8721&lt;&gt;"",ISNUMBER(A8721)),VLOOKUP(A8721,Studies!A:BR,3,FALSE),"")</f>
        <v>https://www.ncbi.nlm.nih.gov/pubmed/17635500</v>
      </c>
      <c r="D8721" s="250" t="str">
        <f>IF(AND(A8721&lt;&gt;"",ISNUMBER(A8721)),VLOOKUP(A8721,Studies!A:BR,4,FALSE),"")</f>
        <v>po Midazolam All after clarithromycin</v>
      </c>
      <c r="E8721" s="250" t="str">
        <f>IF(AND(A8721&lt;&gt;"",ISNUMBER(A8721)),VLOOKUP(A8721,Studies!A:BR,5,FALSE),"")</f>
        <v>Midazolam</v>
      </c>
      <c r="F8721" s="251" t="str">
        <f>IF(AND(A8721&lt;&gt;"",ISNUMBER(A8721)),VLOOKUP(A8721,Studies!A:BR,6,FALSE),"")</f>
        <v>Whole Blood</v>
      </c>
      <c r="G8721" s="194">
        <v>146.5</v>
      </c>
      <c r="H8721" s="194" t="s">
        <v>60</v>
      </c>
      <c r="I8721" s="187">
        <v>23.797979999999999</v>
      </c>
      <c r="J8721" s="41" t="s">
        <v>968</v>
      </c>
      <c r="K8721" s="41" t="s">
        <v>335</v>
      </c>
      <c r="L8721" s="195">
        <v>10.14467</v>
      </c>
      <c r="M8721" s="52" t="s">
        <v>968</v>
      </c>
      <c r="N8721" s="52" t="s">
        <v>117</v>
      </c>
      <c r="O8721" s="199">
        <v>1</v>
      </c>
    </row>
    <row r="8722" spans="1:16" x14ac:dyDescent="0.2">
      <c r="A8722" s="30">
        <v>2030</v>
      </c>
      <c r="B8722" s="249" t="str">
        <f>IF(AND(A8722&lt;&gt;"",ISNUMBER(A8722)),VLOOKUP(A8722,Studies!A:BR,2,FALSE),"")</f>
        <v>Quinney 2008</v>
      </c>
      <c r="C8722" s="250" t="str">
        <f>IF(AND(A8722&lt;&gt;"",ISNUMBER(A8722)),VLOOKUP(A8722,Studies!A:BR,3,FALSE),"")</f>
        <v>https://www.ncbi.nlm.nih.gov/pubmed/17635500</v>
      </c>
      <c r="D8722" s="250" t="str">
        <f>IF(AND(A8722&lt;&gt;"",ISNUMBER(A8722)),VLOOKUP(A8722,Studies!A:BR,4,FALSE),"")</f>
        <v>po Midazolam All after clarithromycin</v>
      </c>
      <c r="E8722" s="250" t="str">
        <f>IF(AND(A8722&lt;&gt;"",ISNUMBER(A8722)),VLOOKUP(A8722,Studies!A:BR,5,FALSE),"")</f>
        <v>Midazolam</v>
      </c>
      <c r="F8722" s="251" t="str">
        <f>IF(AND(A8722&lt;&gt;"",ISNUMBER(A8722)),VLOOKUP(A8722,Studies!A:BR,6,FALSE),"")</f>
        <v>Whole Blood</v>
      </c>
      <c r="G8722" s="194">
        <v>146.75</v>
      </c>
      <c r="H8722" s="194" t="s">
        <v>60</v>
      </c>
      <c r="I8722" s="187">
        <v>19.819870000000002</v>
      </c>
      <c r="J8722" s="41" t="s">
        <v>968</v>
      </c>
      <c r="K8722" s="41" t="s">
        <v>335</v>
      </c>
      <c r="L8722" s="195">
        <v>8.1463359999999998</v>
      </c>
      <c r="M8722" s="52" t="s">
        <v>968</v>
      </c>
      <c r="N8722" s="52" t="s">
        <v>117</v>
      </c>
      <c r="O8722" s="199">
        <v>1</v>
      </c>
    </row>
    <row r="8723" spans="1:16" x14ac:dyDescent="0.2">
      <c r="A8723" s="30">
        <v>2030</v>
      </c>
      <c r="B8723" s="249" t="str">
        <f>IF(AND(A8723&lt;&gt;"",ISNUMBER(A8723)),VLOOKUP(A8723,Studies!A:BR,2,FALSE),"")</f>
        <v>Quinney 2008</v>
      </c>
      <c r="C8723" s="250" t="str">
        <f>IF(AND(A8723&lt;&gt;"",ISNUMBER(A8723)),VLOOKUP(A8723,Studies!A:BR,3,FALSE),"")</f>
        <v>https://www.ncbi.nlm.nih.gov/pubmed/17635500</v>
      </c>
      <c r="D8723" s="250" t="str">
        <f>IF(AND(A8723&lt;&gt;"",ISNUMBER(A8723)),VLOOKUP(A8723,Studies!A:BR,4,FALSE),"")</f>
        <v>po Midazolam All after clarithromycin</v>
      </c>
      <c r="E8723" s="250" t="str">
        <f>IF(AND(A8723&lt;&gt;"",ISNUMBER(A8723)),VLOOKUP(A8723,Studies!A:BR,5,FALSE),"")</f>
        <v>Midazolam</v>
      </c>
      <c r="F8723" s="251" t="str">
        <f>IF(AND(A8723&lt;&gt;"",ISNUMBER(A8723)),VLOOKUP(A8723,Studies!A:BR,6,FALSE),"")</f>
        <v>Whole Blood</v>
      </c>
      <c r="G8723" s="194">
        <v>147</v>
      </c>
      <c r="H8723" s="194" t="s">
        <v>60</v>
      </c>
      <c r="I8723" s="187">
        <v>19.19032</v>
      </c>
      <c r="J8723" s="41" t="s">
        <v>968</v>
      </c>
      <c r="K8723" s="41" t="s">
        <v>335</v>
      </c>
      <c r="L8723" s="195">
        <v>6.4693110000000003</v>
      </c>
      <c r="M8723" s="52" t="s">
        <v>968</v>
      </c>
      <c r="N8723" s="52" t="s">
        <v>117</v>
      </c>
      <c r="O8723" s="199">
        <v>1</v>
      </c>
    </row>
    <row r="8724" spans="1:16" x14ac:dyDescent="0.2">
      <c r="A8724" s="30">
        <v>2030</v>
      </c>
      <c r="B8724" s="249" t="str">
        <f>IF(AND(A8724&lt;&gt;"",ISNUMBER(A8724)),VLOOKUP(A8724,Studies!A:BR,2,FALSE),"")</f>
        <v>Quinney 2008</v>
      </c>
      <c r="C8724" s="250" t="str">
        <f>IF(AND(A8724&lt;&gt;"",ISNUMBER(A8724)),VLOOKUP(A8724,Studies!A:BR,3,FALSE),"")</f>
        <v>https://www.ncbi.nlm.nih.gov/pubmed/17635500</v>
      </c>
      <c r="D8724" s="250" t="str">
        <f>IF(AND(A8724&lt;&gt;"",ISNUMBER(A8724)),VLOOKUP(A8724,Studies!A:BR,4,FALSE),"")</f>
        <v>po Midazolam All after clarithromycin</v>
      </c>
      <c r="E8724" s="250" t="str">
        <f>IF(AND(A8724&lt;&gt;"",ISNUMBER(A8724)),VLOOKUP(A8724,Studies!A:BR,5,FALSE),"")</f>
        <v>Midazolam</v>
      </c>
      <c r="F8724" s="251" t="str">
        <f>IF(AND(A8724&lt;&gt;"",ISNUMBER(A8724)),VLOOKUP(A8724,Studies!A:BR,6,FALSE),"")</f>
        <v>Whole Blood</v>
      </c>
      <c r="G8724" s="194">
        <v>147.5</v>
      </c>
      <c r="H8724" s="194" t="s">
        <v>60</v>
      </c>
      <c r="I8724" s="187">
        <v>19.19032</v>
      </c>
      <c r="J8724" s="41" t="s">
        <v>968</v>
      </c>
      <c r="K8724" s="41" t="s">
        <v>335</v>
      </c>
      <c r="L8724" s="195">
        <v>5.9230270000000003</v>
      </c>
      <c r="M8724" s="52" t="s">
        <v>968</v>
      </c>
      <c r="N8724" s="52" t="s">
        <v>117</v>
      </c>
      <c r="O8724" s="199">
        <v>1</v>
      </c>
    </row>
    <row r="8725" spans="1:16" x14ac:dyDescent="0.2">
      <c r="A8725" s="30">
        <v>2030</v>
      </c>
      <c r="B8725" s="249" t="str">
        <f>IF(AND(A8725&lt;&gt;"",ISNUMBER(A8725)),VLOOKUP(A8725,Studies!A:BR,2,FALSE),"")</f>
        <v>Quinney 2008</v>
      </c>
      <c r="C8725" s="250" t="str">
        <f>IF(AND(A8725&lt;&gt;"",ISNUMBER(A8725)),VLOOKUP(A8725,Studies!A:BR,3,FALSE),"")</f>
        <v>https://www.ncbi.nlm.nih.gov/pubmed/17635500</v>
      </c>
      <c r="D8725" s="250" t="str">
        <f>IF(AND(A8725&lt;&gt;"",ISNUMBER(A8725)),VLOOKUP(A8725,Studies!A:BR,4,FALSE),"")</f>
        <v>po Midazolam All after clarithromycin</v>
      </c>
      <c r="E8725" s="250" t="str">
        <f>IF(AND(A8725&lt;&gt;"",ISNUMBER(A8725)),VLOOKUP(A8725,Studies!A:BR,5,FALSE),"")</f>
        <v>Midazolam</v>
      </c>
      <c r="F8725" s="251" t="str">
        <f>IF(AND(A8725&lt;&gt;"",ISNUMBER(A8725)),VLOOKUP(A8725,Studies!A:BR,6,FALSE),"")</f>
        <v>Whole Blood</v>
      </c>
      <c r="G8725" s="194">
        <v>148</v>
      </c>
      <c r="H8725" s="194" t="s">
        <v>60</v>
      </c>
      <c r="I8725" s="187">
        <v>16.685320000000001</v>
      </c>
      <c r="J8725" s="41" t="s">
        <v>968</v>
      </c>
      <c r="K8725" s="41" t="s">
        <v>335</v>
      </c>
      <c r="L8725" s="195">
        <v>4.0062030000000002</v>
      </c>
      <c r="M8725" s="52" t="s">
        <v>968</v>
      </c>
      <c r="N8725" s="52" t="s">
        <v>117</v>
      </c>
      <c r="O8725" s="199">
        <v>1</v>
      </c>
    </row>
    <row r="8726" spans="1:16" x14ac:dyDescent="0.2">
      <c r="A8726" s="30">
        <v>2030</v>
      </c>
      <c r="B8726" s="249" t="str">
        <f>IF(AND(A8726&lt;&gt;"",ISNUMBER(A8726)),VLOOKUP(A8726,Studies!A:BR,2,FALSE),"")</f>
        <v>Quinney 2008</v>
      </c>
      <c r="C8726" s="250" t="str">
        <f>IF(AND(A8726&lt;&gt;"",ISNUMBER(A8726)),VLOOKUP(A8726,Studies!A:BR,3,FALSE),"")</f>
        <v>https://www.ncbi.nlm.nih.gov/pubmed/17635500</v>
      </c>
      <c r="D8726" s="250" t="str">
        <f>IF(AND(A8726&lt;&gt;"",ISNUMBER(A8726)),VLOOKUP(A8726,Studies!A:BR,4,FALSE),"")</f>
        <v>po Midazolam All after clarithromycin</v>
      </c>
      <c r="E8726" s="250" t="str">
        <f>IF(AND(A8726&lt;&gt;"",ISNUMBER(A8726)),VLOOKUP(A8726,Studies!A:BR,5,FALSE),"")</f>
        <v>Midazolam</v>
      </c>
      <c r="F8726" s="251" t="str">
        <f>IF(AND(A8726&lt;&gt;"",ISNUMBER(A8726)),VLOOKUP(A8726,Studies!A:BR,6,FALSE),"")</f>
        <v>Whole Blood</v>
      </c>
      <c r="G8726" s="194">
        <v>148.5</v>
      </c>
      <c r="H8726" s="194" t="s">
        <v>60</v>
      </c>
      <c r="I8726" s="187">
        <v>15.64217</v>
      </c>
      <c r="J8726" s="41" t="s">
        <v>968</v>
      </c>
      <c r="K8726" s="41" t="s">
        <v>335</v>
      </c>
      <c r="L8726" s="195">
        <v>3.5481470000000002</v>
      </c>
      <c r="M8726" s="52" t="s">
        <v>968</v>
      </c>
      <c r="N8726" s="52" t="s">
        <v>117</v>
      </c>
      <c r="O8726" s="199">
        <v>1</v>
      </c>
    </row>
    <row r="8727" spans="1:16" x14ac:dyDescent="0.2">
      <c r="A8727" s="30">
        <v>2030</v>
      </c>
      <c r="B8727" s="249" t="str">
        <f>IF(AND(A8727&lt;&gt;"",ISNUMBER(A8727)),VLOOKUP(A8727,Studies!A:BR,2,FALSE),"")</f>
        <v>Quinney 2008</v>
      </c>
      <c r="C8727" s="250" t="str">
        <f>IF(AND(A8727&lt;&gt;"",ISNUMBER(A8727)),VLOOKUP(A8727,Studies!A:BR,3,FALSE),"")</f>
        <v>https://www.ncbi.nlm.nih.gov/pubmed/17635500</v>
      </c>
      <c r="D8727" s="250" t="str">
        <f>IF(AND(A8727&lt;&gt;"",ISNUMBER(A8727)),VLOOKUP(A8727,Studies!A:BR,4,FALSE),"")</f>
        <v>po Midazolam All after clarithromycin</v>
      </c>
      <c r="E8727" s="250" t="str">
        <f>IF(AND(A8727&lt;&gt;"",ISNUMBER(A8727)),VLOOKUP(A8727,Studies!A:BR,5,FALSE),"")</f>
        <v>Midazolam</v>
      </c>
      <c r="F8727" s="251" t="str">
        <f>IF(AND(A8727&lt;&gt;"",ISNUMBER(A8727)),VLOOKUP(A8727,Studies!A:BR,6,FALSE),"")</f>
        <v>Whole Blood</v>
      </c>
      <c r="G8727" s="194">
        <v>149</v>
      </c>
      <c r="H8727" s="194" t="s">
        <v>60</v>
      </c>
      <c r="I8727" s="187">
        <v>13.89617</v>
      </c>
      <c r="J8727" s="41" t="s">
        <v>968</v>
      </c>
      <c r="K8727" s="41" t="s">
        <v>335</v>
      </c>
      <c r="L8727" s="195">
        <v>4.0943949999999996</v>
      </c>
      <c r="M8727" s="52" t="s">
        <v>968</v>
      </c>
      <c r="N8727" s="52" t="s">
        <v>117</v>
      </c>
      <c r="O8727" s="199">
        <v>1</v>
      </c>
    </row>
    <row r="8728" spans="1:16" x14ac:dyDescent="0.2">
      <c r="A8728" s="30">
        <v>2030</v>
      </c>
      <c r="B8728" s="249" t="str">
        <f>IF(AND(A8728&lt;&gt;"",ISNUMBER(A8728)),VLOOKUP(A8728,Studies!A:BR,2,FALSE),"")</f>
        <v>Quinney 2008</v>
      </c>
      <c r="C8728" s="250" t="str">
        <f>IF(AND(A8728&lt;&gt;"",ISNUMBER(A8728)),VLOOKUP(A8728,Studies!A:BR,3,FALSE),"")</f>
        <v>https://www.ncbi.nlm.nih.gov/pubmed/17635500</v>
      </c>
      <c r="D8728" s="250" t="str">
        <f>IF(AND(A8728&lt;&gt;"",ISNUMBER(A8728)),VLOOKUP(A8728,Studies!A:BR,4,FALSE),"")</f>
        <v>po Midazolam All after clarithromycin</v>
      </c>
      <c r="E8728" s="250" t="str">
        <f>IF(AND(A8728&lt;&gt;"",ISNUMBER(A8728)),VLOOKUP(A8728,Studies!A:BR,5,FALSE),"")</f>
        <v>Midazolam</v>
      </c>
      <c r="F8728" s="251" t="str">
        <f>IF(AND(A8728&lt;&gt;"",ISNUMBER(A8728)),VLOOKUP(A8728,Studies!A:BR,6,FALSE),"")</f>
        <v>Whole Blood</v>
      </c>
      <c r="G8728" s="194">
        <v>150</v>
      </c>
      <c r="H8728" s="194" t="s">
        <v>60</v>
      </c>
      <c r="I8728" s="187">
        <v>12.34507</v>
      </c>
      <c r="J8728" s="41" t="s">
        <v>968</v>
      </c>
      <c r="K8728" s="41" t="s">
        <v>335</v>
      </c>
      <c r="L8728" s="195">
        <v>3.6373630000000001</v>
      </c>
      <c r="M8728" s="52" t="s">
        <v>968</v>
      </c>
      <c r="N8728" s="52" t="s">
        <v>117</v>
      </c>
      <c r="O8728" s="199">
        <v>1</v>
      </c>
    </row>
    <row r="8729" spans="1:16" x14ac:dyDescent="0.2">
      <c r="A8729" s="30">
        <v>2030</v>
      </c>
      <c r="B8729" s="249" t="str">
        <f>IF(AND(A8729&lt;&gt;"",ISNUMBER(A8729)),VLOOKUP(A8729,Studies!A:BR,2,FALSE),"")</f>
        <v>Quinney 2008</v>
      </c>
      <c r="C8729" s="250" t="str">
        <f>IF(AND(A8729&lt;&gt;"",ISNUMBER(A8729)),VLOOKUP(A8729,Studies!A:BR,3,FALSE),"")</f>
        <v>https://www.ncbi.nlm.nih.gov/pubmed/17635500</v>
      </c>
      <c r="D8729" s="250" t="str">
        <f>IF(AND(A8729&lt;&gt;"",ISNUMBER(A8729)),VLOOKUP(A8729,Studies!A:BR,4,FALSE),"")</f>
        <v>po Midazolam All after clarithromycin</v>
      </c>
      <c r="E8729" s="250" t="str">
        <f>IF(AND(A8729&lt;&gt;"",ISNUMBER(A8729)),VLOOKUP(A8729,Studies!A:BR,5,FALSE),"")</f>
        <v>Midazolam</v>
      </c>
      <c r="F8729" s="251" t="str">
        <f>IF(AND(A8729&lt;&gt;"",ISNUMBER(A8729)),VLOOKUP(A8729,Studies!A:BR,6,FALSE),"")</f>
        <v>Whole Blood</v>
      </c>
      <c r="G8729" s="194">
        <v>152</v>
      </c>
      <c r="H8729" s="194" t="s">
        <v>60</v>
      </c>
      <c r="I8729" s="187">
        <v>8.2907949999999992</v>
      </c>
      <c r="J8729" s="41" t="s">
        <v>968</v>
      </c>
      <c r="K8729" s="41" t="s">
        <v>335</v>
      </c>
      <c r="L8729" s="195">
        <v>3.40767</v>
      </c>
      <c r="M8729" s="52" t="s">
        <v>968</v>
      </c>
      <c r="N8729" s="52" t="s">
        <v>117</v>
      </c>
      <c r="O8729" s="199">
        <v>1</v>
      </c>
    </row>
    <row r="8730" spans="1:16" x14ac:dyDescent="0.2">
      <c r="A8730" s="30">
        <v>2030</v>
      </c>
      <c r="B8730" s="249" t="str">
        <f>IF(AND(A8730&lt;&gt;"",ISNUMBER(A8730)),VLOOKUP(A8730,Studies!A:BR,2,FALSE),"")</f>
        <v>Quinney 2008</v>
      </c>
      <c r="C8730" s="250" t="str">
        <f>IF(AND(A8730&lt;&gt;"",ISNUMBER(A8730)),VLOOKUP(A8730,Studies!A:BR,3,FALSE),"")</f>
        <v>https://www.ncbi.nlm.nih.gov/pubmed/17635500</v>
      </c>
      <c r="D8730" s="250" t="str">
        <f>IF(AND(A8730&lt;&gt;"",ISNUMBER(A8730)),VLOOKUP(A8730,Studies!A:BR,4,FALSE),"")</f>
        <v>po Midazolam All after clarithromycin</v>
      </c>
      <c r="E8730" s="250" t="str">
        <f>IF(AND(A8730&lt;&gt;"",ISNUMBER(A8730)),VLOOKUP(A8730,Studies!A:BR,5,FALSE),"")</f>
        <v>Midazolam</v>
      </c>
      <c r="F8730" s="251" t="str">
        <f>IF(AND(A8730&lt;&gt;"",ISNUMBER(A8730)),VLOOKUP(A8730,Studies!A:BR,6,FALSE),"")</f>
        <v>Whole Blood</v>
      </c>
      <c r="G8730" s="194">
        <v>154</v>
      </c>
      <c r="H8730" s="194" t="s">
        <v>60</v>
      </c>
      <c r="I8730" s="187">
        <v>7.4450430000000001</v>
      </c>
      <c r="J8730" s="41" t="s">
        <v>968</v>
      </c>
      <c r="K8730" s="41" t="s">
        <v>335</v>
      </c>
      <c r="L8730" s="195">
        <v>3.6406890000000001</v>
      </c>
      <c r="M8730" s="52" t="s">
        <v>968</v>
      </c>
      <c r="N8730" s="52" t="s">
        <v>117</v>
      </c>
      <c r="O8730" s="199">
        <v>1</v>
      </c>
    </row>
    <row r="8731" spans="1:16" x14ac:dyDescent="0.2">
      <c r="A8731" s="30">
        <v>2030</v>
      </c>
      <c r="B8731" s="249" t="str">
        <f>IF(AND(A8731&lt;&gt;"",ISNUMBER(A8731)),VLOOKUP(A8731,Studies!A:BR,2,FALSE),"")</f>
        <v>Quinney 2008</v>
      </c>
      <c r="C8731" s="250" t="str">
        <f>IF(AND(A8731&lt;&gt;"",ISNUMBER(A8731)),VLOOKUP(A8731,Studies!A:BR,3,FALSE),"")</f>
        <v>https://www.ncbi.nlm.nih.gov/pubmed/17635500</v>
      </c>
      <c r="D8731" s="250" t="str">
        <f>IF(AND(A8731&lt;&gt;"",ISNUMBER(A8731)),VLOOKUP(A8731,Studies!A:BR,4,FALSE),"")</f>
        <v>po Midazolam All after clarithromycin</v>
      </c>
      <c r="E8731" s="250" t="str">
        <f>IF(AND(A8731&lt;&gt;"",ISNUMBER(A8731)),VLOOKUP(A8731,Studies!A:BR,5,FALSE),"")</f>
        <v>Midazolam</v>
      </c>
      <c r="F8731" s="251" t="str">
        <f>IF(AND(A8731&lt;&gt;"",ISNUMBER(A8731)),VLOOKUP(A8731,Studies!A:BR,6,FALSE),"")</f>
        <v>Whole Blood</v>
      </c>
      <c r="G8731" s="194">
        <v>156</v>
      </c>
      <c r="H8731" s="194" t="s">
        <v>60</v>
      </c>
      <c r="I8731" s="187">
        <v>7.1314130000000002</v>
      </c>
      <c r="J8731" s="41" t="s">
        <v>968</v>
      </c>
      <c r="K8731" s="41" t="s">
        <v>335</v>
      </c>
      <c r="L8731" s="195">
        <v>4.4418540000000002</v>
      </c>
      <c r="M8731" s="52" t="s">
        <v>968</v>
      </c>
      <c r="N8731" s="52" t="s">
        <v>117</v>
      </c>
      <c r="O8731" s="199">
        <v>1</v>
      </c>
    </row>
    <row r="8732" spans="1:16" x14ac:dyDescent="0.2">
      <c r="A8732" s="30">
        <v>2031</v>
      </c>
      <c r="B8732" s="249" t="str">
        <f>IF(AND(A8732&lt;&gt;"",ISNUMBER(A8732)),VLOOKUP(A8732,Studies!A:BR,2,FALSE),"")</f>
        <v>Quinney 2008</v>
      </c>
      <c r="C8732" s="250" t="str">
        <f>IF(AND(A8732&lt;&gt;"",ISNUMBER(A8732)),VLOOKUP(A8732,Studies!A:BR,3,FALSE),"")</f>
        <v>https://www.ncbi.nlm.nih.gov/pubmed/17635500</v>
      </c>
      <c r="D8732" s="250" t="str">
        <f>IF(AND(A8732&lt;&gt;"",ISNUMBER(A8732)),VLOOKUP(A8732,Studies!A:BR,4,FALSE),"")</f>
        <v>Clarithromycin</v>
      </c>
      <c r="E8732" s="250" t="str">
        <f>IF(AND(A8732&lt;&gt;"",ISNUMBER(A8732)),VLOOKUP(A8732,Studies!A:BR,5,FALSE),"")</f>
        <v>Clarithromycin</v>
      </c>
      <c r="F8732" s="251" t="str">
        <f>IF(AND(A8732&lt;&gt;"",ISNUMBER(A8732)),VLOOKUP(A8732,Studies!A:BR,6,FALSE),"")</f>
        <v>Serum</v>
      </c>
      <c r="G8732" s="194">
        <v>144</v>
      </c>
      <c r="H8732" s="50" t="s">
        <v>60</v>
      </c>
      <c r="I8732" s="187">
        <v>2.7162030000000001</v>
      </c>
      <c r="J8732" s="41" t="s">
        <v>1220</v>
      </c>
      <c r="K8732" s="41" t="s">
        <v>335</v>
      </c>
      <c r="L8732" s="195">
        <v>1.523725</v>
      </c>
      <c r="M8732" s="52" t="s">
        <v>1220</v>
      </c>
      <c r="N8732" s="52" t="s">
        <v>117</v>
      </c>
      <c r="O8732" s="199">
        <v>3.3424694164048397E-3</v>
      </c>
      <c r="P8732" s="42" t="s">
        <v>2647</v>
      </c>
    </row>
    <row r="8733" spans="1:16" x14ac:dyDescent="0.2">
      <c r="A8733" s="30">
        <v>2031</v>
      </c>
      <c r="B8733" s="249" t="str">
        <f>IF(AND(A8733&lt;&gt;"",ISNUMBER(A8733)),VLOOKUP(A8733,Studies!A:BR,2,FALSE),"")</f>
        <v>Quinney 2008</v>
      </c>
      <c r="C8733" s="250" t="str">
        <f>IF(AND(A8733&lt;&gt;"",ISNUMBER(A8733)),VLOOKUP(A8733,Studies!A:BR,3,FALSE),"")</f>
        <v>https://www.ncbi.nlm.nih.gov/pubmed/17635500</v>
      </c>
      <c r="D8733" s="250" t="str">
        <f>IF(AND(A8733&lt;&gt;"",ISNUMBER(A8733)),VLOOKUP(A8733,Studies!A:BR,4,FALSE),"")</f>
        <v>Clarithromycin</v>
      </c>
      <c r="E8733" s="250" t="str">
        <f>IF(AND(A8733&lt;&gt;"",ISNUMBER(A8733)),VLOOKUP(A8733,Studies!A:BR,5,FALSE),"")</f>
        <v>Clarithromycin</v>
      </c>
      <c r="F8733" s="251" t="str">
        <f>IF(AND(A8733&lt;&gt;"",ISNUMBER(A8733)),VLOOKUP(A8733,Studies!A:BR,6,FALSE),"")</f>
        <v>Serum</v>
      </c>
      <c r="G8733" s="194">
        <v>146</v>
      </c>
      <c r="H8733" s="50" t="s">
        <v>60</v>
      </c>
      <c r="I8733" s="187">
        <v>3.9295209999999998</v>
      </c>
      <c r="J8733" s="41" t="s">
        <v>1220</v>
      </c>
      <c r="K8733" s="41" t="s">
        <v>335</v>
      </c>
      <c r="L8733" s="195">
        <v>1.6331450000000001</v>
      </c>
      <c r="M8733" s="52" t="s">
        <v>1220</v>
      </c>
      <c r="N8733" s="52" t="s">
        <v>117</v>
      </c>
      <c r="O8733" s="199">
        <v>3.3424694164048397E-3</v>
      </c>
    </row>
    <row r="8734" spans="1:16" x14ac:dyDescent="0.2">
      <c r="A8734" s="30">
        <v>2031</v>
      </c>
      <c r="B8734" s="249" t="str">
        <f>IF(AND(A8734&lt;&gt;"",ISNUMBER(A8734)),VLOOKUP(A8734,Studies!A:BR,2,FALSE),"")</f>
        <v>Quinney 2008</v>
      </c>
      <c r="C8734" s="250" t="str">
        <f>IF(AND(A8734&lt;&gt;"",ISNUMBER(A8734)),VLOOKUP(A8734,Studies!A:BR,3,FALSE),"")</f>
        <v>https://www.ncbi.nlm.nih.gov/pubmed/17635500</v>
      </c>
      <c r="D8734" s="250" t="str">
        <f>IF(AND(A8734&lt;&gt;"",ISNUMBER(A8734)),VLOOKUP(A8734,Studies!A:BR,4,FALSE),"")</f>
        <v>Clarithromycin</v>
      </c>
      <c r="E8734" s="250" t="str">
        <f>IF(AND(A8734&lt;&gt;"",ISNUMBER(A8734)),VLOOKUP(A8734,Studies!A:BR,5,FALSE),"")</f>
        <v>Clarithromycin</v>
      </c>
      <c r="F8734" s="251" t="str">
        <f>IF(AND(A8734&lt;&gt;"",ISNUMBER(A8734)),VLOOKUP(A8734,Studies!A:BR,6,FALSE),"")</f>
        <v>Serum</v>
      </c>
      <c r="G8734" s="194">
        <v>146.25</v>
      </c>
      <c r="H8734" s="50" t="s">
        <v>60</v>
      </c>
      <c r="I8734" s="187">
        <v>4.3803559999999999</v>
      </c>
      <c r="J8734" s="41" t="s">
        <v>1220</v>
      </c>
      <c r="K8734" s="41" t="s">
        <v>335</v>
      </c>
      <c r="L8734" s="195">
        <v>1.1823109999999999</v>
      </c>
      <c r="M8734" s="52" t="s">
        <v>1220</v>
      </c>
      <c r="N8734" s="52" t="s">
        <v>117</v>
      </c>
      <c r="O8734" s="199">
        <v>3.3424694164048397E-3</v>
      </c>
    </row>
    <row r="8735" spans="1:16" x14ac:dyDescent="0.2">
      <c r="A8735" s="30">
        <v>2031</v>
      </c>
      <c r="B8735" s="249" t="str">
        <f>IF(AND(A8735&lt;&gt;"",ISNUMBER(A8735)),VLOOKUP(A8735,Studies!A:BR,2,FALSE),"")</f>
        <v>Quinney 2008</v>
      </c>
      <c r="C8735" s="250" t="str">
        <f>IF(AND(A8735&lt;&gt;"",ISNUMBER(A8735)),VLOOKUP(A8735,Studies!A:BR,3,FALSE),"")</f>
        <v>https://www.ncbi.nlm.nih.gov/pubmed/17635500</v>
      </c>
      <c r="D8735" s="250" t="str">
        <f>IF(AND(A8735&lt;&gt;"",ISNUMBER(A8735)),VLOOKUP(A8735,Studies!A:BR,4,FALSE),"")</f>
        <v>Clarithromycin</v>
      </c>
      <c r="E8735" s="250" t="str">
        <f>IF(AND(A8735&lt;&gt;"",ISNUMBER(A8735)),VLOOKUP(A8735,Studies!A:BR,5,FALSE),"")</f>
        <v>Clarithromycin</v>
      </c>
      <c r="F8735" s="251" t="str">
        <f>IF(AND(A8735&lt;&gt;"",ISNUMBER(A8735)),VLOOKUP(A8735,Studies!A:BR,6,FALSE),"")</f>
        <v>Serum</v>
      </c>
      <c r="G8735" s="194">
        <v>146.5</v>
      </c>
      <c r="H8735" s="50" t="s">
        <v>60</v>
      </c>
      <c r="I8735" s="187">
        <v>4.333037</v>
      </c>
      <c r="J8735" s="41" t="s">
        <v>1220</v>
      </c>
      <c r="K8735" s="41" t="s">
        <v>335</v>
      </c>
      <c r="L8735" s="195">
        <v>1.22963</v>
      </c>
      <c r="M8735" s="52" t="s">
        <v>1220</v>
      </c>
      <c r="N8735" s="52" t="s">
        <v>117</v>
      </c>
      <c r="O8735" s="199">
        <v>3.3424694164048397E-3</v>
      </c>
    </row>
    <row r="8736" spans="1:16" x14ac:dyDescent="0.2">
      <c r="A8736" s="30">
        <v>2031</v>
      </c>
      <c r="B8736" s="249" t="str">
        <f>IF(AND(A8736&lt;&gt;"",ISNUMBER(A8736)),VLOOKUP(A8736,Studies!A:BR,2,FALSE),"")</f>
        <v>Quinney 2008</v>
      </c>
      <c r="C8736" s="250" t="str">
        <f>IF(AND(A8736&lt;&gt;"",ISNUMBER(A8736)),VLOOKUP(A8736,Studies!A:BR,3,FALSE),"")</f>
        <v>https://www.ncbi.nlm.nih.gov/pubmed/17635500</v>
      </c>
      <c r="D8736" s="250" t="str">
        <f>IF(AND(A8736&lt;&gt;"",ISNUMBER(A8736)),VLOOKUP(A8736,Studies!A:BR,4,FALSE),"")</f>
        <v>Clarithromycin</v>
      </c>
      <c r="E8736" s="250" t="str">
        <f>IF(AND(A8736&lt;&gt;"",ISNUMBER(A8736)),VLOOKUP(A8736,Studies!A:BR,5,FALSE),"")</f>
        <v>Clarithromycin</v>
      </c>
      <c r="F8736" s="251" t="str">
        <f>IF(AND(A8736&lt;&gt;"",ISNUMBER(A8736)),VLOOKUP(A8736,Studies!A:BR,6,FALSE),"")</f>
        <v>Serum</v>
      </c>
      <c r="G8736" s="194">
        <v>146.75</v>
      </c>
      <c r="H8736" s="50" t="s">
        <v>60</v>
      </c>
      <c r="I8736" s="187">
        <v>4.0158139999999998</v>
      </c>
      <c r="J8736" s="41" t="s">
        <v>1220</v>
      </c>
      <c r="K8736" s="41" t="s">
        <v>335</v>
      </c>
      <c r="L8736" s="195">
        <v>1.1959070000000001</v>
      </c>
      <c r="M8736" s="52" t="s">
        <v>1220</v>
      </c>
      <c r="N8736" s="52" t="s">
        <v>117</v>
      </c>
      <c r="O8736" s="199">
        <v>3.3424694164048397E-3</v>
      </c>
    </row>
    <row r="8737" spans="1:16" x14ac:dyDescent="0.2">
      <c r="A8737" s="30">
        <v>2031</v>
      </c>
      <c r="B8737" s="249" t="str">
        <f>IF(AND(A8737&lt;&gt;"",ISNUMBER(A8737)),VLOOKUP(A8737,Studies!A:BR,2,FALSE),"")</f>
        <v>Quinney 2008</v>
      </c>
      <c r="C8737" s="250" t="str">
        <f>IF(AND(A8737&lt;&gt;"",ISNUMBER(A8737)),VLOOKUP(A8737,Studies!A:BR,3,FALSE),"")</f>
        <v>https://www.ncbi.nlm.nih.gov/pubmed/17635500</v>
      </c>
      <c r="D8737" s="250" t="str">
        <f>IF(AND(A8737&lt;&gt;"",ISNUMBER(A8737)),VLOOKUP(A8737,Studies!A:BR,4,FALSE),"")</f>
        <v>Clarithromycin</v>
      </c>
      <c r="E8737" s="250" t="str">
        <f>IF(AND(A8737&lt;&gt;"",ISNUMBER(A8737)),VLOOKUP(A8737,Studies!A:BR,5,FALSE),"")</f>
        <v>Clarithromycin</v>
      </c>
      <c r="F8737" s="251" t="str">
        <f>IF(AND(A8737&lt;&gt;"",ISNUMBER(A8737)),VLOOKUP(A8737,Studies!A:BR,6,FALSE),"")</f>
        <v>Serum</v>
      </c>
      <c r="G8737" s="194">
        <v>147</v>
      </c>
      <c r="H8737" s="50" t="s">
        <v>60</v>
      </c>
      <c r="I8737" s="187">
        <v>3.9295209999999998</v>
      </c>
      <c r="J8737" s="41" t="s">
        <v>1220</v>
      </c>
      <c r="K8737" s="41" t="s">
        <v>335</v>
      </c>
      <c r="L8737" s="195">
        <v>1.3391139999999999</v>
      </c>
      <c r="M8737" s="52" t="s">
        <v>1220</v>
      </c>
      <c r="N8737" s="52" t="s">
        <v>117</v>
      </c>
      <c r="O8737" s="199">
        <v>3.3424694164048397E-3</v>
      </c>
    </row>
    <row r="8738" spans="1:16" x14ac:dyDescent="0.2">
      <c r="A8738" s="30">
        <v>2031</v>
      </c>
      <c r="B8738" s="249" t="str">
        <f>IF(AND(A8738&lt;&gt;"",ISNUMBER(A8738)),VLOOKUP(A8738,Studies!A:BR,2,FALSE),"")</f>
        <v>Quinney 2008</v>
      </c>
      <c r="C8738" s="250" t="str">
        <f>IF(AND(A8738&lt;&gt;"",ISNUMBER(A8738)),VLOOKUP(A8738,Studies!A:BR,3,FALSE),"")</f>
        <v>https://www.ncbi.nlm.nih.gov/pubmed/17635500</v>
      </c>
      <c r="D8738" s="250" t="str">
        <f>IF(AND(A8738&lt;&gt;"",ISNUMBER(A8738)),VLOOKUP(A8738,Studies!A:BR,4,FALSE),"")</f>
        <v>Clarithromycin</v>
      </c>
      <c r="E8738" s="250" t="str">
        <f>IF(AND(A8738&lt;&gt;"",ISNUMBER(A8738)),VLOOKUP(A8738,Studies!A:BR,5,FALSE),"")</f>
        <v>Clarithromycin</v>
      </c>
      <c r="F8738" s="251" t="str">
        <f>IF(AND(A8738&lt;&gt;"",ISNUMBER(A8738)),VLOOKUP(A8738,Studies!A:BR,6,FALSE),"")</f>
        <v>Serum</v>
      </c>
      <c r="G8738" s="194">
        <v>147.5</v>
      </c>
      <c r="H8738" s="50" t="s">
        <v>60</v>
      </c>
      <c r="I8738" s="187">
        <v>3.7624580000000001</v>
      </c>
      <c r="J8738" s="41" t="s">
        <v>1220</v>
      </c>
      <c r="K8738" s="41" t="s">
        <v>335</v>
      </c>
      <c r="L8738" s="195">
        <v>1.337272</v>
      </c>
      <c r="M8738" s="52" t="s">
        <v>1220</v>
      </c>
      <c r="N8738" s="52" t="s">
        <v>117</v>
      </c>
      <c r="O8738" s="199">
        <v>3.3424694164048397E-3</v>
      </c>
    </row>
    <row r="8739" spans="1:16" x14ac:dyDescent="0.2">
      <c r="A8739" s="30">
        <v>2031</v>
      </c>
      <c r="B8739" s="249" t="str">
        <f>IF(AND(A8739&lt;&gt;"",ISNUMBER(A8739)),VLOOKUP(A8739,Studies!A:BR,2,FALSE),"")</f>
        <v>Quinney 2008</v>
      </c>
      <c r="C8739" s="250" t="str">
        <f>IF(AND(A8739&lt;&gt;"",ISNUMBER(A8739)),VLOOKUP(A8739,Studies!A:BR,3,FALSE),"")</f>
        <v>https://www.ncbi.nlm.nih.gov/pubmed/17635500</v>
      </c>
      <c r="D8739" s="250" t="str">
        <f>IF(AND(A8739&lt;&gt;"",ISNUMBER(A8739)),VLOOKUP(A8739,Studies!A:BR,4,FALSE),"")</f>
        <v>Clarithromycin</v>
      </c>
      <c r="E8739" s="250" t="str">
        <f>IF(AND(A8739&lt;&gt;"",ISNUMBER(A8739)),VLOOKUP(A8739,Studies!A:BR,5,FALSE),"")</f>
        <v>Clarithromycin</v>
      </c>
      <c r="F8739" s="251" t="str">
        <f>IF(AND(A8739&lt;&gt;"",ISNUMBER(A8739)),VLOOKUP(A8739,Studies!A:BR,6,FALSE),"")</f>
        <v>Serum</v>
      </c>
      <c r="G8739" s="194">
        <v>148</v>
      </c>
      <c r="H8739" s="50" t="s">
        <v>60</v>
      </c>
      <c r="I8739" s="187">
        <v>3.887073</v>
      </c>
      <c r="J8739" s="41" t="s">
        <v>1220</v>
      </c>
      <c r="K8739" s="41" t="s">
        <v>335</v>
      </c>
      <c r="L8739" s="195">
        <v>0.99584289999999998</v>
      </c>
      <c r="M8739" s="52" t="s">
        <v>1220</v>
      </c>
      <c r="N8739" s="52" t="s">
        <v>117</v>
      </c>
      <c r="O8739" s="199">
        <v>3.3424694164048397E-3</v>
      </c>
    </row>
    <row r="8740" spans="1:16" x14ac:dyDescent="0.2">
      <c r="A8740" s="30">
        <v>2031</v>
      </c>
      <c r="B8740" s="249" t="str">
        <f>IF(AND(A8740&lt;&gt;"",ISNUMBER(A8740)),VLOOKUP(A8740,Studies!A:BR,2,FALSE),"")</f>
        <v>Quinney 2008</v>
      </c>
      <c r="C8740" s="250" t="str">
        <f>IF(AND(A8740&lt;&gt;"",ISNUMBER(A8740)),VLOOKUP(A8740,Studies!A:BR,3,FALSE),"")</f>
        <v>https://www.ncbi.nlm.nih.gov/pubmed/17635500</v>
      </c>
      <c r="D8740" s="250" t="str">
        <f>IF(AND(A8740&lt;&gt;"",ISNUMBER(A8740)),VLOOKUP(A8740,Studies!A:BR,4,FALSE),"")</f>
        <v>Clarithromycin</v>
      </c>
      <c r="E8740" s="250" t="str">
        <f>IF(AND(A8740&lt;&gt;"",ISNUMBER(A8740)),VLOOKUP(A8740,Studies!A:BR,5,FALSE),"")</f>
        <v>Clarithromycin</v>
      </c>
      <c r="F8740" s="251" t="str">
        <f>IF(AND(A8740&lt;&gt;"",ISNUMBER(A8740)),VLOOKUP(A8740,Studies!A:BR,6,FALSE),"")</f>
        <v>Serum</v>
      </c>
      <c r="G8740" s="194">
        <v>148.5</v>
      </c>
      <c r="H8740" s="50" t="s">
        <v>60</v>
      </c>
      <c r="I8740" s="187">
        <v>3.8450829999999998</v>
      </c>
      <c r="J8740" s="41" t="s">
        <v>1220</v>
      </c>
      <c r="K8740" s="41" t="s">
        <v>335</v>
      </c>
      <c r="L8740" s="195">
        <v>1.1450629999999999</v>
      </c>
      <c r="M8740" s="52" t="s">
        <v>1220</v>
      </c>
      <c r="N8740" s="52" t="s">
        <v>117</v>
      </c>
      <c r="O8740" s="199">
        <v>3.3424694164048397E-3</v>
      </c>
    </row>
    <row r="8741" spans="1:16" x14ac:dyDescent="0.2">
      <c r="A8741" s="30">
        <v>2031</v>
      </c>
      <c r="B8741" s="249" t="str">
        <f>IF(AND(A8741&lt;&gt;"",ISNUMBER(A8741)),VLOOKUP(A8741,Studies!A:BR,2,FALSE),"")</f>
        <v>Quinney 2008</v>
      </c>
      <c r="C8741" s="250" t="str">
        <f>IF(AND(A8741&lt;&gt;"",ISNUMBER(A8741)),VLOOKUP(A8741,Studies!A:BR,3,FALSE),"")</f>
        <v>https://www.ncbi.nlm.nih.gov/pubmed/17635500</v>
      </c>
      <c r="D8741" s="250" t="str">
        <f>IF(AND(A8741&lt;&gt;"",ISNUMBER(A8741)),VLOOKUP(A8741,Studies!A:BR,4,FALSE),"")</f>
        <v>Clarithromycin</v>
      </c>
      <c r="E8741" s="250" t="str">
        <f>IF(AND(A8741&lt;&gt;"",ISNUMBER(A8741)),VLOOKUP(A8741,Studies!A:BR,5,FALSE),"")</f>
        <v>Clarithromycin</v>
      </c>
      <c r="F8741" s="251" t="str">
        <f>IF(AND(A8741&lt;&gt;"",ISNUMBER(A8741)),VLOOKUP(A8741,Studies!A:BR,6,FALSE),"")</f>
        <v>Serum</v>
      </c>
      <c r="G8741" s="194">
        <v>149</v>
      </c>
      <c r="H8741" s="50" t="s">
        <v>60</v>
      </c>
      <c r="I8741" s="187">
        <v>3.68161</v>
      </c>
      <c r="J8741" s="41" t="s">
        <v>1220</v>
      </c>
      <c r="K8741" s="41" t="s">
        <v>335</v>
      </c>
      <c r="L8741" s="195">
        <v>1.201306</v>
      </c>
      <c r="M8741" s="52" t="s">
        <v>1220</v>
      </c>
      <c r="N8741" s="52" t="s">
        <v>117</v>
      </c>
      <c r="O8741" s="199">
        <v>3.3424694164048397E-3</v>
      </c>
    </row>
    <row r="8742" spans="1:16" x14ac:dyDescent="0.2">
      <c r="A8742" s="30">
        <v>2031</v>
      </c>
      <c r="B8742" s="249" t="str">
        <f>IF(AND(A8742&lt;&gt;"",ISNUMBER(A8742)),VLOOKUP(A8742,Studies!A:BR,2,FALSE),"")</f>
        <v>Quinney 2008</v>
      </c>
      <c r="C8742" s="250" t="str">
        <f>IF(AND(A8742&lt;&gt;"",ISNUMBER(A8742)),VLOOKUP(A8742,Studies!A:BR,3,FALSE),"")</f>
        <v>https://www.ncbi.nlm.nih.gov/pubmed/17635500</v>
      </c>
      <c r="D8742" s="250" t="str">
        <f>IF(AND(A8742&lt;&gt;"",ISNUMBER(A8742)),VLOOKUP(A8742,Studies!A:BR,4,FALSE),"")</f>
        <v>Clarithromycin</v>
      </c>
      <c r="E8742" s="250" t="str">
        <f>IF(AND(A8742&lt;&gt;"",ISNUMBER(A8742)),VLOOKUP(A8742,Studies!A:BR,5,FALSE),"")</f>
        <v>Clarithromycin</v>
      </c>
      <c r="F8742" s="251" t="str">
        <f>IF(AND(A8742&lt;&gt;"",ISNUMBER(A8742)),VLOOKUP(A8742,Studies!A:BR,6,FALSE),"")</f>
        <v>Serum</v>
      </c>
      <c r="G8742" s="194">
        <v>150</v>
      </c>
      <c r="H8742" s="50" t="s">
        <v>60</v>
      </c>
      <c r="I8742" s="187">
        <v>3.4493390000000002</v>
      </c>
      <c r="J8742" s="41" t="s">
        <v>1220</v>
      </c>
      <c r="K8742" s="41" t="s">
        <v>335</v>
      </c>
      <c r="L8742" s="195">
        <v>0.74478719999999998</v>
      </c>
      <c r="M8742" s="52" t="s">
        <v>1220</v>
      </c>
      <c r="N8742" s="52" t="s">
        <v>117</v>
      </c>
      <c r="O8742" s="199">
        <v>3.3424694164048397E-3</v>
      </c>
    </row>
    <row r="8743" spans="1:16" x14ac:dyDescent="0.2">
      <c r="A8743" s="30">
        <v>2031</v>
      </c>
      <c r="B8743" s="249" t="str">
        <f>IF(AND(A8743&lt;&gt;"",ISNUMBER(A8743)),VLOOKUP(A8743,Studies!A:BR,2,FALSE),"")</f>
        <v>Quinney 2008</v>
      </c>
      <c r="C8743" s="250" t="str">
        <f>IF(AND(A8743&lt;&gt;"",ISNUMBER(A8743)),VLOOKUP(A8743,Studies!A:BR,3,FALSE),"")</f>
        <v>https://www.ncbi.nlm.nih.gov/pubmed/17635500</v>
      </c>
      <c r="D8743" s="250" t="str">
        <f>IF(AND(A8743&lt;&gt;"",ISNUMBER(A8743)),VLOOKUP(A8743,Studies!A:BR,4,FALSE),"")</f>
        <v>Clarithromycin</v>
      </c>
      <c r="E8743" s="250" t="str">
        <f>IF(AND(A8743&lt;&gt;"",ISNUMBER(A8743)),VLOOKUP(A8743,Studies!A:BR,5,FALSE),"")</f>
        <v>Clarithromycin</v>
      </c>
      <c r="F8743" s="251" t="str">
        <f>IF(AND(A8743&lt;&gt;"",ISNUMBER(A8743)),VLOOKUP(A8743,Studies!A:BR,6,FALSE),"")</f>
        <v>Serum</v>
      </c>
      <c r="G8743" s="194">
        <v>151</v>
      </c>
      <c r="H8743" s="50" t="s">
        <v>60</v>
      </c>
      <c r="I8743" s="187">
        <v>3.3026909999999998</v>
      </c>
      <c r="J8743" s="41" t="s">
        <v>1220</v>
      </c>
      <c r="K8743" s="41" t="s">
        <v>335</v>
      </c>
      <c r="L8743" s="195">
        <v>1.030346</v>
      </c>
      <c r="M8743" s="52" t="s">
        <v>1220</v>
      </c>
      <c r="N8743" s="52" t="s">
        <v>117</v>
      </c>
      <c r="O8743" s="199">
        <v>3.3424694164048397E-3</v>
      </c>
    </row>
    <row r="8744" spans="1:16" x14ac:dyDescent="0.2">
      <c r="A8744" s="30">
        <v>2031</v>
      </c>
      <c r="B8744" s="249" t="str">
        <f>IF(AND(A8744&lt;&gt;"",ISNUMBER(A8744)),VLOOKUP(A8744,Studies!A:BR,2,FALSE),"")</f>
        <v>Quinney 2008</v>
      </c>
      <c r="C8744" s="250" t="str">
        <f>IF(AND(A8744&lt;&gt;"",ISNUMBER(A8744)),VLOOKUP(A8744,Studies!A:BR,3,FALSE),"")</f>
        <v>https://www.ncbi.nlm.nih.gov/pubmed/17635500</v>
      </c>
      <c r="D8744" s="250" t="str">
        <f>IF(AND(A8744&lt;&gt;"",ISNUMBER(A8744)),VLOOKUP(A8744,Studies!A:BR,4,FALSE),"")</f>
        <v>Clarithromycin</v>
      </c>
      <c r="E8744" s="250" t="str">
        <f>IF(AND(A8744&lt;&gt;"",ISNUMBER(A8744)),VLOOKUP(A8744,Studies!A:BR,5,FALSE),"")</f>
        <v>Clarithromycin</v>
      </c>
      <c r="F8744" s="251" t="str">
        <f>IF(AND(A8744&lt;&gt;"",ISNUMBER(A8744)),VLOOKUP(A8744,Studies!A:BR,6,FALSE),"")</f>
        <v>Serum</v>
      </c>
      <c r="G8744" s="194">
        <v>152</v>
      </c>
      <c r="H8744" s="50" t="s">
        <v>60</v>
      </c>
      <c r="I8744" s="187">
        <v>2.8991060000000002</v>
      </c>
      <c r="J8744" s="41" t="s">
        <v>1220</v>
      </c>
      <c r="K8744" s="41" t="s">
        <v>335</v>
      </c>
      <c r="L8744" s="195">
        <v>0.98796649999999997</v>
      </c>
      <c r="M8744" s="52" t="s">
        <v>1220</v>
      </c>
      <c r="N8744" s="52" t="s">
        <v>117</v>
      </c>
      <c r="O8744" s="199">
        <v>3.3424694164048397E-3</v>
      </c>
    </row>
    <row r="8745" spans="1:16" x14ac:dyDescent="0.2">
      <c r="A8745" s="30">
        <v>2031</v>
      </c>
      <c r="B8745" s="249" t="str">
        <f>IF(AND(A8745&lt;&gt;"",ISNUMBER(A8745)),VLOOKUP(A8745,Studies!A:BR,2,FALSE),"")</f>
        <v>Quinney 2008</v>
      </c>
      <c r="C8745" s="250" t="str">
        <f>IF(AND(A8745&lt;&gt;"",ISNUMBER(A8745)),VLOOKUP(A8745,Studies!A:BR,3,FALSE),"")</f>
        <v>https://www.ncbi.nlm.nih.gov/pubmed/17635500</v>
      </c>
      <c r="D8745" s="250" t="str">
        <f>IF(AND(A8745&lt;&gt;"",ISNUMBER(A8745)),VLOOKUP(A8745,Studies!A:BR,4,FALSE),"")</f>
        <v>Clarithromycin</v>
      </c>
      <c r="E8745" s="250" t="str">
        <f>IF(AND(A8745&lt;&gt;"",ISNUMBER(A8745)),VLOOKUP(A8745,Studies!A:BR,5,FALSE),"")</f>
        <v>Clarithromycin</v>
      </c>
      <c r="F8745" s="251" t="str">
        <f>IF(AND(A8745&lt;&gt;"",ISNUMBER(A8745)),VLOOKUP(A8745,Studies!A:BR,6,FALSE),"")</f>
        <v>Serum</v>
      </c>
      <c r="G8745" s="194">
        <v>154</v>
      </c>
      <c r="H8745" s="50" t="s">
        <v>60</v>
      </c>
      <c r="I8745" s="187">
        <v>2.6868620000000001</v>
      </c>
      <c r="J8745" s="41" t="s">
        <v>1220</v>
      </c>
      <c r="K8745" s="41" t="s">
        <v>335</v>
      </c>
      <c r="L8745" s="195">
        <v>1.0349520000000001</v>
      </c>
      <c r="M8745" s="52" t="s">
        <v>1220</v>
      </c>
      <c r="N8745" s="52" t="s">
        <v>117</v>
      </c>
      <c r="O8745" s="199">
        <v>3.3424694164048397E-3</v>
      </c>
    </row>
    <row r="8746" spans="1:16" x14ac:dyDescent="0.2">
      <c r="A8746" s="30">
        <v>2031</v>
      </c>
      <c r="B8746" s="249" t="str">
        <f>IF(AND(A8746&lt;&gt;"",ISNUMBER(A8746)),VLOOKUP(A8746,Studies!A:BR,2,FALSE),"")</f>
        <v>Quinney 2008</v>
      </c>
      <c r="C8746" s="250" t="str">
        <f>IF(AND(A8746&lt;&gt;"",ISNUMBER(A8746)),VLOOKUP(A8746,Studies!A:BR,3,FALSE),"")</f>
        <v>https://www.ncbi.nlm.nih.gov/pubmed/17635500</v>
      </c>
      <c r="D8746" s="250" t="str">
        <f>IF(AND(A8746&lt;&gt;"",ISNUMBER(A8746)),VLOOKUP(A8746,Studies!A:BR,4,FALSE),"")</f>
        <v>Clarithromycin</v>
      </c>
      <c r="E8746" s="250" t="str">
        <f>IF(AND(A8746&lt;&gt;"",ISNUMBER(A8746)),VLOOKUP(A8746,Studies!A:BR,5,FALSE),"")</f>
        <v>Clarithromycin</v>
      </c>
      <c r="F8746" s="251" t="str">
        <f>IF(AND(A8746&lt;&gt;"",ISNUMBER(A8746)),VLOOKUP(A8746,Studies!A:BR,6,FALSE),"")</f>
        <v>Serum</v>
      </c>
      <c r="G8746" s="194">
        <v>156</v>
      </c>
      <c r="H8746" s="50" t="s">
        <v>60</v>
      </c>
      <c r="I8746" s="187">
        <v>2.2582580000000001</v>
      </c>
      <c r="J8746" s="41" t="s">
        <v>1220</v>
      </c>
      <c r="K8746" s="41" t="s">
        <v>335</v>
      </c>
      <c r="L8746" s="195">
        <v>1.0087550000000001</v>
      </c>
      <c r="M8746" s="52" t="s">
        <v>1220</v>
      </c>
      <c r="N8746" s="52" t="s">
        <v>117</v>
      </c>
      <c r="O8746" s="199">
        <v>3.3424694164048397E-3</v>
      </c>
    </row>
    <row r="8747" spans="1:16" x14ac:dyDescent="0.2">
      <c r="A8747" s="30">
        <v>2032</v>
      </c>
      <c r="B8747" s="249" t="str">
        <f>IF(AND(A8747&lt;&gt;"",ISNUMBER(A8747)),VLOOKUP(A8747,Studies!A:BR,2,FALSE),"")</f>
        <v>Quinney 2008</v>
      </c>
      <c r="C8747" s="250" t="str">
        <f>IF(AND(A8747&lt;&gt;"",ISNUMBER(A8747)),VLOOKUP(A8747,Studies!A:BR,3,FALSE),"")</f>
        <v>https://www.ncbi.nlm.nih.gov/pubmed/17635500</v>
      </c>
      <c r="D8747" s="250" t="str">
        <f>IF(AND(A8747&lt;&gt;"",ISNUMBER(A8747)),VLOOKUP(A8747,Studies!A:BR,4,FALSE),"")</f>
        <v>14-hydroxyclarithromycin</v>
      </c>
      <c r="E8747" s="250" t="str">
        <f>IF(AND(A8747&lt;&gt;"",ISNUMBER(A8747)),VLOOKUP(A8747,Studies!A:BR,5,FALSE),"")</f>
        <v>14-hydroxyclarithromycin</v>
      </c>
      <c r="F8747" s="251" t="str">
        <f>IF(AND(A8747&lt;&gt;"",ISNUMBER(A8747)),VLOOKUP(A8747,Studies!A:BR,6,FALSE),"")</f>
        <v>Serum</v>
      </c>
      <c r="G8747" s="194">
        <v>144</v>
      </c>
      <c r="H8747" s="50" t="s">
        <v>60</v>
      </c>
      <c r="I8747" s="187">
        <v>0.40596680000000002</v>
      </c>
      <c r="J8747" s="41" t="s">
        <v>1220</v>
      </c>
      <c r="K8747" s="41" t="s">
        <v>335</v>
      </c>
      <c r="L8747" s="195">
        <v>0.19424140000000001</v>
      </c>
      <c r="M8747" s="52" t="s">
        <v>1220</v>
      </c>
      <c r="N8747" s="52" t="s">
        <v>117</v>
      </c>
      <c r="O8747" s="199"/>
      <c r="P8747" s="42" t="s">
        <v>2647</v>
      </c>
    </row>
    <row r="8748" spans="1:16" x14ac:dyDescent="0.2">
      <c r="A8748" s="30">
        <v>2032</v>
      </c>
      <c r="B8748" s="249" t="str">
        <f>IF(AND(A8748&lt;&gt;"",ISNUMBER(A8748)),VLOOKUP(A8748,Studies!A:BR,2,FALSE),"")</f>
        <v>Quinney 2008</v>
      </c>
      <c r="C8748" s="250" t="str">
        <f>IF(AND(A8748&lt;&gt;"",ISNUMBER(A8748)),VLOOKUP(A8748,Studies!A:BR,3,FALSE),"")</f>
        <v>https://www.ncbi.nlm.nih.gov/pubmed/17635500</v>
      </c>
      <c r="D8748" s="250" t="str">
        <f>IF(AND(A8748&lt;&gt;"",ISNUMBER(A8748)),VLOOKUP(A8748,Studies!A:BR,4,FALSE),"")</f>
        <v>14-hydroxyclarithromycin</v>
      </c>
      <c r="E8748" s="250" t="str">
        <f>IF(AND(A8748&lt;&gt;"",ISNUMBER(A8748)),VLOOKUP(A8748,Studies!A:BR,5,FALSE),"")</f>
        <v>14-hydroxyclarithromycin</v>
      </c>
      <c r="F8748" s="251" t="str">
        <f>IF(AND(A8748&lt;&gt;"",ISNUMBER(A8748)),VLOOKUP(A8748,Studies!A:BR,6,FALSE),"")</f>
        <v>Serum</v>
      </c>
      <c r="G8748" s="194">
        <v>146</v>
      </c>
      <c r="H8748" s="50" t="s">
        <v>60</v>
      </c>
      <c r="I8748" s="187">
        <v>0.47263759999999999</v>
      </c>
      <c r="J8748" s="41" t="s">
        <v>1220</v>
      </c>
      <c r="K8748" s="41" t="s">
        <v>335</v>
      </c>
      <c r="L8748" s="195">
        <v>0.14744969999999999</v>
      </c>
      <c r="M8748" s="52" t="s">
        <v>1220</v>
      </c>
      <c r="N8748" s="52" t="s">
        <v>117</v>
      </c>
      <c r="O8748" s="199"/>
    </row>
    <row r="8749" spans="1:16" x14ac:dyDescent="0.2">
      <c r="A8749" s="30">
        <v>2032</v>
      </c>
      <c r="B8749" s="249" t="str">
        <f>IF(AND(A8749&lt;&gt;"",ISNUMBER(A8749)),VLOOKUP(A8749,Studies!A:BR,2,FALSE),"")</f>
        <v>Quinney 2008</v>
      </c>
      <c r="C8749" s="250" t="str">
        <f>IF(AND(A8749&lt;&gt;"",ISNUMBER(A8749)),VLOOKUP(A8749,Studies!A:BR,3,FALSE),"")</f>
        <v>https://www.ncbi.nlm.nih.gov/pubmed/17635500</v>
      </c>
      <c r="D8749" s="250" t="str">
        <f>IF(AND(A8749&lt;&gt;"",ISNUMBER(A8749)),VLOOKUP(A8749,Studies!A:BR,4,FALSE),"")</f>
        <v>14-hydroxyclarithromycin</v>
      </c>
      <c r="E8749" s="250" t="str">
        <f>IF(AND(A8749&lt;&gt;"",ISNUMBER(A8749)),VLOOKUP(A8749,Studies!A:BR,5,FALSE),"")</f>
        <v>14-hydroxyclarithromycin</v>
      </c>
      <c r="F8749" s="251" t="str">
        <f>IF(AND(A8749&lt;&gt;"",ISNUMBER(A8749)),VLOOKUP(A8749,Studies!A:BR,6,FALSE),"")</f>
        <v>Serum</v>
      </c>
      <c r="G8749" s="194">
        <v>146.25</v>
      </c>
      <c r="H8749" s="50" t="s">
        <v>60</v>
      </c>
      <c r="I8749" s="187">
        <v>0.5155421</v>
      </c>
      <c r="J8749" s="41" t="s">
        <v>1220</v>
      </c>
      <c r="K8749" s="41" t="s">
        <v>335</v>
      </c>
      <c r="L8749" s="195">
        <v>0.139151</v>
      </c>
      <c r="M8749" s="52" t="s">
        <v>1220</v>
      </c>
      <c r="N8749" s="52" t="s">
        <v>117</v>
      </c>
      <c r="O8749" s="199"/>
    </row>
    <row r="8750" spans="1:16" x14ac:dyDescent="0.2">
      <c r="A8750" s="30">
        <v>2032</v>
      </c>
      <c r="B8750" s="249" t="str">
        <f>IF(AND(A8750&lt;&gt;"",ISNUMBER(A8750)),VLOOKUP(A8750,Studies!A:BR,2,FALSE),"")</f>
        <v>Quinney 2008</v>
      </c>
      <c r="C8750" s="250" t="str">
        <f>IF(AND(A8750&lt;&gt;"",ISNUMBER(A8750)),VLOOKUP(A8750,Studies!A:BR,3,FALSE),"")</f>
        <v>https://www.ncbi.nlm.nih.gov/pubmed/17635500</v>
      </c>
      <c r="D8750" s="250" t="str">
        <f>IF(AND(A8750&lt;&gt;"",ISNUMBER(A8750)),VLOOKUP(A8750,Studies!A:BR,4,FALSE),"")</f>
        <v>14-hydroxyclarithromycin</v>
      </c>
      <c r="E8750" s="250" t="str">
        <f>IF(AND(A8750&lt;&gt;"",ISNUMBER(A8750)),VLOOKUP(A8750,Studies!A:BR,5,FALSE),"")</f>
        <v>14-hydroxyclarithromycin</v>
      </c>
      <c r="F8750" s="251" t="str">
        <f>IF(AND(A8750&lt;&gt;"",ISNUMBER(A8750)),VLOOKUP(A8750,Studies!A:BR,6,FALSE),"")</f>
        <v>Serum</v>
      </c>
      <c r="G8750" s="194">
        <v>146.5</v>
      </c>
      <c r="H8750" s="50" t="s">
        <v>60</v>
      </c>
      <c r="I8750" s="187">
        <v>0.50446400000000002</v>
      </c>
      <c r="J8750" s="41" t="s">
        <v>1220</v>
      </c>
      <c r="K8750" s="41" t="s">
        <v>335</v>
      </c>
      <c r="L8750" s="195">
        <v>0.122395</v>
      </c>
      <c r="M8750" s="52" t="s">
        <v>1220</v>
      </c>
      <c r="N8750" s="52" t="s">
        <v>117</v>
      </c>
      <c r="O8750" s="199"/>
    </row>
    <row r="8751" spans="1:16" x14ac:dyDescent="0.2">
      <c r="A8751" s="30">
        <v>2032</v>
      </c>
      <c r="B8751" s="249" t="str">
        <f>IF(AND(A8751&lt;&gt;"",ISNUMBER(A8751)),VLOOKUP(A8751,Studies!A:BR,2,FALSE),"")</f>
        <v>Quinney 2008</v>
      </c>
      <c r="C8751" s="250" t="str">
        <f>IF(AND(A8751&lt;&gt;"",ISNUMBER(A8751)),VLOOKUP(A8751,Studies!A:BR,3,FALSE),"")</f>
        <v>https://www.ncbi.nlm.nih.gov/pubmed/17635500</v>
      </c>
      <c r="D8751" s="250" t="str">
        <f>IF(AND(A8751&lt;&gt;"",ISNUMBER(A8751)),VLOOKUP(A8751,Studies!A:BR,4,FALSE),"")</f>
        <v>14-hydroxyclarithromycin</v>
      </c>
      <c r="E8751" s="250" t="str">
        <f>IF(AND(A8751&lt;&gt;"",ISNUMBER(A8751)),VLOOKUP(A8751,Studies!A:BR,5,FALSE),"")</f>
        <v>14-hydroxyclarithromycin</v>
      </c>
      <c r="F8751" s="251" t="str">
        <f>IF(AND(A8751&lt;&gt;"",ISNUMBER(A8751)),VLOOKUP(A8751,Studies!A:BR,6,FALSE),"")</f>
        <v>Serum</v>
      </c>
      <c r="G8751" s="194">
        <v>146.75</v>
      </c>
      <c r="H8751" s="50" t="s">
        <v>60</v>
      </c>
      <c r="I8751" s="187">
        <v>0.47263759999999999</v>
      </c>
      <c r="J8751" s="41" t="s">
        <v>1220</v>
      </c>
      <c r="K8751" s="41" t="s">
        <v>335</v>
      </c>
      <c r="L8751" s="195">
        <v>0.1020528</v>
      </c>
      <c r="M8751" s="52" t="s">
        <v>1220</v>
      </c>
      <c r="N8751" s="52" t="s">
        <v>117</v>
      </c>
      <c r="O8751" s="199"/>
    </row>
    <row r="8752" spans="1:16" x14ac:dyDescent="0.2">
      <c r="A8752" s="30">
        <v>2032</v>
      </c>
      <c r="B8752" s="249" t="str">
        <f>IF(AND(A8752&lt;&gt;"",ISNUMBER(A8752)),VLOOKUP(A8752,Studies!A:BR,2,FALSE),"")</f>
        <v>Quinney 2008</v>
      </c>
      <c r="C8752" s="250" t="str">
        <f>IF(AND(A8752&lt;&gt;"",ISNUMBER(A8752)),VLOOKUP(A8752,Studies!A:BR,3,FALSE),"")</f>
        <v>https://www.ncbi.nlm.nih.gov/pubmed/17635500</v>
      </c>
      <c r="D8752" s="250" t="str">
        <f>IF(AND(A8752&lt;&gt;"",ISNUMBER(A8752)),VLOOKUP(A8752,Studies!A:BR,4,FALSE),"")</f>
        <v>14-hydroxyclarithromycin</v>
      </c>
      <c r="E8752" s="250" t="str">
        <f>IF(AND(A8752&lt;&gt;"",ISNUMBER(A8752)),VLOOKUP(A8752,Studies!A:BR,5,FALSE),"")</f>
        <v>14-hydroxyclarithromycin</v>
      </c>
      <c r="F8752" s="251" t="str">
        <f>IF(AND(A8752&lt;&gt;"",ISNUMBER(A8752)),VLOOKUP(A8752,Studies!A:BR,6,FALSE),"")</f>
        <v>Serum</v>
      </c>
      <c r="G8752" s="194">
        <v>147</v>
      </c>
      <c r="H8752" s="50" t="s">
        <v>60</v>
      </c>
      <c r="I8752" s="187">
        <v>0.50997300000000001</v>
      </c>
      <c r="J8752" s="41" t="s">
        <v>1220</v>
      </c>
      <c r="K8752" s="41" t="s">
        <v>335</v>
      </c>
      <c r="L8752" s="195">
        <v>0.16640379999999999</v>
      </c>
      <c r="M8752" s="52" t="s">
        <v>1220</v>
      </c>
      <c r="N8752" s="52" t="s">
        <v>117</v>
      </c>
      <c r="O8752" s="199"/>
    </row>
    <row r="8753" spans="1:16" x14ac:dyDescent="0.2">
      <c r="A8753" s="30">
        <v>2032</v>
      </c>
      <c r="B8753" s="249" t="str">
        <f>IF(AND(A8753&lt;&gt;"",ISNUMBER(A8753)),VLOOKUP(A8753,Studies!A:BR,2,FALSE),"")</f>
        <v>Quinney 2008</v>
      </c>
      <c r="C8753" s="250" t="str">
        <f>IF(AND(A8753&lt;&gt;"",ISNUMBER(A8753)),VLOOKUP(A8753,Studies!A:BR,3,FALSE),"")</f>
        <v>https://www.ncbi.nlm.nih.gov/pubmed/17635500</v>
      </c>
      <c r="D8753" s="250" t="str">
        <f>IF(AND(A8753&lt;&gt;"",ISNUMBER(A8753)),VLOOKUP(A8753,Studies!A:BR,4,FALSE),"")</f>
        <v>14-hydroxyclarithromycin</v>
      </c>
      <c r="E8753" s="250" t="str">
        <f>IF(AND(A8753&lt;&gt;"",ISNUMBER(A8753)),VLOOKUP(A8753,Studies!A:BR,5,FALSE),"")</f>
        <v>14-hydroxyclarithromycin</v>
      </c>
      <c r="F8753" s="251" t="str">
        <f>IF(AND(A8753&lt;&gt;"",ISNUMBER(A8753)),VLOOKUP(A8753,Studies!A:BR,6,FALSE),"")</f>
        <v>Serum</v>
      </c>
      <c r="G8753" s="194">
        <v>147.5</v>
      </c>
      <c r="H8753" s="50" t="s">
        <v>60</v>
      </c>
      <c r="I8753" s="187">
        <v>0.467532</v>
      </c>
      <c r="J8753" s="41" t="s">
        <v>1220</v>
      </c>
      <c r="K8753" s="41" t="s">
        <v>335</v>
      </c>
      <c r="L8753" s="195">
        <v>0.15932689999999999</v>
      </c>
      <c r="M8753" s="52" t="s">
        <v>1220</v>
      </c>
      <c r="N8753" s="52" t="s">
        <v>117</v>
      </c>
      <c r="O8753" s="199"/>
    </row>
    <row r="8754" spans="1:16" x14ac:dyDescent="0.2">
      <c r="A8754" s="30">
        <v>2032</v>
      </c>
      <c r="B8754" s="249" t="str">
        <f>IF(AND(A8754&lt;&gt;"",ISNUMBER(A8754)),VLOOKUP(A8754,Studies!A:BR,2,FALSE),"")</f>
        <v>Quinney 2008</v>
      </c>
      <c r="C8754" s="250" t="str">
        <f>IF(AND(A8754&lt;&gt;"",ISNUMBER(A8754)),VLOOKUP(A8754,Studies!A:BR,3,FALSE),"")</f>
        <v>https://www.ncbi.nlm.nih.gov/pubmed/17635500</v>
      </c>
      <c r="D8754" s="250" t="str">
        <f>IF(AND(A8754&lt;&gt;"",ISNUMBER(A8754)),VLOOKUP(A8754,Studies!A:BR,4,FALSE),"")</f>
        <v>14-hydroxyclarithromycin</v>
      </c>
      <c r="E8754" s="250" t="str">
        <f>IF(AND(A8754&lt;&gt;"",ISNUMBER(A8754)),VLOOKUP(A8754,Studies!A:BR,5,FALSE),"")</f>
        <v>14-hydroxyclarithromycin</v>
      </c>
      <c r="F8754" s="251" t="str">
        <f>IF(AND(A8754&lt;&gt;"",ISNUMBER(A8754)),VLOOKUP(A8754,Studies!A:BR,6,FALSE),"")</f>
        <v>Serum</v>
      </c>
      <c r="G8754" s="194">
        <v>148</v>
      </c>
      <c r="H8754" s="50" t="s">
        <v>60</v>
      </c>
      <c r="I8754" s="187">
        <v>0.50997300000000001</v>
      </c>
      <c r="J8754" s="41" t="s">
        <v>1220</v>
      </c>
      <c r="K8754" s="41" t="s">
        <v>335</v>
      </c>
      <c r="L8754" s="195">
        <v>0.1737901</v>
      </c>
      <c r="M8754" s="52" t="s">
        <v>1220</v>
      </c>
      <c r="N8754" s="52" t="s">
        <v>117</v>
      </c>
      <c r="O8754" s="199"/>
    </row>
    <row r="8755" spans="1:16" x14ac:dyDescent="0.2">
      <c r="A8755" s="30">
        <v>2032</v>
      </c>
      <c r="B8755" s="249" t="str">
        <f>IF(AND(A8755&lt;&gt;"",ISNUMBER(A8755)),VLOOKUP(A8755,Studies!A:BR,2,FALSE),"")</f>
        <v>Quinney 2008</v>
      </c>
      <c r="C8755" s="250" t="str">
        <f>IF(AND(A8755&lt;&gt;"",ISNUMBER(A8755)),VLOOKUP(A8755,Studies!A:BR,3,FALSE),"")</f>
        <v>https://www.ncbi.nlm.nih.gov/pubmed/17635500</v>
      </c>
      <c r="D8755" s="250" t="str">
        <f>IF(AND(A8755&lt;&gt;"",ISNUMBER(A8755)),VLOOKUP(A8755,Studies!A:BR,4,FALSE),"")</f>
        <v>14-hydroxyclarithromycin</v>
      </c>
      <c r="E8755" s="250" t="str">
        <f>IF(AND(A8755&lt;&gt;"",ISNUMBER(A8755)),VLOOKUP(A8755,Studies!A:BR,5,FALSE),"")</f>
        <v>14-hydroxyclarithromycin</v>
      </c>
      <c r="F8755" s="251" t="str">
        <f>IF(AND(A8755&lt;&gt;"",ISNUMBER(A8755)),VLOOKUP(A8755,Studies!A:BR,6,FALSE),"")</f>
        <v>Serum</v>
      </c>
      <c r="G8755" s="194">
        <v>148.5</v>
      </c>
      <c r="H8755" s="50" t="s">
        <v>60</v>
      </c>
      <c r="I8755" s="187">
        <v>0.50446400000000002</v>
      </c>
      <c r="J8755" s="41" t="s">
        <v>1220</v>
      </c>
      <c r="K8755" s="41" t="s">
        <v>335</v>
      </c>
      <c r="L8755" s="195">
        <v>0.1361609</v>
      </c>
      <c r="M8755" s="52" t="s">
        <v>1220</v>
      </c>
      <c r="N8755" s="52" t="s">
        <v>117</v>
      </c>
      <c r="O8755" s="199"/>
    </row>
    <row r="8756" spans="1:16" x14ac:dyDescent="0.2">
      <c r="A8756" s="30">
        <v>2032</v>
      </c>
      <c r="B8756" s="249" t="str">
        <f>IF(AND(A8756&lt;&gt;"",ISNUMBER(A8756)),VLOOKUP(A8756,Studies!A:BR,2,FALSE),"")</f>
        <v>Quinney 2008</v>
      </c>
      <c r="C8756" s="250" t="str">
        <f>IF(AND(A8756&lt;&gt;"",ISNUMBER(A8756)),VLOOKUP(A8756,Studies!A:BR,3,FALSE),"")</f>
        <v>https://www.ncbi.nlm.nih.gov/pubmed/17635500</v>
      </c>
      <c r="D8756" s="250" t="str">
        <f>IF(AND(A8756&lt;&gt;"",ISNUMBER(A8756)),VLOOKUP(A8756,Studies!A:BR,4,FALSE),"")</f>
        <v>14-hydroxyclarithromycin</v>
      </c>
      <c r="E8756" s="250" t="str">
        <f>IF(AND(A8756&lt;&gt;"",ISNUMBER(A8756)),VLOOKUP(A8756,Studies!A:BR,5,FALSE),"")</f>
        <v>14-hydroxyclarithromycin</v>
      </c>
      <c r="F8756" s="251" t="str">
        <f>IF(AND(A8756&lt;&gt;"",ISNUMBER(A8756)),VLOOKUP(A8756,Studies!A:BR,6,FALSE),"")</f>
        <v>Serum</v>
      </c>
      <c r="G8756" s="194">
        <v>149</v>
      </c>
      <c r="H8756" s="50" t="s">
        <v>60</v>
      </c>
      <c r="I8756" s="187">
        <v>0.48301680000000002</v>
      </c>
      <c r="J8756" s="41" t="s">
        <v>1220</v>
      </c>
      <c r="K8756" s="41" t="s">
        <v>335</v>
      </c>
      <c r="L8756" s="195">
        <v>0.1646039</v>
      </c>
      <c r="M8756" s="52" t="s">
        <v>1220</v>
      </c>
      <c r="N8756" s="52" t="s">
        <v>117</v>
      </c>
      <c r="O8756" s="199"/>
    </row>
    <row r="8757" spans="1:16" x14ac:dyDescent="0.2">
      <c r="A8757" s="30">
        <v>2032</v>
      </c>
      <c r="B8757" s="249" t="str">
        <f>IF(AND(A8757&lt;&gt;"",ISNUMBER(A8757)),VLOOKUP(A8757,Studies!A:BR,2,FALSE),"")</f>
        <v>Quinney 2008</v>
      </c>
      <c r="C8757" s="250" t="str">
        <f>IF(AND(A8757&lt;&gt;"",ISNUMBER(A8757)),VLOOKUP(A8757,Studies!A:BR,3,FALSE),"")</f>
        <v>https://www.ncbi.nlm.nih.gov/pubmed/17635500</v>
      </c>
      <c r="D8757" s="250" t="str">
        <f>IF(AND(A8757&lt;&gt;"",ISNUMBER(A8757)),VLOOKUP(A8757,Studies!A:BR,4,FALSE),"")</f>
        <v>14-hydroxyclarithromycin</v>
      </c>
      <c r="E8757" s="250" t="str">
        <f>IF(AND(A8757&lt;&gt;"",ISNUMBER(A8757)),VLOOKUP(A8757,Studies!A:BR,5,FALSE),"")</f>
        <v>14-hydroxyclarithromycin</v>
      </c>
      <c r="F8757" s="251" t="str">
        <f>IF(AND(A8757&lt;&gt;"",ISNUMBER(A8757)),VLOOKUP(A8757,Studies!A:BR,6,FALSE),"")</f>
        <v>Serum</v>
      </c>
      <c r="G8757" s="194">
        <v>150</v>
      </c>
      <c r="H8757" s="50" t="s">
        <v>60</v>
      </c>
      <c r="I8757" s="187">
        <v>0.47263759999999999</v>
      </c>
      <c r="J8757" s="41" t="s">
        <v>1220</v>
      </c>
      <c r="K8757" s="41" t="s">
        <v>335</v>
      </c>
      <c r="L8757" s="195">
        <v>0.14744969999999999</v>
      </c>
      <c r="M8757" s="52" t="s">
        <v>1220</v>
      </c>
      <c r="N8757" s="52" t="s">
        <v>117</v>
      </c>
      <c r="O8757" s="199"/>
    </row>
    <row r="8758" spans="1:16" x14ac:dyDescent="0.2">
      <c r="A8758" s="30">
        <v>2032</v>
      </c>
      <c r="B8758" s="249" t="str">
        <f>IF(AND(A8758&lt;&gt;"",ISNUMBER(A8758)),VLOOKUP(A8758,Studies!A:BR,2,FALSE),"")</f>
        <v>Quinney 2008</v>
      </c>
      <c r="C8758" s="250" t="str">
        <f>IF(AND(A8758&lt;&gt;"",ISNUMBER(A8758)),VLOOKUP(A8758,Studies!A:BR,3,FALSE),"")</f>
        <v>https://www.ncbi.nlm.nih.gov/pubmed/17635500</v>
      </c>
      <c r="D8758" s="250" t="str">
        <f>IF(AND(A8758&lt;&gt;"",ISNUMBER(A8758)),VLOOKUP(A8758,Studies!A:BR,4,FALSE),"")</f>
        <v>14-hydroxyclarithromycin</v>
      </c>
      <c r="E8758" s="250" t="str">
        <f>IF(AND(A8758&lt;&gt;"",ISNUMBER(A8758)),VLOOKUP(A8758,Studies!A:BR,5,FALSE),"")</f>
        <v>14-hydroxyclarithromycin</v>
      </c>
      <c r="F8758" s="251" t="str">
        <f>IF(AND(A8758&lt;&gt;"",ISNUMBER(A8758)),VLOOKUP(A8758,Studies!A:BR,6,FALSE),"")</f>
        <v>Serum</v>
      </c>
      <c r="G8758" s="194">
        <v>151</v>
      </c>
      <c r="H8758" s="50" t="s">
        <v>60</v>
      </c>
      <c r="I8758" s="187">
        <v>0.52117199999999997</v>
      </c>
      <c r="J8758" s="41" t="s">
        <v>1220</v>
      </c>
      <c r="K8758" s="41" t="s">
        <v>335</v>
      </c>
      <c r="L8758" s="195">
        <v>0.14789830000000001</v>
      </c>
      <c r="M8758" s="52" t="s">
        <v>1220</v>
      </c>
      <c r="N8758" s="52" t="s">
        <v>117</v>
      </c>
      <c r="O8758" s="199"/>
    </row>
    <row r="8759" spans="1:16" x14ac:dyDescent="0.2">
      <c r="A8759" s="30">
        <v>2032</v>
      </c>
      <c r="B8759" s="249" t="str">
        <f>IF(AND(A8759&lt;&gt;"",ISNUMBER(A8759)),VLOOKUP(A8759,Studies!A:BR,2,FALSE),"")</f>
        <v>Quinney 2008</v>
      </c>
      <c r="C8759" s="250" t="str">
        <f>IF(AND(A8759&lt;&gt;"",ISNUMBER(A8759)),VLOOKUP(A8759,Studies!A:BR,3,FALSE),"")</f>
        <v>https://www.ncbi.nlm.nih.gov/pubmed/17635500</v>
      </c>
      <c r="D8759" s="250" t="str">
        <f>IF(AND(A8759&lt;&gt;"",ISNUMBER(A8759)),VLOOKUP(A8759,Studies!A:BR,4,FALSE),"")</f>
        <v>14-hydroxyclarithromycin</v>
      </c>
      <c r="E8759" s="250" t="str">
        <f>IF(AND(A8759&lt;&gt;"",ISNUMBER(A8759)),VLOOKUP(A8759,Studies!A:BR,5,FALSE),"")</f>
        <v>14-hydroxyclarithromycin</v>
      </c>
      <c r="F8759" s="251" t="str">
        <f>IF(AND(A8759&lt;&gt;"",ISNUMBER(A8759)),VLOOKUP(A8759,Studies!A:BR,6,FALSE),"")</f>
        <v>Serum</v>
      </c>
      <c r="G8759" s="194">
        <v>152</v>
      </c>
      <c r="H8759" s="50" t="s">
        <v>60</v>
      </c>
      <c r="I8759" s="187">
        <v>0.48301680000000002</v>
      </c>
      <c r="J8759" s="41" t="s">
        <v>1220</v>
      </c>
      <c r="K8759" s="41" t="s">
        <v>335</v>
      </c>
      <c r="L8759" s="195">
        <v>0.17882580000000001</v>
      </c>
      <c r="M8759" s="52" t="s">
        <v>1220</v>
      </c>
      <c r="N8759" s="52" t="s">
        <v>117</v>
      </c>
      <c r="O8759" s="199"/>
    </row>
    <row r="8760" spans="1:16" x14ac:dyDescent="0.2">
      <c r="A8760" s="30">
        <v>2032</v>
      </c>
      <c r="B8760" s="249" t="str">
        <f>IF(AND(A8760&lt;&gt;"",ISNUMBER(A8760)),VLOOKUP(A8760,Studies!A:BR,2,FALSE),"")</f>
        <v>Quinney 2008</v>
      </c>
      <c r="C8760" s="250" t="str">
        <f>IF(AND(A8760&lt;&gt;"",ISNUMBER(A8760)),VLOOKUP(A8760,Studies!A:BR,3,FALSE),"")</f>
        <v>https://www.ncbi.nlm.nih.gov/pubmed/17635500</v>
      </c>
      <c r="D8760" s="250" t="str">
        <f>IF(AND(A8760&lt;&gt;"",ISNUMBER(A8760)),VLOOKUP(A8760,Studies!A:BR,4,FALSE),"")</f>
        <v>14-hydroxyclarithromycin</v>
      </c>
      <c r="E8760" s="250" t="str">
        <f>IF(AND(A8760&lt;&gt;"",ISNUMBER(A8760)),VLOOKUP(A8760,Studies!A:BR,5,FALSE),"")</f>
        <v>14-hydroxyclarithromycin</v>
      </c>
      <c r="F8760" s="251" t="str">
        <f>IF(AND(A8760&lt;&gt;"",ISNUMBER(A8760)),VLOOKUP(A8760,Studies!A:BR,6,FALSE),"")</f>
        <v>Serum</v>
      </c>
      <c r="G8760" s="194">
        <v>154</v>
      </c>
      <c r="H8760" s="50" t="s">
        <v>60</v>
      </c>
      <c r="I8760" s="187">
        <v>0.47263759999999999</v>
      </c>
      <c r="J8760" s="41" t="s">
        <v>1220</v>
      </c>
      <c r="K8760" s="41" t="s">
        <v>335</v>
      </c>
      <c r="L8760" s="195">
        <v>0.16106690000000001</v>
      </c>
      <c r="M8760" s="52" t="s">
        <v>1220</v>
      </c>
      <c r="N8760" s="52" t="s">
        <v>117</v>
      </c>
      <c r="O8760" s="199"/>
    </row>
    <row r="8761" spans="1:16" x14ac:dyDescent="0.2">
      <c r="A8761" s="30">
        <v>2032</v>
      </c>
      <c r="B8761" s="249" t="str">
        <f>IF(AND(A8761&lt;&gt;"",ISNUMBER(A8761)),VLOOKUP(A8761,Studies!A:BR,2,FALSE),"")</f>
        <v>Quinney 2008</v>
      </c>
      <c r="C8761" s="250" t="str">
        <f>IF(AND(A8761&lt;&gt;"",ISNUMBER(A8761)),VLOOKUP(A8761,Studies!A:BR,3,FALSE),"")</f>
        <v>https://www.ncbi.nlm.nih.gov/pubmed/17635500</v>
      </c>
      <c r="D8761" s="250" t="str">
        <f>IF(AND(A8761&lt;&gt;"",ISNUMBER(A8761)),VLOOKUP(A8761,Studies!A:BR,4,FALSE),"")</f>
        <v>14-hydroxyclarithromycin</v>
      </c>
      <c r="E8761" s="250" t="str">
        <f>IF(AND(A8761&lt;&gt;"",ISNUMBER(A8761)),VLOOKUP(A8761,Studies!A:BR,5,FALSE),"")</f>
        <v>14-hydroxyclarithromycin</v>
      </c>
      <c r="F8761" s="251" t="str">
        <f>IF(AND(A8761&lt;&gt;"",ISNUMBER(A8761)),VLOOKUP(A8761,Studies!A:BR,6,FALSE),"")</f>
        <v>Serum</v>
      </c>
      <c r="G8761" s="194">
        <v>156</v>
      </c>
      <c r="H8761" s="50" t="s">
        <v>60</v>
      </c>
      <c r="I8761" s="187">
        <v>0.41941260000000002</v>
      </c>
      <c r="J8761" s="41" t="s">
        <v>1220</v>
      </c>
      <c r="K8761" s="41" t="s">
        <v>335</v>
      </c>
      <c r="L8761" s="195">
        <v>0.16789809999999999</v>
      </c>
      <c r="M8761" s="52" t="s">
        <v>1220</v>
      </c>
      <c r="N8761" s="52" t="s">
        <v>117</v>
      </c>
      <c r="O8761" s="199"/>
    </row>
    <row r="8762" spans="1:16" x14ac:dyDescent="0.2">
      <c r="A8762" s="30">
        <v>2033</v>
      </c>
      <c r="B8762" s="249" t="str">
        <f>IF(AND(A8762&lt;&gt;"",ISNUMBER(A8762)),VLOOKUP(A8762,Studies!A:BR,2,FALSE),"")</f>
        <v>Quinney 2008</v>
      </c>
      <c r="C8762" s="250" t="str">
        <f>IF(AND(A8762&lt;&gt;"",ISNUMBER(A8762)),VLOOKUP(A8762,Studies!A:BR,3,FALSE),"")</f>
        <v>https://www.ncbi.nlm.nih.gov/pubmed/17635500</v>
      </c>
      <c r="D8762" s="250" t="str">
        <f>IF(AND(A8762&lt;&gt;"",ISNUMBER(A8762)),VLOOKUP(A8762,Studies!A:BR,4,FALSE),"")</f>
        <v>N-desmethylclarithromycin</v>
      </c>
      <c r="E8762" s="250" t="str">
        <f>IF(AND(A8762&lt;&gt;"",ISNUMBER(A8762)),VLOOKUP(A8762,Studies!A:BR,5,FALSE),"")</f>
        <v>N-desmethylclarithromycin</v>
      </c>
      <c r="F8762" s="251" t="str">
        <f>IF(AND(A8762&lt;&gt;"",ISNUMBER(A8762)),VLOOKUP(A8762,Studies!A:BR,6,FALSE),"")</f>
        <v>Serum</v>
      </c>
      <c r="G8762" s="194">
        <v>144</v>
      </c>
      <c r="H8762" s="50" t="s">
        <v>60</v>
      </c>
      <c r="I8762" s="187">
        <v>0.41040019999999999</v>
      </c>
      <c r="J8762" s="41" t="s">
        <v>1220</v>
      </c>
      <c r="K8762" s="41" t="s">
        <v>335</v>
      </c>
      <c r="L8762" s="195">
        <v>0.27632190000000001</v>
      </c>
      <c r="M8762" s="52" t="s">
        <v>1220</v>
      </c>
      <c r="N8762" s="52" t="s">
        <v>117</v>
      </c>
      <c r="O8762" s="199"/>
      <c r="P8762" s="42" t="s">
        <v>2647</v>
      </c>
    </row>
    <row r="8763" spans="1:16" x14ac:dyDescent="0.2">
      <c r="A8763" s="30">
        <v>2033</v>
      </c>
      <c r="B8763" s="249" t="str">
        <f>IF(AND(A8763&lt;&gt;"",ISNUMBER(A8763)),VLOOKUP(A8763,Studies!A:BR,2,FALSE),"")</f>
        <v>Quinney 2008</v>
      </c>
      <c r="C8763" s="250" t="str">
        <f>IF(AND(A8763&lt;&gt;"",ISNUMBER(A8763)),VLOOKUP(A8763,Studies!A:BR,3,FALSE),"")</f>
        <v>https://www.ncbi.nlm.nih.gov/pubmed/17635500</v>
      </c>
      <c r="D8763" s="250" t="str">
        <f>IF(AND(A8763&lt;&gt;"",ISNUMBER(A8763)),VLOOKUP(A8763,Studies!A:BR,4,FALSE),"")</f>
        <v>N-desmethylclarithromycin</v>
      </c>
      <c r="E8763" s="250" t="str">
        <f>IF(AND(A8763&lt;&gt;"",ISNUMBER(A8763)),VLOOKUP(A8763,Studies!A:BR,5,FALSE),"")</f>
        <v>N-desmethylclarithromycin</v>
      </c>
      <c r="F8763" s="251" t="str">
        <f>IF(AND(A8763&lt;&gt;"",ISNUMBER(A8763)),VLOOKUP(A8763,Studies!A:BR,6,FALSE),"")</f>
        <v>Serum</v>
      </c>
      <c r="G8763" s="194">
        <v>146</v>
      </c>
      <c r="H8763" s="50" t="s">
        <v>60</v>
      </c>
      <c r="I8763" s="187">
        <v>0.467532</v>
      </c>
      <c r="J8763" s="41" t="s">
        <v>1220</v>
      </c>
      <c r="K8763" s="41" t="s">
        <v>335</v>
      </c>
      <c r="L8763" s="195">
        <v>0.24170620000000001</v>
      </c>
      <c r="M8763" s="52" t="s">
        <v>1220</v>
      </c>
      <c r="N8763" s="52" t="s">
        <v>117</v>
      </c>
      <c r="O8763" s="199"/>
    </row>
    <row r="8764" spans="1:16" x14ac:dyDescent="0.2">
      <c r="A8764" s="30">
        <v>2033</v>
      </c>
      <c r="B8764" s="249" t="str">
        <f>IF(AND(A8764&lt;&gt;"",ISNUMBER(A8764)),VLOOKUP(A8764,Studies!A:BR,2,FALSE),"")</f>
        <v>Quinney 2008</v>
      </c>
      <c r="C8764" s="250" t="str">
        <f>IF(AND(A8764&lt;&gt;"",ISNUMBER(A8764)),VLOOKUP(A8764,Studies!A:BR,3,FALSE),"")</f>
        <v>https://www.ncbi.nlm.nih.gov/pubmed/17635500</v>
      </c>
      <c r="D8764" s="250" t="str">
        <f>IF(AND(A8764&lt;&gt;"",ISNUMBER(A8764)),VLOOKUP(A8764,Studies!A:BR,4,FALSE),"")</f>
        <v>N-desmethylclarithromycin</v>
      </c>
      <c r="E8764" s="250" t="str">
        <f>IF(AND(A8764&lt;&gt;"",ISNUMBER(A8764)),VLOOKUP(A8764,Studies!A:BR,5,FALSE),"")</f>
        <v>N-desmethylclarithromycin</v>
      </c>
      <c r="F8764" s="251" t="str">
        <f>IF(AND(A8764&lt;&gt;"",ISNUMBER(A8764)),VLOOKUP(A8764,Studies!A:BR,6,FALSE),"")</f>
        <v>Serum</v>
      </c>
      <c r="G8764" s="194">
        <v>146.25</v>
      </c>
      <c r="H8764" s="50" t="s">
        <v>60</v>
      </c>
      <c r="I8764" s="187">
        <v>0.47779909999999998</v>
      </c>
      <c r="J8764" s="41" t="s">
        <v>1220</v>
      </c>
      <c r="K8764" s="41" t="s">
        <v>335</v>
      </c>
      <c r="L8764" s="195">
        <v>0.25921290000000002</v>
      </c>
      <c r="M8764" s="52" t="s">
        <v>1220</v>
      </c>
      <c r="N8764" s="52" t="s">
        <v>117</v>
      </c>
    </row>
    <row r="8765" spans="1:16" x14ac:dyDescent="0.2">
      <c r="A8765" s="30">
        <v>2033</v>
      </c>
      <c r="B8765" s="249" t="str">
        <f>IF(AND(A8765&lt;&gt;"",ISNUMBER(A8765)),VLOOKUP(A8765,Studies!A:BR,2,FALSE),"")</f>
        <v>Quinney 2008</v>
      </c>
      <c r="C8765" s="250" t="str">
        <f>IF(AND(A8765&lt;&gt;"",ISNUMBER(A8765)),VLOOKUP(A8765,Studies!A:BR,3,FALSE),"")</f>
        <v>https://www.ncbi.nlm.nih.gov/pubmed/17635500</v>
      </c>
      <c r="D8765" s="250" t="str">
        <f>IF(AND(A8765&lt;&gt;"",ISNUMBER(A8765)),VLOOKUP(A8765,Studies!A:BR,4,FALSE),"")</f>
        <v>N-desmethylclarithromycin</v>
      </c>
      <c r="E8765" s="250" t="str">
        <f>IF(AND(A8765&lt;&gt;"",ISNUMBER(A8765)),VLOOKUP(A8765,Studies!A:BR,5,FALSE),"")</f>
        <v>N-desmethylclarithromycin</v>
      </c>
      <c r="F8765" s="251" t="str">
        <f>IF(AND(A8765&lt;&gt;"",ISNUMBER(A8765)),VLOOKUP(A8765,Studies!A:BR,6,FALSE),"")</f>
        <v>Serum</v>
      </c>
      <c r="G8765" s="194">
        <v>146.5</v>
      </c>
      <c r="H8765" s="194" t="s">
        <v>60</v>
      </c>
      <c r="I8765" s="187">
        <v>0.467532</v>
      </c>
      <c r="J8765" s="187" t="s">
        <v>1220</v>
      </c>
      <c r="K8765" s="41" t="s">
        <v>335</v>
      </c>
      <c r="L8765" s="195">
        <v>0.29162510000000003</v>
      </c>
      <c r="M8765" s="195" t="s">
        <v>1220</v>
      </c>
      <c r="N8765" s="52" t="s">
        <v>117</v>
      </c>
      <c r="O8765" s="199"/>
    </row>
    <row r="8766" spans="1:16" x14ac:dyDescent="0.2">
      <c r="A8766" s="30">
        <v>2033</v>
      </c>
      <c r="B8766" s="249" t="str">
        <f>IF(AND(A8766&lt;&gt;"",ISNUMBER(A8766)),VLOOKUP(A8766,Studies!A:BR,2,FALSE),"")</f>
        <v>Quinney 2008</v>
      </c>
      <c r="C8766" s="250" t="str">
        <f>IF(AND(A8766&lt;&gt;"",ISNUMBER(A8766)),VLOOKUP(A8766,Studies!A:BR,3,FALSE),"")</f>
        <v>https://www.ncbi.nlm.nih.gov/pubmed/17635500</v>
      </c>
      <c r="D8766" s="250" t="str">
        <f>IF(AND(A8766&lt;&gt;"",ISNUMBER(A8766)),VLOOKUP(A8766,Studies!A:BR,4,FALSE),"")</f>
        <v>N-desmethylclarithromycin</v>
      </c>
      <c r="E8766" s="250" t="str">
        <f>IF(AND(A8766&lt;&gt;"",ISNUMBER(A8766)),VLOOKUP(A8766,Studies!A:BR,5,FALSE),"")</f>
        <v>N-desmethylclarithromycin</v>
      </c>
      <c r="F8766" s="251" t="str">
        <f>IF(AND(A8766&lt;&gt;"",ISNUMBER(A8766)),VLOOKUP(A8766,Studies!A:BR,6,FALSE),"")</f>
        <v>Serum</v>
      </c>
      <c r="G8766" s="194">
        <v>146.75</v>
      </c>
      <c r="H8766" s="194" t="s">
        <v>60</v>
      </c>
      <c r="I8766" s="187">
        <v>0.467532</v>
      </c>
      <c r="J8766" s="187" t="s">
        <v>1220</v>
      </c>
      <c r="K8766" s="41" t="s">
        <v>335</v>
      </c>
      <c r="L8766" s="195">
        <v>0.2212065</v>
      </c>
      <c r="M8766" s="195" t="s">
        <v>1220</v>
      </c>
      <c r="N8766" s="52" t="s">
        <v>117</v>
      </c>
      <c r="O8766" s="199"/>
    </row>
    <row r="8767" spans="1:16" x14ac:dyDescent="0.2">
      <c r="A8767" s="30">
        <v>2033</v>
      </c>
      <c r="B8767" s="249" t="str">
        <f>IF(AND(A8767&lt;&gt;"",ISNUMBER(A8767)),VLOOKUP(A8767,Studies!A:BR,2,FALSE),"")</f>
        <v>Quinney 2008</v>
      </c>
      <c r="C8767" s="250" t="str">
        <f>IF(AND(A8767&lt;&gt;"",ISNUMBER(A8767)),VLOOKUP(A8767,Studies!A:BR,3,FALSE),"")</f>
        <v>https://www.ncbi.nlm.nih.gov/pubmed/17635500</v>
      </c>
      <c r="D8767" s="250" t="str">
        <f>IF(AND(A8767&lt;&gt;"",ISNUMBER(A8767)),VLOOKUP(A8767,Studies!A:BR,4,FALSE),"")</f>
        <v>N-desmethylclarithromycin</v>
      </c>
      <c r="E8767" s="250" t="str">
        <f>IF(AND(A8767&lt;&gt;"",ISNUMBER(A8767)),VLOOKUP(A8767,Studies!A:BR,5,FALSE),"")</f>
        <v>N-desmethylclarithromycin</v>
      </c>
      <c r="F8767" s="251" t="str">
        <f>IF(AND(A8767&lt;&gt;"",ISNUMBER(A8767)),VLOOKUP(A8767,Studies!A:BR,6,FALSE),"")</f>
        <v>Serum</v>
      </c>
      <c r="G8767" s="194">
        <v>147</v>
      </c>
      <c r="H8767" s="194" t="s">
        <v>60</v>
      </c>
      <c r="I8767" s="187">
        <v>0.467532</v>
      </c>
      <c r="J8767" s="187" t="s">
        <v>1220</v>
      </c>
      <c r="K8767" s="41" t="s">
        <v>335</v>
      </c>
      <c r="L8767" s="195">
        <v>0.26049990000000001</v>
      </c>
      <c r="M8767" s="195" t="s">
        <v>1220</v>
      </c>
      <c r="N8767" s="52" t="s">
        <v>117</v>
      </c>
      <c r="O8767" s="199"/>
    </row>
    <row r="8768" spans="1:16" x14ac:dyDescent="0.2">
      <c r="A8768" s="30">
        <v>2033</v>
      </c>
      <c r="B8768" s="249" t="str">
        <f>IF(AND(A8768&lt;&gt;"",ISNUMBER(A8768)),VLOOKUP(A8768,Studies!A:BR,2,FALSE),"")</f>
        <v>Quinney 2008</v>
      </c>
      <c r="C8768" s="250" t="str">
        <f>IF(AND(A8768&lt;&gt;"",ISNUMBER(A8768)),VLOOKUP(A8768,Studies!A:BR,3,FALSE),"")</f>
        <v>https://www.ncbi.nlm.nih.gov/pubmed/17635500</v>
      </c>
      <c r="D8768" s="250" t="str">
        <f>IF(AND(A8768&lt;&gt;"",ISNUMBER(A8768)),VLOOKUP(A8768,Studies!A:BR,4,FALSE),"")</f>
        <v>N-desmethylclarithromycin</v>
      </c>
      <c r="E8768" s="250" t="str">
        <f>IF(AND(A8768&lt;&gt;"",ISNUMBER(A8768)),VLOOKUP(A8768,Studies!A:BR,5,FALSE),"")</f>
        <v>N-desmethylclarithromycin</v>
      </c>
      <c r="F8768" s="251" t="str">
        <f>IF(AND(A8768&lt;&gt;"",ISNUMBER(A8768)),VLOOKUP(A8768,Studies!A:BR,6,FALSE),"")</f>
        <v>Serum</v>
      </c>
      <c r="G8768" s="194">
        <v>147.5</v>
      </c>
      <c r="H8768" s="194" t="s">
        <v>60</v>
      </c>
      <c r="I8768" s="187">
        <v>0.45254359999999999</v>
      </c>
      <c r="J8768" s="187" t="s">
        <v>1220</v>
      </c>
      <c r="K8768" s="41" t="s">
        <v>335</v>
      </c>
      <c r="L8768" s="195">
        <v>0.27081050000000001</v>
      </c>
      <c r="M8768" s="195" t="s">
        <v>1220</v>
      </c>
      <c r="N8768" s="52" t="s">
        <v>117</v>
      </c>
      <c r="O8768" s="199"/>
    </row>
    <row r="8769" spans="1:15" x14ac:dyDescent="0.2">
      <c r="A8769" s="30">
        <v>2033</v>
      </c>
      <c r="B8769" s="249" t="str">
        <f>IF(AND(A8769&lt;&gt;"",ISNUMBER(A8769)),VLOOKUP(A8769,Studies!A:BR,2,FALSE),"")</f>
        <v>Quinney 2008</v>
      </c>
      <c r="C8769" s="250" t="str">
        <f>IF(AND(A8769&lt;&gt;"",ISNUMBER(A8769)),VLOOKUP(A8769,Studies!A:BR,3,FALSE),"")</f>
        <v>https://www.ncbi.nlm.nih.gov/pubmed/17635500</v>
      </c>
      <c r="D8769" s="250" t="str">
        <f>IF(AND(A8769&lt;&gt;"",ISNUMBER(A8769)),VLOOKUP(A8769,Studies!A:BR,4,FALSE),"")</f>
        <v>N-desmethylclarithromycin</v>
      </c>
      <c r="E8769" s="250" t="str">
        <f>IF(AND(A8769&lt;&gt;"",ISNUMBER(A8769)),VLOOKUP(A8769,Studies!A:BR,5,FALSE),"")</f>
        <v>N-desmethylclarithromycin</v>
      </c>
      <c r="F8769" s="251" t="str">
        <f>IF(AND(A8769&lt;&gt;"",ISNUMBER(A8769)),VLOOKUP(A8769,Studies!A:BR,6,FALSE),"")</f>
        <v>Serum</v>
      </c>
      <c r="G8769" s="194">
        <v>148</v>
      </c>
      <c r="H8769" s="194" t="s">
        <v>60</v>
      </c>
      <c r="I8769" s="187">
        <v>0.45748549999999999</v>
      </c>
      <c r="J8769" s="187" t="s">
        <v>1220</v>
      </c>
      <c r="K8769" s="41" t="s">
        <v>335</v>
      </c>
      <c r="L8769" s="195">
        <v>0.28157850000000001</v>
      </c>
      <c r="M8769" s="195" t="s">
        <v>1220</v>
      </c>
      <c r="N8769" s="52" t="s">
        <v>117</v>
      </c>
      <c r="O8769" s="199"/>
    </row>
    <row r="8770" spans="1:15" x14ac:dyDescent="0.2">
      <c r="A8770" s="30">
        <v>2033</v>
      </c>
      <c r="B8770" s="249" t="str">
        <f>IF(AND(A8770&lt;&gt;"",ISNUMBER(A8770)),VLOOKUP(A8770,Studies!A:BR,2,FALSE),"")</f>
        <v>Quinney 2008</v>
      </c>
      <c r="C8770" s="250" t="str">
        <f>IF(AND(A8770&lt;&gt;"",ISNUMBER(A8770)),VLOOKUP(A8770,Studies!A:BR,3,FALSE),"")</f>
        <v>https://www.ncbi.nlm.nih.gov/pubmed/17635500</v>
      </c>
      <c r="D8770" s="250" t="str">
        <f>IF(AND(A8770&lt;&gt;"",ISNUMBER(A8770)),VLOOKUP(A8770,Studies!A:BR,4,FALSE),"")</f>
        <v>N-desmethylclarithromycin</v>
      </c>
      <c r="E8770" s="250" t="str">
        <f>IF(AND(A8770&lt;&gt;"",ISNUMBER(A8770)),VLOOKUP(A8770,Studies!A:BR,5,FALSE),"")</f>
        <v>N-desmethylclarithromycin</v>
      </c>
      <c r="F8770" s="251" t="str">
        <f>IF(AND(A8770&lt;&gt;"",ISNUMBER(A8770)),VLOOKUP(A8770,Studies!A:BR,6,FALSE),"")</f>
        <v>Serum</v>
      </c>
      <c r="G8770" s="194">
        <v>148.5</v>
      </c>
      <c r="H8770" s="194" t="s">
        <v>60</v>
      </c>
      <c r="I8770" s="187">
        <v>0.4936239</v>
      </c>
      <c r="J8770" s="187" t="s">
        <v>1220</v>
      </c>
      <c r="K8770" s="41" t="s">
        <v>335</v>
      </c>
      <c r="L8770" s="195">
        <v>0.2750378</v>
      </c>
      <c r="M8770" s="195" t="s">
        <v>1220</v>
      </c>
      <c r="N8770" s="52" t="s">
        <v>117</v>
      </c>
      <c r="O8770" s="199"/>
    </row>
    <row r="8771" spans="1:15" x14ac:dyDescent="0.2">
      <c r="A8771" s="30">
        <v>2033</v>
      </c>
      <c r="B8771" s="249" t="str">
        <f>IF(AND(A8771&lt;&gt;"",ISNUMBER(A8771)),VLOOKUP(A8771,Studies!A:BR,2,FALSE),"")</f>
        <v>Quinney 2008</v>
      </c>
      <c r="C8771" s="250" t="str">
        <f>IF(AND(A8771&lt;&gt;"",ISNUMBER(A8771)),VLOOKUP(A8771,Studies!A:BR,3,FALSE),"")</f>
        <v>https://www.ncbi.nlm.nih.gov/pubmed/17635500</v>
      </c>
      <c r="D8771" s="250" t="str">
        <f>IF(AND(A8771&lt;&gt;"",ISNUMBER(A8771)),VLOOKUP(A8771,Studies!A:BR,4,FALSE),"")</f>
        <v>N-desmethylclarithromycin</v>
      </c>
      <c r="E8771" s="250" t="str">
        <f>IF(AND(A8771&lt;&gt;"",ISNUMBER(A8771)),VLOOKUP(A8771,Studies!A:BR,5,FALSE),"")</f>
        <v>N-desmethylclarithromycin</v>
      </c>
      <c r="F8771" s="251" t="str">
        <f>IF(AND(A8771&lt;&gt;"",ISNUMBER(A8771)),VLOOKUP(A8771,Studies!A:BR,6,FALSE),"")</f>
        <v>Serum</v>
      </c>
      <c r="G8771" s="194">
        <v>149</v>
      </c>
      <c r="H8771" s="194" t="s">
        <v>60</v>
      </c>
      <c r="I8771" s="187">
        <v>0.48301680000000002</v>
      </c>
      <c r="J8771" s="187" t="s">
        <v>1220</v>
      </c>
      <c r="K8771" s="41" t="s">
        <v>335</v>
      </c>
      <c r="L8771" s="195">
        <v>0.29526469999999999</v>
      </c>
      <c r="M8771" s="195" t="s">
        <v>1220</v>
      </c>
      <c r="N8771" s="52" t="s">
        <v>117</v>
      </c>
      <c r="O8771" s="199"/>
    </row>
    <row r="8772" spans="1:15" x14ac:dyDescent="0.2">
      <c r="A8772" s="30">
        <v>2033</v>
      </c>
      <c r="B8772" s="249" t="str">
        <f>IF(AND(A8772&lt;&gt;"",ISNUMBER(A8772)),VLOOKUP(A8772,Studies!A:BR,2,FALSE),"")</f>
        <v>Quinney 2008</v>
      </c>
      <c r="C8772" s="250" t="str">
        <f>IF(AND(A8772&lt;&gt;"",ISNUMBER(A8772)),VLOOKUP(A8772,Studies!A:BR,3,FALSE),"")</f>
        <v>https://www.ncbi.nlm.nih.gov/pubmed/17635500</v>
      </c>
      <c r="D8772" s="250" t="str">
        <f>IF(AND(A8772&lt;&gt;"",ISNUMBER(A8772)),VLOOKUP(A8772,Studies!A:BR,4,FALSE),"")</f>
        <v>N-desmethylclarithromycin</v>
      </c>
      <c r="E8772" s="250" t="str">
        <f>IF(AND(A8772&lt;&gt;"",ISNUMBER(A8772)),VLOOKUP(A8772,Studies!A:BR,5,FALSE),"")</f>
        <v>N-desmethylclarithromycin</v>
      </c>
      <c r="F8772" s="251" t="str">
        <f>IF(AND(A8772&lt;&gt;"",ISNUMBER(A8772)),VLOOKUP(A8772,Studies!A:BR,6,FALSE),"")</f>
        <v>Serum</v>
      </c>
      <c r="G8772" s="194">
        <v>150</v>
      </c>
      <c r="H8772" s="194" t="s">
        <v>60</v>
      </c>
      <c r="I8772" s="187">
        <v>0.5155421</v>
      </c>
      <c r="J8772" s="187" t="s">
        <v>1220</v>
      </c>
      <c r="K8772" s="41" t="s">
        <v>335</v>
      </c>
      <c r="L8772" s="195">
        <v>0.33380900000000002</v>
      </c>
      <c r="M8772" s="195" t="s">
        <v>1220</v>
      </c>
      <c r="N8772" s="52" t="s">
        <v>117</v>
      </c>
      <c r="O8772" s="199"/>
    </row>
    <row r="8773" spans="1:15" x14ac:dyDescent="0.2">
      <c r="A8773" s="30">
        <v>2033</v>
      </c>
      <c r="B8773" s="249" t="str">
        <f>IF(AND(A8773&lt;&gt;"",ISNUMBER(A8773)),VLOOKUP(A8773,Studies!A:BR,2,FALSE),"")</f>
        <v>Quinney 2008</v>
      </c>
      <c r="C8773" s="250" t="str">
        <f>IF(AND(A8773&lt;&gt;"",ISNUMBER(A8773)),VLOOKUP(A8773,Studies!A:BR,3,FALSE),"")</f>
        <v>https://www.ncbi.nlm.nih.gov/pubmed/17635500</v>
      </c>
      <c r="D8773" s="250" t="str">
        <f>IF(AND(A8773&lt;&gt;"",ISNUMBER(A8773)),VLOOKUP(A8773,Studies!A:BR,4,FALSE),"")</f>
        <v>N-desmethylclarithromycin</v>
      </c>
      <c r="E8773" s="250" t="str">
        <f>IF(AND(A8773&lt;&gt;"",ISNUMBER(A8773)),VLOOKUP(A8773,Studies!A:BR,5,FALSE),"")</f>
        <v>N-desmethylclarithromycin</v>
      </c>
      <c r="F8773" s="251" t="str">
        <f>IF(AND(A8773&lt;&gt;"",ISNUMBER(A8773)),VLOOKUP(A8773,Studies!A:BR,6,FALSE),"")</f>
        <v>Serum</v>
      </c>
      <c r="G8773" s="194">
        <v>151</v>
      </c>
      <c r="H8773" s="194" t="s">
        <v>60</v>
      </c>
      <c r="I8773" s="187">
        <v>0.48829159999999999</v>
      </c>
      <c r="J8773" s="187" t="s">
        <v>1220</v>
      </c>
      <c r="K8773" s="41" t="s">
        <v>335</v>
      </c>
      <c r="L8773" s="195">
        <v>0.29220279999999998</v>
      </c>
      <c r="M8773" s="195" t="s">
        <v>1220</v>
      </c>
      <c r="N8773" s="52" t="s">
        <v>117</v>
      </c>
      <c r="O8773" s="199"/>
    </row>
    <row r="8774" spans="1:15" x14ac:dyDescent="0.2">
      <c r="A8774" s="30">
        <v>2033</v>
      </c>
      <c r="B8774" s="249" t="str">
        <f>IF(AND(A8774&lt;&gt;"",ISNUMBER(A8774)),VLOOKUP(A8774,Studies!A:BR,2,FALSE),"")</f>
        <v>Quinney 2008</v>
      </c>
      <c r="C8774" s="250" t="str">
        <f>IF(AND(A8774&lt;&gt;"",ISNUMBER(A8774)),VLOOKUP(A8774,Studies!A:BR,3,FALSE),"")</f>
        <v>https://www.ncbi.nlm.nih.gov/pubmed/17635500</v>
      </c>
      <c r="D8774" s="250" t="str">
        <f>IF(AND(A8774&lt;&gt;"",ISNUMBER(A8774)),VLOOKUP(A8774,Studies!A:BR,4,FALSE),"")</f>
        <v>N-desmethylclarithromycin</v>
      </c>
      <c r="E8774" s="250" t="str">
        <f>IF(AND(A8774&lt;&gt;"",ISNUMBER(A8774)),VLOOKUP(A8774,Studies!A:BR,5,FALSE),"")</f>
        <v>N-desmethylclarithromycin</v>
      </c>
      <c r="F8774" s="251" t="str">
        <f>IF(AND(A8774&lt;&gt;"",ISNUMBER(A8774)),VLOOKUP(A8774,Studies!A:BR,6,FALSE),"")</f>
        <v>Serum</v>
      </c>
      <c r="G8774" s="194">
        <v>152</v>
      </c>
      <c r="H8774" s="194" t="s">
        <v>60</v>
      </c>
      <c r="I8774" s="187">
        <v>0.43803560000000002</v>
      </c>
      <c r="J8774" s="187" t="s">
        <v>1220</v>
      </c>
      <c r="K8774" s="41" t="s">
        <v>335</v>
      </c>
      <c r="L8774" s="195">
        <v>0.26590859999999999</v>
      </c>
      <c r="M8774" s="195" t="s">
        <v>1220</v>
      </c>
      <c r="N8774" s="52" t="s">
        <v>117</v>
      </c>
      <c r="O8774" s="199"/>
    </row>
    <row r="8775" spans="1:15" x14ac:dyDescent="0.2">
      <c r="A8775" s="30">
        <v>2033</v>
      </c>
      <c r="B8775" s="249" t="str">
        <f>IF(AND(A8775&lt;&gt;"",ISNUMBER(A8775)),VLOOKUP(A8775,Studies!A:BR,2,FALSE),"")</f>
        <v>Quinney 2008</v>
      </c>
      <c r="C8775" s="250" t="str">
        <f>IF(AND(A8775&lt;&gt;"",ISNUMBER(A8775)),VLOOKUP(A8775,Studies!A:BR,3,FALSE),"")</f>
        <v>https://www.ncbi.nlm.nih.gov/pubmed/17635500</v>
      </c>
      <c r="D8775" s="250" t="str">
        <f>IF(AND(A8775&lt;&gt;"",ISNUMBER(A8775)),VLOOKUP(A8775,Studies!A:BR,4,FALSE),"")</f>
        <v>N-desmethylclarithromycin</v>
      </c>
      <c r="E8775" s="250" t="str">
        <f>IF(AND(A8775&lt;&gt;"",ISNUMBER(A8775)),VLOOKUP(A8775,Studies!A:BR,5,FALSE),"")</f>
        <v>N-desmethylclarithromycin</v>
      </c>
      <c r="F8775" s="251" t="str">
        <f>IF(AND(A8775&lt;&gt;"",ISNUMBER(A8775)),VLOOKUP(A8775,Studies!A:BR,6,FALSE),"")</f>
        <v>Serum</v>
      </c>
      <c r="G8775" s="194">
        <v>154</v>
      </c>
      <c r="H8775" s="194" t="s">
        <v>60</v>
      </c>
      <c r="I8775" s="187">
        <v>0.45748549999999999</v>
      </c>
      <c r="J8775" s="187" t="s">
        <v>1220</v>
      </c>
      <c r="K8775" s="41" t="s">
        <v>335</v>
      </c>
      <c r="L8775" s="195">
        <v>0.267683</v>
      </c>
      <c r="M8775" s="195" t="s">
        <v>1220</v>
      </c>
      <c r="N8775" s="52" t="s">
        <v>117</v>
      </c>
      <c r="O8775" s="199"/>
    </row>
    <row r="8776" spans="1:15" x14ac:dyDescent="0.2">
      <c r="A8776" s="30">
        <v>2033</v>
      </c>
      <c r="B8776" s="249" t="str">
        <f>IF(AND(A8776&lt;&gt;"",ISNUMBER(A8776)),VLOOKUP(A8776,Studies!A:BR,2,FALSE),"")</f>
        <v>Quinney 2008</v>
      </c>
      <c r="C8776" s="250" t="str">
        <f>IF(AND(A8776&lt;&gt;"",ISNUMBER(A8776)),VLOOKUP(A8776,Studies!A:BR,3,FALSE),"")</f>
        <v>https://www.ncbi.nlm.nih.gov/pubmed/17635500</v>
      </c>
      <c r="D8776" s="250" t="str">
        <f>IF(AND(A8776&lt;&gt;"",ISNUMBER(A8776)),VLOOKUP(A8776,Studies!A:BR,4,FALSE),"")</f>
        <v>N-desmethylclarithromycin</v>
      </c>
      <c r="E8776" s="250" t="str">
        <f>IF(AND(A8776&lt;&gt;"",ISNUMBER(A8776)),VLOOKUP(A8776,Studies!A:BR,5,FALSE),"")</f>
        <v>N-desmethylclarithromycin</v>
      </c>
      <c r="F8776" s="251" t="str">
        <f>IF(AND(A8776&lt;&gt;"",ISNUMBER(A8776)),VLOOKUP(A8776,Studies!A:BR,6,FALSE),"")</f>
        <v>Serum</v>
      </c>
      <c r="G8776" s="194">
        <v>156</v>
      </c>
      <c r="H8776" s="194" t="s">
        <v>60</v>
      </c>
      <c r="I8776" s="187">
        <v>0.39724330000000002</v>
      </c>
      <c r="J8776" s="187" t="s">
        <v>1220</v>
      </c>
      <c r="K8776" s="41" t="s">
        <v>335</v>
      </c>
      <c r="L8776" s="195">
        <v>0.2845529</v>
      </c>
      <c r="M8776" s="195" t="s">
        <v>1220</v>
      </c>
      <c r="N8776" s="52" t="s">
        <v>117</v>
      </c>
      <c r="O8776" s="199"/>
    </row>
    <row r="8777" spans="1:15" x14ac:dyDescent="0.2">
      <c r="A8777" s="30">
        <v>2040</v>
      </c>
      <c r="B8777" s="249" t="str">
        <f>IF(AND(A8777&lt;&gt;"",ISNUMBER(A8777)),VLOOKUP(A8777,Studies!A:BR,2,FALSE),"")</f>
        <v>Katzenmaier 2010</v>
      </c>
      <c r="C8777" s="250" t="str">
        <f>IF(AND(A8777&lt;&gt;"",ISNUMBER(A8777)),VLOOKUP(A8777,Studies!A:BR,3,FALSE),"")</f>
        <v>https://www.ncbi.nlm.nih.gov/pubmed/20680253</v>
      </c>
      <c r="D8777" s="250" t="str">
        <f>IF(AND(A8777&lt;&gt;"",ISNUMBER(A8777)),VLOOKUP(A8777,Studies!A:BR,4,FALSE),"")</f>
        <v>Midazolam control</v>
      </c>
      <c r="E8777" s="250" t="str">
        <f>IF(AND(A8777&lt;&gt;"",ISNUMBER(A8777)),VLOOKUP(A8777,Studies!A:BR,5,FALSE),"")</f>
        <v>Midazolam</v>
      </c>
      <c r="F8777" s="251" t="str">
        <f>IF(AND(A8777&lt;&gt;"",ISNUMBER(A8777)),VLOOKUP(A8777,Studies!A:BR,6,FALSE),"")</f>
        <v>Plasma</v>
      </c>
      <c r="G8777" s="194">
        <v>0.25</v>
      </c>
      <c r="H8777" s="194" t="s">
        <v>60</v>
      </c>
      <c r="I8777" s="187">
        <v>37.021279999999997</v>
      </c>
      <c r="J8777" s="187" t="s">
        <v>1033</v>
      </c>
      <c r="K8777" s="41" t="s">
        <v>116</v>
      </c>
      <c r="L8777" s="195">
        <v>24.11347</v>
      </c>
      <c r="M8777" s="195" t="s">
        <v>1033</v>
      </c>
      <c r="N8777" s="52" t="s">
        <v>117</v>
      </c>
      <c r="O8777" s="199">
        <v>0.2</v>
      </c>
    </row>
    <row r="8778" spans="1:15" x14ac:dyDescent="0.2">
      <c r="A8778" s="30">
        <v>2040</v>
      </c>
      <c r="B8778" s="249" t="str">
        <f>IF(AND(A8778&lt;&gt;"",ISNUMBER(A8778)),VLOOKUP(A8778,Studies!A:BR,2,FALSE),"")</f>
        <v>Katzenmaier 2010</v>
      </c>
      <c r="C8778" s="250" t="str">
        <f>IF(AND(A8778&lt;&gt;"",ISNUMBER(A8778)),VLOOKUP(A8778,Studies!A:BR,3,FALSE),"")</f>
        <v>https://www.ncbi.nlm.nih.gov/pubmed/20680253</v>
      </c>
      <c r="D8778" s="250" t="str">
        <f>IF(AND(A8778&lt;&gt;"",ISNUMBER(A8778)),VLOOKUP(A8778,Studies!A:BR,4,FALSE),"")</f>
        <v>Midazolam control</v>
      </c>
      <c r="E8778" s="250" t="str">
        <f>IF(AND(A8778&lt;&gt;"",ISNUMBER(A8778)),VLOOKUP(A8778,Studies!A:BR,5,FALSE),"")</f>
        <v>Midazolam</v>
      </c>
      <c r="F8778" s="251" t="str">
        <f>IF(AND(A8778&lt;&gt;"",ISNUMBER(A8778)),VLOOKUP(A8778,Studies!A:BR,6,FALSE),"")</f>
        <v>Plasma</v>
      </c>
      <c r="G8778" s="194">
        <v>0.5</v>
      </c>
      <c r="H8778" s="194" t="s">
        <v>60</v>
      </c>
      <c r="I8778" s="187">
        <v>51.063830000000003</v>
      </c>
      <c r="J8778" s="187" t="s">
        <v>1033</v>
      </c>
      <c r="K8778" s="41" t="s">
        <v>116</v>
      </c>
      <c r="L8778" s="195">
        <v>18.29787</v>
      </c>
      <c r="M8778" s="195" t="s">
        <v>1033</v>
      </c>
      <c r="N8778" s="52" t="s">
        <v>117</v>
      </c>
      <c r="O8778" s="199">
        <v>0.2</v>
      </c>
    </row>
    <row r="8779" spans="1:15" x14ac:dyDescent="0.2">
      <c r="A8779" s="30">
        <v>2040</v>
      </c>
      <c r="B8779" s="249" t="str">
        <f>IF(AND(A8779&lt;&gt;"",ISNUMBER(A8779)),VLOOKUP(A8779,Studies!A:BR,2,FALSE),"")</f>
        <v>Katzenmaier 2010</v>
      </c>
      <c r="C8779" s="250" t="str">
        <f>IF(AND(A8779&lt;&gt;"",ISNUMBER(A8779)),VLOOKUP(A8779,Studies!A:BR,3,FALSE),"")</f>
        <v>https://www.ncbi.nlm.nih.gov/pubmed/20680253</v>
      </c>
      <c r="D8779" s="250" t="str">
        <f>IF(AND(A8779&lt;&gt;"",ISNUMBER(A8779)),VLOOKUP(A8779,Studies!A:BR,4,FALSE),"")</f>
        <v>Midazolam control</v>
      </c>
      <c r="E8779" s="250" t="str">
        <f>IF(AND(A8779&lt;&gt;"",ISNUMBER(A8779)),VLOOKUP(A8779,Studies!A:BR,5,FALSE),"")</f>
        <v>Midazolam</v>
      </c>
      <c r="F8779" s="251" t="str">
        <f>IF(AND(A8779&lt;&gt;"",ISNUMBER(A8779)),VLOOKUP(A8779,Studies!A:BR,6,FALSE),"")</f>
        <v>Plasma</v>
      </c>
      <c r="G8779" s="194">
        <v>0.75</v>
      </c>
      <c r="H8779" s="194" t="s">
        <v>60</v>
      </c>
      <c r="I8779" s="187">
        <v>42.411349999999999</v>
      </c>
      <c r="J8779" s="187" t="s">
        <v>1033</v>
      </c>
      <c r="K8779" s="41" t="s">
        <v>116</v>
      </c>
      <c r="L8779" s="195">
        <v>16.879429999999999</v>
      </c>
      <c r="M8779" s="195" t="s">
        <v>1033</v>
      </c>
      <c r="N8779" s="52" t="s">
        <v>117</v>
      </c>
      <c r="O8779" s="59">
        <v>0.2</v>
      </c>
    </row>
    <row r="8780" spans="1:15" x14ac:dyDescent="0.2">
      <c r="A8780" s="30">
        <v>2040</v>
      </c>
      <c r="B8780" s="249" t="str">
        <f>IF(AND(A8780&lt;&gt;"",ISNUMBER(A8780)),VLOOKUP(A8780,Studies!A:BR,2,FALSE),"")</f>
        <v>Katzenmaier 2010</v>
      </c>
      <c r="C8780" s="250" t="str">
        <f>IF(AND(A8780&lt;&gt;"",ISNUMBER(A8780)),VLOOKUP(A8780,Studies!A:BR,3,FALSE),"")</f>
        <v>https://www.ncbi.nlm.nih.gov/pubmed/20680253</v>
      </c>
      <c r="D8780" s="250" t="str">
        <f>IF(AND(A8780&lt;&gt;"",ISNUMBER(A8780)),VLOOKUP(A8780,Studies!A:BR,4,FALSE),"")</f>
        <v>Midazolam control</v>
      </c>
      <c r="E8780" s="250" t="str">
        <f>IF(AND(A8780&lt;&gt;"",ISNUMBER(A8780)),VLOOKUP(A8780,Studies!A:BR,5,FALSE),"")</f>
        <v>Midazolam</v>
      </c>
      <c r="F8780" s="251" t="str">
        <f>IF(AND(A8780&lt;&gt;"",ISNUMBER(A8780)),VLOOKUP(A8780,Studies!A:BR,6,FALSE),"")</f>
        <v>Plasma</v>
      </c>
      <c r="G8780" s="194">
        <v>1</v>
      </c>
      <c r="H8780" s="194" t="s">
        <v>60</v>
      </c>
      <c r="I8780" s="187">
        <v>35.03546</v>
      </c>
      <c r="J8780" s="187" t="s">
        <v>1033</v>
      </c>
      <c r="K8780" s="41" t="s">
        <v>116</v>
      </c>
      <c r="L8780" s="195">
        <v>16.595749999999999</v>
      </c>
      <c r="M8780" s="195" t="s">
        <v>1033</v>
      </c>
      <c r="N8780" s="52" t="s">
        <v>117</v>
      </c>
      <c r="O8780" s="59">
        <v>0.2</v>
      </c>
    </row>
    <row r="8781" spans="1:15" x14ac:dyDescent="0.2">
      <c r="A8781" s="30">
        <v>2040</v>
      </c>
      <c r="B8781" s="249" t="str">
        <f>IF(AND(A8781&lt;&gt;"",ISNUMBER(A8781)),VLOOKUP(A8781,Studies!A:BR,2,FALSE),"")</f>
        <v>Katzenmaier 2010</v>
      </c>
      <c r="C8781" s="250" t="str">
        <f>IF(AND(A8781&lt;&gt;"",ISNUMBER(A8781)),VLOOKUP(A8781,Studies!A:BR,3,FALSE),"")</f>
        <v>https://www.ncbi.nlm.nih.gov/pubmed/20680253</v>
      </c>
      <c r="D8781" s="250" t="str">
        <f>IF(AND(A8781&lt;&gt;"",ISNUMBER(A8781)),VLOOKUP(A8781,Studies!A:BR,4,FALSE),"")</f>
        <v>Midazolam control</v>
      </c>
      <c r="E8781" s="250" t="str">
        <f>IF(AND(A8781&lt;&gt;"",ISNUMBER(A8781)),VLOOKUP(A8781,Studies!A:BR,5,FALSE),"")</f>
        <v>Midazolam</v>
      </c>
      <c r="F8781" s="251" t="str">
        <f>IF(AND(A8781&lt;&gt;"",ISNUMBER(A8781)),VLOOKUP(A8781,Studies!A:BR,6,FALSE),"")</f>
        <v>Plasma</v>
      </c>
      <c r="G8781" s="194">
        <v>1.5</v>
      </c>
      <c r="H8781" s="194" t="s">
        <v>60</v>
      </c>
      <c r="I8781" s="187">
        <v>25.390070000000001</v>
      </c>
      <c r="J8781" s="187" t="s">
        <v>1033</v>
      </c>
      <c r="K8781" s="41" t="s">
        <v>116</v>
      </c>
      <c r="L8781" s="195">
        <v>13.33333</v>
      </c>
      <c r="M8781" s="195" t="s">
        <v>1033</v>
      </c>
      <c r="N8781" s="52" t="s">
        <v>117</v>
      </c>
      <c r="O8781" s="59">
        <v>0.2</v>
      </c>
    </row>
    <row r="8782" spans="1:15" x14ac:dyDescent="0.2">
      <c r="A8782" s="30">
        <v>2040</v>
      </c>
      <c r="B8782" s="249" t="str">
        <f>IF(AND(A8782&lt;&gt;"",ISNUMBER(A8782)),VLOOKUP(A8782,Studies!A:BR,2,FALSE),"")</f>
        <v>Katzenmaier 2010</v>
      </c>
      <c r="C8782" s="250" t="str">
        <f>IF(AND(A8782&lt;&gt;"",ISNUMBER(A8782)),VLOOKUP(A8782,Studies!A:BR,3,FALSE),"")</f>
        <v>https://www.ncbi.nlm.nih.gov/pubmed/20680253</v>
      </c>
      <c r="D8782" s="250" t="str">
        <f>IF(AND(A8782&lt;&gt;"",ISNUMBER(A8782)),VLOOKUP(A8782,Studies!A:BR,4,FALSE),"")</f>
        <v>Midazolam control</v>
      </c>
      <c r="E8782" s="250" t="str">
        <f>IF(AND(A8782&lt;&gt;"",ISNUMBER(A8782)),VLOOKUP(A8782,Studies!A:BR,5,FALSE),"")</f>
        <v>Midazolam</v>
      </c>
      <c r="F8782" s="251" t="str">
        <f>IF(AND(A8782&lt;&gt;"",ISNUMBER(A8782)),VLOOKUP(A8782,Studies!A:BR,6,FALSE),"")</f>
        <v>Plasma</v>
      </c>
      <c r="G8782" s="194">
        <v>2</v>
      </c>
      <c r="H8782" s="194" t="s">
        <v>60</v>
      </c>
      <c r="I8782" s="187">
        <v>18.58156</v>
      </c>
      <c r="J8782" s="187" t="s">
        <v>1033</v>
      </c>
      <c r="K8782" s="41" t="s">
        <v>116</v>
      </c>
      <c r="L8782" s="195">
        <v>9.503546</v>
      </c>
      <c r="M8782" s="195" t="s">
        <v>1033</v>
      </c>
      <c r="N8782" s="52" t="s">
        <v>117</v>
      </c>
      <c r="O8782" s="59">
        <v>0.2</v>
      </c>
    </row>
    <row r="8783" spans="1:15" x14ac:dyDescent="0.2">
      <c r="A8783" s="30">
        <v>2040</v>
      </c>
      <c r="B8783" s="249" t="str">
        <f>IF(AND(A8783&lt;&gt;"",ISNUMBER(A8783)),VLOOKUP(A8783,Studies!A:BR,2,FALSE),"")</f>
        <v>Katzenmaier 2010</v>
      </c>
      <c r="C8783" s="250" t="str">
        <f>IF(AND(A8783&lt;&gt;"",ISNUMBER(A8783)),VLOOKUP(A8783,Studies!A:BR,3,FALSE),"")</f>
        <v>https://www.ncbi.nlm.nih.gov/pubmed/20680253</v>
      </c>
      <c r="D8783" s="250" t="str">
        <f>IF(AND(A8783&lt;&gt;"",ISNUMBER(A8783)),VLOOKUP(A8783,Studies!A:BR,4,FALSE),"")</f>
        <v>Midazolam control</v>
      </c>
      <c r="E8783" s="250" t="str">
        <f>IF(AND(A8783&lt;&gt;"",ISNUMBER(A8783)),VLOOKUP(A8783,Studies!A:BR,5,FALSE),"")</f>
        <v>Midazolam</v>
      </c>
      <c r="F8783" s="251" t="str">
        <f>IF(AND(A8783&lt;&gt;"",ISNUMBER(A8783)),VLOOKUP(A8783,Studies!A:BR,6,FALSE),"")</f>
        <v>Plasma</v>
      </c>
      <c r="G8783" s="194">
        <v>2.5</v>
      </c>
      <c r="H8783" s="194" t="s">
        <v>60</v>
      </c>
      <c r="I8783" s="187">
        <v>15.17731</v>
      </c>
      <c r="J8783" s="187" t="s">
        <v>1033</v>
      </c>
      <c r="K8783" s="41" t="s">
        <v>116</v>
      </c>
      <c r="L8783" s="195">
        <v>7.6595700000000004</v>
      </c>
      <c r="M8783" s="195" t="s">
        <v>1033</v>
      </c>
      <c r="N8783" s="52" t="s">
        <v>117</v>
      </c>
      <c r="O8783" s="59">
        <v>0.2</v>
      </c>
    </row>
    <row r="8784" spans="1:15" x14ac:dyDescent="0.2">
      <c r="A8784" s="30">
        <v>2040</v>
      </c>
      <c r="B8784" s="249" t="str">
        <f>IF(AND(A8784&lt;&gt;"",ISNUMBER(A8784)),VLOOKUP(A8784,Studies!A:BR,2,FALSE),"")</f>
        <v>Katzenmaier 2010</v>
      </c>
      <c r="C8784" s="250" t="str">
        <f>IF(AND(A8784&lt;&gt;"",ISNUMBER(A8784)),VLOOKUP(A8784,Studies!A:BR,3,FALSE),"")</f>
        <v>https://www.ncbi.nlm.nih.gov/pubmed/20680253</v>
      </c>
      <c r="D8784" s="250" t="str">
        <f>IF(AND(A8784&lt;&gt;"",ISNUMBER(A8784)),VLOOKUP(A8784,Studies!A:BR,4,FALSE),"")</f>
        <v>Midazolam control</v>
      </c>
      <c r="E8784" s="250" t="str">
        <f>IF(AND(A8784&lt;&gt;"",ISNUMBER(A8784)),VLOOKUP(A8784,Studies!A:BR,5,FALSE),"")</f>
        <v>Midazolam</v>
      </c>
      <c r="F8784" s="251" t="str">
        <f>IF(AND(A8784&lt;&gt;"",ISNUMBER(A8784)),VLOOKUP(A8784,Studies!A:BR,6,FALSE),"")</f>
        <v>Plasma</v>
      </c>
      <c r="G8784" s="194">
        <v>3</v>
      </c>
      <c r="H8784" s="194" t="s">
        <v>60</v>
      </c>
      <c r="I8784" s="187">
        <v>9.9290780000000005</v>
      </c>
      <c r="J8784" s="187" t="s">
        <v>1033</v>
      </c>
      <c r="K8784" s="41" t="s">
        <v>116</v>
      </c>
      <c r="L8784" s="195">
        <v>4.3971629999999999</v>
      </c>
      <c r="M8784" s="195" t="s">
        <v>1033</v>
      </c>
      <c r="N8784" s="52" t="s">
        <v>117</v>
      </c>
      <c r="O8784" s="59">
        <v>0.2</v>
      </c>
    </row>
    <row r="8785" spans="1:15" x14ac:dyDescent="0.2">
      <c r="A8785" s="30">
        <v>2040</v>
      </c>
      <c r="B8785" s="249" t="str">
        <f>IF(AND(A8785&lt;&gt;"",ISNUMBER(A8785)),VLOOKUP(A8785,Studies!A:BR,2,FALSE),"")</f>
        <v>Katzenmaier 2010</v>
      </c>
      <c r="C8785" s="250" t="str">
        <f>IF(AND(A8785&lt;&gt;"",ISNUMBER(A8785)),VLOOKUP(A8785,Studies!A:BR,3,FALSE),"")</f>
        <v>https://www.ncbi.nlm.nih.gov/pubmed/20680253</v>
      </c>
      <c r="D8785" s="250" t="str">
        <f>IF(AND(A8785&lt;&gt;"",ISNUMBER(A8785)),VLOOKUP(A8785,Studies!A:BR,4,FALSE),"")</f>
        <v>Midazolam control</v>
      </c>
      <c r="E8785" s="250" t="str">
        <f>IF(AND(A8785&lt;&gt;"",ISNUMBER(A8785)),VLOOKUP(A8785,Studies!A:BR,5,FALSE),"")</f>
        <v>Midazolam</v>
      </c>
      <c r="F8785" s="251" t="str">
        <f>IF(AND(A8785&lt;&gt;"",ISNUMBER(A8785)),VLOOKUP(A8785,Studies!A:BR,6,FALSE),"")</f>
        <v>Plasma</v>
      </c>
      <c r="G8785" s="194">
        <v>4</v>
      </c>
      <c r="H8785" s="194" t="s">
        <v>60</v>
      </c>
      <c r="I8785" s="187">
        <v>6.6666670000000003</v>
      </c>
      <c r="J8785" s="187" t="s">
        <v>1033</v>
      </c>
      <c r="K8785" s="41" t="s">
        <v>116</v>
      </c>
      <c r="L8785" s="195">
        <v>3.8297870000000001</v>
      </c>
      <c r="M8785" s="195" t="s">
        <v>1033</v>
      </c>
      <c r="N8785" s="52" t="s">
        <v>117</v>
      </c>
      <c r="O8785" s="59">
        <v>0.2</v>
      </c>
    </row>
    <row r="8786" spans="1:15" x14ac:dyDescent="0.2">
      <c r="A8786" s="30">
        <v>2040</v>
      </c>
      <c r="B8786" s="249" t="str">
        <f>IF(AND(A8786&lt;&gt;"",ISNUMBER(A8786)),VLOOKUP(A8786,Studies!A:BR,2,FALSE),"")</f>
        <v>Katzenmaier 2010</v>
      </c>
      <c r="C8786" s="250" t="str">
        <f>IF(AND(A8786&lt;&gt;"",ISNUMBER(A8786)),VLOOKUP(A8786,Studies!A:BR,3,FALSE),"")</f>
        <v>https://www.ncbi.nlm.nih.gov/pubmed/20680253</v>
      </c>
      <c r="D8786" s="250" t="str">
        <f>IF(AND(A8786&lt;&gt;"",ISNUMBER(A8786)),VLOOKUP(A8786,Studies!A:BR,4,FALSE),"")</f>
        <v>Midazolam control</v>
      </c>
      <c r="E8786" s="250" t="str">
        <f>IF(AND(A8786&lt;&gt;"",ISNUMBER(A8786)),VLOOKUP(A8786,Studies!A:BR,5,FALSE),"")</f>
        <v>Midazolam</v>
      </c>
      <c r="F8786" s="251" t="str">
        <f>IF(AND(A8786&lt;&gt;"",ISNUMBER(A8786)),VLOOKUP(A8786,Studies!A:BR,6,FALSE),"")</f>
        <v>Plasma</v>
      </c>
      <c r="G8786" s="194">
        <v>6</v>
      </c>
      <c r="H8786" s="194" t="s">
        <v>60</v>
      </c>
      <c r="I8786" s="187">
        <v>3.6879430000000002</v>
      </c>
      <c r="J8786" s="187" t="s">
        <v>1033</v>
      </c>
      <c r="K8786" s="41" t="s">
        <v>116</v>
      </c>
      <c r="L8786" s="195">
        <v>2.8368799999999998</v>
      </c>
      <c r="M8786" s="195" t="s">
        <v>1033</v>
      </c>
      <c r="N8786" s="52" t="s">
        <v>117</v>
      </c>
      <c r="O8786" s="59">
        <v>0.2</v>
      </c>
    </row>
    <row r="8787" spans="1:15" x14ac:dyDescent="0.2">
      <c r="A8787" s="30">
        <v>2040</v>
      </c>
      <c r="B8787" s="249" t="str">
        <f>IF(AND(A8787&lt;&gt;"",ISNUMBER(A8787)),VLOOKUP(A8787,Studies!A:BR,2,FALSE),"")</f>
        <v>Katzenmaier 2010</v>
      </c>
      <c r="C8787" s="250" t="str">
        <f>IF(AND(A8787&lt;&gt;"",ISNUMBER(A8787)),VLOOKUP(A8787,Studies!A:BR,3,FALSE),"")</f>
        <v>https://www.ncbi.nlm.nih.gov/pubmed/20680253</v>
      </c>
      <c r="D8787" s="250" t="str">
        <f>IF(AND(A8787&lt;&gt;"",ISNUMBER(A8787)),VLOOKUP(A8787,Studies!A:BR,4,FALSE),"")</f>
        <v>Midazolam control</v>
      </c>
      <c r="E8787" s="250" t="str">
        <f>IF(AND(A8787&lt;&gt;"",ISNUMBER(A8787)),VLOOKUP(A8787,Studies!A:BR,5,FALSE),"")</f>
        <v>Midazolam</v>
      </c>
      <c r="F8787" s="251" t="str">
        <f>IF(AND(A8787&lt;&gt;"",ISNUMBER(A8787)),VLOOKUP(A8787,Studies!A:BR,6,FALSE),"")</f>
        <v>Plasma</v>
      </c>
      <c r="G8787" s="194">
        <v>8</v>
      </c>
      <c r="H8787" s="194" t="s">
        <v>60</v>
      </c>
      <c r="I8787" s="187">
        <v>2.4113479999999998</v>
      </c>
      <c r="J8787" s="187" t="s">
        <v>1033</v>
      </c>
      <c r="K8787" s="41" t="s">
        <v>116</v>
      </c>
      <c r="M8787" s="195"/>
      <c r="O8787" s="59">
        <v>0.2</v>
      </c>
    </row>
    <row r="8788" spans="1:15" x14ac:dyDescent="0.2">
      <c r="A8788" s="30">
        <v>2040</v>
      </c>
      <c r="B8788" s="249" t="str">
        <f>IF(AND(A8788&lt;&gt;"",ISNUMBER(A8788)),VLOOKUP(A8788,Studies!A:BR,2,FALSE),"")</f>
        <v>Katzenmaier 2010</v>
      </c>
      <c r="C8788" s="250" t="str">
        <f>IF(AND(A8788&lt;&gt;"",ISNUMBER(A8788)),VLOOKUP(A8788,Studies!A:BR,3,FALSE),"")</f>
        <v>https://www.ncbi.nlm.nih.gov/pubmed/20680253</v>
      </c>
      <c r="D8788" s="250" t="str">
        <f>IF(AND(A8788&lt;&gt;"",ISNUMBER(A8788)),VLOOKUP(A8788,Studies!A:BR,4,FALSE),"")</f>
        <v>Midazolam control</v>
      </c>
      <c r="E8788" s="250" t="str">
        <f>IF(AND(A8788&lt;&gt;"",ISNUMBER(A8788)),VLOOKUP(A8788,Studies!A:BR,5,FALSE),"")</f>
        <v>Midazolam</v>
      </c>
      <c r="F8788" s="251" t="str">
        <f>IF(AND(A8788&lt;&gt;"",ISNUMBER(A8788)),VLOOKUP(A8788,Studies!A:BR,6,FALSE),"")</f>
        <v>Plasma</v>
      </c>
      <c r="G8788" s="194">
        <v>10</v>
      </c>
      <c r="H8788" s="194" t="s">
        <v>60</v>
      </c>
      <c r="I8788" s="187">
        <v>1.985816</v>
      </c>
      <c r="J8788" s="187" t="s">
        <v>1033</v>
      </c>
      <c r="K8788" s="41" t="s">
        <v>116</v>
      </c>
      <c r="M8788" s="195"/>
      <c r="O8788" s="59">
        <v>0.2</v>
      </c>
    </row>
    <row r="8789" spans="1:15" x14ac:dyDescent="0.2">
      <c r="A8789" s="30">
        <v>2041</v>
      </c>
      <c r="B8789" s="249" t="str">
        <f>IF(AND(A8789&lt;&gt;"",ISNUMBER(A8789)),VLOOKUP(A8789,Studies!A:BR,2,FALSE),"")</f>
        <v>Katzenmaier 2010</v>
      </c>
      <c r="C8789" s="250" t="str">
        <f>IF(AND(A8789&lt;&gt;"",ISNUMBER(A8789)),VLOOKUP(A8789,Studies!A:BR,3,FALSE),"")</f>
        <v>https://www.ncbi.nlm.nih.gov/pubmed/20680253</v>
      </c>
      <c r="D8789" s="250" t="str">
        <f>IF(AND(A8789&lt;&gt;"",ISNUMBER(A8789)),VLOOKUP(A8789,Studies!A:BR,4,FALSE),"")</f>
        <v>Midazolam + Efavirenz</v>
      </c>
      <c r="E8789" s="250" t="str">
        <f>IF(AND(A8789&lt;&gt;"",ISNUMBER(A8789)),VLOOKUP(A8789,Studies!A:BR,5,FALSE),"")</f>
        <v>Midazolam</v>
      </c>
      <c r="F8789" s="251" t="str">
        <f>IF(AND(A8789&lt;&gt;"",ISNUMBER(A8789)),VLOOKUP(A8789,Studies!A:BR,6,FALSE),"")</f>
        <v>Plasma</v>
      </c>
      <c r="G8789" s="194">
        <v>336.25</v>
      </c>
      <c r="H8789" s="194" t="s">
        <v>60</v>
      </c>
      <c r="I8789" s="187">
        <v>8.2269509999999997</v>
      </c>
      <c r="J8789" s="187" t="s">
        <v>1033</v>
      </c>
      <c r="K8789" s="41" t="s">
        <v>116</v>
      </c>
      <c r="L8789" s="195">
        <v>5.9574470000000002</v>
      </c>
      <c r="M8789" s="195" t="s">
        <v>1033</v>
      </c>
      <c r="N8789" s="52" t="s">
        <v>117</v>
      </c>
      <c r="O8789" s="59">
        <v>0.2</v>
      </c>
    </row>
    <row r="8790" spans="1:15" x14ac:dyDescent="0.2">
      <c r="A8790" s="30">
        <v>2041</v>
      </c>
      <c r="B8790" s="249" t="str">
        <f>IF(AND(A8790&lt;&gt;"",ISNUMBER(A8790)),VLOOKUP(A8790,Studies!A:BR,2,FALSE),"")</f>
        <v>Katzenmaier 2010</v>
      </c>
      <c r="C8790" s="250" t="str">
        <f>IF(AND(A8790&lt;&gt;"",ISNUMBER(A8790)),VLOOKUP(A8790,Studies!A:BR,3,FALSE),"")</f>
        <v>https://www.ncbi.nlm.nih.gov/pubmed/20680253</v>
      </c>
      <c r="D8790" s="250" t="str">
        <f>IF(AND(A8790&lt;&gt;"",ISNUMBER(A8790)),VLOOKUP(A8790,Studies!A:BR,4,FALSE),"")</f>
        <v>Midazolam + Efavirenz</v>
      </c>
      <c r="E8790" s="250" t="str">
        <f>IF(AND(A8790&lt;&gt;"",ISNUMBER(A8790)),VLOOKUP(A8790,Studies!A:BR,5,FALSE),"")</f>
        <v>Midazolam</v>
      </c>
      <c r="F8790" s="251" t="str">
        <f>IF(AND(A8790&lt;&gt;"",ISNUMBER(A8790)),VLOOKUP(A8790,Studies!A:BR,6,FALSE),"")</f>
        <v>Plasma</v>
      </c>
      <c r="G8790" s="194">
        <v>336.5</v>
      </c>
      <c r="H8790" s="194" t="s">
        <v>60</v>
      </c>
      <c r="I8790" s="187">
        <v>9.2198580000000003</v>
      </c>
      <c r="J8790" s="187" t="s">
        <v>1033</v>
      </c>
      <c r="K8790" s="41" t="s">
        <v>116</v>
      </c>
      <c r="L8790" s="195">
        <v>3.9716309999999999</v>
      </c>
      <c r="M8790" s="195" t="s">
        <v>1033</v>
      </c>
      <c r="N8790" s="52" t="s">
        <v>117</v>
      </c>
      <c r="O8790" s="59">
        <v>0.2</v>
      </c>
    </row>
    <row r="8791" spans="1:15" x14ac:dyDescent="0.2">
      <c r="A8791" s="30">
        <v>2041</v>
      </c>
      <c r="B8791" s="249" t="str">
        <f>IF(AND(A8791&lt;&gt;"",ISNUMBER(A8791)),VLOOKUP(A8791,Studies!A:BR,2,FALSE),"")</f>
        <v>Katzenmaier 2010</v>
      </c>
      <c r="C8791" s="250" t="str">
        <f>IF(AND(A8791&lt;&gt;"",ISNUMBER(A8791)),VLOOKUP(A8791,Studies!A:BR,3,FALSE),"")</f>
        <v>https://www.ncbi.nlm.nih.gov/pubmed/20680253</v>
      </c>
      <c r="D8791" s="250" t="str">
        <f>IF(AND(A8791&lt;&gt;"",ISNUMBER(A8791)),VLOOKUP(A8791,Studies!A:BR,4,FALSE),"")</f>
        <v>Midazolam + Efavirenz</v>
      </c>
      <c r="E8791" s="250" t="str">
        <f>IF(AND(A8791&lt;&gt;"",ISNUMBER(A8791)),VLOOKUP(A8791,Studies!A:BR,5,FALSE),"")</f>
        <v>Midazolam</v>
      </c>
      <c r="F8791" s="251" t="str">
        <f>IF(AND(A8791&lt;&gt;"",ISNUMBER(A8791)),VLOOKUP(A8791,Studies!A:BR,6,FALSE),"")</f>
        <v>Plasma</v>
      </c>
      <c r="G8791" s="194">
        <v>336.75</v>
      </c>
      <c r="H8791" s="194" t="s">
        <v>60</v>
      </c>
      <c r="I8791" s="187">
        <v>5.8156030000000003</v>
      </c>
      <c r="J8791" s="187" t="s">
        <v>1033</v>
      </c>
      <c r="K8791" s="41" t="s">
        <v>116</v>
      </c>
      <c r="M8791" s="195"/>
      <c r="O8791" s="59">
        <v>0.2</v>
      </c>
    </row>
    <row r="8792" spans="1:15" x14ac:dyDescent="0.2">
      <c r="A8792" s="30">
        <v>2041</v>
      </c>
      <c r="B8792" s="249" t="str">
        <f>IF(AND(A8792&lt;&gt;"",ISNUMBER(A8792)),VLOOKUP(A8792,Studies!A:BR,2,FALSE),"")</f>
        <v>Katzenmaier 2010</v>
      </c>
      <c r="C8792" s="250" t="str">
        <f>IF(AND(A8792&lt;&gt;"",ISNUMBER(A8792)),VLOOKUP(A8792,Studies!A:BR,3,FALSE),"")</f>
        <v>https://www.ncbi.nlm.nih.gov/pubmed/20680253</v>
      </c>
      <c r="D8792" s="250" t="str">
        <f>IF(AND(A8792&lt;&gt;"",ISNUMBER(A8792)),VLOOKUP(A8792,Studies!A:BR,4,FALSE),"")</f>
        <v>Midazolam + Efavirenz</v>
      </c>
      <c r="E8792" s="250" t="str">
        <f>IF(AND(A8792&lt;&gt;"",ISNUMBER(A8792)),VLOOKUP(A8792,Studies!A:BR,5,FALSE),"")</f>
        <v>Midazolam</v>
      </c>
      <c r="F8792" s="251" t="str">
        <f>IF(AND(A8792&lt;&gt;"",ISNUMBER(A8792)),VLOOKUP(A8792,Studies!A:BR,6,FALSE),"")</f>
        <v>Plasma</v>
      </c>
      <c r="G8792" s="194">
        <v>337</v>
      </c>
      <c r="H8792" s="194" t="s">
        <v>60</v>
      </c>
      <c r="I8792" s="187">
        <v>4.3971629999999999</v>
      </c>
      <c r="J8792" s="187" t="s">
        <v>1033</v>
      </c>
      <c r="K8792" s="41" t="s">
        <v>116</v>
      </c>
      <c r="M8792" s="195"/>
      <c r="O8792" s="59">
        <v>0.2</v>
      </c>
    </row>
    <row r="8793" spans="1:15" x14ac:dyDescent="0.2">
      <c r="A8793" s="30">
        <v>2041</v>
      </c>
      <c r="B8793" s="249" t="str">
        <f>IF(AND(A8793&lt;&gt;"",ISNUMBER(A8793)),VLOOKUP(A8793,Studies!A:BR,2,FALSE),"")</f>
        <v>Katzenmaier 2010</v>
      </c>
      <c r="C8793" s="250" t="str">
        <f>IF(AND(A8793&lt;&gt;"",ISNUMBER(A8793)),VLOOKUP(A8793,Studies!A:BR,3,FALSE),"")</f>
        <v>https://www.ncbi.nlm.nih.gov/pubmed/20680253</v>
      </c>
      <c r="D8793" s="250" t="str">
        <f>IF(AND(A8793&lt;&gt;"",ISNUMBER(A8793)),VLOOKUP(A8793,Studies!A:BR,4,FALSE),"")</f>
        <v>Midazolam + Efavirenz</v>
      </c>
      <c r="E8793" s="250" t="str">
        <f>IF(AND(A8793&lt;&gt;"",ISNUMBER(A8793)),VLOOKUP(A8793,Studies!A:BR,5,FALSE),"")</f>
        <v>Midazolam</v>
      </c>
      <c r="F8793" s="251" t="str">
        <f>IF(AND(A8793&lt;&gt;"",ISNUMBER(A8793)),VLOOKUP(A8793,Studies!A:BR,6,FALSE),"")</f>
        <v>Plasma</v>
      </c>
      <c r="G8793" s="194">
        <v>337.5</v>
      </c>
      <c r="H8793" s="194" t="s">
        <v>60</v>
      </c>
      <c r="I8793" s="187">
        <v>2.6950349999999998</v>
      </c>
      <c r="J8793" s="187" t="s">
        <v>1033</v>
      </c>
      <c r="K8793" s="41" t="s">
        <v>116</v>
      </c>
      <c r="M8793" s="195"/>
      <c r="O8793" s="59">
        <v>0.2</v>
      </c>
    </row>
    <row r="8794" spans="1:15" x14ac:dyDescent="0.2">
      <c r="A8794" s="30">
        <v>2041</v>
      </c>
      <c r="B8794" s="249" t="str">
        <f>IF(AND(A8794&lt;&gt;"",ISNUMBER(A8794)),VLOOKUP(A8794,Studies!A:BR,2,FALSE),"")</f>
        <v>Katzenmaier 2010</v>
      </c>
      <c r="C8794" s="250" t="str">
        <f>IF(AND(A8794&lt;&gt;"",ISNUMBER(A8794)),VLOOKUP(A8794,Studies!A:BR,3,FALSE),"")</f>
        <v>https://www.ncbi.nlm.nih.gov/pubmed/20680253</v>
      </c>
      <c r="D8794" s="250" t="str">
        <f>IF(AND(A8794&lt;&gt;"",ISNUMBER(A8794)),VLOOKUP(A8794,Studies!A:BR,4,FALSE),"")</f>
        <v>Midazolam + Efavirenz</v>
      </c>
      <c r="E8794" s="250" t="str">
        <f>IF(AND(A8794&lt;&gt;"",ISNUMBER(A8794)),VLOOKUP(A8794,Studies!A:BR,5,FALSE),"")</f>
        <v>Midazolam</v>
      </c>
      <c r="F8794" s="251" t="str">
        <f>IF(AND(A8794&lt;&gt;"",ISNUMBER(A8794)),VLOOKUP(A8794,Studies!A:BR,6,FALSE),"")</f>
        <v>Plasma</v>
      </c>
      <c r="G8794" s="194">
        <v>338</v>
      </c>
      <c r="H8794" s="194" t="s">
        <v>60</v>
      </c>
      <c r="I8794" s="187">
        <v>1.7021280000000001</v>
      </c>
      <c r="J8794" s="187" t="s">
        <v>1033</v>
      </c>
      <c r="K8794" s="41" t="s">
        <v>116</v>
      </c>
      <c r="M8794" s="195"/>
      <c r="O8794" s="59">
        <v>0.2</v>
      </c>
    </row>
    <row r="8795" spans="1:15" x14ac:dyDescent="0.2">
      <c r="A8795" s="30">
        <v>2041</v>
      </c>
      <c r="B8795" s="249" t="str">
        <f>IF(AND(A8795&lt;&gt;"",ISNUMBER(A8795)),VLOOKUP(A8795,Studies!A:BR,2,FALSE),"")</f>
        <v>Katzenmaier 2010</v>
      </c>
      <c r="C8795" s="250" t="str">
        <f>IF(AND(A8795&lt;&gt;"",ISNUMBER(A8795)),VLOOKUP(A8795,Studies!A:BR,3,FALSE),"")</f>
        <v>https://www.ncbi.nlm.nih.gov/pubmed/20680253</v>
      </c>
      <c r="D8795" s="250" t="str">
        <f>IF(AND(A8795&lt;&gt;"",ISNUMBER(A8795)),VLOOKUP(A8795,Studies!A:BR,4,FALSE),"")</f>
        <v>Midazolam + Efavirenz</v>
      </c>
      <c r="E8795" s="250" t="str">
        <f>IF(AND(A8795&lt;&gt;"",ISNUMBER(A8795)),VLOOKUP(A8795,Studies!A:BR,5,FALSE),"")</f>
        <v>Midazolam</v>
      </c>
      <c r="F8795" s="251" t="str">
        <f>IF(AND(A8795&lt;&gt;"",ISNUMBER(A8795)),VLOOKUP(A8795,Studies!A:BR,6,FALSE),"")</f>
        <v>Plasma</v>
      </c>
      <c r="G8795" s="194">
        <v>338.5</v>
      </c>
      <c r="H8795" s="194" t="s">
        <v>60</v>
      </c>
      <c r="I8795" s="187">
        <v>1.4184399999999999</v>
      </c>
      <c r="J8795" s="187" t="s">
        <v>1033</v>
      </c>
      <c r="K8795" s="41" t="s">
        <v>116</v>
      </c>
      <c r="M8795" s="195"/>
      <c r="O8795" s="59">
        <v>0.2</v>
      </c>
    </row>
    <row r="8796" spans="1:15" x14ac:dyDescent="0.2">
      <c r="A8796" s="30">
        <v>2041</v>
      </c>
      <c r="B8796" s="249" t="str">
        <f>IF(AND(A8796&lt;&gt;"",ISNUMBER(A8796)),VLOOKUP(A8796,Studies!A:BR,2,FALSE),"")</f>
        <v>Katzenmaier 2010</v>
      </c>
      <c r="C8796" s="250" t="str">
        <f>IF(AND(A8796&lt;&gt;"",ISNUMBER(A8796)),VLOOKUP(A8796,Studies!A:BR,3,FALSE),"")</f>
        <v>https://www.ncbi.nlm.nih.gov/pubmed/20680253</v>
      </c>
      <c r="D8796" s="250" t="str">
        <f>IF(AND(A8796&lt;&gt;"",ISNUMBER(A8796)),VLOOKUP(A8796,Studies!A:BR,4,FALSE),"")</f>
        <v>Midazolam + Efavirenz</v>
      </c>
      <c r="E8796" s="250" t="str">
        <f>IF(AND(A8796&lt;&gt;"",ISNUMBER(A8796)),VLOOKUP(A8796,Studies!A:BR,5,FALSE),"")</f>
        <v>Midazolam</v>
      </c>
      <c r="F8796" s="251" t="str">
        <f>IF(AND(A8796&lt;&gt;"",ISNUMBER(A8796)),VLOOKUP(A8796,Studies!A:BR,6,FALSE),"")</f>
        <v>Plasma</v>
      </c>
      <c r="G8796" s="194">
        <v>339</v>
      </c>
      <c r="H8796" s="194" t="s">
        <v>60</v>
      </c>
      <c r="I8796" s="187">
        <v>0.99290780000000001</v>
      </c>
      <c r="J8796" s="187" t="s">
        <v>1033</v>
      </c>
      <c r="K8796" s="41" t="s">
        <v>116</v>
      </c>
      <c r="M8796" s="195"/>
      <c r="O8796" s="59">
        <v>0.2</v>
      </c>
    </row>
    <row r="8797" spans="1:15" x14ac:dyDescent="0.2">
      <c r="A8797" s="30">
        <v>2041</v>
      </c>
      <c r="B8797" s="249" t="str">
        <f>IF(AND(A8797&lt;&gt;"",ISNUMBER(A8797)),VLOOKUP(A8797,Studies!A:BR,2,FALSE),"")</f>
        <v>Katzenmaier 2010</v>
      </c>
      <c r="C8797" s="250" t="str">
        <f>IF(AND(A8797&lt;&gt;"",ISNUMBER(A8797)),VLOOKUP(A8797,Studies!A:BR,3,FALSE),"")</f>
        <v>https://www.ncbi.nlm.nih.gov/pubmed/20680253</v>
      </c>
      <c r="D8797" s="250" t="str">
        <f>IF(AND(A8797&lt;&gt;"",ISNUMBER(A8797)),VLOOKUP(A8797,Studies!A:BR,4,FALSE),"")</f>
        <v>Midazolam + Efavirenz</v>
      </c>
      <c r="E8797" s="250" t="str">
        <f>IF(AND(A8797&lt;&gt;"",ISNUMBER(A8797)),VLOOKUP(A8797,Studies!A:BR,5,FALSE),"")</f>
        <v>Midazolam</v>
      </c>
      <c r="F8797" s="251" t="str">
        <f>IF(AND(A8797&lt;&gt;"",ISNUMBER(A8797)),VLOOKUP(A8797,Studies!A:BR,6,FALSE),"")</f>
        <v>Plasma</v>
      </c>
      <c r="G8797" s="194">
        <v>340</v>
      </c>
      <c r="H8797" s="194" t="s">
        <v>60</v>
      </c>
      <c r="I8797" s="187">
        <v>0.85106380000000004</v>
      </c>
      <c r="J8797" s="187" t="s">
        <v>1033</v>
      </c>
      <c r="K8797" s="41" t="s">
        <v>116</v>
      </c>
      <c r="M8797" s="195"/>
      <c r="O8797" s="59">
        <v>0.2</v>
      </c>
    </row>
    <row r="8798" spans="1:15" x14ac:dyDescent="0.2">
      <c r="A8798" s="30">
        <v>2042</v>
      </c>
      <c r="B8798" s="249" t="str">
        <f>IF(AND(A8798&lt;&gt;"",ISNUMBER(A8798)),VLOOKUP(A8798,Studies!A:BR,2,FALSE),"")</f>
        <v>Mikus 2017</v>
      </c>
      <c r="C8798" s="250" t="str">
        <f>IF(AND(A8798&lt;&gt;"",ISNUMBER(A8798)),VLOOKUP(A8798,Studies!A:BR,3,FALSE),"")</f>
        <v>https://www.ncbi.nlm.nih.gov/pubmed/28194792</v>
      </c>
      <c r="D8798" s="250" t="str">
        <f>IF(AND(A8798&lt;&gt;"",ISNUMBER(A8798)),VLOOKUP(A8798,Studies!A:BR,4,FALSE),"")</f>
        <v>Midazolam control PO</v>
      </c>
      <c r="E8798" s="250" t="str">
        <f>IF(AND(A8798&lt;&gt;"",ISNUMBER(A8798)),VLOOKUP(A8798,Studies!A:BR,5,FALSE),"")</f>
        <v>Midazolam</v>
      </c>
      <c r="F8798" s="251" t="str">
        <f>IF(AND(A8798&lt;&gt;"",ISNUMBER(A8798)),VLOOKUP(A8798,Studies!A:BR,6,FALSE),"")</f>
        <v>Plasma</v>
      </c>
      <c r="G8798" s="194">
        <v>0.1666667</v>
      </c>
      <c r="H8798" s="194" t="s">
        <v>60</v>
      </c>
      <c r="I8798" s="187">
        <v>8.6638540000000006</v>
      </c>
      <c r="J8798" s="187" t="s">
        <v>941</v>
      </c>
      <c r="K8798" s="41" t="s">
        <v>116</v>
      </c>
      <c r="L8798" s="195">
        <v>10.43601</v>
      </c>
      <c r="M8798" s="195" t="s">
        <v>941</v>
      </c>
      <c r="N8798" s="52" t="s">
        <v>117</v>
      </c>
    </row>
    <row r="8799" spans="1:15" x14ac:dyDescent="0.2">
      <c r="A8799" s="30">
        <v>2042</v>
      </c>
      <c r="B8799" s="249" t="str">
        <f>IF(AND(A8799&lt;&gt;"",ISNUMBER(A8799)),VLOOKUP(A8799,Studies!A:BR,2,FALSE),"")</f>
        <v>Mikus 2017</v>
      </c>
      <c r="C8799" s="250" t="str">
        <f>IF(AND(A8799&lt;&gt;"",ISNUMBER(A8799)),VLOOKUP(A8799,Studies!A:BR,3,FALSE),"")</f>
        <v>https://www.ncbi.nlm.nih.gov/pubmed/28194792</v>
      </c>
      <c r="D8799" s="250" t="str">
        <f>IF(AND(A8799&lt;&gt;"",ISNUMBER(A8799)),VLOOKUP(A8799,Studies!A:BR,4,FALSE),"")</f>
        <v>Midazolam control PO</v>
      </c>
      <c r="E8799" s="250" t="str">
        <f>IF(AND(A8799&lt;&gt;"",ISNUMBER(A8799)),VLOOKUP(A8799,Studies!A:BR,5,FALSE),"")</f>
        <v>Midazolam</v>
      </c>
      <c r="F8799" s="251" t="str">
        <f>IF(AND(A8799&lt;&gt;"",ISNUMBER(A8799)),VLOOKUP(A8799,Studies!A:BR,6,FALSE),"")</f>
        <v>Plasma</v>
      </c>
      <c r="G8799" s="194">
        <v>0.3333333</v>
      </c>
      <c r="H8799" s="194" t="s">
        <v>60</v>
      </c>
      <c r="I8799" s="187">
        <v>25.794650000000001</v>
      </c>
      <c r="J8799" s="187" t="s">
        <v>941</v>
      </c>
      <c r="K8799" s="41" t="s">
        <v>116</v>
      </c>
      <c r="L8799" s="195">
        <v>15.45711</v>
      </c>
      <c r="M8799" s="195" t="s">
        <v>941</v>
      </c>
      <c r="N8799" s="52" t="s">
        <v>117</v>
      </c>
    </row>
    <row r="8800" spans="1:15" x14ac:dyDescent="0.2">
      <c r="A8800" s="30">
        <v>2042</v>
      </c>
      <c r="B8800" s="249" t="str">
        <f>IF(AND(A8800&lt;&gt;"",ISNUMBER(A8800)),VLOOKUP(A8800,Studies!A:BR,2,FALSE),"")</f>
        <v>Mikus 2017</v>
      </c>
      <c r="C8800" s="250" t="str">
        <f>IF(AND(A8800&lt;&gt;"",ISNUMBER(A8800)),VLOOKUP(A8800,Studies!A:BR,3,FALSE),"")</f>
        <v>https://www.ncbi.nlm.nih.gov/pubmed/28194792</v>
      </c>
      <c r="D8800" s="250" t="str">
        <f>IF(AND(A8800&lt;&gt;"",ISNUMBER(A8800)),VLOOKUP(A8800,Studies!A:BR,4,FALSE),"")</f>
        <v>Midazolam control PO</v>
      </c>
      <c r="E8800" s="250" t="str">
        <f>IF(AND(A8800&lt;&gt;"",ISNUMBER(A8800)),VLOOKUP(A8800,Studies!A:BR,5,FALSE),"")</f>
        <v>Midazolam</v>
      </c>
      <c r="F8800" s="251" t="str">
        <f>IF(AND(A8800&lt;&gt;"",ISNUMBER(A8800)),VLOOKUP(A8800,Studies!A:BR,6,FALSE),"")</f>
        <v>Plasma</v>
      </c>
      <c r="G8800" s="194">
        <v>0.5</v>
      </c>
      <c r="H8800" s="194" t="s">
        <v>60</v>
      </c>
      <c r="I8800" s="187">
        <v>24.711670000000002</v>
      </c>
      <c r="J8800" s="187" t="s">
        <v>941</v>
      </c>
      <c r="K8800" s="41" t="s">
        <v>116</v>
      </c>
      <c r="L8800" s="195">
        <v>7.0886120000000004</v>
      </c>
      <c r="M8800" s="195" t="s">
        <v>941</v>
      </c>
      <c r="N8800" s="52" t="s">
        <v>117</v>
      </c>
    </row>
    <row r="8801" spans="1:15" x14ac:dyDescent="0.2">
      <c r="A8801" s="30">
        <v>2042</v>
      </c>
      <c r="B8801" s="249" t="str">
        <f>IF(AND(A8801&lt;&gt;"",ISNUMBER(A8801)),VLOOKUP(A8801,Studies!A:BR,2,FALSE),"")</f>
        <v>Mikus 2017</v>
      </c>
      <c r="C8801" s="250" t="str">
        <f>IF(AND(A8801&lt;&gt;"",ISNUMBER(A8801)),VLOOKUP(A8801,Studies!A:BR,3,FALSE),"")</f>
        <v>https://www.ncbi.nlm.nih.gov/pubmed/28194792</v>
      </c>
      <c r="D8801" s="250" t="str">
        <f>IF(AND(A8801&lt;&gt;"",ISNUMBER(A8801)),VLOOKUP(A8801,Studies!A:BR,4,FALSE),"")</f>
        <v>Midazolam control PO</v>
      </c>
      <c r="E8801" s="250" t="str">
        <f>IF(AND(A8801&lt;&gt;"",ISNUMBER(A8801)),VLOOKUP(A8801,Studies!A:BR,5,FALSE),"")</f>
        <v>Midazolam</v>
      </c>
      <c r="F8801" s="251" t="str">
        <f>IF(AND(A8801&lt;&gt;"",ISNUMBER(A8801)),VLOOKUP(A8801,Studies!A:BR,6,FALSE),"")</f>
        <v>Plasma</v>
      </c>
      <c r="G8801" s="194">
        <v>0.75</v>
      </c>
      <c r="H8801" s="194" t="s">
        <v>60</v>
      </c>
      <c r="I8801" s="187">
        <v>19.985939999999999</v>
      </c>
      <c r="J8801" s="187" t="s">
        <v>941</v>
      </c>
      <c r="K8801" s="41" t="s">
        <v>116</v>
      </c>
      <c r="L8801" s="195">
        <v>3.93811</v>
      </c>
      <c r="M8801" s="195" t="s">
        <v>941</v>
      </c>
      <c r="N8801" s="52" t="s">
        <v>117</v>
      </c>
    </row>
    <row r="8802" spans="1:15" x14ac:dyDescent="0.2">
      <c r="A8802" s="30">
        <v>2042</v>
      </c>
      <c r="B8802" s="249" t="str">
        <f>IF(AND(A8802&lt;&gt;"",ISNUMBER(A8802)),VLOOKUP(A8802,Studies!A:BR,2,FALSE),"")</f>
        <v>Mikus 2017</v>
      </c>
      <c r="C8802" s="250" t="str">
        <f>IF(AND(A8802&lt;&gt;"",ISNUMBER(A8802)),VLOOKUP(A8802,Studies!A:BR,3,FALSE),"")</f>
        <v>https://www.ncbi.nlm.nih.gov/pubmed/28194792</v>
      </c>
      <c r="D8802" s="250" t="str">
        <f>IF(AND(A8802&lt;&gt;"",ISNUMBER(A8802)),VLOOKUP(A8802,Studies!A:BR,4,FALSE),"")</f>
        <v>Midazolam control PO</v>
      </c>
      <c r="E8802" s="250" t="str">
        <f>IF(AND(A8802&lt;&gt;"",ISNUMBER(A8802)),VLOOKUP(A8802,Studies!A:BR,5,FALSE),"")</f>
        <v>Midazolam</v>
      </c>
      <c r="F8802" s="251" t="str">
        <f>IF(AND(A8802&lt;&gt;"",ISNUMBER(A8802)),VLOOKUP(A8802,Studies!A:BR,6,FALSE),"")</f>
        <v>Plasma</v>
      </c>
      <c r="G8802" s="194">
        <v>1</v>
      </c>
      <c r="H8802" s="194" t="s">
        <v>60</v>
      </c>
      <c r="I8802" s="187">
        <v>16.244730000000001</v>
      </c>
      <c r="J8802" s="187" t="s">
        <v>941</v>
      </c>
      <c r="K8802" s="41" t="s">
        <v>116</v>
      </c>
      <c r="L8802" s="195">
        <v>4.0365640000000003</v>
      </c>
      <c r="M8802" s="195" t="s">
        <v>941</v>
      </c>
      <c r="N8802" s="52" t="s">
        <v>117</v>
      </c>
    </row>
    <row r="8803" spans="1:15" x14ac:dyDescent="0.2">
      <c r="A8803" s="30">
        <v>2042</v>
      </c>
      <c r="B8803" s="249" t="str">
        <f>IF(AND(A8803&lt;&gt;"",ISNUMBER(A8803)),VLOOKUP(A8803,Studies!A:BR,2,FALSE),"")</f>
        <v>Mikus 2017</v>
      </c>
      <c r="C8803" s="250" t="str">
        <f>IF(AND(A8803&lt;&gt;"",ISNUMBER(A8803)),VLOOKUP(A8803,Studies!A:BR,3,FALSE),"")</f>
        <v>https://www.ncbi.nlm.nih.gov/pubmed/28194792</v>
      </c>
      <c r="D8803" s="250" t="str">
        <f>IF(AND(A8803&lt;&gt;"",ISNUMBER(A8803)),VLOOKUP(A8803,Studies!A:BR,4,FALSE),"")</f>
        <v>Midazolam control PO</v>
      </c>
      <c r="E8803" s="250" t="str">
        <f>IF(AND(A8803&lt;&gt;"",ISNUMBER(A8803)),VLOOKUP(A8803,Studies!A:BR,5,FALSE),"")</f>
        <v>Midazolam</v>
      </c>
      <c r="F8803" s="251" t="str">
        <f>IF(AND(A8803&lt;&gt;"",ISNUMBER(A8803)),VLOOKUP(A8803,Studies!A:BR,6,FALSE),"")</f>
        <v>Plasma</v>
      </c>
      <c r="G8803" s="194">
        <v>1.5</v>
      </c>
      <c r="H8803" s="194" t="s">
        <v>60</v>
      </c>
      <c r="I8803" s="187">
        <v>11.518990000000001</v>
      </c>
      <c r="J8803" s="187" t="s">
        <v>941</v>
      </c>
      <c r="K8803" s="41" t="s">
        <v>116</v>
      </c>
      <c r="L8803" s="195">
        <v>3.0520369999999999</v>
      </c>
      <c r="M8803" s="195" t="s">
        <v>941</v>
      </c>
      <c r="N8803" s="52" t="s">
        <v>117</v>
      </c>
    </row>
    <row r="8804" spans="1:15" x14ac:dyDescent="0.2">
      <c r="A8804" s="30">
        <v>2042</v>
      </c>
      <c r="B8804" s="249" t="str">
        <f>IF(AND(A8804&lt;&gt;"",ISNUMBER(A8804)),VLOOKUP(A8804,Studies!A:BR,2,FALSE),"")</f>
        <v>Mikus 2017</v>
      </c>
      <c r="C8804" s="250" t="str">
        <f>IF(AND(A8804&lt;&gt;"",ISNUMBER(A8804)),VLOOKUP(A8804,Studies!A:BR,3,FALSE),"")</f>
        <v>https://www.ncbi.nlm.nih.gov/pubmed/28194792</v>
      </c>
      <c r="D8804" s="250" t="str">
        <f>IF(AND(A8804&lt;&gt;"",ISNUMBER(A8804)),VLOOKUP(A8804,Studies!A:BR,4,FALSE),"")</f>
        <v>Midazolam control PO</v>
      </c>
      <c r="E8804" s="250" t="str">
        <f>IF(AND(A8804&lt;&gt;"",ISNUMBER(A8804)),VLOOKUP(A8804,Studies!A:BR,5,FALSE),"")</f>
        <v>Midazolam</v>
      </c>
      <c r="F8804" s="251" t="str">
        <f>IF(AND(A8804&lt;&gt;"",ISNUMBER(A8804)),VLOOKUP(A8804,Studies!A:BR,6,FALSE),"")</f>
        <v>Plasma</v>
      </c>
      <c r="G8804" s="194">
        <v>2</v>
      </c>
      <c r="H8804" s="194" t="s">
        <v>60</v>
      </c>
      <c r="I8804" s="187">
        <v>8.0731359999999999</v>
      </c>
      <c r="J8804" s="187" t="s">
        <v>941</v>
      </c>
      <c r="K8804" s="41" t="s">
        <v>116</v>
      </c>
      <c r="L8804" s="195">
        <v>2.0675110000000001</v>
      </c>
      <c r="M8804" s="195" t="s">
        <v>941</v>
      </c>
      <c r="N8804" s="52" t="s">
        <v>117</v>
      </c>
    </row>
    <row r="8805" spans="1:15" x14ac:dyDescent="0.2">
      <c r="A8805" s="30">
        <v>2042</v>
      </c>
      <c r="B8805" s="249" t="str">
        <f>IF(AND(A8805&lt;&gt;"",ISNUMBER(A8805)),VLOOKUP(A8805,Studies!A:BR,2,FALSE),"")</f>
        <v>Mikus 2017</v>
      </c>
      <c r="C8805" s="250" t="str">
        <f>IF(AND(A8805&lt;&gt;"",ISNUMBER(A8805)),VLOOKUP(A8805,Studies!A:BR,3,FALSE),"")</f>
        <v>https://www.ncbi.nlm.nih.gov/pubmed/28194792</v>
      </c>
      <c r="D8805" s="250" t="str">
        <f>IF(AND(A8805&lt;&gt;"",ISNUMBER(A8805)),VLOOKUP(A8805,Studies!A:BR,4,FALSE),"")</f>
        <v>Midazolam control PO</v>
      </c>
      <c r="E8805" s="250" t="str">
        <f>IF(AND(A8805&lt;&gt;"",ISNUMBER(A8805)),VLOOKUP(A8805,Studies!A:BR,5,FALSE),"")</f>
        <v>Midazolam</v>
      </c>
      <c r="F8805" s="251" t="str">
        <f>IF(AND(A8805&lt;&gt;"",ISNUMBER(A8805)),VLOOKUP(A8805,Studies!A:BR,6,FALSE),"")</f>
        <v>Plasma</v>
      </c>
      <c r="G8805" s="194">
        <v>3</v>
      </c>
      <c r="H8805" s="194" t="s">
        <v>60</v>
      </c>
      <c r="I8805" s="187">
        <v>5.1195500000000003</v>
      </c>
      <c r="J8805" s="187" t="s">
        <v>941</v>
      </c>
      <c r="K8805" s="41" t="s">
        <v>116</v>
      </c>
      <c r="L8805" s="195">
        <v>1.5752459999999999</v>
      </c>
      <c r="M8805" s="195" t="s">
        <v>941</v>
      </c>
      <c r="N8805" s="52" t="s">
        <v>117</v>
      </c>
    </row>
    <row r="8806" spans="1:15" x14ac:dyDescent="0.2">
      <c r="A8806" s="30">
        <v>2042</v>
      </c>
      <c r="B8806" s="249" t="str">
        <f>IF(AND(A8806&lt;&gt;"",ISNUMBER(A8806)),VLOOKUP(A8806,Studies!A:BR,2,FALSE),"")</f>
        <v>Mikus 2017</v>
      </c>
      <c r="C8806" s="250" t="str">
        <f>IF(AND(A8806&lt;&gt;"",ISNUMBER(A8806)),VLOOKUP(A8806,Studies!A:BR,3,FALSE),"")</f>
        <v>https://www.ncbi.nlm.nih.gov/pubmed/28194792</v>
      </c>
      <c r="D8806" s="250" t="str">
        <f>IF(AND(A8806&lt;&gt;"",ISNUMBER(A8806)),VLOOKUP(A8806,Studies!A:BR,4,FALSE),"")</f>
        <v>Midazolam control PO</v>
      </c>
      <c r="E8806" s="250" t="str">
        <f>IF(AND(A8806&lt;&gt;"",ISNUMBER(A8806)),VLOOKUP(A8806,Studies!A:BR,5,FALSE),"")</f>
        <v>Midazolam</v>
      </c>
      <c r="F8806" s="251" t="str">
        <f>IF(AND(A8806&lt;&gt;"",ISNUMBER(A8806)),VLOOKUP(A8806,Studies!A:BR,6,FALSE),"")</f>
        <v>Plasma</v>
      </c>
      <c r="G8806" s="194">
        <v>4</v>
      </c>
      <c r="H8806" s="194" t="s">
        <v>60</v>
      </c>
      <c r="I8806" s="187">
        <v>3.642757</v>
      </c>
      <c r="J8806" s="187" t="s">
        <v>941</v>
      </c>
      <c r="K8806" s="41" t="s">
        <v>116</v>
      </c>
      <c r="L8806" s="195">
        <v>1.1814340000000001</v>
      </c>
      <c r="M8806" s="195" t="s">
        <v>941</v>
      </c>
      <c r="N8806" s="52" t="s">
        <v>117</v>
      </c>
    </row>
    <row r="8807" spans="1:15" x14ac:dyDescent="0.2">
      <c r="A8807" s="30">
        <v>2042</v>
      </c>
      <c r="B8807" s="249" t="str">
        <f>IF(AND(A8807&lt;&gt;"",ISNUMBER(A8807)),VLOOKUP(A8807,Studies!A:BR,2,FALSE),"")</f>
        <v>Mikus 2017</v>
      </c>
      <c r="C8807" s="250" t="str">
        <f>IF(AND(A8807&lt;&gt;"",ISNUMBER(A8807)),VLOOKUP(A8807,Studies!A:BR,3,FALSE),"")</f>
        <v>https://www.ncbi.nlm.nih.gov/pubmed/28194792</v>
      </c>
      <c r="D8807" s="250" t="str">
        <f>IF(AND(A8807&lt;&gt;"",ISNUMBER(A8807)),VLOOKUP(A8807,Studies!A:BR,4,FALSE),"")</f>
        <v>Midazolam control PO</v>
      </c>
      <c r="E8807" s="250" t="str">
        <f>IF(AND(A8807&lt;&gt;"",ISNUMBER(A8807)),VLOOKUP(A8807,Studies!A:BR,5,FALSE),"")</f>
        <v>Midazolam</v>
      </c>
      <c r="F8807" s="251" t="str">
        <f>IF(AND(A8807&lt;&gt;"",ISNUMBER(A8807)),VLOOKUP(A8807,Studies!A:BR,6,FALSE),"")</f>
        <v>Plasma</v>
      </c>
      <c r="G8807" s="194">
        <v>5</v>
      </c>
      <c r="H8807" s="194" t="s">
        <v>60</v>
      </c>
      <c r="I8807" s="187">
        <v>2.461322</v>
      </c>
      <c r="J8807" s="187" t="s">
        <v>941</v>
      </c>
      <c r="K8807" s="41" t="s">
        <v>116</v>
      </c>
      <c r="L8807" s="195">
        <v>0.78762319999999997</v>
      </c>
      <c r="M8807" s="195" t="s">
        <v>941</v>
      </c>
      <c r="N8807" s="52" t="s">
        <v>117</v>
      </c>
    </row>
    <row r="8808" spans="1:15" x14ac:dyDescent="0.2">
      <c r="A8808" s="30">
        <v>2043</v>
      </c>
      <c r="B8808" s="249" t="str">
        <f>IF(AND(A8808&lt;&gt;"",ISNUMBER(A8808)),VLOOKUP(A8808,Studies!A:BR,2,FALSE),"")</f>
        <v>Mikus 2017</v>
      </c>
      <c r="C8808" s="250" t="str">
        <f>IF(AND(A8808&lt;&gt;"",ISNUMBER(A8808)),VLOOKUP(A8808,Studies!A:BR,3,FALSE),"")</f>
        <v>https://www.ncbi.nlm.nih.gov/pubmed/28194792</v>
      </c>
      <c r="D8808" s="250" t="str">
        <f>IF(AND(A8808&lt;&gt;"",ISNUMBER(A8808)),VLOOKUP(A8808,Studies!A:BR,4,FALSE),"")</f>
        <v>Midazolam control IV</v>
      </c>
      <c r="E8808" s="250" t="str">
        <f>IF(AND(A8808&lt;&gt;"",ISNUMBER(A8808)),VLOOKUP(A8808,Studies!A:BR,5,FALSE),"")</f>
        <v>Midazolam</v>
      </c>
      <c r="F8808" s="251" t="str">
        <f>IF(AND(A8808&lt;&gt;"",ISNUMBER(A8808)),VLOOKUP(A8808,Studies!A:BR,6,FALSE),"")</f>
        <v>Plasma</v>
      </c>
      <c r="G8808" s="194">
        <v>6</v>
      </c>
      <c r="H8808" s="194" t="s">
        <v>60</v>
      </c>
      <c r="I8808" s="187">
        <v>2.0675110000000001</v>
      </c>
      <c r="J8808" s="187" t="s">
        <v>941</v>
      </c>
      <c r="K8808" s="41" t="s">
        <v>116</v>
      </c>
      <c r="L8808" s="195">
        <v>0.68916960000000005</v>
      </c>
      <c r="M8808" s="195" t="s">
        <v>941</v>
      </c>
      <c r="N8808" s="52" t="s">
        <v>117</v>
      </c>
    </row>
    <row r="8809" spans="1:15" x14ac:dyDescent="0.2">
      <c r="A8809" s="30">
        <v>2043</v>
      </c>
      <c r="B8809" s="249" t="str">
        <f>IF(AND(A8809&lt;&gt;"",ISNUMBER(A8809)),VLOOKUP(A8809,Studies!A:BR,2,FALSE),"")</f>
        <v>Mikus 2017</v>
      </c>
      <c r="C8809" s="250" t="str">
        <f>IF(AND(A8809&lt;&gt;"",ISNUMBER(A8809)),VLOOKUP(A8809,Studies!A:BR,3,FALSE),"")</f>
        <v>https://www.ncbi.nlm.nih.gov/pubmed/28194792</v>
      </c>
      <c r="D8809" s="250" t="str">
        <f>IF(AND(A8809&lt;&gt;"",ISNUMBER(A8809)),VLOOKUP(A8809,Studies!A:BR,4,FALSE),"")</f>
        <v>Midazolam control IV</v>
      </c>
      <c r="E8809" s="250" t="str">
        <f>IF(AND(A8809&lt;&gt;"",ISNUMBER(A8809)),VLOOKUP(A8809,Studies!A:BR,5,FALSE),"")</f>
        <v>Midazolam</v>
      </c>
      <c r="F8809" s="251" t="str">
        <f>IF(AND(A8809&lt;&gt;"",ISNUMBER(A8809)),VLOOKUP(A8809,Studies!A:BR,6,FALSE),"")</f>
        <v>Plasma</v>
      </c>
      <c r="G8809" s="194">
        <v>6.25</v>
      </c>
      <c r="H8809" s="194" t="s">
        <v>60</v>
      </c>
      <c r="I8809" s="187">
        <v>36.427570000000003</v>
      </c>
      <c r="J8809" s="41" t="s">
        <v>941</v>
      </c>
      <c r="K8809" s="41" t="s">
        <v>116</v>
      </c>
      <c r="L8809" s="195">
        <v>7.7777750000000001</v>
      </c>
      <c r="M8809" s="52" t="s">
        <v>941</v>
      </c>
      <c r="N8809" s="52" t="s">
        <v>117</v>
      </c>
    </row>
    <row r="8810" spans="1:15" x14ac:dyDescent="0.2">
      <c r="A8810" s="30">
        <v>2043</v>
      </c>
      <c r="B8810" s="249" t="str">
        <f>IF(AND(A8810&lt;&gt;"",ISNUMBER(A8810)),VLOOKUP(A8810,Studies!A:BR,2,FALSE),"")</f>
        <v>Mikus 2017</v>
      </c>
      <c r="C8810" s="250" t="str">
        <f>IF(AND(A8810&lt;&gt;"",ISNUMBER(A8810)),VLOOKUP(A8810,Studies!A:BR,3,FALSE),"")</f>
        <v>https://www.ncbi.nlm.nih.gov/pubmed/28194792</v>
      </c>
      <c r="D8810" s="250" t="str">
        <f>IF(AND(A8810&lt;&gt;"",ISNUMBER(A8810)),VLOOKUP(A8810,Studies!A:BR,4,FALSE),"")</f>
        <v>Midazolam control IV</v>
      </c>
      <c r="E8810" s="250" t="str">
        <f>IF(AND(A8810&lt;&gt;"",ISNUMBER(A8810)),VLOOKUP(A8810,Studies!A:BR,5,FALSE),"")</f>
        <v>Midazolam</v>
      </c>
      <c r="F8810" s="251" t="str">
        <f>IF(AND(A8810&lt;&gt;"",ISNUMBER(A8810)),VLOOKUP(A8810,Studies!A:BR,6,FALSE),"")</f>
        <v>Plasma</v>
      </c>
      <c r="G8810" s="194">
        <v>6.5</v>
      </c>
      <c r="H8810" s="194" t="s">
        <v>60</v>
      </c>
      <c r="I8810" s="187">
        <v>52.967649999999999</v>
      </c>
      <c r="J8810" s="41" t="s">
        <v>941</v>
      </c>
      <c r="K8810" s="41" t="s">
        <v>116</v>
      </c>
      <c r="L8810" s="195">
        <v>9.9437409999999993</v>
      </c>
      <c r="M8810" s="52" t="s">
        <v>941</v>
      </c>
      <c r="N8810" s="52" t="s">
        <v>117</v>
      </c>
      <c r="O8810" s="199"/>
    </row>
    <row r="8811" spans="1:15" x14ac:dyDescent="0.2">
      <c r="A8811" s="30">
        <v>2043</v>
      </c>
      <c r="B8811" s="249" t="str">
        <f>IF(AND(A8811&lt;&gt;"",ISNUMBER(A8811)),VLOOKUP(A8811,Studies!A:BR,2,FALSE),"")</f>
        <v>Mikus 2017</v>
      </c>
      <c r="C8811" s="250" t="str">
        <f>IF(AND(A8811&lt;&gt;"",ISNUMBER(A8811)),VLOOKUP(A8811,Studies!A:BR,3,FALSE),"")</f>
        <v>https://www.ncbi.nlm.nih.gov/pubmed/28194792</v>
      </c>
      <c r="D8811" s="250" t="str">
        <f>IF(AND(A8811&lt;&gt;"",ISNUMBER(A8811)),VLOOKUP(A8811,Studies!A:BR,4,FALSE),"")</f>
        <v>Midazolam control IV</v>
      </c>
      <c r="E8811" s="250" t="str">
        <f>IF(AND(A8811&lt;&gt;"",ISNUMBER(A8811)),VLOOKUP(A8811,Studies!A:BR,5,FALSE),"")</f>
        <v>Midazolam</v>
      </c>
      <c r="F8811" s="251" t="str">
        <f>IF(AND(A8811&lt;&gt;"",ISNUMBER(A8811)),VLOOKUP(A8811,Studies!A:BR,6,FALSE),"")</f>
        <v>Plasma</v>
      </c>
      <c r="G8811" s="194">
        <v>6.6666667000000004</v>
      </c>
      <c r="H8811" s="194" t="s">
        <v>60</v>
      </c>
      <c r="I8811" s="187">
        <v>31.89874</v>
      </c>
      <c r="J8811" s="41" t="s">
        <v>941</v>
      </c>
      <c r="K8811" s="41" t="s">
        <v>116</v>
      </c>
      <c r="L8811" s="195">
        <v>6.3009779999999997</v>
      </c>
      <c r="M8811" s="52" t="s">
        <v>941</v>
      </c>
      <c r="N8811" s="52" t="s">
        <v>117</v>
      </c>
      <c r="O8811" s="199"/>
    </row>
    <row r="8812" spans="1:15" x14ac:dyDescent="0.2">
      <c r="A8812" s="30">
        <v>2043</v>
      </c>
      <c r="B8812" s="249" t="str">
        <f>IF(AND(A8812&lt;&gt;"",ISNUMBER(A8812)),VLOOKUP(A8812,Studies!A:BR,2,FALSE),"")</f>
        <v>Mikus 2017</v>
      </c>
      <c r="C8812" s="250" t="str">
        <f>IF(AND(A8812&lt;&gt;"",ISNUMBER(A8812)),VLOOKUP(A8812,Studies!A:BR,3,FALSE),"")</f>
        <v>https://www.ncbi.nlm.nih.gov/pubmed/28194792</v>
      </c>
      <c r="D8812" s="250" t="str">
        <f>IF(AND(A8812&lt;&gt;"",ISNUMBER(A8812)),VLOOKUP(A8812,Studies!A:BR,4,FALSE),"")</f>
        <v>Midazolam control IV</v>
      </c>
      <c r="E8812" s="250" t="str">
        <f>IF(AND(A8812&lt;&gt;"",ISNUMBER(A8812)),VLOOKUP(A8812,Studies!A:BR,5,FALSE),"")</f>
        <v>Midazolam</v>
      </c>
      <c r="F8812" s="251" t="str">
        <f>IF(AND(A8812&lt;&gt;"",ISNUMBER(A8812)),VLOOKUP(A8812,Studies!A:BR,6,FALSE),"")</f>
        <v>Plasma</v>
      </c>
      <c r="G8812" s="194">
        <v>6.8333332999999996</v>
      </c>
      <c r="H8812" s="194" t="s">
        <v>60</v>
      </c>
      <c r="I8812" s="187">
        <v>26.483830000000001</v>
      </c>
      <c r="J8812" s="41" t="s">
        <v>941</v>
      </c>
      <c r="K8812" s="41" t="s">
        <v>116</v>
      </c>
      <c r="L8812" s="195">
        <v>4.9226400000000003</v>
      </c>
      <c r="M8812" s="52" t="s">
        <v>941</v>
      </c>
      <c r="N8812" s="52" t="s">
        <v>117</v>
      </c>
      <c r="O8812" s="199"/>
    </row>
    <row r="8813" spans="1:15" x14ac:dyDescent="0.2">
      <c r="A8813" s="30">
        <v>2043</v>
      </c>
      <c r="B8813" s="249" t="str">
        <f>IF(AND(A8813&lt;&gt;"",ISNUMBER(A8813)),VLOOKUP(A8813,Studies!A:BR,2,FALSE),"")</f>
        <v>Mikus 2017</v>
      </c>
      <c r="C8813" s="250" t="str">
        <f>IF(AND(A8813&lt;&gt;"",ISNUMBER(A8813)),VLOOKUP(A8813,Studies!A:BR,3,FALSE),"")</f>
        <v>https://www.ncbi.nlm.nih.gov/pubmed/28194792</v>
      </c>
      <c r="D8813" s="250" t="str">
        <f>IF(AND(A8813&lt;&gt;"",ISNUMBER(A8813)),VLOOKUP(A8813,Studies!A:BR,4,FALSE),"")</f>
        <v>Midazolam control IV</v>
      </c>
      <c r="E8813" s="250" t="str">
        <f>IF(AND(A8813&lt;&gt;"",ISNUMBER(A8813)),VLOOKUP(A8813,Studies!A:BR,5,FALSE),"")</f>
        <v>Midazolam</v>
      </c>
      <c r="F8813" s="251" t="str">
        <f>IF(AND(A8813&lt;&gt;"",ISNUMBER(A8813)),VLOOKUP(A8813,Studies!A:BR,6,FALSE),"")</f>
        <v>Plasma</v>
      </c>
      <c r="G8813" s="194">
        <v>7</v>
      </c>
      <c r="H8813" s="194" t="s">
        <v>60</v>
      </c>
      <c r="I8813" s="187">
        <v>22.151900000000001</v>
      </c>
      <c r="J8813" s="41" t="s">
        <v>941</v>
      </c>
      <c r="K8813" s="41" t="s">
        <v>116</v>
      </c>
      <c r="L8813" s="195">
        <v>4.0365679999999999</v>
      </c>
      <c r="M8813" s="52" t="s">
        <v>941</v>
      </c>
      <c r="N8813" s="52" t="s">
        <v>117</v>
      </c>
      <c r="O8813" s="199"/>
    </row>
    <row r="8814" spans="1:15" x14ac:dyDescent="0.2">
      <c r="A8814" s="30">
        <v>2043</v>
      </c>
      <c r="B8814" s="249" t="str">
        <f>IF(AND(A8814&lt;&gt;"",ISNUMBER(A8814)),VLOOKUP(A8814,Studies!A:BR,2,FALSE),"")</f>
        <v>Mikus 2017</v>
      </c>
      <c r="C8814" s="250" t="str">
        <f>IF(AND(A8814&lt;&gt;"",ISNUMBER(A8814)),VLOOKUP(A8814,Studies!A:BR,3,FALSE),"")</f>
        <v>https://www.ncbi.nlm.nih.gov/pubmed/28194792</v>
      </c>
      <c r="D8814" s="250" t="str">
        <f>IF(AND(A8814&lt;&gt;"",ISNUMBER(A8814)),VLOOKUP(A8814,Studies!A:BR,4,FALSE),"")</f>
        <v>Midazolam control IV</v>
      </c>
      <c r="E8814" s="250" t="str">
        <f>IF(AND(A8814&lt;&gt;"",ISNUMBER(A8814)),VLOOKUP(A8814,Studies!A:BR,5,FALSE),"")</f>
        <v>Midazolam</v>
      </c>
      <c r="F8814" s="251" t="str">
        <f>IF(AND(A8814&lt;&gt;"",ISNUMBER(A8814)),VLOOKUP(A8814,Studies!A:BR,6,FALSE),"")</f>
        <v>Plasma</v>
      </c>
      <c r="G8814" s="194">
        <v>7.25</v>
      </c>
      <c r="H8814" s="194" t="s">
        <v>60</v>
      </c>
      <c r="I8814" s="187">
        <v>18.410689999999999</v>
      </c>
      <c r="J8814" s="41" t="s">
        <v>941</v>
      </c>
      <c r="K8814" s="41" t="s">
        <v>116</v>
      </c>
      <c r="L8814" s="195">
        <v>4.4303780000000001</v>
      </c>
      <c r="M8814" s="52" t="s">
        <v>941</v>
      </c>
      <c r="N8814" s="52" t="s">
        <v>117</v>
      </c>
      <c r="O8814" s="199"/>
    </row>
    <row r="8815" spans="1:15" x14ac:dyDescent="0.2">
      <c r="A8815" s="30">
        <v>2043</v>
      </c>
      <c r="B8815" s="249" t="str">
        <f>IF(AND(A8815&lt;&gt;"",ISNUMBER(A8815)),VLOOKUP(A8815,Studies!A:BR,2,FALSE),"")</f>
        <v>Mikus 2017</v>
      </c>
      <c r="C8815" s="250" t="str">
        <f>IF(AND(A8815&lt;&gt;"",ISNUMBER(A8815)),VLOOKUP(A8815,Studies!A:BR,3,FALSE),"")</f>
        <v>https://www.ncbi.nlm.nih.gov/pubmed/28194792</v>
      </c>
      <c r="D8815" s="250" t="str">
        <f>IF(AND(A8815&lt;&gt;"",ISNUMBER(A8815)),VLOOKUP(A8815,Studies!A:BR,4,FALSE),"")</f>
        <v>Midazolam control IV</v>
      </c>
      <c r="E8815" s="250" t="str">
        <f>IF(AND(A8815&lt;&gt;"",ISNUMBER(A8815)),VLOOKUP(A8815,Studies!A:BR,5,FALSE),"")</f>
        <v>Midazolam</v>
      </c>
      <c r="F8815" s="251" t="str">
        <f>IF(AND(A8815&lt;&gt;"",ISNUMBER(A8815)),VLOOKUP(A8815,Studies!A:BR,6,FALSE),"")</f>
        <v>Plasma</v>
      </c>
      <c r="G8815" s="194">
        <v>7.5</v>
      </c>
      <c r="H8815" s="194" t="s">
        <v>60</v>
      </c>
      <c r="I8815" s="187">
        <v>16.638539999999999</v>
      </c>
      <c r="J8815" s="41" t="s">
        <v>941</v>
      </c>
      <c r="K8815" s="41" t="s">
        <v>116</v>
      </c>
      <c r="L8815" s="195">
        <v>3.642754</v>
      </c>
      <c r="M8815" s="52" t="s">
        <v>941</v>
      </c>
      <c r="N8815" s="52" t="s">
        <v>117</v>
      </c>
      <c r="O8815" s="199"/>
    </row>
    <row r="8816" spans="1:15" x14ac:dyDescent="0.2">
      <c r="A8816" s="30">
        <v>2043</v>
      </c>
      <c r="B8816" s="249" t="str">
        <f>IF(AND(A8816&lt;&gt;"",ISNUMBER(A8816)),VLOOKUP(A8816,Studies!A:BR,2,FALSE),"")</f>
        <v>Mikus 2017</v>
      </c>
      <c r="C8816" s="250" t="str">
        <f>IF(AND(A8816&lt;&gt;"",ISNUMBER(A8816)),VLOOKUP(A8816,Studies!A:BR,3,FALSE),"")</f>
        <v>https://www.ncbi.nlm.nih.gov/pubmed/28194792</v>
      </c>
      <c r="D8816" s="250" t="str">
        <f>IF(AND(A8816&lt;&gt;"",ISNUMBER(A8816)),VLOOKUP(A8816,Studies!A:BR,4,FALSE),"")</f>
        <v>Midazolam control IV</v>
      </c>
      <c r="E8816" s="250" t="str">
        <f>IF(AND(A8816&lt;&gt;"",ISNUMBER(A8816)),VLOOKUP(A8816,Studies!A:BR,5,FALSE),"")</f>
        <v>Midazolam</v>
      </c>
      <c r="F8816" s="251" t="str">
        <f>IF(AND(A8816&lt;&gt;"",ISNUMBER(A8816)),VLOOKUP(A8816,Studies!A:BR,6,FALSE),"")</f>
        <v>Plasma</v>
      </c>
      <c r="G8816" s="194">
        <v>8</v>
      </c>
      <c r="H8816" s="194" t="s">
        <v>60</v>
      </c>
      <c r="I8816" s="187">
        <v>12.700419999999999</v>
      </c>
      <c r="J8816" s="41" t="s">
        <v>941</v>
      </c>
      <c r="K8816" s="41" t="s">
        <v>116</v>
      </c>
      <c r="L8816" s="195">
        <v>2.264418</v>
      </c>
      <c r="M8816" s="52" t="s">
        <v>941</v>
      </c>
      <c r="N8816" s="52" t="s">
        <v>117</v>
      </c>
      <c r="O8816" s="199"/>
    </row>
    <row r="8817" spans="1:15" x14ac:dyDescent="0.2">
      <c r="A8817" s="30">
        <v>2043</v>
      </c>
      <c r="B8817" s="249" t="str">
        <f>IF(AND(A8817&lt;&gt;"",ISNUMBER(A8817)),VLOOKUP(A8817,Studies!A:BR,2,FALSE),"")</f>
        <v>Mikus 2017</v>
      </c>
      <c r="C8817" s="250" t="str">
        <f>IF(AND(A8817&lt;&gt;"",ISNUMBER(A8817)),VLOOKUP(A8817,Studies!A:BR,3,FALSE),"")</f>
        <v>https://www.ncbi.nlm.nih.gov/pubmed/28194792</v>
      </c>
      <c r="D8817" s="250" t="str">
        <f>IF(AND(A8817&lt;&gt;"",ISNUMBER(A8817)),VLOOKUP(A8817,Studies!A:BR,4,FALSE),"")</f>
        <v>Midazolam control IV</v>
      </c>
      <c r="E8817" s="250" t="str">
        <f>IF(AND(A8817&lt;&gt;"",ISNUMBER(A8817)),VLOOKUP(A8817,Studies!A:BR,5,FALSE),"")</f>
        <v>Midazolam</v>
      </c>
      <c r="F8817" s="251" t="str">
        <f>IF(AND(A8817&lt;&gt;"",ISNUMBER(A8817)),VLOOKUP(A8817,Studies!A:BR,6,FALSE),"")</f>
        <v>Plasma</v>
      </c>
      <c r="G8817" s="194">
        <v>9</v>
      </c>
      <c r="H8817" s="194" t="s">
        <v>60</v>
      </c>
      <c r="I8817" s="187">
        <v>8.9592120000000008</v>
      </c>
      <c r="J8817" s="41" t="s">
        <v>941</v>
      </c>
      <c r="K8817" s="41" t="s">
        <v>116</v>
      </c>
      <c r="L8817" s="195">
        <v>1.673699</v>
      </c>
      <c r="M8817" s="52" t="s">
        <v>941</v>
      </c>
      <c r="N8817" s="52" t="s">
        <v>117</v>
      </c>
      <c r="O8817" s="199"/>
    </row>
    <row r="8818" spans="1:15" x14ac:dyDescent="0.2">
      <c r="A8818" s="30">
        <v>2043</v>
      </c>
      <c r="B8818" s="249" t="str">
        <f>IF(AND(A8818&lt;&gt;"",ISNUMBER(A8818)),VLOOKUP(A8818,Studies!A:BR,2,FALSE),"")</f>
        <v>Mikus 2017</v>
      </c>
      <c r="C8818" s="250" t="str">
        <f>IF(AND(A8818&lt;&gt;"",ISNUMBER(A8818)),VLOOKUP(A8818,Studies!A:BR,3,FALSE),"")</f>
        <v>https://www.ncbi.nlm.nih.gov/pubmed/28194792</v>
      </c>
      <c r="D8818" s="250" t="str">
        <f>IF(AND(A8818&lt;&gt;"",ISNUMBER(A8818)),VLOOKUP(A8818,Studies!A:BR,4,FALSE),"")</f>
        <v>Midazolam control IV</v>
      </c>
      <c r="E8818" s="250" t="str">
        <f>IF(AND(A8818&lt;&gt;"",ISNUMBER(A8818)),VLOOKUP(A8818,Studies!A:BR,5,FALSE),"")</f>
        <v>Midazolam</v>
      </c>
      <c r="F8818" s="251" t="str">
        <f>IF(AND(A8818&lt;&gt;"",ISNUMBER(A8818)),VLOOKUP(A8818,Studies!A:BR,6,FALSE),"")</f>
        <v>Plasma</v>
      </c>
      <c r="G8818" s="194">
        <v>10</v>
      </c>
      <c r="H8818" s="194" t="s">
        <v>60</v>
      </c>
      <c r="I8818" s="187">
        <v>5.8087200000000001</v>
      </c>
      <c r="J8818" s="41" t="s">
        <v>941</v>
      </c>
      <c r="K8818" s="41" t="s">
        <v>116</v>
      </c>
      <c r="L8818" s="195">
        <v>0.98452899999999999</v>
      </c>
      <c r="M8818" s="52" t="s">
        <v>941</v>
      </c>
      <c r="N8818" s="52" t="s">
        <v>117</v>
      </c>
      <c r="O8818" s="199"/>
    </row>
    <row r="8819" spans="1:15" x14ac:dyDescent="0.2">
      <c r="A8819" s="30">
        <v>2043</v>
      </c>
      <c r="B8819" s="249" t="str">
        <f>IF(AND(A8819&lt;&gt;"",ISNUMBER(A8819)),VLOOKUP(A8819,Studies!A:BR,2,FALSE),"")</f>
        <v>Mikus 2017</v>
      </c>
      <c r="C8819" s="250" t="str">
        <f>IF(AND(A8819&lt;&gt;"",ISNUMBER(A8819)),VLOOKUP(A8819,Studies!A:BR,3,FALSE),"")</f>
        <v>https://www.ncbi.nlm.nih.gov/pubmed/28194792</v>
      </c>
      <c r="D8819" s="250" t="str">
        <f>IF(AND(A8819&lt;&gt;"",ISNUMBER(A8819)),VLOOKUP(A8819,Studies!A:BR,4,FALSE),"")</f>
        <v>Midazolam control IV</v>
      </c>
      <c r="E8819" s="250" t="str">
        <f>IF(AND(A8819&lt;&gt;"",ISNUMBER(A8819)),VLOOKUP(A8819,Studies!A:BR,5,FALSE),"")</f>
        <v>Midazolam</v>
      </c>
      <c r="F8819" s="251" t="str">
        <f>IF(AND(A8819&lt;&gt;"",ISNUMBER(A8819)),VLOOKUP(A8819,Studies!A:BR,6,FALSE),"")</f>
        <v>Plasma</v>
      </c>
      <c r="G8819" s="194">
        <v>12</v>
      </c>
      <c r="H8819" s="194" t="s">
        <v>60</v>
      </c>
      <c r="I8819" s="187">
        <v>4.2334740000000002</v>
      </c>
      <c r="J8819" s="41" t="s">
        <v>941</v>
      </c>
      <c r="K8819" s="41" t="s">
        <v>116</v>
      </c>
      <c r="L8819" s="195">
        <v>1.673699</v>
      </c>
      <c r="M8819" s="52" t="s">
        <v>941</v>
      </c>
      <c r="N8819" s="52" t="s">
        <v>117</v>
      </c>
      <c r="O8819" s="199"/>
    </row>
    <row r="8820" spans="1:15" x14ac:dyDescent="0.2">
      <c r="A8820" s="30">
        <v>2043</v>
      </c>
      <c r="B8820" s="249" t="str">
        <f>IF(AND(A8820&lt;&gt;"",ISNUMBER(A8820)),VLOOKUP(A8820,Studies!A:BR,2,FALSE),"")</f>
        <v>Mikus 2017</v>
      </c>
      <c r="C8820" s="250" t="str">
        <f>IF(AND(A8820&lt;&gt;"",ISNUMBER(A8820)),VLOOKUP(A8820,Studies!A:BR,3,FALSE),"")</f>
        <v>https://www.ncbi.nlm.nih.gov/pubmed/28194792</v>
      </c>
      <c r="D8820" s="250" t="str">
        <f>IF(AND(A8820&lt;&gt;"",ISNUMBER(A8820)),VLOOKUP(A8820,Studies!A:BR,4,FALSE),"")</f>
        <v>Midazolam control IV</v>
      </c>
      <c r="E8820" s="250" t="str">
        <f>IF(AND(A8820&lt;&gt;"",ISNUMBER(A8820)),VLOOKUP(A8820,Studies!A:BR,5,FALSE),"")</f>
        <v>Midazolam</v>
      </c>
      <c r="F8820" s="251" t="str">
        <f>IF(AND(A8820&lt;&gt;"",ISNUMBER(A8820)),VLOOKUP(A8820,Studies!A:BR,6,FALSE),"")</f>
        <v>Plasma</v>
      </c>
      <c r="G8820" s="194">
        <v>14</v>
      </c>
      <c r="H8820" s="194" t="s">
        <v>60</v>
      </c>
      <c r="I8820" s="187">
        <v>2.461322</v>
      </c>
      <c r="J8820" s="41" t="s">
        <v>941</v>
      </c>
      <c r="K8820" s="41" t="s">
        <v>116</v>
      </c>
      <c r="L8820" s="195">
        <v>0.78762319999999997</v>
      </c>
      <c r="M8820" s="52" t="s">
        <v>941</v>
      </c>
      <c r="N8820" s="52" t="s">
        <v>117</v>
      </c>
      <c r="O8820" s="199"/>
    </row>
    <row r="8821" spans="1:15" x14ac:dyDescent="0.2">
      <c r="A8821" s="30">
        <v>2044</v>
      </c>
      <c r="B8821" s="249" t="str">
        <f>IF(AND(A8821&lt;&gt;"",ISNUMBER(A8821)),VLOOKUP(A8821,Studies!A:BR,2,FALSE),"")</f>
        <v>Mikus 2017</v>
      </c>
      <c r="C8821" s="250" t="str">
        <f>IF(AND(A8821&lt;&gt;"",ISNUMBER(A8821)),VLOOKUP(A8821,Studies!A:BR,3,FALSE),"")</f>
        <v>https://www.ncbi.nlm.nih.gov/pubmed/28194792</v>
      </c>
      <c r="D8821" s="250" t="str">
        <f>IF(AND(A8821&lt;&gt;"",ISNUMBER(A8821)),VLOOKUP(A8821,Studies!A:BR,4,FALSE),"")</f>
        <v>Efavirenz + Midazolam PO day 1</v>
      </c>
      <c r="E8821" s="250" t="str">
        <f>IF(AND(A8821&lt;&gt;"",ISNUMBER(A8821)),VLOOKUP(A8821,Studies!A:BR,5,FALSE),"")</f>
        <v>Midazolam</v>
      </c>
      <c r="F8821" s="251" t="str">
        <f>IF(AND(A8821&lt;&gt;"",ISNUMBER(A8821)),VLOOKUP(A8821,Studies!A:BR,6,FALSE),"")</f>
        <v>Plasma</v>
      </c>
      <c r="G8821" s="194">
        <v>12.1666667</v>
      </c>
      <c r="H8821" s="194" t="s">
        <v>60</v>
      </c>
      <c r="I8821" s="187">
        <v>5.1195500000000003</v>
      </c>
      <c r="J8821" s="41" t="s">
        <v>941</v>
      </c>
      <c r="K8821" s="41" t="s">
        <v>116</v>
      </c>
      <c r="L8821" s="195">
        <v>5.0210970000000001</v>
      </c>
      <c r="M8821" s="52" t="s">
        <v>941</v>
      </c>
      <c r="N8821" s="52" t="s">
        <v>117</v>
      </c>
      <c r="O8821" s="199"/>
    </row>
    <row r="8822" spans="1:15" x14ac:dyDescent="0.2">
      <c r="A8822" s="30">
        <v>2044</v>
      </c>
      <c r="B8822" s="249" t="str">
        <f>IF(AND(A8822&lt;&gt;"",ISNUMBER(A8822)),VLOOKUP(A8822,Studies!A:BR,2,FALSE),"")</f>
        <v>Mikus 2017</v>
      </c>
      <c r="C8822" s="250" t="str">
        <f>IF(AND(A8822&lt;&gt;"",ISNUMBER(A8822)),VLOOKUP(A8822,Studies!A:BR,3,FALSE),"")</f>
        <v>https://www.ncbi.nlm.nih.gov/pubmed/28194792</v>
      </c>
      <c r="D8822" s="250" t="str">
        <f>IF(AND(A8822&lt;&gt;"",ISNUMBER(A8822)),VLOOKUP(A8822,Studies!A:BR,4,FALSE),"")</f>
        <v>Efavirenz + Midazolam PO day 1</v>
      </c>
      <c r="E8822" s="250" t="str">
        <f>IF(AND(A8822&lt;&gt;"",ISNUMBER(A8822)),VLOOKUP(A8822,Studies!A:BR,5,FALSE),"")</f>
        <v>Midazolam</v>
      </c>
      <c r="F8822" s="251" t="str">
        <f>IF(AND(A8822&lt;&gt;"",ISNUMBER(A8822)),VLOOKUP(A8822,Studies!A:BR,6,FALSE),"")</f>
        <v>Plasma</v>
      </c>
      <c r="G8822" s="194">
        <v>12.3333333</v>
      </c>
      <c r="H8822" s="194" t="s">
        <v>60</v>
      </c>
      <c r="I8822" s="187">
        <v>18.01688</v>
      </c>
      <c r="J8822" s="41" t="s">
        <v>941</v>
      </c>
      <c r="K8822" s="41" t="s">
        <v>116</v>
      </c>
      <c r="L8822" s="195">
        <v>8.9592150000000004</v>
      </c>
      <c r="M8822" s="52" t="s">
        <v>941</v>
      </c>
      <c r="N8822" s="52" t="s">
        <v>117</v>
      </c>
      <c r="O8822" s="199"/>
    </row>
    <row r="8823" spans="1:15" x14ac:dyDescent="0.2">
      <c r="A8823" s="30">
        <v>2044</v>
      </c>
      <c r="B8823" s="249" t="str">
        <f>IF(AND(A8823&lt;&gt;"",ISNUMBER(A8823)),VLOOKUP(A8823,Studies!A:BR,2,FALSE),"")</f>
        <v>Mikus 2017</v>
      </c>
      <c r="C8823" s="250" t="str">
        <f>IF(AND(A8823&lt;&gt;"",ISNUMBER(A8823)),VLOOKUP(A8823,Studies!A:BR,3,FALSE),"")</f>
        <v>https://www.ncbi.nlm.nih.gov/pubmed/28194792</v>
      </c>
      <c r="D8823" s="250" t="str">
        <f>IF(AND(A8823&lt;&gt;"",ISNUMBER(A8823)),VLOOKUP(A8823,Studies!A:BR,4,FALSE),"")</f>
        <v>Efavirenz + Midazolam PO day 1</v>
      </c>
      <c r="E8823" s="250" t="str">
        <f>IF(AND(A8823&lt;&gt;"",ISNUMBER(A8823)),VLOOKUP(A8823,Studies!A:BR,5,FALSE),"")</f>
        <v>Midazolam</v>
      </c>
      <c r="F8823" s="251" t="str">
        <f>IF(AND(A8823&lt;&gt;"",ISNUMBER(A8823)),VLOOKUP(A8823,Studies!A:BR,6,FALSE),"")</f>
        <v>Plasma</v>
      </c>
      <c r="G8823" s="194">
        <v>12.5</v>
      </c>
      <c r="H8823" s="194" t="s">
        <v>60</v>
      </c>
      <c r="I8823" s="187">
        <v>17.524609999999999</v>
      </c>
      <c r="J8823" s="41" t="s">
        <v>941</v>
      </c>
      <c r="K8823" s="41" t="s">
        <v>116</v>
      </c>
      <c r="L8823" s="195">
        <v>7.2855109999999996</v>
      </c>
      <c r="M8823" s="52" t="s">
        <v>941</v>
      </c>
      <c r="N8823" s="52" t="s">
        <v>117</v>
      </c>
      <c r="O8823" s="199"/>
    </row>
    <row r="8824" spans="1:15" x14ac:dyDescent="0.2">
      <c r="A8824" s="30">
        <v>2044</v>
      </c>
      <c r="B8824" s="249" t="str">
        <f>IF(AND(A8824&lt;&gt;"",ISNUMBER(A8824)),VLOOKUP(A8824,Studies!A:BR,2,FALSE),"")</f>
        <v>Mikus 2017</v>
      </c>
      <c r="C8824" s="250" t="str">
        <f>IF(AND(A8824&lt;&gt;"",ISNUMBER(A8824)),VLOOKUP(A8824,Studies!A:BR,3,FALSE),"")</f>
        <v>https://www.ncbi.nlm.nih.gov/pubmed/28194792</v>
      </c>
      <c r="D8824" s="250" t="str">
        <f>IF(AND(A8824&lt;&gt;"",ISNUMBER(A8824)),VLOOKUP(A8824,Studies!A:BR,4,FALSE),"")</f>
        <v>Efavirenz + Midazolam PO day 1</v>
      </c>
      <c r="E8824" s="250" t="str">
        <f>IF(AND(A8824&lt;&gt;"",ISNUMBER(A8824)),VLOOKUP(A8824,Studies!A:BR,5,FALSE),"")</f>
        <v>Midazolam</v>
      </c>
      <c r="F8824" s="251" t="str">
        <f>IF(AND(A8824&lt;&gt;"",ISNUMBER(A8824)),VLOOKUP(A8824,Studies!A:BR,6,FALSE),"")</f>
        <v>Plasma</v>
      </c>
      <c r="G8824" s="194">
        <v>12.75</v>
      </c>
      <c r="H8824" s="194" t="s">
        <v>60</v>
      </c>
      <c r="I8824" s="187">
        <v>13.7834</v>
      </c>
      <c r="J8824" s="41" t="s">
        <v>941</v>
      </c>
      <c r="K8824" s="41" t="s">
        <v>116</v>
      </c>
      <c r="L8824" s="195">
        <v>4.7257350000000002</v>
      </c>
      <c r="M8824" s="52" t="s">
        <v>941</v>
      </c>
      <c r="N8824" s="52" t="s">
        <v>117</v>
      </c>
      <c r="O8824" s="199"/>
    </row>
    <row r="8825" spans="1:15" x14ac:dyDescent="0.2">
      <c r="A8825" s="30">
        <v>2044</v>
      </c>
      <c r="B8825" s="249" t="str">
        <f>IF(AND(A8825&lt;&gt;"",ISNUMBER(A8825)),VLOOKUP(A8825,Studies!A:BR,2,FALSE),"")</f>
        <v>Mikus 2017</v>
      </c>
      <c r="C8825" s="250" t="str">
        <f>IF(AND(A8825&lt;&gt;"",ISNUMBER(A8825)),VLOOKUP(A8825,Studies!A:BR,3,FALSE),"")</f>
        <v>https://www.ncbi.nlm.nih.gov/pubmed/28194792</v>
      </c>
      <c r="D8825" s="250" t="str">
        <f>IF(AND(A8825&lt;&gt;"",ISNUMBER(A8825)),VLOOKUP(A8825,Studies!A:BR,4,FALSE),"")</f>
        <v>Efavirenz + Midazolam PO day 1</v>
      </c>
      <c r="E8825" s="250" t="str">
        <f>IF(AND(A8825&lt;&gt;"",ISNUMBER(A8825)),VLOOKUP(A8825,Studies!A:BR,5,FALSE),"")</f>
        <v>Midazolam</v>
      </c>
      <c r="F8825" s="251" t="str">
        <f>IF(AND(A8825&lt;&gt;"",ISNUMBER(A8825)),VLOOKUP(A8825,Studies!A:BR,6,FALSE),"")</f>
        <v>Plasma</v>
      </c>
      <c r="G8825" s="194">
        <v>13</v>
      </c>
      <c r="H8825" s="194" t="s">
        <v>60</v>
      </c>
      <c r="I8825" s="187">
        <v>10.73136</v>
      </c>
      <c r="J8825" s="41" t="s">
        <v>941</v>
      </c>
      <c r="K8825" s="41" t="s">
        <v>116</v>
      </c>
      <c r="L8825" s="195">
        <v>4.6272820000000001</v>
      </c>
      <c r="M8825" s="52" t="s">
        <v>941</v>
      </c>
      <c r="N8825" s="52" t="s">
        <v>117</v>
      </c>
      <c r="O8825" s="199"/>
    </row>
    <row r="8826" spans="1:15" x14ac:dyDescent="0.2">
      <c r="A8826" s="30">
        <v>2044</v>
      </c>
      <c r="B8826" s="249" t="str">
        <f>IF(AND(A8826&lt;&gt;"",ISNUMBER(A8826)),VLOOKUP(A8826,Studies!A:BR,2,FALSE),"")</f>
        <v>Mikus 2017</v>
      </c>
      <c r="C8826" s="250" t="str">
        <f>IF(AND(A8826&lt;&gt;"",ISNUMBER(A8826)),VLOOKUP(A8826,Studies!A:BR,3,FALSE),"")</f>
        <v>https://www.ncbi.nlm.nih.gov/pubmed/28194792</v>
      </c>
      <c r="D8826" s="250" t="str">
        <f>IF(AND(A8826&lt;&gt;"",ISNUMBER(A8826)),VLOOKUP(A8826,Studies!A:BR,4,FALSE),"")</f>
        <v>Efavirenz + Midazolam PO day 1</v>
      </c>
      <c r="E8826" s="250" t="str">
        <f>IF(AND(A8826&lt;&gt;"",ISNUMBER(A8826)),VLOOKUP(A8826,Studies!A:BR,5,FALSE),"")</f>
        <v>Midazolam</v>
      </c>
      <c r="F8826" s="251" t="str">
        <f>IF(AND(A8826&lt;&gt;"",ISNUMBER(A8826)),VLOOKUP(A8826,Studies!A:BR,6,FALSE),"")</f>
        <v>Plasma</v>
      </c>
      <c r="G8826" s="194">
        <v>13.5</v>
      </c>
      <c r="H8826" s="194" t="s">
        <v>60</v>
      </c>
      <c r="I8826" s="187">
        <v>7.1870599999999998</v>
      </c>
      <c r="J8826" s="41" t="s">
        <v>941</v>
      </c>
      <c r="K8826" s="41" t="s">
        <v>116</v>
      </c>
      <c r="L8826" s="195">
        <v>3.347397</v>
      </c>
      <c r="M8826" s="52" t="s">
        <v>941</v>
      </c>
      <c r="N8826" s="52" t="s">
        <v>117</v>
      </c>
      <c r="O8826" s="199"/>
    </row>
    <row r="8827" spans="1:15" x14ac:dyDescent="0.2">
      <c r="A8827" s="30">
        <v>2044</v>
      </c>
      <c r="B8827" s="249" t="str">
        <f>IF(AND(A8827&lt;&gt;"",ISNUMBER(A8827)),VLOOKUP(A8827,Studies!A:BR,2,FALSE),"")</f>
        <v>Mikus 2017</v>
      </c>
      <c r="C8827" s="250" t="str">
        <f>IF(AND(A8827&lt;&gt;"",ISNUMBER(A8827)),VLOOKUP(A8827,Studies!A:BR,3,FALSE),"")</f>
        <v>https://www.ncbi.nlm.nih.gov/pubmed/28194792</v>
      </c>
      <c r="D8827" s="250" t="str">
        <f>IF(AND(A8827&lt;&gt;"",ISNUMBER(A8827)),VLOOKUP(A8827,Studies!A:BR,4,FALSE),"")</f>
        <v>Efavirenz + Midazolam PO day 1</v>
      </c>
      <c r="E8827" s="250" t="str">
        <f>IF(AND(A8827&lt;&gt;"",ISNUMBER(A8827)),VLOOKUP(A8827,Studies!A:BR,5,FALSE),"")</f>
        <v>Midazolam</v>
      </c>
      <c r="F8827" s="251" t="str">
        <f>IF(AND(A8827&lt;&gt;"",ISNUMBER(A8827)),VLOOKUP(A8827,Studies!A:BR,6,FALSE),"")</f>
        <v>Plasma</v>
      </c>
      <c r="G8827" s="194">
        <v>14</v>
      </c>
      <c r="H8827" s="194" t="s">
        <v>60</v>
      </c>
      <c r="I8827" s="187">
        <v>4.922644</v>
      </c>
      <c r="J8827" s="41" t="s">
        <v>941</v>
      </c>
      <c r="K8827" s="41" t="s">
        <v>116</v>
      </c>
      <c r="L8827" s="195">
        <v>1.969058</v>
      </c>
      <c r="M8827" s="52" t="s">
        <v>941</v>
      </c>
      <c r="N8827" s="52" t="s">
        <v>117</v>
      </c>
      <c r="O8827" s="199"/>
    </row>
    <row r="8828" spans="1:15" x14ac:dyDescent="0.2">
      <c r="A8828" s="30">
        <v>2044</v>
      </c>
      <c r="B8828" s="249" t="str">
        <f>IF(AND(A8828&lt;&gt;"",ISNUMBER(A8828)),VLOOKUP(A8828,Studies!A:BR,2,FALSE),"")</f>
        <v>Mikus 2017</v>
      </c>
      <c r="C8828" s="250" t="str">
        <f>IF(AND(A8828&lt;&gt;"",ISNUMBER(A8828)),VLOOKUP(A8828,Studies!A:BR,3,FALSE),"")</f>
        <v>https://www.ncbi.nlm.nih.gov/pubmed/28194792</v>
      </c>
      <c r="D8828" s="250" t="str">
        <f>IF(AND(A8828&lt;&gt;"",ISNUMBER(A8828)),VLOOKUP(A8828,Studies!A:BR,4,FALSE),"")</f>
        <v>Efavirenz + Midazolam PO day 1</v>
      </c>
      <c r="E8828" s="250" t="str">
        <f>IF(AND(A8828&lt;&gt;"",ISNUMBER(A8828)),VLOOKUP(A8828,Studies!A:BR,5,FALSE),"")</f>
        <v>Midazolam</v>
      </c>
      <c r="F8828" s="251" t="str">
        <f>IF(AND(A8828&lt;&gt;"",ISNUMBER(A8828)),VLOOKUP(A8828,Studies!A:BR,6,FALSE),"")</f>
        <v>Plasma</v>
      </c>
      <c r="G8828" s="194">
        <v>15</v>
      </c>
      <c r="H8828" s="194" t="s">
        <v>60</v>
      </c>
      <c r="I8828" s="187">
        <v>3.248945</v>
      </c>
      <c r="J8828" s="41" t="s">
        <v>941</v>
      </c>
      <c r="K8828" s="41" t="s">
        <v>116</v>
      </c>
      <c r="L8828" s="195">
        <v>1.3783399999999999</v>
      </c>
      <c r="M8828" s="52" t="s">
        <v>941</v>
      </c>
      <c r="N8828" s="52" t="s">
        <v>117</v>
      </c>
      <c r="O8828" s="199"/>
    </row>
    <row r="8829" spans="1:15" x14ac:dyDescent="0.2">
      <c r="A8829" s="30">
        <v>2044</v>
      </c>
      <c r="B8829" s="249" t="str">
        <f>IF(AND(A8829&lt;&gt;"",ISNUMBER(A8829)),VLOOKUP(A8829,Studies!A:BR,2,FALSE),"")</f>
        <v>Mikus 2017</v>
      </c>
      <c r="C8829" s="250" t="str">
        <f>IF(AND(A8829&lt;&gt;"",ISNUMBER(A8829)),VLOOKUP(A8829,Studies!A:BR,3,FALSE),"")</f>
        <v>https://www.ncbi.nlm.nih.gov/pubmed/28194792</v>
      </c>
      <c r="D8829" s="250" t="str">
        <f>IF(AND(A8829&lt;&gt;"",ISNUMBER(A8829)),VLOOKUP(A8829,Studies!A:BR,4,FALSE),"")</f>
        <v>Efavirenz + Midazolam PO day 1</v>
      </c>
      <c r="E8829" s="250" t="str">
        <f>IF(AND(A8829&lt;&gt;"",ISNUMBER(A8829)),VLOOKUP(A8829,Studies!A:BR,5,FALSE),"")</f>
        <v>Midazolam</v>
      </c>
      <c r="F8829" s="251" t="str">
        <f>IF(AND(A8829&lt;&gt;"",ISNUMBER(A8829)),VLOOKUP(A8829,Studies!A:BR,6,FALSE),"")</f>
        <v>Plasma</v>
      </c>
      <c r="G8829" s="194">
        <v>16</v>
      </c>
      <c r="H8829" s="194" t="s">
        <v>60</v>
      </c>
      <c r="I8829" s="187">
        <v>2.461322</v>
      </c>
      <c r="J8829" s="41" t="s">
        <v>941</v>
      </c>
      <c r="K8829" s="41" t="s">
        <v>116</v>
      </c>
      <c r="L8829" s="195">
        <v>1.279887</v>
      </c>
      <c r="M8829" s="52" t="s">
        <v>941</v>
      </c>
      <c r="N8829" s="52" t="s">
        <v>117</v>
      </c>
      <c r="O8829" s="199"/>
    </row>
    <row r="8830" spans="1:15" x14ac:dyDescent="0.2">
      <c r="A8830" s="30">
        <v>2044</v>
      </c>
      <c r="B8830" s="249" t="str">
        <f>IF(AND(A8830&lt;&gt;"",ISNUMBER(A8830)),VLOOKUP(A8830,Studies!A:BR,2,FALSE),"")</f>
        <v>Mikus 2017</v>
      </c>
      <c r="C8830" s="250" t="str">
        <f>IF(AND(A8830&lt;&gt;"",ISNUMBER(A8830)),VLOOKUP(A8830,Studies!A:BR,3,FALSE),"")</f>
        <v>https://www.ncbi.nlm.nih.gov/pubmed/28194792</v>
      </c>
      <c r="D8830" s="250" t="str">
        <f>IF(AND(A8830&lt;&gt;"",ISNUMBER(A8830)),VLOOKUP(A8830,Studies!A:BR,4,FALSE),"")</f>
        <v>Efavirenz + Midazolam PO day 1</v>
      </c>
      <c r="E8830" s="250" t="str">
        <f>IF(AND(A8830&lt;&gt;"",ISNUMBER(A8830)),VLOOKUP(A8830,Studies!A:BR,5,FALSE),"")</f>
        <v>Midazolam</v>
      </c>
      <c r="F8830" s="251" t="str">
        <f>IF(AND(A8830&lt;&gt;"",ISNUMBER(A8830)),VLOOKUP(A8830,Studies!A:BR,6,FALSE),"")</f>
        <v>Plasma</v>
      </c>
      <c r="G8830" s="194">
        <v>17</v>
      </c>
      <c r="H8830" s="194" t="s">
        <v>60</v>
      </c>
      <c r="I8830" s="187">
        <v>1.5752459999999999</v>
      </c>
      <c r="J8830" s="41" t="s">
        <v>941</v>
      </c>
      <c r="K8830" s="41" t="s">
        <v>116</v>
      </c>
      <c r="L8830" s="195">
        <v>0.68916999999999995</v>
      </c>
      <c r="M8830" s="52" t="s">
        <v>941</v>
      </c>
      <c r="N8830" s="52" t="s">
        <v>117</v>
      </c>
      <c r="O8830" s="199"/>
    </row>
    <row r="8831" spans="1:15" x14ac:dyDescent="0.2">
      <c r="A8831" s="30">
        <v>2044</v>
      </c>
      <c r="B8831" s="249" t="str">
        <f>IF(AND(A8831&lt;&gt;"",ISNUMBER(A8831)),VLOOKUP(A8831,Studies!A:BR,2,FALSE),"")</f>
        <v>Mikus 2017</v>
      </c>
      <c r="C8831" s="250" t="str">
        <f>IF(AND(A8831&lt;&gt;"",ISNUMBER(A8831)),VLOOKUP(A8831,Studies!A:BR,3,FALSE),"")</f>
        <v>https://www.ncbi.nlm.nih.gov/pubmed/28194792</v>
      </c>
      <c r="D8831" s="250" t="str">
        <f>IF(AND(A8831&lt;&gt;"",ISNUMBER(A8831)),VLOOKUP(A8831,Studies!A:BR,4,FALSE),"")</f>
        <v>Efavirenz + Midazolam PO day 1</v>
      </c>
      <c r="E8831" s="250" t="str">
        <f>IF(AND(A8831&lt;&gt;"",ISNUMBER(A8831)),VLOOKUP(A8831,Studies!A:BR,5,FALSE),"")</f>
        <v>Midazolam</v>
      </c>
      <c r="F8831" s="251" t="str">
        <f>IF(AND(A8831&lt;&gt;"",ISNUMBER(A8831)),VLOOKUP(A8831,Studies!A:BR,6,FALSE),"")</f>
        <v>Plasma</v>
      </c>
      <c r="G8831" s="194">
        <v>18</v>
      </c>
      <c r="H8831" s="194" t="s">
        <v>60</v>
      </c>
      <c r="I8831" s="187">
        <v>1.279887</v>
      </c>
      <c r="J8831" s="41" t="s">
        <v>941</v>
      </c>
      <c r="K8831" s="41" t="s">
        <v>116</v>
      </c>
      <c r="L8831" s="195">
        <v>9.8452330000000005E-2</v>
      </c>
      <c r="M8831" s="52" t="s">
        <v>941</v>
      </c>
      <c r="N8831" s="52" t="s">
        <v>117</v>
      </c>
      <c r="O8831" s="199"/>
    </row>
    <row r="8832" spans="1:15" x14ac:dyDescent="0.2">
      <c r="A8832" s="30">
        <v>2045</v>
      </c>
      <c r="B8832" s="249" t="str">
        <f>IF(AND(A8832&lt;&gt;"",ISNUMBER(A8832)),VLOOKUP(A8832,Studies!A:BR,2,FALSE),"")</f>
        <v>Mikus 2017</v>
      </c>
      <c r="C8832" s="250" t="str">
        <f>IF(AND(A8832&lt;&gt;"",ISNUMBER(A8832)),VLOOKUP(A8832,Studies!A:BR,3,FALSE),"")</f>
        <v>https://www.ncbi.nlm.nih.gov/pubmed/28194792</v>
      </c>
      <c r="D8832" s="250" t="str">
        <f>IF(AND(A8832&lt;&gt;"",ISNUMBER(A8832)),VLOOKUP(A8832,Studies!A:BR,4,FALSE),"")</f>
        <v>Efavirenz + Midazolam IV day 1</v>
      </c>
      <c r="E8832" s="250" t="str">
        <f>IF(AND(A8832&lt;&gt;"",ISNUMBER(A8832)),VLOOKUP(A8832,Studies!A:BR,5,FALSE),"")</f>
        <v>Midazolam</v>
      </c>
      <c r="F8832" s="251" t="str">
        <f>IF(AND(A8832&lt;&gt;"",ISNUMBER(A8832)),VLOOKUP(A8832,Studies!A:BR,6,FALSE),"")</f>
        <v>Plasma</v>
      </c>
      <c r="G8832" s="194">
        <v>18.25</v>
      </c>
      <c r="H8832" s="194" t="s">
        <v>60</v>
      </c>
      <c r="I8832" s="187">
        <v>32.686360000000001</v>
      </c>
      <c r="J8832" s="41" t="s">
        <v>941</v>
      </c>
      <c r="K8832" s="41" t="s">
        <v>116</v>
      </c>
      <c r="L8832" s="195">
        <v>7.0886100000000001</v>
      </c>
      <c r="M8832" s="52" t="s">
        <v>941</v>
      </c>
      <c r="N8832" s="52" t="s">
        <v>117</v>
      </c>
      <c r="O8832" s="199"/>
    </row>
    <row r="8833" spans="1:15" x14ac:dyDescent="0.2">
      <c r="A8833" s="30">
        <v>2045</v>
      </c>
      <c r="B8833" s="249" t="str">
        <f>IF(AND(A8833&lt;&gt;"",ISNUMBER(A8833)),VLOOKUP(A8833,Studies!A:BR,2,FALSE),"")</f>
        <v>Mikus 2017</v>
      </c>
      <c r="C8833" s="250" t="str">
        <f>IF(AND(A8833&lt;&gt;"",ISNUMBER(A8833)),VLOOKUP(A8833,Studies!A:BR,3,FALSE),"")</f>
        <v>https://www.ncbi.nlm.nih.gov/pubmed/28194792</v>
      </c>
      <c r="D8833" s="250" t="str">
        <f>IF(AND(A8833&lt;&gt;"",ISNUMBER(A8833)),VLOOKUP(A8833,Studies!A:BR,4,FALSE),"")</f>
        <v>Efavirenz + Midazolam IV day 1</v>
      </c>
      <c r="E8833" s="250" t="str">
        <f>IF(AND(A8833&lt;&gt;"",ISNUMBER(A8833)),VLOOKUP(A8833,Studies!A:BR,5,FALSE),"")</f>
        <v>Midazolam</v>
      </c>
      <c r="F8833" s="251" t="str">
        <f>IF(AND(A8833&lt;&gt;"",ISNUMBER(A8833)),VLOOKUP(A8833,Studies!A:BR,6,FALSE),"")</f>
        <v>Plasma</v>
      </c>
      <c r="G8833" s="194">
        <v>18.5</v>
      </c>
      <c r="H8833" s="194" t="s">
        <v>60</v>
      </c>
      <c r="I8833" s="187">
        <v>42.433190000000003</v>
      </c>
      <c r="J8833" s="41" t="s">
        <v>941</v>
      </c>
      <c r="K8833" s="41" t="s">
        <v>116</v>
      </c>
      <c r="L8833" s="195">
        <v>8.2700390000000006</v>
      </c>
      <c r="M8833" s="52" t="s">
        <v>941</v>
      </c>
      <c r="N8833" s="52" t="s">
        <v>117</v>
      </c>
      <c r="O8833" s="199"/>
    </row>
    <row r="8834" spans="1:15" x14ac:dyDescent="0.2">
      <c r="A8834" s="30">
        <v>2045</v>
      </c>
      <c r="B8834" s="249" t="str">
        <f>IF(AND(A8834&lt;&gt;"",ISNUMBER(A8834)),VLOOKUP(A8834,Studies!A:BR,2,FALSE),"")</f>
        <v>Mikus 2017</v>
      </c>
      <c r="C8834" s="250" t="str">
        <f>IF(AND(A8834&lt;&gt;"",ISNUMBER(A8834)),VLOOKUP(A8834,Studies!A:BR,3,FALSE),"")</f>
        <v>https://www.ncbi.nlm.nih.gov/pubmed/28194792</v>
      </c>
      <c r="D8834" s="250" t="str">
        <f>IF(AND(A8834&lt;&gt;"",ISNUMBER(A8834)),VLOOKUP(A8834,Studies!A:BR,4,FALSE),"")</f>
        <v>Efavirenz + Midazolam IV day 1</v>
      </c>
      <c r="E8834" s="250" t="str">
        <f>IF(AND(A8834&lt;&gt;"",ISNUMBER(A8834)),VLOOKUP(A8834,Studies!A:BR,5,FALSE),"")</f>
        <v>Midazolam</v>
      </c>
      <c r="F8834" s="251" t="str">
        <f>IF(AND(A8834&lt;&gt;"",ISNUMBER(A8834)),VLOOKUP(A8834,Studies!A:BR,6,FALSE),"")</f>
        <v>Plasma</v>
      </c>
      <c r="G8834" s="194">
        <v>18.6666667</v>
      </c>
      <c r="H8834" s="194" t="s">
        <v>60</v>
      </c>
      <c r="I8834" s="187">
        <v>23.727139999999999</v>
      </c>
      <c r="J8834" s="41" t="s">
        <v>941</v>
      </c>
      <c r="K8834" s="41" t="s">
        <v>116</v>
      </c>
      <c r="L8834" s="195">
        <v>4.9226400000000003</v>
      </c>
      <c r="M8834" s="52" t="s">
        <v>941</v>
      </c>
      <c r="N8834" s="52" t="s">
        <v>117</v>
      </c>
      <c r="O8834" s="199"/>
    </row>
    <row r="8835" spans="1:15" x14ac:dyDescent="0.2">
      <c r="A8835" s="30">
        <v>2045</v>
      </c>
      <c r="B8835" s="249" t="str">
        <f>IF(AND(A8835&lt;&gt;"",ISNUMBER(A8835)),VLOOKUP(A8835,Studies!A:BR,2,FALSE),"")</f>
        <v>Mikus 2017</v>
      </c>
      <c r="C8835" s="250" t="str">
        <f>IF(AND(A8835&lt;&gt;"",ISNUMBER(A8835)),VLOOKUP(A8835,Studies!A:BR,3,FALSE),"")</f>
        <v>https://www.ncbi.nlm.nih.gov/pubmed/28194792</v>
      </c>
      <c r="D8835" s="250" t="str">
        <f>IF(AND(A8835&lt;&gt;"",ISNUMBER(A8835)),VLOOKUP(A8835,Studies!A:BR,4,FALSE),"")</f>
        <v>Efavirenz + Midazolam IV day 1</v>
      </c>
      <c r="E8835" s="250" t="str">
        <f>IF(AND(A8835&lt;&gt;"",ISNUMBER(A8835)),VLOOKUP(A8835,Studies!A:BR,5,FALSE),"")</f>
        <v>Midazolam</v>
      </c>
      <c r="F8835" s="251" t="str">
        <f>IF(AND(A8835&lt;&gt;"",ISNUMBER(A8835)),VLOOKUP(A8835,Studies!A:BR,6,FALSE),"")</f>
        <v>Plasma</v>
      </c>
      <c r="G8835" s="194">
        <v>18.8333333</v>
      </c>
      <c r="H8835" s="194" t="s">
        <v>60</v>
      </c>
      <c r="I8835" s="187">
        <v>20.379750000000001</v>
      </c>
      <c r="J8835" s="41" t="s">
        <v>941</v>
      </c>
      <c r="K8835" s="41" t="s">
        <v>116</v>
      </c>
      <c r="L8835" s="195">
        <v>5.0210990000000004</v>
      </c>
      <c r="M8835" s="52" t="s">
        <v>941</v>
      </c>
      <c r="N8835" s="52" t="s">
        <v>117</v>
      </c>
      <c r="O8835" s="199"/>
    </row>
    <row r="8836" spans="1:15" x14ac:dyDescent="0.2">
      <c r="A8836" s="30">
        <v>2045</v>
      </c>
      <c r="B8836" s="249" t="str">
        <f>IF(AND(A8836&lt;&gt;"",ISNUMBER(A8836)),VLOOKUP(A8836,Studies!A:BR,2,FALSE),"")</f>
        <v>Mikus 2017</v>
      </c>
      <c r="C8836" s="250" t="str">
        <f>IF(AND(A8836&lt;&gt;"",ISNUMBER(A8836)),VLOOKUP(A8836,Studies!A:BR,3,FALSE),"")</f>
        <v>https://www.ncbi.nlm.nih.gov/pubmed/28194792</v>
      </c>
      <c r="D8836" s="250" t="str">
        <f>IF(AND(A8836&lt;&gt;"",ISNUMBER(A8836)),VLOOKUP(A8836,Studies!A:BR,4,FALSE),"")</f>
        <v>Efavirenz + Midazolam IV day 1</v>
      </c>
      <c r="E8836" s="250" t="str">
        <f>IF(AND(A8836&lt;&gt;"",ISNUMBER(A8836)),VLOOKUP(A8836,Studies!A:BR,5,FALSE),"")</f>
        <v>Midazolam</v>
      </c>
      <c r="F8836" s="251" t="str">
        <f>IF(AND(A8836&lt;&gt;"",ISNUMBER(A8836)),VLOOKUP(A8836,Studies!A:BR,6,FALSE),"")</f>
        <v>Plasma</v>
      </c>
      <c r="G8836" s="194">
        <v>19</v>
      </c>
      <c r="H8836" s="194" t="s">
        <v>60</v>
      </c>
      <c r="I8836" s="187">
        <v>17.22925</v>
      </c>
      <c r="J8836" s="41" t="s">
        <v>941</v>
      </c>
      <c r="K8836" s="41" t="s">
        <v>116</v>
      </c>
      <c r="L8836" s="195">
        <v>4.8241860000000001</v>
      </c>
      <c r="M8836" s="52" t="s">
        <v>941</v>
      </c>
      <c r="N8836" s="52" t="s">
        <v>117</v>
      </c>
      <c r="O8836" s="199"/>
    </row>
    <row r="8837" spans="1:15" x14ac:dyDescent="0.2">
      <c r="A8837" s="30">
        <v>2045</v>
      </c>
      <c r="B8837" s="249" t="str">
        <f>IF(AND(A8837&lt;&gt;"",ISNUMBER(A8837)),VLOOKUP(A8837,Studies!A:BR,2,FALSE),"")</f>
        <v>Mikus 2017</v>
      </c>
      <c r="C8837" s="250" t="str">
        <f>IF(AND(A8837&lt;&gt;"",ISNUMBER(A8837)),VLOOKUP(A8837,Studies!A:BR,3,FALSE),"")</f>
        <v>https://www.ncbi.nlm.nih.gov/pubmed/28194792</v>
      </c>
      <c r="D8837" s="250" t="str">
        <f>IF(AND(A8837&lt;&gt;"",ISNUMBER(A8837)),VLOOKUP(A8837,Studies!A:BR,4,FALSE),"")</f>
        <v>Efavirenz + Midazolam IV day 1</v>
      </c>
      <c r="E8837" s="250" t="str">
        <f>IF(AND(A8837&lt;&gt;"",ISNUMBER(A8837)),VLOOKUP(A8837,Studies!A:BR,5,FALSE),"")</f>
        <v>Midazolam</v>
      </c>
      <c r="F8837" s="251" t="str">
        <f>IF(AND(A8837&lt;&gt;"",ISNUMBER(A8837)),VLOOKUP(A8837,Studies!A:BR,6,FALSE),"")</f>
        <v>Plasma</v>
      </c>
      <c r="G8837" s="194">
        <v>19.25</v>
      </c>
      <c r="H8837" s="194" t="s">
        <v>60</v>
      </c>
      <c r="I8837" s="187">
        <v>14.37412</v>
      </c>
      <c r="J8837" s="41" t="s">
        <v>941</v>
      </c>
      <c r="K8837" s="41" t="s">
        <v>116</v>
      </c>
      <c r="L8837" s="195">
        <v>3.7412079999999999</v>
      </c>
      <c r="M8837" s="52" t="s">
        <v>941</v>
      </c>
      <c r="N8837" s="52" t="s">
        <v>117</v>
      </c>
      <c r="O8837" s="199"/>
    </row>
    <row r="8838" spans="1:15" x14ac:dyDescent="0.2">
      <c r="A8838" s="30">
        <v>2045</v>
      </c>
      <c r="B8838" s="249" t="str">
        <f>IF(AND(A8838&lt;&gt;"",ISNUMBER(A8838)),VLOOKUP(A8838,Studies!A:BR,2,FALSE),"")</f>
        <v>Mikus 2017</v>
      </c>
      <c r="C8838" s="250" t="str">
        <f>IF(AND(A8838&lt;&gt;"",ISNUMBER(A8838)),VLOOKUP(A8838,Studies!A:BR,3,FALSE),"")</f>
        <v>https://www.ncbi.nlm.nih.gov/pubmed/28194792</v>
      </c>
      <c r="D8838" s="250" t="str">
        <f>IF(AND(A8838&lt;&gt;"",ISNUMBER(A8838)),VLOOKUP(A8838,Studies!A:BR,4,FALSE),"")</f>
        <v>Efavirenz + Midazolam IV day 1</v>
      </c>
      <c r="E8838" s="250" t="str">
        <f>IF(AND(A8838&lt;&gt;"",ISNUMBER(A8838)),VLOOKUP(A8838,Studies!A:BR,5,FALSE),"")</f>
        <v>Midazolam</v>
      </c>
      <c r="F8838" s="251" t="str">
        <f>IF(AND(A8838&lt;&gt;"",ISNUMBER(A8838)),VLOOKUP(A8838,Studies!A:BR,6,FALSE),"")</f>
        <v>Plasma</v>
      </c>
      <c r="G8838" s="194">
        <v>19.5</v>
      </c>
      <c r="H8838" s="194" t="s">
        <v>60</v>
      </c>
      <c r="I8838" s="187">
        <v>12.60197</v>
      </c>
      <c r="J8838" s="41" t="s">
        <v>941</v>
      </c>
      <c r="K8838" s="41" t="s">
        <v>116</v>
      </c>
      <c r="L8838" s="195">
        <v>3.7412100000000001</v>
      </c>
      <c r="M8838" s="52" t="s">
        <v>941</v>
      </c>
      <c r="N8838" s="52" t="s">
        <v>117</v>
      </c>
      <c r="O8838" s="199"/>
    </row>
    <row r="8839" spans="1:15" x14ac:dyDescent="0.2">
      <c r="A8839" s="30">
        <v>2045</v>
      </c>
      <c r="B8839" s="249" t="str">
        <f>IF(AND(A8839&lt;&gt;"",ISNUMBER(A8839)),VLOOKUP(A8839,Studies!A:BR,2,FALSE),"")</f>
        <v>Mikus 2017</v>
      </c>
      <c r="C8839" s="250" t="str">
        <f>IF(AND(A8839&lt;&gt;"",ISNUMBER(A8839)),VLOOKUP(A8839,Studies!A:BR,3,FALSE),"")</f>
        <v>https://www.ncbi.nlm.nih.gov/pubmed/28194792</v>
      </c>
      <c r="D8839" s="250" t="str">
        <f>IF(AND(A8839&lt;&gt;"",ISNUMBER(A8839)),VLOOKUP(A8839,Studies!A:BR,4,FALSE),"")</f>
        <v>Efavirenz + Midazolam IV day 1</v>
      </c>
      <c r="E8839" s="250" t="str">
        <f>IF(AND(A8839&lt;&gt;"",ISNUMBER(A8839)),VLOOKUP(A8839,Studies!A:BR,5,FALSE),"")</f>
        <v>Midazolam</v>
      </c>
      <c r="F8839" s="251" t="str">
        <f>IF(AND(A8839&lt;&gt;"",ISNUMBER(A8839)),VLOOKUP(A8839,Studies!A:BR,6,FALSE),"")</f>
        <v>Plasma</v>
      </c>
      <c r="G8839" s="194">
        <v>20</v>
      </c>
      <c r="H8839" s="194" t="s">
        <v>60</v>
      </c>
      <c r="I8839" s="187">
        <v>10.43601</v>
      </c>
      <c r="J8839" s="41" t="s">
        <v>941</v>
      </c>
      <c r="K8839" s="41" t="s">
        <v>116</v>
      </c>
      <c r="L8839" s="195">
        <v>3.052044</v>
      </c>
      <c r="M8839" s="52" t="s">
        <v>941</v>
      </c>
      <c r="N8839" s="52" t="s">
        <v>117</v>
      </c>
      <c r="O8839" s="199"/>
    </row>
    <row r="8840" spans="1:15" x14ac:dyDescent="0.2">
      <c r="A8840" s="30">
        <v>2045</v>
      </c>
      <c r="B8840" s="249" t="str">
        <f>IF(AND(A8840&lt;&gt;"",ISNUMBER(A8840)),VLOOKUP(A8840,Studies!A:BR,2,FALSE),"")</f>
        <v>Mikus 2017</v>
      </c>
      <c r="C8840" s="250" t="str">
        <f>IF(AND(A8840&lt;&gt;"",ISNUMBER(A8840)),VLOOKUP(A8840,Studies!A:BR,3,FALSE),"")</f>
        <v>https://www.ncbi.nlm.nih.gov/pubmed/28194792</v>
      </c>
      <c r="D8840" s="250" t="str">
        <f>IF(AND(A8840&lt;&gt;"",ISNUMBER(A8840)),VLOOKUP(A8840,Studies!A:BR,4,FALSE),"")</f>
        <v>Efavirenz + Midazolam IV day 1</v>
      </c>
      <c r="E8840" s="250" t="str">
        <f>IF(AND(A8840&lt;&gt;"",ISNUMBER(A8840)),VLOOKUP(A8840,Studies!A:BR,5,FALSE),"")</f>
        <v>Midazolam</v>
      </c>
      <c r="F8840" s="251" t="str">
        <f>IF(AND(A8840&lt;&gt;"",ISNUMBER(A8840)),VLOOKUP(A8840,Studies!A:BR,6,FALSE),"")</f>
        <v>Plasma</v>
      </c>
      <c r="G8840" s="194">
        <v>21</v>
      </c>
      <c r="H8840" s="194" t="s">
        <v>60</v>
      </c>
      <c r="I8840" s="187">
        <v>6.7932490000000003</v>
      </c>
      <c r="J8840" s="41" t="s">
        <v>941</v>
      </c>
      <c r="K8840" s="41" t="s">
        <v>116</v>
      </c>
      <c r="L8840" s="195">
        <v>1.5752459999999999</v>
      </c>
      <c r="M8840" s="52" t="s">
        <v>941</v>
      </c>
      <c r="N8840" s="52" t="s">
        <v>117</v>
      </c>
      <c r="O8840" s="199"/>
    </row>
    <row r="8841" spans="1:15" x14ac:dyDescent="0.2">
      <c r="A8841" s="30">
        <v>2045</v>
      </c>
      <c r="B8841" s="249" t="str">
        <f>IF(AND(A8841&lt;&gt;"",ISNUMBER(A8841)),VLOOKUP(A8841,Studies!A:BR,2,FALSE),"")</f>
        <v>Mikus 2017</v>
      </c>
      <c r="C8841" s="250" t="str">
        <f>IF(AND(A8841&lt;&gt;"",ISNUMBER(A8841)),VLOOKUP(A8841,Studies!A:BR,3,FALSE),"")</f>
        <v>https://www.ncbi.nlm.nih.gov/pubmed/28194792</v>
      </c>
      <c r="D8841" s="250" t="str">
        <f>IF(AND(A8841&lt;&gt;"",ISNUMBER(A8841)),VLOOKUP(A8841,Studies!A:BR,4,FALSE),"")</f>
        <v>Efavirenz + Midazolam IV day 1</v>
      </c>
      <c r="E8841" s="250" t="str">
        <f>IF(AND(A8841&lt;&gt;"",ISNUMBER(A8841)),VLOOKUP(A8841,Studies!A:BR,5,FALSE),"")</f>
        <v>Midazolam</v>
      </c>
      <c r="F8841" s="251" t="str">
        <f>IF(AND(A8841&lt;&gt;"",ISNUMBER(A8841)),VLOOKUP(A8841,Studies!A:BR,6,FALSE),"")</f>
        <v>Plasma</v>
      </c>
      <c r="G8841" s="194">
        <v>22</v>
      </c>
      <c r="H8841" s="194" t="s">
        <v>60</v>
      </c>
      <c r="I8841" s="187">
        <v>4.3319270000000003</v>
      </c>
      <c r="J8841" s="41" t="s">
        <v>941</v>
      </c>
      <c r="K8841" s="41" t="s">
        <v>116</v>
      </c>
      <c r="L8841" s="195">
        <v>0.98452879999999998</v>
      </c>
      <c r="M8841" s="52" t="s">
        <v>941</v>
      </c>
      <c r="N8841" s="52" t="s">
        <v>117</v>
      </c>
      <c r="O8841" s="199"/>
    </row>
    <row r="8842" spans="1:15" x14ac:dyDescent="0.2">
      <c r="A8842" s="30">
        <v>2045</v>
      </c>
      <c r="B8842" s="249" t="str">
        <f>IF(AND(A8842&lt;&gt;"",ISNUMBER(A8842)),VLOOKUP(A8842,Studies!A:BR,2,FALSE),"")</f>
        <v>Mikus 2017</v>
      </c>
      <c r="C8842" s="250" t="str">
        <f>IF(AND(A8842&lt;&gt;"",ISNUMBER(A8842)),VLOOKUP(A8842,Studies!A:BR,3,FALSE),"")</f>
        <v>https://www.ncbi.nlm.nih.gov/pubmed/28194792</v>
      </c>
      <c r="D8842" s="250" t="str">
        <f>IF(AND(A8842&lt;&gt;"",ISNUMBER(A8842)),VLOOKUP(A8842,Studies!A:BR,4,FALSE),"")</f>
        <v>Efavirenz + Midazolam IV day 1</v>
      </c>
      <c r="E8842" s="250" t="str">
        <f>IF(AND(A8842&lt;&gt;"",ISNUMBER(A8842)),VLOOKUP(A8842,Studies!A:BR,5,FALSE),"")</f>
        <v>Midazolam</v>
      </c>
      <c r="F8842" s="251" t="str">
        <f>IF(AND(A8842&lt;&gt;"",ISNUMBER(A8842)),VLOOKUP(A8842,Studies!A:BR,6,FALSE),"")</f>
        <v>Plasma</v>
      </c>
      <c r="G8842" s="194">
        <v>24</v>
      </c>
      <c r="H8842" s="194" t="s">
        <v>60</v>
      </c>
      <c r="I8842" s="187">
        <v>2.6582279999999998</v>
      </c>
      <c r="J8842" s="41" t="s">
        <v>941</v>
      </c>
      <c r="K8842" s="41" t="s">
        <v>116</v>
      </c>
      <c r="L8842" s="195">
        <v>0.68917019999999996</v>
      </c>
      <c r="M8842" s="52" t="s">
        <v>941</v>
      </c>
      <c r="N8842" s="52" t="s">
        <v>117</v>
      </c>
      <c r="O8842" s="199"/>
    </row>
    <row r="8843" spans="1:15" x14ac:dyDescent="0.2">
      <c r="A8843" s="30">
        <v>2045</v>
      </c>
      <c r="B8843" s="249" t="str">
        <f>IF(AND(A8843&lt;&gt;"",ISNUMBER(A8843)),VLOOKUP(A8843,Studies!A:BR,2,FALSE),"")</f>
        <v>Mikus 2017</v>
      </c>
      <c r="C8843" s="250" t="str">
        <f>IF(AND(A8843&lt;&gt;"",ISNUMBER(A8843)),VLOOKUP(A8843,Studies!A:BR,3,FALSE),"")</f>
        <v>https://www.ncbi.nlm.nih.gov/pubmed/28194792</v>
      </c>
      <c r="D8843" s="250" t="str">
        <f>IF(AND(A8843&lt;&gt;"",ISNUMBER(A8843)),VLOOKUP(A8843,Studies!A:BR,4,FALSE),"")</f>
        <v>Efavirenz + Midazolam IV day 1</v>
      </c>
      <c r="E8843" s="250" t="str">
        <f>IF(AND(A8843&lt;&gt;"",ISNUMBER(A8843)),VLOOKUP(A8843,Studies!A:BR,5,FALSE),"")</f>
        <v>Midazolam</v>
      </c>
      <c r="F8843" s="251" t="str">
        <f>IF(AND(A8843&lt;&gt;"",ISNUMBER(A8843)),VLOOKUP(A8843,Studies!A:BR,6,FALSE),"")</f>
        <v>Plasma</v>
      </c>
      <c r="G8843" s="194">
        <v>26</v>
      </c>
      <c r="H8843" s="194" t="s">
        <v>60</v>
      </c>
      <c r="I8843" s="187">
        <v>1.8706050000000001</v>
      </c>
      <c r="J8843" s="41" t="s">
        <v>941</v>
      </c>
      <c r="K8843" s="41" t="s">
        <v>116</v>
      </c>
      <c r="L8843" s="195">
        <v>2.3799999999999999E-7</v>
      </c>
      <c r="M8843" s="52" t="s">
        <v>941</v>
      </c>
      <c r="N8843" s="52" t="s">
        <v>117</v>
      </c>
      <c r="O8843" s="199"/>
    </row>
    <row r="8844" spans="1:15" x14ac:dyDescent="0.2">
      <c r="A8844" s="30">
        <v>2046</v>
      </c>
      <c r="B8844" s="249" t="str">
        <f>IF(AND(A8844&lt;&gt;"",ISNUMBER(A8844)),VLOOKUP(A8844,Studies!A:BR,2,FALSE),"")</f>
        <v>Mikus 2017</v>
      </c>
      <c r="C8844" s="250" t="str">
        <f>IF(AND(A8844&lt;&gt;"",ISNUMBER(A8844)),VLOOKUP(A8844,Studies!A:BR,3,FALSE),"")</f>
        <v>https://www.ncbi.nlm.nih.gov/pubmed/28194792</v>
      </c>
      <c r="D8844" s="250" t="str">
        <f>IF(AND(A8844&lt;&gt;"",ISNUMBER(A8844)),VLOOKUP(A8844,Studies!A:BR,4,FALSE),"")</f>
        <v>Midazolam + Efavirenz</v>
      </c>
      <c r="E8844" s="250" t="str">
        <f>IF(AND(A8844&lt;&gt;"",ISNUMBER(A8844)),VLOOKUP(A8844,Studies!A:BR,5,FALSE),"")</f>
        <v>Efavirenz</v>
      </c>
      <c r="F8844" s="251" t="str">
        <f>IF(AND(A8844&lt;&gt;"",ISNUMBER(A8844)),VLOOKUP(A8844,Studies!A:BR,6,FALSE),"")</f>
        <v>Plasma</v>
      </c>
      <c r="G8844" s="194">
        <v>0.5</v>
      </c>
      <c r="H8844" s="194" t="s">
        <v>2811</v>
      </c>
      <c r="I8844" s="187">
        <v>1157.8720000000001</v>
      </c>
      <c r="J8844" s="41" t="s">
        <v>941</v>
      </c>
      <c r="K8844" s="41" t="s">
        <v>116</v>
      </c>
      <c r="L8844" s="195">
        <v>356.98399999999998</v>
      </c>
      <c r="M8844" s="52" t="s">
        <v>941</v>
      </c>
      <c r="N8844" s="52" t="s">
        <v>117</v>
      </c>
      <c r="O8844" s="199"/>
    </row>
    <row r="8845" spans="1:15" x14ac:dyDescent="0.2">
      <c r="A8845" s="30">
        <v>2046</v>
      </c>
      <c r="B8845" s="249" t="str">
        <f>IF(AND(A8845&lt;&gt;"",ISNUMBER(A8845)),VLOOKUP(A8845,Studies!A:BR,2,FALSE),"")</f>
        <v>Mikus 2017</v>
      </c>
      <c r="C8845" s="250" t="str">
        <f>IF(AND(A8845&lt;&gt;"",ISNUMBER(A8845)),VLOOKUP(A8845,Studies!A:BR,3,FALSE),"")</f>
        <v>https://www.ncbi.nlm.nih.gov/pubmed/28194792</v>
      </c>
      <c r="D8845" s="250" t="str">
        <f>IF(AND(A8845&lt;&gt;"",ISNUMBER(A8845)),VLOOKUP(A8845,Studies!A:BR,4,FALSE),"")</f>
        <v>Midazolam + Efavirenz</v>
      </c>
      <c r="E8845" s="250" t="str">
        <f>IF(AND(A8845&lt;&gt;"",ISNUMBER(A8845)),VLOOKUP(A8845,Studies!A:BR,5,FALSE),"")</f>
        <v>Efavirenz</v>
      </c>
      <c r="F8845" s="251" t="str">
        <f>IF(AND(A8845&lt;&gt;"",ISNUMBER(A8845)),VLOOKUP(A8845,Studies!A:BR,6,FALSE),"")</f>
        <v>Plasma</v>
      </c>
      <c r="G8845" s="194">
        <v>0.75</v>
      </c>
      <c r="H8845" s="194" t="s">
        <v>2811</v>
      </c>
      <c r="I8845" s="187">
        <v>832.577</v>
      </c>
      <c r="J8845" s="41" t="s">
        <v>941</v>
      </c>
      <c r="K8845" s="41" t="s">
        <v>116</v>
      </c>
      <c r="L8845" s="195">
        <v>256.69229999999999</v>
      </c>
      <c r="M8845" s="52" t="s">
        <v>941</v>
      </c>
      <c r="N8845" s="52" t="s">
        <v>117</v>
      </c>
      <c r="O8845" s="199"/>
    </row>
    <row r="8846" spans="1:15" x14ac:dyDescent="0.2">
      <c r="A8846" s="30">
        <v>2046</v>
      </c>
      <c r="B8846" s="249" t="str">
        <f>IF(AND(A8846&lt;&gt;"",ISNUMBER(A8846)),VLOOKUP(A8846,Studies!A:BR,2,FALSE),"")</f>
        <v>Mikus 2017</v>
      </c>
      <c r="C8846" s="250" t="str">
        <f>IF(AND(A8846&lt;&gt;"",ISNUMBER(A8846)),VLOOKUP(A8846,Studies!A:BR,3,FALSE),"")</f>
        <v>https://www.ncbi.nlm.nih.gov/pubmed/28194792</v>
      </c>
      <c r="D8846" s="250" t="str">
        <f>IF(AND(A8846&lt;&gt;"",ISNUMBER(A8846)),VLOOKUP(A8846,Studies!A:BR,4,FALSE),"")</f>
        <v>Midazolam + Efavirenz</v>
      </c>
      <c r="E8846" s="250" t="str">
        <f>IF(AND(A8846&lt;&gt;"",ISNUMBER(A8846)),VLOOKUP(A8846,Studies!A:BR,5,FALSE),"")</f>
        <v>Efavirenz</v>
      </c>
      <c r="F8846" s="251" t="str">
        <f>IF(AND(A8846&lt;&gt;"",ISNUMBER(A8846)),VLOOKUP(A8846,Studies!A:BR,6,FALSE),"")</f>
        <v>Plasma</v>
      </c>
      <c r="G8846" s="194">
        <v>1</v>
      </c>
      <c r="H8846" s="194" t="s">
        <v>2811</v>
      </c>
      <c r="I8846" s="187">
        <v>792.8741</v>
      </c>
      <c r="J8846" s="41" t="s">
        <v>941</v>
      </c>
      <c r="K8846" s="41" t="s">
        <v>116</v>
      </c>
      <c r="L8846" s="195">
        <v>257.20049999999998</v>
      </c>
      <c r="M8846" s="52" t="s">
        <v>941</v>
      </c>
      <c r="N8846" s="52" t="s">
        <v>117</v>
      </c>
      <c r="O8846" s="199"/>
    </row>
    <row r="8847" spans="1:15" x14ac:dyDescent="0.2">
      <c r="A8847" s="30">
        <v>2046</v>
      </c>
      <c r="B8847" s="249" t="str">
        <f>IF(AND(A8847&lt;&gt;"",ISNUMBER(A8847)),VLOOKUP(A8847,Studies!A:BR,2,FALSE),"")</f>
        <v>Mikus 2017</v>
      </c>
      <c r="C8847" s="250" t="str">
        <f>IF(AND(A8847&lt;&gt;"",ISNUMBER(A8847)),VLOOKUP(A8847,Studies!A:BR,3,FALSE),"")</f>
        <v>https://www.ncbi.nlm.nih.gov/pubmed/28194792</v>
      </c>
      <c r="D8847" s="250" t="str">
        <f>IF(AND(A8847&lt;&gt;"",ISNUMBER(A8847)),VLOOKUP(A8847,Studies!A:BR,4,FALSE),"")</f>
        <v>Midazolam + Efavirenz</v>
      </c>
      <c r="E8847" s="250" t="str">
        <f>IF(AND(A8847&lt;&gt;"",ISNUMBER(A8847)),VLOOKUP(A8847,Studies!A:BR,5,FALSE),"")</f>
        <v>Efavirenz</v>
      </c>
      <c r="F8847" s="251" t="str">
        <f>IF(AND(A8847&lt;&gt;"",ISNUMBER(A8847)),VLOOKUP(A8847,Studies!A:BR,6,FALSE),"")</f>
        <v>Plasma</v>
      </c>
      <c r="G8847" s="194">
        <v>5.5</v>
      </c>
      <c r="H8847" s="194" t="s">
        <v>2811</v>
      </c>
      <c r="I8847" s="187">
        <v>371.78489999999999</v>
      </c>
      <c r="J8847" s="41" t="s">
        <v>941</v>
      </c>
      <c r="K8847" s="41" t="s">
        <v>116</v>
      </c>
      <c r="L8847" s="195">
        <v>126.6549</v>
      </c>
      <c r="M8847" s="52" t="s">
        <v>941</v>
      </c>
      <c r="N8847" s="52" t="s">
        <v>117</v>
      </c>
      <c r="O8847" s="199"/>
    </row>
    <row r="8848" spans="1:15" x14ac:dyDescent="0.2">
      <c r="A8848" s="30">
        <v>2046</v>
      </c>
      <c r="B8848" s="249" t="str">
        <f>IF(AND(A8848&lt;&gt;"",ISNUMBER(A8848)),VLOOKUP(A8848,Studies!A:BR,2,FALSE),"")</f>
        <v>Mikus 2017</v>
      </c>
      <c r="C8848" s="250" t="str">
        <f>IF(AND(A8848&lt;&gt;"",ISNUMBER(A8848)),VLOOKUP(A8848,Studies!A:BR,3,FALSE),"")</f>
        <v>https://www.ncbi.nlm.nih.gov/pubmed/28194792</v>
      </c>
      <c r="D8848" s="250" t="str">
        <f>IF(AND(A8848&lt;&gt;"",ISNUMBER(A8848)),VLOOKUP(A8848,Studies!A:BR,4,FALSE),"")</f>
        <v>Midazolam + Efavirenz</v>
      </c>
      <c r="E8848" s="250" t="str">
        <f>IF(AND(A8848&lt;&gt;"",ISNUMBER(A8848)),VLOOKUP(A8848,Studies!A:BR,5,FALSE),"")</f>
        <v>Efavirenz</v>
      </c>
      <c r="F8848" s="251" t="str">
        <f>IF(AND(A8848&lt;&gt;"",ISNUMBER(A8848)),VLOOKUP(A8848,Studies!A:BR,6,FALSE),"")</f>
        <v>Plasma</v>
      </c>
      <c r="G8848" s="194">
        <v>10.5</v>
      </c>
      <c r="H8848" s="194" t="s">
        <v>2811</v>
      </c>
      <c r="I8848" s="187">
        <v>141.64250000000001</v>
      </c>
      <c r="J8848" s="41" t="s">
        <v>941</v>
      </c>
      <c r="K8848" s="41" t="s">
        <v>116</v>
      </c>
      <c r="L8848" s="195">
        <v>70.320449999999994</v>
      </c>
      <c r="M8848" s="52" t="s">
        <v>941</v>
      </c>
      <c r="N8848" s="52" t="s">
        <v>117</v>
      </c>
      <c r="O8848" s="199"/>
    </row>
    <row r="8849" spans="1:17" x14ac:dyDescent="0.2">
      <c r="A8849" s="30">
        <v>2046</v>
      </c>
      <c r="B8849" s="249" t="str">
        <f>IF(AND(A8849&lt;&gt;"",ISNUMBER(A8849)),VLOOKUP(A8849,Studies!A:BR,2,FALSE),"")</f>
        <v>Mikus 2017</v>
      </c>
      <c r="C8849" s="250" t="str">
        <f>IF(AND(A8849&lt;&gt;"",ISNUMBER(A8849)),VLOOKUP(A8849,Studies!A:BR,3,FALSE),"")</f>
        <v>https://www.ncbi.nlm.nih.gov/pubmed/28194792</v>
      </c>
      <c r="D8849" s="250" t="str">
        <f>IF(AND(A8849&lt;&gt;"",ISNUMBER(A8849)),VLOOKUP(A8849,Studies!A:BR,4,FALSE),"")</f>
        <v>Midazolam + Efavirenz</v>
      </c>
      <c r="E8849" s="250" t="str">
        <f>IF(AND(A8849&lt;&gt;"",ISNUMBER(A8849)),VLOOKUP(A8849,Studies!A:BR,5,FALSE),"")</f>
        <v>Efavirenz</v>
      </c>
      <c r="F8849" s="251" t="str">
        <f>IF(AND(A8849&lt;&gt;"",ISNUMBER(A8849)),VLOOKUP(A8849,Studies!A:BR,6,FALSE),"")</f>
        <v>Plasma</v>
      </c>
      <c r="G8849" s="194">
        <v>15.5</v>
      </c>
      <c r="H8849" s="194" t="s">
        <v>2811</v>
      </c>
      <c r="I8849" s="187">
        <v>70.600269999999995</v>
      </c>
      <c r="J8849" s="41" t="s">
        <v>941</v>
      </c>
      <c r="K8849" s="41" t="s">
        <v>116</v>
      </c>
      <c r="L8849" s="195">
        <v>43.08466</v>
      </c>
      <c r="M8849" s="52" t="s">
        <v>941</v>
      </c>
      <c r="N8849" s="52" t="s">
        <v>117</v>
      </c>
      <c r="O8849" s="199"/>
    </row>
    <row r="8850" spans="1:17" x14ac:dyDescent="0.2">
      <c r="A8850" s="30">
        <v>2046</v>
      </c>
      <c r="B8850" s="249" t="str">
        <f>IF(AND(A8850&lt;&gt;"",ISNUMBER(A8850)),VLOOKUP(A8850,Studies!A:BR,2,FALSE),"")</f>
        <v>Mikus 2017</v>
      </c>
      <c r="C8850" s="250" t="str">
        <f>IF(AND(A8850&lt;&gt;"",ISNUMBER(A8850)),VLOOKUP(A8850,Studies!A:BR,3,FALSE),"")</f>
        <v>https://www.ncbi.nlm.nih.gov/pubmed/28194792</v>
      </c>
      <c r="D8850" s="250" t="str">
        <f>IF(AND(A8850&lt;&gt;"",ISNUMBER(A8850)),VLOOKUP(A8850,Studies!A:BR,4,FALSE),"")</f>
        <v>Midazolam + Efavirenz</v>
      </c>
      <c r="E8850" s="250" t="str">
        <f>IF(AND(A8850&lt;&gt;"",ISNUMBER(A8850)),VLOOKUP(A8850,Studies!A:BR,5,FALSE),"")</f>
        <v>Efavirenz</v>
      </c>
      <c r="F8850" s="251" t="str">
        <f>IF(AND(A8850&lt;&gt;"",ISNUMBER(A8850)),VLOOKUP(A8850,Studies!A:BR,6,FALSE),"")</f>
        <v>Plasma</v>
      </c>
      <c r="G8850" s="194">
        <v>21.5</v>
      </c>
      <c r="H8850" s="194" t="s">
        <v>2811</v>
      </c>
      <c r="I8850" s="187">
        <v>40.745489999999997</v>
      </c>
      <c r="J8850" s="41" t="s">
        <v>941</v>
      </c>
      <c r="K8850" s="41" t="s">
        <v>116</v>
      </c>
      <c r="L8850" s="195">
        <v>18.757090000000002</v>
      </c>
      <c r="M8850" s="52" t="s">
        <v>941</v>
      </c>
      <c r="N8850" s="52" t="s">
        <v>117</v>
      </c>
      <c r="O8850" s="199"/>
    </row>
    <row r="8851" spans="1:17" ht="14.25" x14ac:dyDescent="0.2">
      <c r="A8851" s="241">
        <v>5197</v>
      </c>
      <c r="B8851" s="249" t="str">
        <f>IF(AND(A8851&lt;&gt;"",ISNUMBER(A8851)),VLOOKUP(A8851,Studies!A:BR,2,FALSE),"")</f>
        <v>Abdel-Rahman 2007</v>
      </c>
      <c r="C8851" s="250" t="str">
        <f>IF(AND(A8851&lt;&gt;"",ISNUMBER(A8851)),VLOOKUP(A8851,Studies!A:BR,3,FALSE),"")</f>
        <v>https://www.ncbi.nlm.nih.gov/pubmed/17517842</v>
      </c>
      <c r="D8851" s="250" t="str">
        <f>IF(AND(A8851&lt;&gt;"",ISNUMBER(A8851)),VLOOKUP(A8851,Studies!A:BR,4,FALSE),"")</f>
        <v>6m-2y</v>
      </c>
      <c r="E8851" s="250" t="str">
        <f>IF(AND(A8851&lt;&gt;"",ISNUMBER(A8851)),VLOOKUP(A8851,Studies!A:BR,5,FALSE),"")</f>
        <v>Itraconazole</v>
      </c>
      <c r="F8851" s="251" t="str">
        <f>IF(AND(A8851&lt;&gt;"",ISNUMBER(A8851)),VLOOKUP(A8851,Studies!A:BR,6,FALSE),"")</f>
        <v>Plasma</v>
      </c>
      <c r="G8851" s="238">
        <v>1</v>
      </c>
      <c r="H8851" s="238" t="s">
        <v>60</v>
      </c>
      <c r="I8851" s="239">
        <v>1166.568</v>
      </c>
      <c r="J8851" s="239" t="s">
        <v>941</v>
      </c>
      <c r="K8851" s="239" t="s">
        <v>116</v>
      </c>
      <c r="L8851" s="145"/>
      <c r="M8851" s="145"/>
      <c r="N8851" s="145"/>
      <c r="O8851" s="240"/>
      <c r="P8851" s="175"/>
      <c r="Q8851" s="174"/>
    </row>
    <row r="8852" spans="1:17" ht="14.25" x14ac:dyDescent="0.2">
      <c r="A8852" s="241">
        <v>5197</v>
      </c>
      <c r="B8852" s="249" t="str">
        <f>IF(AND(A8852&lt;&gt;"",ISNUMBER(A8852)),VLOOKUP(A8852,Studies!A:BR,2,FALSE),"")</f>
        <v>Abdel-Rahman 2007</v>
      </c>
      <c r="C8852" s="250" t="str">
        <f>IF(AND(A8852&lt;&gt;"",ISNUMBER(A8852)),VLOOKUP(A8852,Studies!A:BR,3,FALSE),"")</f>
        <v>https://www.ncbi.nlm.nih.gov/pubmed/17517842</v>
      </c>
      <c r="D8852" s="250" t="str">
        <f>IF(AND(A8852&lt;&gt;"",ISNUMBER(A8852)),VLOOKUP(A8852,Studies!A:BR,4,FALSE),"")</f>
        <v>6m-2y</v>
      </c>
      <c r="E8852" s="250" t="str">
        <f>IF(AND(A8852&lt;&gt;"",ISNUMBER(A8852)),VLOOKUP(A8852,Studies!A:BR,5,FALSE),"")</f>
        <v>Itraconazole</v>
      </c>
      <c r="F8852" s="251" t="str">
        <f>IF(AND(A8852&lt;&gt;"",ISNUMBER(A8852)),VLOOKUP(A8852,Studies!A:BR,6,FALSE),"")</f>
        <v>Plasma</v>
      </c>
      <c r="G8852" s="238">
        <v>2</v>
      </c>
      <c r="H8852" s="238" t="s">
        <v>60</v>
      </c>
      <c r="I8852" s="239">
        <v>217.4341</v>
      </c>
      <c r="J8852" s="239" t="s">
        <v>941</v>
      </c>
      <c r="K8852" s="239" t="s">
        <v>116</v>
      </c>
      <c r="L8852" s="145"/>
      <c r="M8852" s="145"/>
      <c r="N8852" s="145"/>
      <c r="O8852" s="240"/>
      <c r="P8852" s="175"/>
      <c r="Q8852" s="174"/>
    </row>
    <row r="8853" spans="1:17" ht="14.25" x14ac:dyDescent="0.2">
      <c r="A8853" s="241">
        <v>5197</v>
      </c>
      <c r="B8853" s="249" t="str">
        <f>IF(AND(A8853&lt;&gt;"",ISNUMBER(A8853)),VLOOKUP(A8853,Studies!A:BR,2,FALSE),"")</f>
        <v>Abdel-Rahman 2007</v>
      </c>
      <c r="C8853" s="250" t="str">
        <f>IF(AND(A8853&lt;&gt;"",ISNUMBER(A8853)),VLOOKUP(A8853,Studies!A:BR,3,FALSE),"")</f>
        <v>https://www.ncbi.nlm.nih.gov/pubmed/17517842</v>
      </c>
      <c r="D8853" s="250" t="str">
        <f>IF(AND(A8853&lt;&gt;"",ISNUMBER(A8853)),VLOOKUP(A8853,Studies!A:BR,4,FALSE),"")</f>
        <v>6m-2y</v>
      </c>
      <c r="E8853" s="250" t="str">
        <f>IF(AND(A8853&lt;&gt;"",ISNUMBER(A8853)),VLOOKUP(A8853,Studies!A:BR,5,FALSE),"")</f>
        <v>Itraconazole</v>
      </c>
      <c r="F8853" s="251" t="str">
        <f>IF(AND(A8853&lt;&gt;"",ISNUMBER(A8853)),VLOOKUP(A8853,Studies!A:BR,6,FALSE),"")</f>
        <v>Plasma</v>
      </c>
      <c r="G8853" s="238">
        <v>5</v>
      </c>
      <c r="H8853" s="238" t="s">
        <v>60</v>
      </c>
      <c r="I8853" s="239">
        <v>62.850349999999999</v>
      </c>
      <c r="J8853" s="239" t="s">
        <v>941</v>
      </c>
      <c r="K8853" s="239" t="s">
        <v>116</v>
      </c>
      <c r="L8853" s="145"/>
      <c r="M8853" s="145"/>
      <c r="N8853" s="145"/>
      <c r="O8853" s="240"/>
      <c r="P8853" s="175"/>
      <c r="Q8853" s="174"/>
    </row>
    <row r="8854" spans="1:17" ht="14.25" x14ac:dyDescent="0.2">
      <c r="A8854" s="241">
        <v>5197</v>
      </c>
      <c r="B8854" s="249" t="str">
        <f>IF(AND(A8854&lt;&gt;"",ISNUMBER(A8854)),VLOOKUP(A8854,Studies!A:BR,2,FALSE),"")</f>
        <v>Abdel-Rahman 2007</v>
      </c>
      <c r="C8854" s="250" t="str">
        <f>IF(AND(A8854&lt;&gt;"",ISNUMBER(A8854)),VLOOKUP(A8854,Studies!A:BR,3,FALSE),"")</f>
        <v>https://www.ncbi.nlm.nih.gov/pubmed/17517842</v>
      </c>
      <c r="D8854" s="250" t="str">
        <f>IF(AND(A8854&lt;&gt;"",ISNUMBER(A8854)),VLOOKUP(A8854,Studies!A:BR,4,FALSE),"")</f>
        <v>6m-2y</v>
      </c>
      <c r="E8854" s="250" t="str">
        <f>IF(AND(A8854&lt;&gt;"",ISNUMBER(A8854)),VLOOKUP(A8854,Studies!A:BR,5,FALSE),"")</f>
        <v>Itraconazole</v>
      </c>
      <c r="F8854" s="251" t="str">
        <f>IF(AND(A8854&lt;&gt;"",ISNUMBER(A8854)),VLOOKUP(A8854,Studies!A:BR,6,FALSE),"")</f>
        <v>Plasma</v>
      </c>
      <c r="G8854" s="238">
        <v>8</v>
      </c>
      <c r="H8854" s="238" t="s">
        <v>60</v>
      </c>
      <c r="I8854" s="239">
        <v>55.444850000000002</v>
      </c>
      <c r="J8854" s="239" t="s">
        <v>941</v>
      </c>
      <c r="K8854" s="239" t="s">
        <v>116</v>
      </c>
      <c r="L8854" s="145"/>
      <c r="M8854" s="145"/>
      <c r="N8854" s="145"/>
      <c r="O8854" s="240"/>
      <c r="P8854" s="175"/>
      <c r="Q8854" s="174"/>
    </row>
    <row r="8855" spans="1:17" ht="14.25" x14ac:dyDescent="0.2">
      <c r="A8855" s="241">
        <v>5197</v>
      </c>
      <c r="B8855" s="249" t="str">
        <f>IF(AND(A8855&lt;&gt;"",ISNUMBER(A8855)),VLOOKUP(A8855,Studies!A:BR,2,FALSE),"")</f>
        <v>Abdel-Rahman 2007</v>
      </c>
      <c r="C8855" s="250" t="str">
        <f>IF(AND(A8855&lt;&gt;"",ISNUMBER(A8855)),VLOOKUP(A8855,Studies!A:BR,3,FALSE),"")</f>
        <v>https://www.ncbi.nlm.nih.gov/pubmed/17517842</v>
      </c>
      <c r="D8855" s="250" t="str">
        <f>IF(AND(A8855&lt;&gt;"",ISNUMBER(A8855)),VLOOKUP(A8855,Studies!A:BR,4,FALSE),"")</f>
        <v>6m-2y</v>
      </c>
      <c r="E8855" s="250" t="str">
        <f>IF(AND(A8855&lt;&gt;"",ISNUMBER(A8855)),VLOOKUP(A8855,Studies!A:BR,5,FALSE),"")</f>
        <v>Itraconazole</v>
      </c>
      <c r="F8855" s="251" t="str">
        <f>IF(AND(A8855&lt;&gt;"",ISNUMBER(A8855)),VLOOKUP(A8855,Studies!A:BR,6,FALSE),"")</f>
        <v>Plasma</v>
      </c>
      <c r="G8855" s="238">
        <v>12</v>
      </c>
      <c r="H8855" s="238" t="s">
        <v>60</v>
      </c>
      <c r="I8855" s="239">
        <v>73.053899999999999</v>
      </c>
      <c r="J8855" s="239" t="s">
        <v>941</v>
      </c>
      <c r="K8855" s="239" t="s">
        <v>116</v>
      </c>
      <c r="L8855" s="145"/>
      <c r="M8855" s="145"/>
      <c r="N8855" s="145"/>
      <c r="O8855" s="240"/>
      <c r="P8855" s="175"/>
      <c r="Q8855" s="174"/>
    </row>
    <row r="8856" spans="1:17" ht="14.25" x14ac:dyDescent="0.2">
      <c r="A8856" s="241">
        <v>5197</v>
      </c>
      <c r="B8856" s="249" t="str">
        <f>IF(AND(A8856&lt;&gt;"",ISNUMBER(A8856)),VLOOKUP(A8856,Studies!A:BR,2,FALSE),"")</f>
        <v>Abdel-Rahman 2007</v>
      </c>
      <c r="C8856" s="250" t="str">
        <f>IF(AND(A8856&lt;&gt;"",ISNUMBER(A8856)),VLOOKUP(A8856,Studies!A:BR,3,FALSE),"")</f>
        <v>https://www.ncbi.nlm.nih.gov/pubmed/17517842</v>
      </c>
      <c r="D8856" s="250" t="str">
        <f>IF(AND(A8856&lt;&gt;"",ISNUMBER(A8856)),VLOOKUP(A8856,Studies!A:BR,4,FALSE),"")</f>
        <v>6m-2y</v>
      </c>
      <c r="E8856" s="250" t="str">
        <f>IF(AND(A8856&lt;&gt;"",ISNUMBER(A8856)),VLOOKUP(A8856,Studies!A:BR,5,FALSE),"")</f>
        <v>Itraconazole</v>
      </c>
      <c r="F8856" s="251" t="str">
        <f>IF(AND(A8856&lt;&gt;"",ISNUMBER(A8856)),VLOOKUP(A8856,Studies!A:BR,6,FALSE),"")</f>
        <v>Plasma</v>
      </c>
      <c r="G8856" s="238">
        <v>24</v>
      </c>
      <c r="H8856" s="238" t="s">
        <v>60</v>
      </c>
      <c r="I8856" s="239">
        <v>13.788130000000001</v>
      </c>
      <c r="J8856" s="239" t="s">
        <v>941</v>
      </c>
      <c r="K8856" s="239" t="s">
        <v>116</v>
      </c>
      <c r="L8856" s="145"/>
      <c r="M8856" s="145"/>
      <c r="N8856" s="145"/>
      <c r="O8856" s="240"/>
      <c r="P8856" s="175"/>
      <c r="Q8856" s="174"/>
    </row>
    <row r="8857" spans="1:17" ht="14.25" x14ac:dyDescent="0.2">
      <c r="A8857" s="241">
        <v>5197</v>
      </c>
      <c r="B8857" s="249" t="str">
        <f>IF(AND(A8857&lt;&gt;"",ISNUMBER(A8857)),VLOOKUP(A8857,Studies!A:BR,2,FALSE),"")</f>
        <v>Abdel-Rahman 2007</v>
      </c>
      <c r="C8857" s="250" t="str">
        <f>IF(AND(A8857&lt;&gt;"",ISNUMBER(A8857)),VLOOKUP(A8857,Studies!A:BR,3,FALSE),"")</f>
        <v>https://www.ncbi.nlm.nih.gov/pubmed/17517842</v>
      </c>
      <c r="D8857" s="250" t="str">
        <f>IF(AND(A8857&lt;&gt;"",ISNUMBER(A8857)),VLOOKUP(A8857,Studies!A:BR,4,FALSE),"")</f>
        <v>6m-2y</v>
      </c>
      <c r="E8857" s="250" t="str">
        <f>IF(AND(A8857&lt;&gt;"",ISNUMBER(A8857)),VLOOKUP(A8857,Studies!A:BR,5,FALSE),"")</f>
        <v>Itraconazole</v>
      </c>
      <c r="F8857" s="251" t="str">
        <f>IF(AND(A8857&lt;&gt;"",ISNUMBER(A8857)),VLOOKUP(A8857,Studies!A:BR,6,FALSE),"")</f>
        <v>Plasma</v>
      </c>
      <c r="G8857" s="238">
        <v>48</v>
      </c>
      <c r="H8857" s="238" t="s">
        <v>60</v>
      </c>
      <c r="I8857" s="239">
        <v>6.747776</v>
      </c>
      <c r="J8857" s="239" t="s">
        <v>941</v>
      </c>
      <c r="K8857" s="239" t="s">
        <v>116</v>
      </c>
      <c r="L8857" s="145"/>
      <c r="M8857" s="145"/>
      <c r="N8857" s="145"/>
      <c r="O8857" s="240"/>
      <c r="P8857" s="175"/>
      <c r="Q8857" s="174"/>
    </row>
    <row r="8858" spans="1:17" ht="14.25" x14ac:dyDescent="0.2">
      <c r="A8858" s="241">
        <v>5198</v>
      </c>
      <c r="B8858" s="249" t="str">
        <f>IF(AND(A8858&lt;&gt;"",ISNUMBER(A8858)),VLOOKUP(A8858,Studies!A:BR,2,FALSE),"")</f>
        <v>Abdel-Rahman 2007</v>
      </c>
      <c r="C8858" s="250" t="str">
        <f>IF(AND(A8858&lt;&gt;"",ISNUMBER(A8858)),VLOOKUP(A8858,Studies!A:BR,3,FALSE),"")</f>
        <v>https://www.ncbi.nlm.nih.gov/pubmed/17517842</v>
      </c>
      <c r="D8858" s="250" t="str">
        <f>IF(AND(A8858&lt;&gt;"",ISNUMBER(A8858)),VLOOKUP(A8858,Studies!A:BR,4,FALSE),"")</f>
        <v>2-6y</v>
      </c>
      <c r="E8858" s="250" t="str">
        <f>IF(AND(A8858&lt;&gt;"",ISNUMBER(A8858)),VLOOKUP(A8858,Studies!A:BR,5,FALSE),"")</f>
        <v>Itraconazole</v>
      </c>
      <c r="F8858" s="251" t="str">
        <f>IF(AND(A8858&lt;&gt;"",ISNUMBER(A8858)),VLOOKUP(A8858,Studies!A:BR,6,FALSE),"")</f>
        <v>Plasma</v>
      </c>
      <c r="G8858" s="238">
        <v>1</v>
      </c>
      <c r="H8858" s="238" t="s">
        <v>60</v>
      </c>
      <c r="I8858" s="239">
        <v>1257.703</v>
      </c>
      <c r="J8858" s="239" t="s">
        <v>941</v>
      </c>
      <c r="K8858" s="239" t="s">
        <v>116</v>
      </c>
      <c r="L8858" s="145"/>
      <c r="M8858" s="145"/>
      <c r="N8858" s="145"/>
      <c r="O8858" s="240"/>
      <c r="P8858" s="175"/>
      <c r="Q8858" s="174"/>
    </row>
    <row r="8859" spans="1:17" ht="14.25" x14ac:dyDescent="0.2">
      <c r="A8859" s="241">
        <v>5198</v>
      </c>
      <c r="B8859" s="249" t="str">
        <f>IF(AND(A8859&lt;&gt;"",ISNUMBER(A8859)),VLOOKUP(A8859,Studies!A:BR,2,FALSE),"")</f>
        <v>Abdel-Rahman 2007</v>
      </c>
      <c r="C8859" s="250" t="str">
        <f>IF(AND(A8859&lt;&gt;"",ISNUMBER(A8859)),VLOOKUP(A8859,Studies!A:BR,3,FALSE),"")</f>
        <v>https://www.ncbi.nlm.nih.gov/pubmed/17517842</v>
      </c>
      <c r="D8859" s="250" t="str">
        <f>IF(AND(A8859&lt;&gt;"",ISNUMBER(A8859)),VLOOKUP(A8859,Studies!A:BR,4,FALSE),"")</f>
        <v>2-6y</v>
      </c>
      <c r="E8859" s="250" t="str">
        <f>IF(AND(A8859&lt;&gt;"",ISNUMBER(A8859)),VLOOKUP(A8859,Studies!A:BR,5,FALSE),"")</f>
        <v>Itraconazole</v>
      </c>
      <c r="F8859" s="251" t="str">
        <f>IF(AND(A8859&lt;&gt;"",ISNUMBER(A8859)),VLOOKUP(A8859,Studies!A:BR,6,FALSE),"")</f>
        <v>Plasma</v>
      </c>
      <c r="G8859" s="238">
        <v>2</v>
      </c>
      <c r="H8859" s="238" t="s">
        <v>60</v>
      </c>
      <c r="I8859" s="239">
        <v>485.04829999999998</v>
      </c>
      <c r="J8859" s="239" t="s">
        <v>941</v>
      </c>
      <c r="K8859" s="239" t="s">
        <v>116</v>
      </c>
      <c r="L8859" s="145"/>
      <c r="M8859" s="145"/>
      <c r="N8859" s="145"/>
      <c r="O8859" s="240"/>
      <c r="P8859" s="175"/>
      <c r="Q8859" s="174"/>
    </row>
    <row r="8860" spans="1:17" ht="14.25" x14ac:dyDescent="0.2">
      <c r="A8860" s="241">
        <v>5198</v>
      </c>
      <c r="B8860" s="249" t="str">
        <f>IF(AND(A8860&lt;&gt;"",ISNUMBER(A8860)),VLOOKUP(A8860,Studies!A:BR,2,FALSE),"")</f>
        <v>Abdel-Rahman 2007</v>
      </c>
      <c r="C8860" s="250" t="str">
        <f>IF(AND(A8860&lt;&gt;"",ISNUMBER(A8860)),VLOOKUP(A8860,Studies!A:BR,3,FALSE),"")</f>
        <v>https://www.ncbi.nlm.nih.gov/pubmed/17517842</v>
      </c>
      <c r="D8860" s="250" t="str">
        <f>IF(AND(A8860&lt;&gt;"",ISNUMBER(A8860)),VLOOKUP(A8860,Studies!A:BR,4,FALSE),"")</f>
        <v>2-6y</v>
      </c>
      <c r="E8860" s="250" t="str">
        <f>IF(AND(A8860&lt;&gt;"",ISNUMBER(A8860)),VLOOKUP(A8860,Studies!A:BR,5,FALSE),"")</f>
        <v>Itraconazole</v>
      </c>
      <c r="F8860" s="251" t="str">
        <f>IF(AND(A8860&lt;&gt;"",ISNUMBER(A8860)),VLOOKUP(A8860,Studies!A:BR,6,FALSE),"")</f>
        <v>Plasma</v>
      </c>
      <c r="G8860" s="238">
        <v>5</v>
      </c>
      <c r="H8860" s="238" t="s">
        <v>60</v>
      </c>
      <c r="I8860" s="239">
        <v>196.68459999999999</v>
      </c>
      <c r="J8860" s="239" t="s">
        <v>941</v>
      </c>
      <c r="K8860" s="239" t="s">
        <v>116</v>
      </c>
      <c r="L8860" s="145"/>
      <c r="M8860" s="145"/>
      <c r="N8860" s="145"/>
      <c r="O8860" s="240"/>
      <c r="P8860" s="175"/>
      <c r="Q8860" s="174"/>
    </row>
    <row r="8861" spans="1:17" ht="14.25" x14ac:dyDescent="0.2">
      <c r="A8861" s="241">
        <v>5198</v>
      </c>
      <c r="B8861" s="249" t="str">
        <f>IF(AND(A8861&lt;&gt;"",ISNUMBER(A8861)),VLOOKUP(A8861,Studies!A:BR,2,FALSE),"")</f>
        <v>Abdel-Rahman 2007</v>
      </c>
      <c r="C8861" s="250" t="str">
        <f>IF(AND(A8861&lt;&gt;"",ISNUMBER(A8861)),VLOOKUP(A8861,Studies!A:BR,3,FALSE),"")</f>
        <v>https://www.ncbi.nlm.nih.gov/pubmed/17517842</v>
      </c>
      <c r="D8861" s="250" t="str">
        <f>IF(AND(A8861&lt;&gt;"",ISNUMBER(A8861)),VLOOKUP(A8861,Studies!A:BR,4,FALSE),"")</f>
        <v>2-6y</v>
      </c>
      <c r="E8861" s="250" t="str">
        <f>IF(AND(A8861&lt;&gt;"",ISNUMBER(A8861)),VLOOKUP(A8861,Studies!A:BR,5,FALSE),"")</f>
        <v>Itraconazole</v>
      </c>
      <c r="F8861" s="251" t="str">
        <f>IF(AND(A8861&lt;&gt;"",ISNUMBER(A8861)),VLOOKUP(A8861,Studies!A:BR,6,FALSE),"")</f>
        <v>Plasma</v>
      </c>
      <c r="G8861" s="238">
        <v>8</v>
      </c>
      <c r="H8861" s="238" t="s">
        <v>60</v>
      </c>
      <c r="I8861" s="239">
        <v>153.06559999999999</v>
      </c>
      <c r="J8861" s="239" t="s">
        <v>941</v>
      </c>
      <c r="K8861" s="239" t="s">
        <v>116</v>
      </c>
      <c r="L8861" s="145"/>
      <c r="M8861" s="145"/>
      <c r="N8861" s="145"/>
      <c r="O8861" s="240"/>
      <c r="P8861" s="175"/>
      <c r="Q8861" s="174"/>
    </row>
    <row r="8862" spans="1:17" ht="14.25" x14ac:dyDescent="0.2">
      <c r="A8862" s="241">
        <v>5198</v>
      </c>
      <c r="B8862" s="249" t="str">
        <f>IF(AND(A8862&lt;&gt;"",ISNUMBER(A8862)),VLOOKUP(A8862,Studies!A:BR,2,FALSE),"")</f>
        <v>Abdel-Rahman 2007</v>
      </c>
      <c r="C8862" s="250" t="str">
        <f>IF(AND(A8862&lt;&gt;"",ISNUMBER(A8862)),VLOOKUP(A8862,Studies!A:BR,3,FALSE),"")</f>
        <v>https://www.ncbi.nlm.nih.gov/pubmed/17517842</v>
      </c>
      <c r="D8862" s="250" t="str">
        <f>IF(AND(A8862&lt;&gt;"",ISNUMBER(A8862)),VLOOKUP(A8862,Studies!A:BR,4,FALSE),"")</f>
        <v>2-6y</v>
      </c>
      <c r="E8862" s="250" t="str">
        <f>IF(AND(A8862&lt;&gt;"",ISNUMBER(A8862)),VLOOKUP(A8862,Studies!A:BR,5,FALSE),"")</f>
        <v>Itraconazole</v>
      </c>
      <c r="F8862" s="251" t="str">
        <f>IF(AND(A8862&lt;&gt;"",ISNUMBER(A8862)),VLOOKUP(A8862,Studies!A:BR,6,FALSE),"")</f>
        <v>Plasma</v>
      </c>
      <c r="G8862" s="238">
        <v>12</v>
      </c>
      <c r="H8862" s="238" t="s">
        <v>60</v>
      </c>
      <c r="I8862" s="239">
        <v>90.407070000000004</v>
      </c>
      <c r="J8862" s="239" t="s">
        <v>941</v>
      </c>
      <c r="K8862" s="239" t="s">
        <v>116</v>
      </c>
      <c r="L8862" s="145"/>
      <c r="M8862" s="145"/>
      <c r="N8862" s="145"/>
      <c r="O8862" s="240"/>
      <c r="P8862" s="175"/>
      <c r="Q8862" s="174"/>
    </row>
    <row r="8863" spans="1:17" ht="14.25" x14ac:dyDescent="0.2">
      <c r="A8863" s="241">
        <v>5198</v>
      </c>
      <c r="B8863" s="249" t="str">
        <f>IF(AND(A8863&lt;&gt;"",ISNUMBER(A8863)),VLOOKUP(A8863,Studies!A:BR,2,FALSE),"")</f>
        <v>Abdel-Rahman 2007</v>
      </c>
      <c r="C8863" s="250" t="str">
        <f>IF(AND(A8863&lt;&gt;"",ISNUMBER(A8863)),VLOOKUP(A8863,Studies!A:BR,3,FALSE),"")</f>
        <v>https://www.ncbi.nlm.nih.gov/pubmed/17517842</v>
      </c>
      <c r="D8863" s="250" t="str">
        <f>IF(AND(A8863&lt;&gt;"",ISNUMBER(A8863)),VLOOKUP(A8863,Studies!A:BR,4,FALSE),"")</f>
        <v>2-6y</v>
      </c>
      <c r="E8863" s="250" t="str">
        <f>IF(AND(A8863&lt;&gt;"",ISNUMBER(A8863)),VLOOKUP(A8863,Studies!A:BR,5,FALSE),"")</f>
        <v>Itraconazole</v>
      </c>
      <c r="F8863" s="251" t="str">
        <f>IF(AND(A8863&lt;&gt;"",ISNUMBER(A8863)),VLOOKUP(A8863,Studies!A:BR,6,FALSE),"")</f>
        <v>Plasma</v>
      </c>
      <c r="G8863" s="238">
        <v>24</v>
      </c>
      <c r="H8863" s="238" t="s">
        <v>60</v>
      </c>
      <c r="I8863" s="239">
        <v>54.754089999999998</v>
      </c>
      <c r="J8863" s="239" t="s">
        <v>941</v>
      </c>
      <c r="K8863" s="239" t="s">
        <v>116</v>
      </c>
      <c r="L8863" s="145"/>
      <c r="M8863" s="145"/>
      <c r="N8863" s="145"/>
      <c r="O8863" s="240"/>
      <c r="P8863" s="175"/>
      <c r="Q8863" s="174"/>
    </row>
    <row r="8864" spans="1:17" ht="14.25" x14ac:dyDescent="0.2">
      <c r="A8864" s="241">
        <v>5198</v>
      </c>
      <c r="B8864" s="249" t="str">
        <f>IF(AND(A8864&lt;&gt;"",ISNUMBER(A8864)),VLOOKUP(A8864,Studies!A:BR,2,FALSE),"")</f>
        <v>Abdel-Rahman 2007</v>
      </c>
      <c r="C8864" s="250" t="str">
        <f>IF(AND(A8864&lt;&gt;"",ISNUMBER(A8864)),VLOOKUP(A8864,Studies!A:BR,3,FALSE),"")</f>
        <v>https://www.ncbi.nlm.nih.gov/pubmed/17517842</v>
      </c>
      <c r="D8864" s="250" t="str">
        <f>IF(AND(A8864&lt;&gt;"",ISNUMBER(A8864)),VLOOKUP(A8864,Studies!A:BR,4,FALSE),"")</f>
        <v>2-6y</v>
      </c>
      <c r="E8864" s="250" t="str">
        <f>IF(AND(A8864&lt;&gt;"",ISNUMBER(A8864)),VLOOKUP(A8864,Studies!A:BR,5,FALSE),"")</f>
        <v>Itraconazole</v>
      </c>
      <c r="F8864" s="251" t="str">
        <f>IF(AND(A8864&lt;&gt;"",ISNUMBER(A8864)),VLOOKUP(A8864,Studies!A:BR,6,FALSE),"")</f>
        <v>Plasma</v>
      </c>
      <c r="G8864" s="238">
        <v>48</v>
      </c>
      <c r="H8864" s="238" t="s">
        <v>60</v>
      </c>
      <c r="I8864" s="239">
        <v>37.590420000000002</v>
      </c>
      <c r="J8864" s="239" t="s">
        <v>941</v>
      </c>
      <c r="K8864" s="239" t="s">
        <v>116</v>
      </c>
      <c r="L8864" s="145"/>
      <c r="M8864" s="145"/>
      <c r="N8864" s="145"/>
      <c r="O8864" s="240"/>
      <c r="P8864" s="175"/>
      <c r="Q8864" s="174"/>
    </row>
    <row r="8865" spans="1:17" ht="14.25" x14ac:dyDescent="0.2">
      <c r="A8865" s="241">
        <v>5198</v>
      </c>
      <c r="B8865" s="249" t="str">
        <f>IF(AND(A8865&lt;&gt;"",ISNUMBER(A8865)),VLOOKUP(A8865,Studies!A:BR,2,FALSE),"")</f>
        <v>Abdel-Rahman 2007</v>
      </c>
      <c r="C8865" s="250" t="str">
        <f>IF(AND(A8865&lt;&gt;"",ISNUMBER(A8865)),VLOOKUP(A8865,Studies!A:BR,3,FALSE),"")</f>
        <v>https://www.ncbi.nlm.nih.gov/pubmed/17517842</v>
      </c>
      <c r="D8865" s="250" t="str">
        <f>IF(AND(A8865&lt;&gt;"",ISNUMBER(A8865)),VLOOKUP(A8865,Studies!A:BR,4,FALSE),"")</f>
        <v>2-6y</v>
      </c>
      <c r="E8865" s="250" t="str">
        <f>IF(AND(A8865&lt;&gt;"",ISNUMBER(A8865)),VLOOKUP(A8865,Studies!A:BR,5,FALSE),"")</f>
        <v>Itraconazole</v>
      </c>
      <c r="F8865" s="251" t="str">
        <f>IF(AND(A8865&lt;&gt;"",ISNUMBER(A8865)),VLOOKUP(A8865,Studies!A:BR,6,FALSE),"")</f>
        <v>Plasma</v>
      </c>
      <c r="G8865" s="238">
        <v>72</v>
      </c>
      <c r="H8865" s="238" t="s">
        <v>60</v>
      </c>
      <c r="I8865" s="239">
        <v>16.433520000000001</v>
      </c>
      <c r="J8865" s="239" t="s">
        <v>941</v>
      </c>
      <c r="K8865" s="239" t="s">
        <v>116</v>
      </c>
      <c r="L8865" s="145"/>
      <c r="M8865" s="145"/>
      <c r="N8865" s="145"/>
      <c r="O8865" s="240"/>
      <c r="P8865" s="175"/>
      <c r="Q8865" s="174"/>
    </row>
    <row r="8866" spans="1:17" ht="14.25" x14ac:dyDescent="0.2">
      <c r="A8866" s="241">
        <v>5199</v>
      </c>
      <c r="B8866" s="249" t="str">
        <f>IF(AND(A8866&lt;&gt;"",ISNUMBER(A8866)),VLOOKUP(A8866,Studies!A:BR,2,FALSE),"")</f>
        <v>Abdel-Rahman 2007</v>
      </c>
      <c r="C8866" s="250" t="str">
        <f>IF(AND(A8866&lt;&gt;"",ISNUMBER(A8866)),VLOOKUP(A8866,Studies!A:BR,3,FALSE),"")</f>
        <v>https://www.ncbi.nlm.nih.gov/pubmed/17517842</v>
      </c>
      <c r="D8866" s="250" t="str">
        <f>IF(AND(A8866&lt;&gt;"",ISNUMBER(A8866)),VLOOKUP(A8866,Studies!A:BR,4,FALSE),"")</f>
        <v>6-12y</v>
      </c>
      <c r="E8866" s="250" t="str">
        <f>IF(AND(A8866&lt;&gt;"",ISNUMBER(A8866)),VLOOKUP(A8866,Studies!A:BR,5,FALSE),"")</f>
        <v>Itraconazole</v>
      </c>
      <c r="F8866" s="251" t="str">
        <f>IF(AND(A8866&lt;&gt;"",ISNUMBER(A8866)),VLOOKUP(A8866,Studies!A:BR,6,FALSE),"")</f>
        <v>Plasma</v>
      </c>
      <c r="G8866" s="238">
        <v>1</v>
      </c>
      <c r="H8866" s="238" t="s">
        <v>60</v>
      </c>
      <c r="I8866" s="239">
        <v>790.90840000000003</v>
      </c>
      <c r="J8866" s="239" t="s">
        <v>941</v>
      </c>
      <c r="K8866" s="239" t="s">
        <v>116</v>
      </c>
      <c r="L8866" s="145"/>
      <c r="M8866" s="145"/>
      <c r="N8866" s="145"/>
      <c r="O8866" s="240"/>
      <c r="P8866" s="175"/>
      <c r="Q8866" s="174"/>
    </row>
    <row r="8867" spans="1:17" ht="14.25" x14ac:dyDescent="0.2">
      <c r="A8867" s="241">
        <v>5199</v>
      </c>
      <c r="B8867" s="249" t="str">
        <f>IF(AND(A8867&lt;&gt;"",ISNUMBER(A8867)),VLOOKUP(A8867,Studies!A:BR,2,FALSE),"")</f>
        <v>Abdel-Rahman 2007</v>
      </c>
      <c r="C8867" s="250" t="str">
        <f>IF(AND(A8867&lt;&gt;"",ISNUMBER(A8867)),VLOOKUP(A8867,Studies!A:BR,3,FALSE),"")</f>
        <v>https://www.ncbi.nlm.nih.gov/pubmed/17517842</v>
      </c>
      <c r="D8867" s="250" t="str">
        <f>IF(AND(A8867&lt;&gt;"",ISNUMBER(A8867)),VLOOKUP(A8867,Studies!A:BR,4,FALSE),"")</f>
        <v>6-12y</v>
      </c>
      <c r="E8867" s="250" t="str">
        <f>IF(AND(A8867&lt;&gt;"",ISNUMBER(A8867)),VLOOKUP(A8867,Studies!A:BR,5,FALSE),"")</f>
        <v>Itraconazole</v>
      </c>
      <c r="F8867" s="251" t="str">
        <f>IF(AND(A8867&lt;&gt;"",ISNUMBER(A8867)),VLOOKUP(A8867,Studies!A:BR,6,FALSE),"")</f>
        <v>Plasma</v>
      </c>
      <c r="G8867" s="238">
        <v>2</v>
      </c>
      <c r="H8867" s="238" t="s">
        <v>60</v>
      </c>
      <c r="I8867" s="239">
        <v>422.56529999999998</v>
      </c>
      <c r="J8867" s="239" t="s">
        <v>941</v>
      </c>
      <c r="K8867" s="239" t="s">
        <v>116</v>
      </c>
      <c r="L8867" s="145"/>
      <c r="M8867" s="145"/>
      <c r="N8867" s="145"/>
      <c r="O8867" s="240"/>
      <c r="P8867" s="175"/>
      <c r="Q8867" s="174"/>
    </row>
    <row r="8868" spans="1:17" ht="14.25" x14ac:dyDescent="0.2">
      <c r="A8868" s="241">
        <v>5199</v>
      </c>
      <c r="B8868" s="249" t="str">
        <f>IF(AND(A8868&lt;&gt;"",ISNUMBER(A8868)),VLOOKUP(A8868,Studies!A:BR,2,FALSE),"")</f>
        <v>Abdel-Rahman 2007</v>
      </c>
      <c r="C8868" s="250" t="str">
        <f>IF(AND(A8868&lt;&gt;"",ISNUMBER(A8868)),VLOOKUP(A8868,Studies!A:BR,3,FALSE),"")</f>
        <v>https://www.ncbi.nlm.nih.gov/pubmed/17517842</v>
      </c>
      <c r="D8868" s="250" t="str">
        <f>IF(AND(A8868&lt;&gt;"",ISNUMBER(A8868)),VLOOKUP(A8868,Studies!A:BR,4,FALSE),"")</f>
        <v>6-12y</v>
      </c>
      <c r="E8868" s="250" t="str">
        <f>IF(AND(A8868&lt;&gt;"",ISNUMBER(A8868)),VLOOKUP(A8868,Studies!A:BR,5,FALSE),"")</f>
        <v>Itraconazole</v>
      </c>
      <c r="F8868" s="251" t="str">
        <f>IF(AND(A8868&lt;&gt;"",ISNUMBER(A8868)),VLOOKUP(A8868,Studies!A:BR,6,FALSE),"")</f>
        <v>Plasma</v>
      </c>
      <c r="G8868" s="238">
        <v>5</v>
      </c>
      <c r="H8868" s="238" t="s">
        <v>60</v>
      </c>
      <c r="I8868" s="239">
        <v>201.67859999999999</v>
      </c>
      <c r="J8868" s="239" t="s">
        <v>941</v>
      </c>
      <c r="K8868" s="239" t="s">
        <v>116</v>
      </c>
      <c r="L8868" s="145"/>
      <c r="M8868" s="145"/>
      <c r="N8868" s="145"/>
      <c r="O8868" s="240"/>
      <c r="P8868" s="175"/>
      <c r="Q8868" s="174"/>
    </row>
    <row r="8869" spans="1:17" ht="14.25" x14ac:dyDescent="0.2">
      <c r="A8869" s="241">
        <v>5199</v>
      </c>
      <c r="B8869" s="249" t="str">
        <f>IF(AND(A8869&lt;&gt;"",ISNUMBER(A8869)),VLOOKUP(A8869,Studies!A:BR,2,FALSE),"")</f>
        <v>Abdel-Rahman 2007</v>
      </c>
      <c r="C8869" s="250" t="str">
        <f>IF(AND(A8869&lt;&gt;"",ISNUMBER(A8869)),VLOOKUP(A8869,Studies!A:BR,3,FALSE),"")</f>
        <v>https://www.ncbi.nlm.nih.gov/pubmed/17517842</v>
      </c>
      <c r="D8869" s="250" t="str">
        <f>IF(AND(A8869&lt;&gt;"",ISNUMBER(A8869)),VLOOKUP(A8869,Studies!A:BR,4,FALSE),"")</f>
        <v>6-12y</v>
      </c>
      <c r="E8869" s="250" t="str">
        <f>IF(AND(A8869&lt;&gt;"",ISNUMBER(A8869)),VLOOKUP(A8869,Studies!A:BR,5,FALSE),"")</f>
        <v>Itraconazole</v>
      </c>
      <c r="F8869" s="251" t="str">
        <f>IF(AND(A8869&lt;&gt;"",ISNUMBER(A8869)),VLOOKUP(A8869,Studies!A:BR,6,FALSE),"")</f>
        <v>Plasma</v>
      </c>
      <c r="G8869" s="238">
        <v>8</v>
      </c>
      <c r="H8869" s="238" t="s">
        <v>60</v>
      </c>
      <c r="I8869" s="239">
        <v>135.03030000000001</v>
      </c>
      <c r="J8869" s="239" t="s">
        <v>941</v>
      </c>
      <c r="K8869" s="239" t="s">
        <v>116</v>
      </c>
      <c r="L8869" s="145"/>
      <c r="M8869" s="145"/>
      <c r="N8869" s="145"/>
      <c r="O8869" s="240"/>
      <c r="P8869" s="175"/>
      <c r="Q8869" s="174"/>
    </row>
    <row r="8870" spans="1:17" ht="14.25" x14ac:dyDescent="0.2">
      <c r="A8870" s="241">
        <v>5199</v>
      </c>
      <c r="B8870" s="249" t="str">
        <f>IF(AND(A8870&lt;&gt;"",ISNUMBER(A8870)),VLOOKUP(A8870,Studies!A:BR,2,FALSE),"")</f>
        <v>Abdel-Rahman 2007</v>
      </c>
      <c r="C8870" s="250" t="str">
        <f>IF(AND(A8870&lt;&gt;"",ISNUMBER(A8870)),VLOOKUP(A8870,Studies!A:BR,3,FALSE),"")</f>
        <v>https://www.ncbi.nlm.nih.gov/pubmed/17517842</v>
      </c>
      <c r="D8870" s="250" t="str">
        <f>IF(AND(A8870&lt;&gt;"",ISNUMBER(A8870)),VLOOKUP(A8870,Studies!A:BR,4,FALSE),"")</f>
        <v>6-12y</v>
      </c>
      <c r="E8870" s="250" t="str">
        <f>IF(AND(A8870&lt;&gt;"",ISNUMBER(A8870)),VLOOKUP(A8870,Studies!A:BR,5,FALSE),"")</f>
        <v>Itraconazole</v>
      </c>
      <c r="F8870" s="251" t="str">
        <f>IF(AND(A8870&lt;&gt;"",ISNUMBER(A8870)),VLOOKUP(A8870,Studies!A:BR,6,FALSE),"")</f>
        <v>Plasma</v>
      </c>
      <c r="G8870" s="238">
        <v>12</v>
      </c>
      <c r="H8870" s="238" t="s">
        <v>60</v>
      </c>
      <c r="I8870" s="239">
        <v>103.7752</v>
      </c>
      <c r="J8870" s="239" t="s">
        <v>941</v>
      </c>
      <c r="K8870" s="239" t="s">
        <v>116</v>
      </c>
      <c r="L8870" s="145"/>
      <c r="M8870" s="145"/>
      <c r="N8870" s="145"/>
      <c r="O8870" s="240"/>
      <c r="P8870" s="175"/>
      <c r="Q8870" s="174"/>
    </row>
    <row r="8871" spans="1:17" ht="14.25" x14ac:dyDescent="0.2">
      <c r="A8871" s="241">
        <v>5199</v>
      </c>
      <c r="B8871" s="249" t="str">
        <f>IF(AND(A8871&lt;&gt;"",ISNUMBER(A8871)),VLOOKUP(A8871,Studies!A:BR,2,FALSE),"")</f>
        <v>Abdel-Rahman 2007</v>
      </c>
      <c r="C8871" s="250" t="str">
        <f>IF(AND(A8871&lt;&gt;"",ISNUMBER(A8871)),VLOOKUP(A8871,Studies!A:BR,3,FALSE),"")</f>
        <v>https://www.ncbi.nlm.nih.gov/pubmed/17517842</v>
      </c>
      <c r="D8871" s="250" t="str">
        <f>IF(AND(A8871&lt;&gt;"",ISNUMBER(A8871)),VLOOKUP(A8871,Studies!A:BR,4,FALSE),"")</f>
        <v>6-12y</v>
      </c>
      <c r="E8871" s="250" t="str">
        <f>IF(AND(A8871&lt;&gt;"",ISNUMBER(A8871)),VLOOKUP(A8871,Studies!A:BR,5,FALSE),"")</f>
        <v>Itraconazole</v>
      </c>
      <c r="F8871" s="251" t="str">
        <f>IF(AND(A8871&lt;&gt;"",ISNUMBER(A8871)),VLOOKUP(A8871,Studies!A:BR,6,FALSE),"")</f>
        <v>Plasma</v>
      </c>
      <c r="G8871" s="238">
        <v>24</v>
      </c>
      <c r="H8871" s="238" t="s">
        <v>60</v>
      </c>
      <c r="I8871" s="239">
        <v>52.076039999999999</v>
      </c>
      <c r="J8871" s="239" t="s">
        <v>941</v>
      </c>
      <c r="K8871" s="239" t="s">
        <v>116</v>
      </c>
      <c r="L8871" s="145"/>
      <c r="M8871" s="145"/>
      <c r="N8871" s="145"/>
      <c r="O8871" s="240"/>
      <c r="P8871" s="175"/>
      <c r="Q8871" s="174"/>
    </row>
    <row r="8872" spans="1:17" ht="14.25" x14ac:dyDescent="0.2">
      <c r="A8872" s="241">
        <v>5199</v>
      </c>
      <c r="B8872" s="249" t="str">
        <f>IF(AND(A8872&lt;&gt;"",ISNUMBER(A8872)),VLOOKUP(A8872,Studies!A:BR,2,FALSE),"")</f>
        <v>Abdel-Rahman 2007</v>
      </c>
      <c r="C8872" s="250" t="str">
        <f>IF(AND(A8872&lt;&gt;"",ISNUMBER(A8872)),VLOOKUP(A8872,Studies!A:BR,3,FALSE),"")</f>
        <v>https://www.ncbi.nlm.nih.gov/pubmed/17517842</v>
      </c>
      <c r="D8872" s="250" t="str">
        <f>IF(AND(A8872&lt;&gt;"",ISNUMBER(A8872)),VLOOKUP(A8872,Studies!A:BR,4,FALSE),"")</f>
        <v>6-12y</v>
      </c>
      <c r="E8872" s="250" t="str">
        <f>IF(AND(A8872&lt;&gt;"",ISNUMBER(A8872)),VLOOKUP(A8872,Studies!A:BR,5,FALSE),"")</f>
        <v>Itraconazole</v>
      </c>
      <c r="F8872" s="251" t="str">
        <f>IF(AND(A8872&lt;&gt;"",ISNUMBER(A8872)),VLOOKUP(A8872,Studies!A:BR,6,FALSE),"")</f>
        <v>Plasma</v>
      </c>
      <c r="G8872" s="238">
        <v>48</v>
      </c>
      <c r="H8872" s="238" t="s">
        <v>60</v>
      </c>
      <c r="I8872" s="239">
        <v>18.86347</v>
      </c>
      <c r="J8872" s="239" t="s">
        <v>941</v>
      </c>
      <c r="K8872" s="239" t="s">
        <v>116</v>
      </c>
      <c r="L8872" s="145"/>
      <c r="M8872" s="145"/>
      <c r="N8872" s="145"/>
      <c r="O8872" s="240"/>
      <c r="P8872" s="175"/>
      <c r="Q8872" s="174"/>
    </row>
    <row r="8873" spans="1:17" ht="14.25" x14ac:dyDescent="0.2">
      <c r="A8873" s="241">
        <v>5199</v>
      </c>
      <c r="B8873" s="249" t="str">
        <f>IF(AND(A8873&lt;&gt;"",ISNUMBER(A8873)),VLOOKUP(A8873,Studies!A:BR,2,FALSE),"")</f>
        <v>Abdel-Rahman 2007</v>
      </c>
      <c r="C8873" s="250" t="str">
        <f>IF(AND(A8873&lt;&gt;"",ISNUMBER(A8873)),VLOOKUP(A8873,Studies!A:BR,3,FALSE),"")</f>
        <v>https://www.ncbi.nlm.nih.gov/pubmed/17517842</v>
      </c>
      <c r="D8873" s="250" t="str">
        <f>IF(AND(A8873&lt;&gt;"",ISNUMBER(A8873)),VLOOKUP(A8873,Studies!A:BR,4,FALSE),"")</f>
        <v>6-12y</v>
      </c>
      <c r="E8873" s="250" t="str">
        <f>IF(AND(A8873&lt;&gt;"",ISNUMBER(A8873)),VLOOKUP(A8873,Studies!A:BR,5,FALSE),"")</f>
        <v>Itraconazole</v>
      </c>
      <c r="F8873" s="251" t="str">
        <f>IF(AND(A8873&lt;&gt;"",ISNUMBER(A8873)),VLOOKUP(A8873,Studies!A:BR,6,FALSE),"")</f>
        <v>Plasma</v>
      </c>
      <c r="G8873" s="238">
        <v>72</v>
      </c>
      <c r="H8873" s="238" t="s">
        <v>60</v>
      </c>
      <c r="I8873" s="239">
        <v>8.5626650000000009</v>
      </c>
      <c r="J8873" s="239" t="s">
        <v>941</v>
      </c>
      <c r="K8873" s="239" t="s">
        <v>116</v>
      </c>
      <c r="L8873" s="145"/>
      <c r="M8873" s="145"/>
      <c r="N8873" s="145"/>
      <c r="O8873" s="240"/>
      <c r="P8873" s="175"/>
      <c r="Q8873" s="174"/>
    </row>
    <row r="8874" spans="1:17" ht="14.25" x14ac:dyDescent="0.2">
      <c r="A8874" s="241">
        <v>5200</v>
      </c>
      <c r="B8874" s="249" t="str">
        <f>IF(AND(A8874&lt;&gt;"",ISNUMBER(A8874)),VLOOKUP(A8874,Studies!A:BR,2,FALSE),"")</f>
        <v>Abdel-Rahman 2007</v>
      </c>
      <c r="C8874" s="250" t="str">
        <f>IF(AND(A8874&lt;&gt;"",ISNUMBER(A8874)),VLOOKUP(A8874,Studies!A:BR,3,FALSE),"")</f>
        <v>https://www.ncbi.nlm.nih.gov/pubmed/17517842</v>
      </c>
      <c r="D8874" s="250" t="str">
        <f>IF(AND(A8874&lt;&gt;"",ISNUMBER(A8874)),VLOOKUP(A8874,Studies!A:BR,4,FALSE),"")</f>
        <v>12-16y</v>
      </c>
      <c r="E8874" s="250" t="str">
        <f>IF(AND(A8874&lt;&gt;"",ISNUMBER(A8874)),VLOOKUP(A8874,Studies!A:BR,5,FALSE),"")</f>
        <v>Itraconazole</v>
      </c>
      <c r="F8874" s="251" t="str">
        <f>IF(AND(A8874&lt;&gt;"",ISNUMBER(A8874)),VLOOKUP(A8874,Studies!A:BR,6,FALSE),"")</f>
        <v>Plasma</v>
      </c>
      <c r="G8874" s="238">
        <v>1</v>
      </c>
      <c r="H8874" s="238" t="s">
        <v>60</v>
      </c>
      <c r="I8874" s="239">
        <v>771.32410000000004</v>
      </c>
      <c r="J8874" s="239" t="s">
        <v>941</v>
      </c>
      <c r="K8874" s="239" t="s">
        <v>116</v>
      </c>
      <c r="L8874" s="145"/>
      <c r="M8874" s="145"/>
      <c r="N8874" s="145"/>
      <c r="O8874" s="240"/>
      <c r="P8874" s="175"/>
      <c r="Q8874" s="174"/>
    </row>
    <row r="8875" spans="1:17" ht="14.25" x14ac:dyDescent="0.2">
      <c r="A8875" s="241">
        <v>5200</v>
      </c>
      <c r="B8875" s="249" t="str">
        <f>IF(AND(A8875&lt;&gt;"",ISNUMBER(A8875)),VLOOKUP(A8875,Studies!A:BR,2,FALSE),"")</f>
        <v>Abdel-Rahman 2007</v>
      </c>
      <c r="C8875" s="250" t="str">
        <f>IF(AND(A8875&lt;&gt;"",ISNUMBER(A8875)),VLOOKUP(A8875,Studies!A:BR,3,FALSE),"")</f>
        <v>https://www.ncbi.nlm.nih.gov/pubmed/17517842</v>
      </c>
      <c r="D8875" s="250" t="str">
        <f>IF(AND(A8875&lt;&gt;"",ISNUMBER(A8875)),VLOOKUP(A8875,Studies!A:BR,4,FALSE),"")</f>
        <v>12-16y</v>
      </c>
      <c r="E8875" s="250" t="str">
        <f>IF(AND(A8875&lt;&gt;"",ISNUMBER(A8875)),VLOOKUP(A8875,Studies!A:BR,5,FALSE),"")</f>
        <v>Itraconazole</v>
      </c>
      <c r="F8875" s="251" t="str">
        <f>IF(AND(A8875&lt;&gt;"",ISNUMBER(A8875)),VLOOKUP(A8875,Studies!A:BR,6,FALSE),"")</f>
        <v>Plasma</v>
      </c>
      <c r="G8875" s="238">
        <v>2</v>
      </c>
      <c r="H8875" s="238" t="s">
        <v>60</v>
      </c>
      <c r="I8875" s="239">
        <v>337.20209999999997</v>
      </c>
      <c r="J8875" s="239" t="s">
        <v>941</v>
      </c>
      <c r="K8875" s="239" t="s">
        <v>116</v>
      </c>
      <c r="L8875" s="145"/>
      <c r="M8875" s="145"/>
      <c r="N8875" s="145"/>
      <c r="O8875" s="240"/>
      <c r="P8875" s="175"/>
      <c r="Q8875" s="174"/>
    </row>
    <row r="8876" spans="1:17" ht="14.25" x14ac:dyDescent="0.2">
      <c r="A8876" s="241">
        <v>5200</v>
      </c>
      <c r="B8876" s="249" t="str">
        <f>IF(AND(A8876&lt;&gt;"",ISNUMBER(A8876)),VLOOKUP(A8876,Studies!A:BR,2,FALSE),"")</f>
        <v>Abdel-Rahman 2007</v>
      </c>
      <c r="C8876" s="250" t="str">
        <f>IF(AND(A8876&lt;&gt;"",ISNUMBER(A8876)),VLOOKUP(A8876,Studies!A:BR,3,FALSE),"")</f>
        <v>https://www.ncbi.nlm.nih.gov/pubmed/17517842</v>
      </c>
      <c r="D8876" s="250" t="str">
        <f>IF(AND(A8876&lt;&gt;"",ISNUMBER(A8876)),VLOOKUP(A8876,Studies!A:BR,4,FALSE),"")</f>
        <v>12-16y</v>
      </c>
      <c r="E8876" s="250" t="str">
        <f>IF(AND(A8876&lt;&gt;"",ISNUMBER(A8876)),VLOOKUP(A8876,Studies!A:BR,5,FALSE),"")</f>
        <v>Itraconazole</v>
      </c>
      <c r="F8876" s="251" t="str">
        <f>IF(AND(A8876&lt;&gt;"",ISNUMBER(A8876)),VLOOKUP(A8876,Studies!A:BR,6,FALSE),"")</f>
        <v>Plasma</v>
      </c>
      <c r="G8876" s="238">
        <v>5</v>
      </c>
      <c r="H8876" s="238" t="s">
        <v>60</v>
      </c>
      <c r="I8876" s="239">
        <v>123.6854</v>
      </c>
      <c r="J8876" s="239" t="s">
        <v>941</v>
      </c>
      <c r="K8876" s="239" t="s">
        <v>116</v>
      </c>
      <c r="L8876" s="145"/>
      <c r="M8876" s="145"/>
      <c r="N8876" s="145"/>
      <c r="O8876" s="240"/>
      <c r="P8876" s="175"/>
      <c r="Q8876" s="174"/>
    </row>
    <row r="8877" spans="1:17" ht="14.25" x14ac:dyDescent="0.2">
      <c r="A8877" s="241">
        <v>5200</v>
      </c>
      <c r="B8877" s="249" t="str">
        <f>IF(AND(A8877&lt;&gt;"",ISNUMBER(A8877)),VLOOKUP(A8877,Studies!A:BR,2,FALSE),"")</f>
        <v>Abdel-Rahman 2007</v>
      </c>
      <c r="C8877" s="250" t="str">
        <f>IF(AND(A8877&lt;&gt;"",ISNUMBER(A8877)),VLOOKUP(A8877,Studies!A:BR,3,FALSE),"")</f>
        <v>https://www.ncbi.nlm.nih.gov/pubmed/17517842</v>
      </c>
      <c r="D8877" s="250" t="str">
        <f>IF(AND(A8877&lt;&gt;"",ISNUMBER(A8877)),VLOOKUP(A8877,Studies!A:BR,4,FALSE),"")</f>
        <v>12-16y</v>
      </c>
      <c r="E8877" s="250" t="str">
        <f>IF(AND(A8877&lt;&gt;"",ISNUMBER(A8877)),VLOOKUP(A8877,Studies!A:BR,5,FALSE),"")</f>
        <v>Itraconazole</v>
      </c>
      <c r="F8877" s="251" t="str">
        <f>IF(AND(A8877&lt;&gt;"",ISNUMBER(A8877)),VLOOKUP(A8877,Studies!A:BR,6,FALSE),"")</f>
        <v>Plasma</v>
      </c>
      <c r="G8877" s="238">
        <v>8</v>
      </c>
      <c r="H8877" s="238" t="s">
        <v>60</v>
      </c>
      <c r="I8877" s="239">
        <v>81.779650000000004</v>
      </c>
      <c r="J8877" s="239" t="s">
        <v>941</v>
      </c>
      <c r="K8877" s="239" t="s">
        <v>116</v>
      </c>
      <c r="L8877" s="145"/>
      <c r="M8877" s="145"/>
      <c r="N8877" s="145"/>
      <c r="O8877" s="240"/>
      <c r="P8877" s="175"/>
      <c r="Q8877" s="174"/>
    </row>
    <row r="8878" spans="1:17" ht="14.25" x14ac:dyDescent="0.2">
      <c r="A8878" s="241">
        <v>5200</v>
      </c>
      <c r="B8878" s="249" t="str">
        <f>IF(AND(A8878&lt;&gt;"",ISNUMBER(A8878)),VLOOKUP(A8878,Studies!A:BR,2,FALSE),"")</f>
        <v>Abdel-Rahman 2007</v>
      </c>
      <c r="C8878" s="250" t="str">
        <f>IF(AND(A8878&lt;&gt;"",ISNUMBER(A8878)),VLOOKUP(A8878,Studies!A:BR,3,FALSE),"")</f>
        <v>https://www.ncbi.nlm.nih.gov/pubmed/17517842</v>
      </c>
      <c r="D8878" s="250" t="str">
        <f>IF(AND(A8878&lt;&gt;"",ISNUMBER(A8878)),VLOOKUP(A8878,Studies!A:BR,4,FALSE),"")</f>
        <v>12-16y</v>
      </c>
      <c r="E8878" s="250" t="str">
        <f>IF(AND(A8878&lt;&gt;"",ISNUMBER(A8878)),VLOOKUP(A8878,Studies!A:BR,5,FALSE),"")</f>
        <v>Itraconazole</v>
      </c>
      <c r="F8878" s="251" t="str">
        <f>IF(AND(A8878&lt;&gt;"",ISNUMBER(A8878)),VLOOKUP(A8878,Studies!A:BR,6,FALSE),"")</f>
        <v>Plasma</v>
      </c>
      <c r="G8878" s="238">
        <v>12</v>
      </c>
      <c r="H8878" s="238" t="s">
        <v>60</v>
      </c>
      <c r="I8878" s="239">
        <v>59.031579999999998</v>
      </c>
      <c r="J8878" s="239" t="s">
        <v>941</v>
      </c>
      <c r="K8878" s="239" t="s">
        <v>116</v>
      </c>
      <c r="L8878" s="145"/>
      <c r="M8878" s="145"/>
      <c r="N8878" s="145"/>
      <c r="O8878" s="240"/>
      <c r="P8878" s="175"/>
      <c r="Q8878" s="174"/>
    </row>
    <row r="8879" spans="1:17" ht="14.25" x14ac:dyDescent="0.2">
      <c r="A8879" s="241">
        <v>5200</v>
      </c>
      <c r="B8879" s="249" t="str">
        <f>IF(AND(A8879&lt;&gt;"",ISNUMBER(A8879)),VLOOKUP(A8879,Studies!A:BR,2,FALSE),"")</f>
        <v>Abdel-Rahman 2007</v>
      </c>
      <c r="C8879" s="250" t="str">
        <f>IF(AND(A8879&lt;&gt;"",ISNUMBER(A8879)),VLOOKUP(A8879,Studies!A:BR,3,FALSE),"")</f>
        <v>https://www.ncbi.nlm.nih.gov/pubmed/17517842</v>
      </c>
      <c r="D8879" s="250" t="str">
        <f>IF(AND(A8879&lt;&gt;"",ISNUMBER(A8879)),VLOOKUP(A8879,Studies!A:BR,4,FALSE),"")</f>
        <v>12-16y</v>
      </c>
      <c r="E8879" s="250" t="str">
        <f>IF(AND(A8879&lt;&gt;"",ISNUMBER(A8879)),VLOOKUP(A8879,Studies!A:BR,5,FALSE),"")</f>
        <v>Itraconazole</v>
      </c>
      <c r="F8879" s="251" t="str">
        <f>IF(AND(A8879&lt;&gt;"",ISNUMBER(A8879)),VLOOKUP(A8879,Studies!A:BR,6,FALSE),"")</f>
        <v>Plasma</v>
      </c>
      <c r="G8879" s="238">
        <v>24</v>
      </c>
      <c r="H8879" s="238" t="s">
        <v>60</v>
      </c>
      <c r="I8879" s="239">
        <v>39.031129999999997</v>
      </c>
      <c r="J8879" s="239" t="s">
        <v>941</v>
      </c>
      <c r="K8879" s="239" t="s">
        <v>116</v>
      </c>
      <c r="L8879" s="145"/>
      <c r="M8879" s="145"/>
      <c r="N8879" s="145"/>
      <c r="O8879" s="240"/>
      <c r="P8879" s="175"/>
      <c r="Q8879" s="174"/>
    </row>
    <row r="8880" spans="1:17" ht="14.25" x14ac:dyDescent="0.2">
      <c r="A8880" s="241">
        <v>5200</v>
      </c>
      <c r="B8880" s="249" t="str">
        <f>IF(AND(A8880&lt;&gt;"",ISNUMBER(A8880)),VLOOKUP(A8880,Studies!A:BR,2,FALSE),"")</f>
        <v>Abdel-Rahman 2007</v>
      </c>
      <c r="C8880" s="250" t="str">
        <f>IF(AND(A8880&lt;&gt;"",ISNUMBER(A8880)),VLOOKUP(A8880,Studies!A:BR,3,FALSE),"")</f>
        <v>https://www.ncbi.nlm.nih.gov/pubmed/17517842</v>
      </c>
      <c r="D8880" s="250" t="str">
        <f>IF(AND(A8880&lt;&gt;"",ISNUMBER(A8880)),VLOOKUP(A8880,Studies!A:BR,4,FALSE),"")</f>
        <v>12-16y</v>
      </c>
      <c r="E8880" s="250" t="str">
        <f>IF(AND(A8880&lt;&gt;"",ISNUMBER(A8880)),VLOOKUP(A8880,Studies!A:BR,5,FALSE),"")</f>
        <v>Itraconazole</v>
      </c>
      <c r="F8880" s="251" t="str">
        <f>IF(AND(A8880&lt;&gt;"",ISNUMBER(A8880)),VLOOKUP(A8880,Studies!A:BR,6,FALSE),"")</f>
        <v>Plasma</v>
      </c>
      <c r="G8880" s="238">
        <v>48</v>
      </c>
      <c r="H8880" s="238" t="s">
        <v>60</v>
      </c>
      <c r="I8880" s="239">
        <v>22.20251</v>
      </c>
      <c r="J8880" s="239" t="s">
        <v>941</v>
      </c>
      <c r="K8880" s="239" t="s">
        <v>116</v>
      </c>
      <c r="L8880" s="145"/>
      <c r="M8880" s="145"/>
      <c r="N8880" s="145"/>
      <c r="O8880" s="240"/>
      <c r="P8880" s="175"/>
      <c r="Q8880" s="174"/>
    </row>
    <row r="8881" spans="1:17" ht="14.25" x14ac:dyDescent="0.2">
      <c r="A8881" s="241">
        <v>5200</v>
      </c>
      <c r="B8881" s="249" t="str">
        <f>IF(AND(A8881&lt;&gt;"",ISNUMBER(A8881)),VLOOKUP(A8881,Studies!A:BR,2,FALSE),"")</f>
        <v>Abdel-Rahman 2007</v>
      </c>
      <c r="C8881" s="250" t="str">
        <f>IF(AND(A8881&lt;&gt;"",ISNUMBER(A8881)),VLOOKUP(A8881,Studies!A:BR,3,FALSE),"")</f>
        <v>https://www.ncbi.nlm.nih.gov/pubmed/17517842</v>
      </c>
      <c r="D8881" s="250" t="str">
        <f>IF(AND(A8881&lt;&gt;"",ISNUMBER(A8881)),VLOOKUP(A8881,Studies!A:BR,4,FALSE),"")</f>
        <v>12-16y</v>
      </c>
      <c r="E8881" s="250" t="str">
        <f>IF(AND(A8881&lt;&gt;"",ISNUMBER(A8881)),VLOOKUP(A8881,Studies!A:BR,5,FALSE),"")</f>
        <v>Itraconazole</v>
      </c>
      <c r="F8881" s="251" t="str">
        <f>IF(AND(A8881&lt;&gt;"",ISNUMBER(A8881)),VLOOKUP(A8881,Studies!A:BR,6,FALSE),"")</f>
        <v>Plasma</v>
      </c>
      <c r="G8881" s="238">
        <v>72</v>
      </c>
      <c r="H8881" s="238" t="s">
        <v>60</v>
      </c>
      <c r="I8881" s="239">
        <v>13.11375</v>
      </c>
      <c r="J8881" s="239" t="s">
        <v>941</v>
      </c>
      <c r="K8881" s="239" t="s">
        <v>116</v>
      </c>
      <c r="L8881" s="145"/>
      <c r="M8881" s="145"/>
      <c r="N8881" s="145"/>
      <c r="O8881" s="240"/>
      <c r="P8881" s="175"/>
      <c r="Q8881" s="174"/>
    </row>
    <row r="8882" spans="1:17" ht="14.25" x14ac:dyDescent="0.2">
      <c r="A8882" s="241">
        <v>5200</v>
      </c>
      <c r="B8882" s="249" t="str">
        <f>IF(AND(A8882&lt;&gt;"",ISNUMBER(A8882)),VLOOKUP(A8882,Studies!A:BR,2,FALSE),"")</f>
        <v>Abdel-Rahman 2007</v>
      </c>
      <c r="C8882" s="250" t="str">
        <f>IF(AND(A8882&lt;&gt;"",ISNUMBER(A8882)),VLOOKUP(A8882,Studies!A:BR,3,FALSE),"")</f>
        <v>https://www.ncbi.nlm.nih.gov/pubmed/17517842</v>
      </c>
      <c r="D8882" s="250" t="str">
        <f>IF(AND(A8882&lt;&gt;"",ISNUMBER(A8882)),VLOOKUP(A8882,Studies!A:BR,4,FALSE),"")</f>
        <v>12-16y</v>
      </c>
      <c r="E8882" s="250" t="str">
        <f>IF(AND(A8882&lt;&gt;"",ISNUMBER(A8882)),VLOOKUP(A8882,Studies!A:BR,5,FALSE),"")</f>
        <v>Itraconazole</v>
      </c>
      <c r="F8882" s="251" t="str">
        <f>IF(AND(A8882&lt;&gt;"",ISNUMBER(A8882)),VLOOKUP(A8882,Studies!A:BR,6,FALSE),"")</f>
        <v>Plasma</v>
      </c>
      <c r="G8882" s="238">
        <v>96</v>
      </c>
      <c r="H8882" s="238" t="s">
        <v>60</v>
      </c>
      <c r="I8882" s="239">
        <v>7.0947849999999999</v>
      </c>
      <c r="J8882" s="239" t="s">
        <v>941</v>
      </c>
      <c r="K8882" s="239" t="s">
        <v>116</v>
      </c>
      <c r="L8882" s="145"/>
      <c r="M8882" s="145"/>
      <c r="N8882" s="145"/>
      <c r="O8882" s="240"/>
      <c r="P8882" s="175"/>
      <c r="Q8882" s="174"/>
    </row>
    <row r="8883" spans="1:17" ht="14.25" x14ac:dyDescent="0.2">
      <c r="A8883" s="241">
        <v>5200</v>
      </c>
      <c r="B8883" s="249" t="str">
        <f>IF(AND(A8883&lt;&gt;"",ISNUMBER(A8883)),VLOOKUP(A8883,Studies!A:BR,2,FALSE),"")</f>
        <v>Abdel-Rahman 2007</v>
      </c>
      <c r="C8883" s="250" t="str">
        <f>IF(AND(A8883&lt;&gt;"",ISNUMBER(A8883)),VLOOKUP(A8883,Studies!A:BR,3,FALSE),"")</f>
        <v>https://www.ncbi.nlm.nih.gov/pubmed/17517842</v>
      </c>
      <c r="D8883" s="250" t="str">
        <f>IF(AND(A8883&lt;&gt;"",ISNUMBER(A8883)),VLOOKUP(A8883,Studies!A:BR,4,FALSE),"")</f>
        <v>12-16y</v>
      </c>
      <c r="E8883" s="250" t="str">
        <f>IF(AND(A8883&lt;&gt;"",ISNUMBER(A8883)),VLOOKUP(A8883,Studies!A:BR,5,FALSE),"")</f>
        <v>Itraconazole</v>
      </c>
      <c r="F8883" s="251" t="str">
        <f>IF(AND(A8883&lt;&gt;"",ISNUMBER(A8883)),VLOOKUP(A8883,Studies!A:BR,6,FALSE),"")</f>
        <v>Plasma</v>
      </c>
      <c r="G8883" s="238">
        <v>120</v>
      </c>
      <c r="H8883" s="238" t="s">
        <v>60</v>
      </c>
      <c r="I8883" s="239">
        <v>3.6051920000000002</v>
      </c>
      <c r="J8883" s="239" t="s">
        <v>941</v>
      </c>
      <c r="K8883" s="239" t="s">
        <v>116</v>
      </c>
      <c r="L8883" s="145"/>
      <c r="M8883" s="145"/>
      <c r="N8883" s="145"/>
      <c r="O8883" s="240"/>
      <c r="P8883" s="175"/>
      <c r="Q8883" s="174"/>
    </row>
    <row r="8884" spans="1:17" x14ac:dyDescent="0.2">
      <c r="A8884" s="30">
        <v>5295</v>
      </c>
      <c r="B8884" s="249" t="str">
        <f>IF(AND(A8884&lt;&gt;"",ISNUMBER(A8884)),VLOOKUP(A8884,Studies!A:BR,2,FALSE),"")</f>
        <v>Iwamoto 2008</v>
      </c>
      <c r="C8884" s="250" t="str">
        <f>IF(AND(A8884&lt;&gt;"",ISNUMBER(A8884)),VLOOKUP(A8884,Studies!A:BR,3,FALSE),"")</f>
        <v>https://www.ncbi.nlm.nih.gov/pubmed/19143531</v>
      </c>
      <c r="D8884" s="250" t="str">
        <f>IF(AND(A8884&lt;&gt;"",ISNUMBER(A8884)),VLOOKUP(A8884,Studies!A:BR,4,FALSE),"")</f>
        <v>400mg FCT</v>
      </c>
      <c r="E8884" s="250" t="str">
        <f>IF(AND(A8884&lt;&gt;"",ISNUMBER(A8884)),VLOOKUP(A8884,Studies!A:BR,5,FALSE),"")</f>
        <v>Raltegravir</v>
      </c>
      <c r="F8884" s="251" t="str">
        <f>IF(AND(A8884&lt;&gt;"",ISNUMBER(A8884)),VLOOKUP(A8884,Studies!A:BR,6,FALSE),"")</f>
        <v>Plasma</v>
      </c>
      <c r="G8884" s="194">
        <v>0.5</v>
      </c>
      <c r="H8884" s="50" t="s">
        <v>60</v>
      </c>
      <c r="I8884" s="187">
        <v>2.34375</v>
      </c>
      <c r="J8884" s="41" t="s">
        <v>1220</v>
      </c>
      <c r="K8884" s="41" t="s">
        <v>116</v>
      </c>
    </row>
    <row r="8885" spans="1:17" x14ac:dyDescent="0.2">
      <c r="A8885" s="30">
        <v>5295</v>
      </c>
      <c r="B8885" s="249" t="str">
        <f>IF(AND(A8885&lt;&gt;"",ISNUMBER(A8885)),VLOOKUP(A8885,Studies!A:BR,2,FALSE),"")</f>
        <v>Iwamoto 2008</v>
      </c>
      <c r="C8885" s="250" t="str">
        <f>IF(AND(A8885&lt;&gt;"",ISNUMBER(A8885)),VLOOKUP(A8885,Studies!A:BR,3,FALSE),"")</f>
        <v>https://www.ncbi.nlm.nih.gov/pubmed/19143531</v>
      </c>
      <c r="D8885" s="250" t="str">
        <f>IF(AND(A8885&lt;&gt;"",ISNUMBER(A8885)),VLOOKUP(A8885,Studies!A:BR,4,FALSE),"")</f>
        <v>400mg FCT</v>
      </c>
      <c r="E8885" s="250" t="str">
        <f>IF(AND(A8885&lt;&gt;"",ISNUMBER(A8885)),VLOOKUP(A8885,Studies!A:BR,5,FALSE),"")</f>
        <v>Raltegravir</v>
      </c>
      <c r="F8885" s="251" t="str">
        <f>IF(AND(A8885&lt;&gt;"",ISNUMBER(A8885)),VLOOKUP(A8885,Studies!A:BR,6,FALSE),"")</f>
        <v>Plasma</v>
      </c>
      <c r="G8885" s="194">
        <v>1</v>
      </c>
      <c r="H8885" s="50" t="s">
        <v>60</v>
      </c>
      <c r="I8885" s="187">
        <v>3.03125</v>
      </c>
      <c r="J8885" s="41" t="s">
        <v>1220</v>
      </c>
      <c r="K8885" s="41" t="s">
        <v>116</v>
      </c>
    </row>
    <row r="8886" spans="1:17" x14ac:dyDescent="0.2">
      <c r="A8886" s="30">
        <v>5295</v>
      </c>
      <c r="B8886" s="249" t="str">
        <f>IF(AND(A8886&lt;&gt;"",ISNUMBER(A8886)),VLOOKUP(A8886,Studies!A:BR,2,FALSE),"")</f>
        <v>Iwamoto 2008</v>
      </c>
      <c r="C8886" s="250" t="str">
        <f>IF(AND(A8886&lt;&gt;"",ISNUMBER(A8886)),VLOOKUP(A8886,Studies!A:BR,3,FALSE),"")</f>
        <v>https://www.ncbi.nlm.nih.gov/pubmed/19143531</v>
      </c>
      <c r="D8886" s="250" t="str">
        <f>IF(AND(A8886&lt;&gt;"",ISNUMBER(A8886)),VLOOKUP(A8886,Studies!A:BR,4,FALSE),"")</f>
        <v>400mg FCT</v>
      </c>
      <c r="E8886" s="250" t="str">
        <f>IF(AND(A8886&lt;&gt;"",ISNUMBER(A8886)),VLOOKUP(A8886,Studies!A:BR,5,FALSE),"")</f>
        <v>Raltegravir</v>
      </c>
      <c r="F8886" s="251" t="str">
        <f>IF(AND(A8886&lt;&gt;"",ISNUMBER(A8886)),VLOOKUP(A8886,Studies!A:BR,6,FALSE),"")</f>
        <v>Plasma</v>
      </c>
      <c r="G8886" s="194">
        <v>1.5</v>
      </c>
      <c r="H8886" s="50" t="s">
        <v>60</v>
      </c>
      <c r="I8886" s="187">
        <v>3.65625</v>
      </c>
      <c r="J8886" s="41" t="s">
        <v>1220</v>
      </c>
      <c r="K8886" s="41" t="s">
        <v>116</v>
      </c>
    </row>
    <row r="8887" spans="1:17" x14ac:dyDescent="0.2">
      <c r="A8887" s="30">
        <v>5295</v>
      </c>
      <c r="B8887" s="249" t="str">
        <f>IF(AND(A8887&lt;&gt;"",ISNUMBER(A8887)),VLOOKUP(A8887,Studies!A:BR,2,FALSE),"")</f>
        <v>Iwamoto 2008</v>
      </c>
      <c r="C8887" s="250" t="str">
        <f>IF(AND(A8887&lt;&gt;"",ISNUMBER(A8887)),VLOOKUP(A8887,Studies!A:BR,3,FALSE),"")</f>
        <v>https://www.ncbi.nlm.nih.gov/pubmed/19143531</v>
      </c>
      <c r="D8887" s="250" t="str">
        <f>IF(AND(A8887&lt;&gt;"",ISNUMBER(A8887)),VLOOKUP(A8887,Studies!A:BR,4,FALSE),"")</f>
        <v>400mg FCT</v>
      </c>
      <c r="E8887" s="250" t="str">
        <f>IF(AND(A8887&lt;&gt;"",ISNUMBER(A8887)),VLOOKUP(A8887,Studies!A:BR,5,FALSE),"")</f>
        <v>Raltegravir</v>
      </c>
      <c r="F8887" s="251" t="str">
        <f>IF(AND(A8887&lt;&gt;"",ISNUMBER(A8887)),VLOOKUP(A8887,Studies!A:BR,6,FALSE),"")</f>
        <v>Plasma</v>
      </c>
      <c r="G8887" s="194">
        <v>2</v>
      </c>
      <c r="H8887" s="50" t="s">
        <v>60</v>
      </c>
      <c r="I8887" s="187">
        <v>3.5</v>
      </c>
      <c r="J8887" s="41" t="s">
        <v>1220</v>
      </c>
      <c r="K8887" s="41" t="s">
        <v>116</v>
      </c>
    </row>
    <row r="8888" spans="1:17" x14ac:dyDescent="0.2">
      <c r="A8888" s="30">
        <v>5295</v>
      </c>
      <c r="B8888" s="249" t="str">
        <f>IF(AND(A8888&lt;&gt;"",ISNUMBER(A8888)),VLOOKUP(A8888,Studies!A:BR,2,FALSE),"")</f>
        <v>Iwamoto 2008</v>
      </c>
      <c r="C8888" s="250" t="str">
        <f>IF(AND(A8888&lt;&gt;"",ISNUMBER(A8888)),VLOOKUP(A8888,Studies!A:BR,3,FALSE),"")</f>
        <v>https://www.ncbi.nlm.nih.gov/pubmed/19143531</v>
      </c>
      <c r="D8888" s="250" t="str">
        <f>IF(AND(A8888&lt;&gt;"",ISNUMBER(A8888)),VLOOKUP(A8888,Studies!A:BR,4,FALSE),"")</f>
        <v>400mg FCT</v>
      </c>
      <c r="E8888" s="250" t="str">
        <f>IF(AND(A8888&lt;&gt;"",ISNUMBER(A8888)),VLOOKUP(A8888,Studies!A:BR,5,FALSE),"")</f>
        <v>Raltegravir</v>
      </c>
      <c r="F8888" s="251" t="str">
        <f>IF(AND(A8888&lt;&gt;"",ISNUMBER(A8888)),VLOOKUP(A8888,Studies!A:BR,6,FALSE),"")</f>
        <v>Plasma</v>
      </c>
      <c r="G8888" s="194">
        <v>3</v>
      </c>
      <c r="H8888" s="50" t="s">
        <v>60</v>
      </c>
      <c r="I8888" s="187">
        <v>2.46875</v>
      </c>
      <c r="J8888" s="41" t="s">
        <v>1220</v>
      </c>
      <c r="K8888" s="41" t="s">
        <v>116</v>
      </c>
    </row>
    <row r="8889" spans="1:17" x14ac:dyDescent="0.2">
      <c r="A8889" s="30">
        <v>5295</v>
      </c>
      <c r="B8889" s="249" t="str">
        <f>IF(AND(A8889&lt;&gt;"",ISNUMBER(A8889)),VLOOKUP(A8889,Studies!A:BR,2,FALSE),"")</f>
        <v>Iwamoto 2008</v>
      </c>
      <c r="C8889" s="250" t="str">
        <f>IF(AND(A8889&lt;&gt;"",ISNUMBER(A8889)),VLOOKUP(A8889,Studies!A:BR,3,FALSE),"")</f>
        <v>https://www.ncbi.nlm.nih.gov/pubmed/19143531</v>
      </c>
      <c r="D8889" s="250" t="str">
        <f>IF(AND(A8889&lt;&gt;"",ISNUMBER(A8889)),VLOOKUP(A8889,Studies!A:BR,4,FALSE),"")</f>
        <v>400mg FCT</v>
      </c>
      <c r="E8889" s="250" t="str">
        <f>IF(AND(A8889&lt;&gt;"",ISNUMBER(A8889)),VLOOKUP(A8889,Studies!A:BR,5,FALSE),"")</f>
        <v>Raltegravir</v>
      </c>
      <c r="F8889" s="251" t="str">
        <f>IF(AND(A8889&lt;&gt;"",ISNUMBER(A8889)),VLOOKUP(A8889,Studies!A:BR,6,FALSE),"")</f>
        <v>Plasma</v>
      </c>
      <c r="G8889" s="194">
        <v>4</v>
      </c>
      <c r="H8889" s="194" t="s">
        <v>60</v>
      </c>
      <c r="I8889" s="187">
        <v>1.84375</v>
      </c>
      <c r="J8889" s="41" t="s">
        <v>1220</v>
      </c>
      <c r="K8889" s="41" t="s">
        <v>116</v>
      </c>
    </row>
    <row r="8890" spans="1:17" x14ac:dyDescent="0.2">
      <c r="A8890" s="30">
        <v>5295</v>
      </c>
      <c r="B8890" s="249" t="str">
        <f>IF(AND(A8890&lt;&gt;"",ISNUMBER(A8890)),VLOOKUP(A8890,Studies!A:BR,2,FALSE),"")</f>
        <v>Iwamoto 2008</v>
      </c>
      <c r="C8890" s="250" t="str">
        <f>IF(AND(A8890&lt;&gt;"",ISNUMBER(A8890)),VLOOKUP(A8890,Studies!A:BR,3,FALSE),"")</f>
        <v>https://www.ncbi.nlm.nih.gov/pubmed/19143531</v>
      </c>
      <c r="D8890" s="250" t="str">
        <f>IF(AND(A8890&lt;&gt;"",ISNUMBER(A8890)),VLOOKUP(A8890,Studies!A:BR,4,FALSE),"")</f>
        <v>400mg FCT</v>
      </c>
      <c r="E8890" s="250" t="str">
        <f>IF(AND(A8890&lt;&gt;"",ISNUMBER(A8890)),VLOOKUP(A8890,Studies!A:BR,5,FALSE),"")</f>
        <v>Raltegravir</v>
      </c>
      <c r="F8890" s="251" t="str">
        <f>IF(AND(A8890&lt;&gt;"",ISNUMBER(A8890)),VLOOKUP(A8890,Studies!A:BR,6,FALSE),"")</f>
        <v>Plasma</v>
      </c>
      <c r="G8890" s="194">
        <v>5</v>
      </c>
      <c r="H8890" s="194" t="s">
        <v>60</v>
      </c>
      <c r="I8890" s="187">
        <v>1.1875</v>
      </c>
      <c r="J8890" s="41" t="s">
        <v>1220</v>
      </c>
      <c r="K8890" s="41" t="s">
        <v>116</v>
      </c>
    </row>
    <row r="8891" spans="1:17" x14ac:dyDescent="0.2">
      <c r="A8891" s="30">
        <v>5295</v>
      </c>
      <c r="B8891" s="249" t="str">
        <f>IF(AND(A8891&lt;&gt;"",ISNUMBER(A8891)),VLOOKUP(A8891,Studies!A:BR,2,FALSE),"")</f>
        <v>Iwamoto 2008</v>
      </c>
      <c r="C8891" s="250" t="str">
        <f>IF(AND(A8891&lt;&gt;"",ISNUMBER(A8891)),VLOOKUP(A8891,Studies!A:BR,3,FALSE),"")</f>
        <v>https://www.ncbi.nlm.nih.gov/pubmed/19143531</v>
      </c>
      <c r="D8891" s="250" t="str">
        <f>IF(AND(A8891&lt;&gt;"",ISNUMBER(A8891)),VLOOKUP(A8891,Studies!A:BR,4,FALSE),"")</f>
        <v>400mg FCT</v>
      </c>
      <c r="E8891" s="250" t="str">
        <f>IF(AND(A8891&lt;&gt;"",ISNUMBER(A8891)),VLOOKUP(A8891,Studies!A:BR,5,FALSE),"")</f>
        <v>Raltegravir</v>
      </c>
      <c r="F8891" s="251" t="str">
        <f>IF(AND(A8891&lt;&gt;"",ISNUMBER(A8891)),VLOOKUP(A8891,Studies!A:BR,6,FALSE),"")</f>
        <v>Plasma</v>
      </c>
      <c r="G8891" s="194">
        <v>6</v>
      </c>
      <c r="H8891" s="194" t="s">
        <v>60</v>
      </c>
      <c r="I8891" s="187">
        <v>0.65625</v>
      </c>
      <c r="J8891" s="41" t="s">
        <v>1220</v>
      </c>
      <c r="K8891" s="41" t="s">
        <v>116</v>
      </c>
    </row>
    <row r="8892" spans="1:17" x14ac:dyDescent="0.2">
      <c r="A8892" s="30">
        <v>5295</v>
      </c>
      <c r="B8892" s="249" t="str">
        <f>IF(AND(A8892&lt;&gt;"",ISNUMBER(A8892)),VLOOKUP(A8892,Studies!A:BR,2,FALSE),"")</f>
        <v>Iwamoto 2008</v>
      </c>
      <c r="C8892" s="250" t="str">
        <f>IF(AND(A8892&lt;&gt;"",ISNUMBER(A8892)),VLOOKUP(A8892,Studies!A:BR,3,FALSE),"")</f>
        <v>https://www.ncbi.nlm.nih.gov/pubmed/19143531</v>
      </c>
      <c r="D8892" s="250" t="str">
        <f>IF(AND(A8892&lt;&gt;"",ISNUMBER(A8892)),VLOOKUP(A8892,Studies!A:BR,4,FALSE),"")</f>
        <v>400mg FCT</v>
      </c>
      <c r="E8892" s="250" t="str">
        <f>IF(AND(A8892&lt;&gt;"",ISNUMBER(A8892)),VLOOKUP(A8892,Studies!A:BR,5,FALSE),"")</f>
        <v>Raltegravir</v>
      </c>
      <c r="F8892" s="251" t="str">
        <f>IF(AND(A8892&lt;&gt;"",ISNUMBER(A8892)),VLOOKUP(A8892,Studies!A:BR,6,FALSE),"")</f>
        <v>Plasma</v>
      </c>
      <c r="G8892" s="194">
        <v>8</v>
      </c>
      <c r="H8892" s="194" t="s">
        <v>60</v>
      </c>
      <c r="I8892" s="187">
        <v>0.1875</v>
      </c>
      <c r="J8892" s="41" t="s">
        <v>1220</v>
      </c>
      <c r="K8892" s="41" t="s">
        <v>116</v>
      </c>
    </row>
    <row r="8893" spans="1:17" x14ac:dyDescent="0.2">
      <c r="A8893" s="30">
        <v>5295</v>
      </c>
      <c r="B8893" s="249" t="str">
        <f>IF(AND(A8893&lt;&gt;"",ISNUMBER(A8893)),VLOOKUP(A8893,Studies!A:BR,2,FALSE),"")</f>
        <v>Iwamoto 2008</v>
      </c>
      <c r="C8893" s="250" t="str">
        <f>IF(AND(A8893&lt;&gt;"",ISNUMBER(A8893)),VLOOKUP(A8893,Studies!A:BR,3,FALSE),"")</f>
        <v>https://www.ncbi.nlm.nih.gov/pubmed/19143531</v>
      </c>
      <c r="D8893" s="250" t="str">
        <f>IF(AND(A8893&lt;&gt;"",ISNUMBER(A8893)),VLOOKUP(A8893,Studies!A:BR,4,FALSE),"")</f>
        <v>400mg FCT</v>
      </c>
      <c r="E8893" s="250" t="str">
        <f>IF(AND(A8893&lt;&gt;"",ISNUMBER(A8893)),VLOOKUP(A8893,Studies!A:BR,5,FALSE),"")</f>
        <v>Raltegravir</v>
      </c>
      <c r="F8893" s="251" t="str">
        <f>IF(AND(A8893&lt;&gt;"",ISNUMBER(A8893)),VLOOKUP(A8893,Studies!A:BR,6,FALSE),"")</f>
        <v>Plasma</v>
      </c>
      <c r="G8893" s="194">
        <v>12</v>
      </c>
      <c r="H8893" s="194" t="s">
        <v>60</v>
      </c>
      <c r="I8893" s="187">
        <v>9.375E-2</v>
      </c>
      <c r="J8893" s="41" t="s">
        <v>1220</v>
      </c>
      <c r="K8893" s="41" t="s">
        <v>116</v>
      </c>
    </row>
    <row r="8894" spans="1:17" x14ac:dyDescent="0.2">
      <c r="A8894" s="30">
        <v>5295</v>
      </c>
      <c r="B8894" s="249" t="str">
        <f>IF(AND(A8894&lt;&gt;"",ISNUMBER(A8894)),VLOOKUP(A8894,Studies!A:BR,2,FALSE),"")</f>
        <v>Iwamoto 2008</v>
      </c>
      <c r="C8894" s="250" t="str">
        <f>IF(AND(A8894&lt;&gt;"",ISNUMBER(A8894)),VLOOKUP(A8894,Studies!A:BR,3,FALSE),"")</f>
        <v>https://www.ncbi.nlm.nih.gov/pubmed/19143531</v>
      </c>
      <c r="D8894" s="250" t="str">
        <f>IF(AND(A8894&lt;&gt;"",ISNUMBER(A8894)),VLOOKUP(A8894,Studies!A:BR,4,FALSE),"")</f>
        <v>400mg FCT</v>
      </c>
      <c r="E8894" s="250" t="str">
        <f>IF(AND(A8894&lt;&gt;"",ISNUMBER(A8894)),VLOOKUP(A8894,Studies!A:BR,5,FALSE),"")</f>
        <v>Raltegravir</v>
      </c>
      <c r="F8894" s="251" t="str">
        <f>IF(AND(A8894&lt;&gt;"",ISNUMBER(A8894)),VLOOKUP(A8894,Studies!A:BR,6,FALSE),"")</f>
        <v>Plasma</v>
      </c>
      <c r="G8894" s="194">
        <v>16</v>
      </c>
      <c r="H8894" s="194" t="s">
        <v>60</v>
      </c>
      <c r="I8894" s="187">
        <v>3.125E-2</v>
      </c>
      <c r="J8894" s="41" t="s">
        <v>1220</v>
      </c>
      <c r="K8894" s="41" t="s">
        <v>116</v>
      </c>
    </row>
    <row r="8895" spans="1:17" x14ac:dyDescent="0.2">
      <c r="A8895" s="30">
        <v>5295</v>
      </c>
      <c r="B8895" s="249" t="str">
        <f>IF(AND(A8895&lt;&gt;"",ISNUMBER(A8895)),VLOOKUP(A8895,Studies!A:BR,2,FALSE),"")</f>
        <v>Iwamoto 2008</v>
      </c>
      <c r="C8895" s="250" t="str">
        <f>IF(AND(A8895&lt;&gt;"",ISNUMBER(A8895)),VLOOKUP(A8895,Studies!A:BR,3,FALSE),"")</f>
        <v>https://www.ncbi.nlm.nih.gov/pubmed/19143531</v>
      </c>
      <c r="D8895" s="250" t="str">
        <f>IF(AND(A8895&lt;&gt;"",ISNUMBER(A8895)),VLOOKUP(A8895,Studies!A:BR,4,FALSE),"")</f>
        <v>400mg FCT</v>
      </c>
      <c r="E8895" s="250" t="str">
        <f>IF(AND(A8895&lt;&gt;"",ISNUMBER(A8895)),VLOOKUP(A8895,Studies!A:BR,5,FALSE),"")</f>
        <v>Raltegravir</v>
      </c>
      <c r="F8895" s="251" t="str">
        <f>IF(AND(A8895&lt;&gt;"",ISNUMBER(A8895)),VLOOKUP(A8895,Studies!A:BR,6,FALSE),"")</f>
        <v>Plasma</v>
      </c>
      <c r="G8895" s="194">
        <v>24</v>
      </c>
      <c r="H8895" s="194" t="s">
        <v>60</v>
      </c>
      <c r="I8895" s="187">
        <v>3.125E-2</v>
      </c>
      <c r="J8895" s="41" t="s">
        <v>1220</v>
      </c>
      <c r="K8895" s="41" t="s">
        <v>116</v>
      </c>
    </row>
    <row r="8896" spans="1:17" x14ac:dyDescent="0.2">
      <c r="A8896" s="30">
        <v>5296</v>
      </c>
      <c r="B8896" s="249" t="str">
        <f>IF(AND(A8896&lt;&gt;"",ISNUMBER(A8896)),VLOOKUP(A8896,Studies!A:BR,2,FALSE),"")</f>
        <v>Markowitz 2006</v>
      </c>
      <c r="C8896" s="250" t="str">
        <f>IF(AND(A8896&lt;&gt;"",ISNUMBER(A8896)),VLOOKUP(A8896,Studies!A:BR,3,FALSE),"")</f>
        <v>https://www.ncbi.nlm.nih.gov/pubmed/17133211</v>
      </c>
      <c r="D8896" s="250" t="str">
        <f>IF(AND(A8896&lt;&gt;"",ISNUMBER(A8896)),VLOOKUP(A8896,Studies!A:BR,4,FALSE),"")</f>
        <v>100mg FCT MD</v>
      </c>
      <c r="E8896" s="250" t="str">
        <f>IF(AND(A8896&lt;&gt;"",ISNUMBER(A8896)),VLOOKUP(A8896,Studies!A:BR,5,FALSE),"")</f>
        <v>Raltegravir</v>
      </c>
      <c r="F8896" s="251" t="str">
        <f>IF(AND(A8896&lt;&gt;"",ISNUMBER(A8896)),VLOOKUP(A8896,Studies!A:BR,6,FALSE),"")</f>
        <v>Plasma</v>
      </c>
      <c r="G8896" s="194">
        <v>216</v>
      </c>
      <c r="H8896" s="194" t="s">
        <v>60</v>
      </c>
      <c r="I8896" s="187">
        <v>144.14414978027344</v>
      </c>
      <c r="J8896" s="41" t="s">
        <v>964</v>
      </c>
      <c r="K8896" s="41" t="s">
        <v>116</v>
      </c>
    </row>
    <row r="8897" spans="1:11" x14ac:dyDescent="0.2">
      <c r="A8897" s="30">
        <v>5296</v>
      </c>
      <c r="B8897" s="249" t="str">
        <f>IF(AND(A8897&lt;&gt;"",ISNUMBER(A8897)),VLOOKUP(A8897,Studies!A:BR,2,FALSE),"")</f>
        <v>Markowitz 2006</v>
      </c>
      <c r="C8897" s="250" t="str">
        <f>IF(AND(A8897&lt;&gt;"",ISNUMBER(A8897)),VLOOKUP(A8897,Studies!A:BR,3,FALSE),"")</f>
        <v>https://www.ncbi.nlm.nih.gov/pubmed/17133211</v>
      </c>
      <c r="D8897" s="250" t="str">
        <f>IF(AND(A8897&lt;&gt;"",ISNUMBER(A8897)),VLOOKUP(A8897,Studies!A:BR,4,FALSE),"")</f>
        <v>100mg FCT MD</v>
      </c>
      <c r="E8897" s="250" t="str">
        <f>IF(AND(A8897&lt;&gt;"",ISNUMBER(A8897)),VLOOKUP(A8897,Studies!A:BR,5,FALSE),"")</f>
        <v>Raltegravir</v>
      </c>
      <c r="F8897" s="251" t="str">
        <f>IF(AND(A8897&lt;&gt;"",ISNUMBER(A8897)),VLOOKUP(A8897,Studies!A:BR,6,FALSE),"")</f>
        <v>Plasma</v>
      </c>
      <c r="G8897" s="194">
        <v>216.5</v>
      </c>
      <c r="H8897" s="194" t="s">
        <v>60</v>
      </c>
      <c r="I8897" s="187">
        <v>882.8829345703125</v>
      </c>
      <c r="J8897" s="41" t="s">
        <v>964</v>
      </c>
      <c r="K8897" s="41" t="s">
        <v>116</v>
      </c>
    </row>
    <row r="8898" spans="1:11" x14ac:dyDescent="0.2">
      <c r="A8898" s="30">
        <v>5296</v>
      </c>
      <c r="B8898" s="249" t="str">
        <f>IF(AND(A8898&lt;&gt;"",ISNUMBER(A8898)),VLOOKUP(A8898,Studies!A:BR,2,FALSE),"")</f>
        <v>Markowitz 2006</v>
      </c>
      <c r="C8898" s="250" t="str">
        <f>IF(AND(A8898&lt;&gt;"",ISNUMBER(A8898)),VLOOKUP(A8898,Studies!A:BR,3,FALSE),"")</f>
        <v>https://www.ncbi.nlm.nih.gov/pubmed/17133211</v>
      </c>
      <c r="D8898" s="250" t="str">
        <f>IF(AND(A8898&lt;&gt;"",ISNUMBER(A8898)),VLOOKUP(A8898,Studies!A:BR,4,FALSE),"")</f>
        <v>100mg FCT MD</v>
      </c>
      <c r="E8898" s="250" t="str">
        <f>IF(AND(A8898&lt;&gt;"",ISNUMBER(A8898)),VLOOKUP(A8898,Studies!A:BR,5,FALSE),"")</f>
        <v>Raltegravir</v>
      </c>
      <c r="F8898" s="251" t="str">
        <f>IF(AND(A8898&lt;&gt;"",ISNUMBER(A8898)),VLOOKUP(A8898,Studies!A:BR,6,FALSE),"")</f>
        <v>Plasma</v>
      </c>
      <c r="G8898" s="194">
        <v>217</v>
      </c>
      <c r="H8898" s="50" t="s">
        <v>60</v>
      </c>
      <c r="I8898" s="187">
        <v>1333.3333740234375</v>
      </c>
      <c r="J8898" s="41" t="s">
        <v>964</v>
      </c>
      <c r="K8898" s="41" t="s">
        <v>116</v>
      </c>
    </row>
    <row r="8899" spans="1:11" x14ac:dyDescent="0.2">
      <c r="A8899" s="30">
        <v>5296</v>
      </c>
      <c r="B8899" s="249" t="str">
        <f>IF(AND(A8899&lt;&gt;"",ISNUMBER(A8899)),VLOOKUP(A8899,Studies!A:BR,2,FALSE),"")</f>
        <v>Markowitz 2006</v>
      </c>
      <c r="C8899" s="250" t="str">
        <f>IF(AND(A8899&lt;&gt;"",ISNUMBER(A8899)),VLOOKUP(A8899,Studies!A:BR,3,FALSE),"")</f>
        <v>https://www.ncbi.nlm.nih.gov/pubmed/17133211</v>
      </c>
      <c r="D8899" s="250" t="str">
        <f>IF(AND(A8899&lt;&gt;"",ISNUMBER(A8899)),VLOOKUP(A8899,Studies!A:BR,4,FALSE),"")</f>
        <v>100mg FCT MD</v>
      </c>
      <c r="E8899" s="250" t="str">
        <f>IF(AND(A8899&lt;&gt;"",ISNUMBER(A8899)),VLOOKUP(A8899,Studies!A:BR,5,FALSE),"")</f>
        <v>Raltegravir</v>
      </c>
      <c r="F8899" s="251" t="str">
        <f>IF(AND(A8899&lt;&gt;"",ISNUMBER(A8899)),VLOOKUP(A8899,Studies!A:BR,6,FALSE),"")</f>
        <v>Plasma</v>
      </c>
      <c r="G8899" s="194">
        <v>217.5</v>
      </c>
      <c r="H8899" s="50" t="s">
        <v>60</v>
      </c>
      <c r="I8899" s="187">
        <v>1747.747802734375</v>
      </c>
      <c r="J8899" s="41" t="s">
        <v>964</v>
      </c>
      <c r="K8899" s="41" t="s">
        <v>116</v>
      </c>
    </row>
    <row r="8900" spans="1:11" x14ac:dyDescent="0.2">
      <c r="A8900" s="30">
        <v>5296</v>
      </c>
      <c r="B8900" s="249" t="str">
        <f>IF(AND(A8900&lt;&gt;"",ISNUMBER(A8900)),VLOOKUP(A8900,Studies!A:BR,2,FALSE),"")</f>
        <v>Markowitz 2006</v>
      </c>
      <c r="C8900" s="250" t="str">
        <f>IF(AND(A8900&lt;&gt;"",ISNUMBER(A8900)),VLOOKUP(A8900,Studies!A:BR,3,FALSE),"")</f>
        <v>https://www.ncbi.nlm.nih.gov/pubmed/17133211</v>
      </c>
      <c r="D8900" s="250" t="str">
        <f>IF(AND(A8900&lt;&gt;"",ISNUMBER(A8900)),VLOOKUP(A8900,Studies!A:BR,4,FALSE),"")</f>
        <v>100mg FCT MD</v>
      </c>
      <c r="E8900" s="250" t="str">
        <f>IF(AND(A8900&lt;&gt;"",ISNUMBER(A8900)),VLOOKUP(A8900,Studies!A:BR,5,FALSE),"")</f>
        <v>Raltegravir</v>
      </c>
      <c r="F8900" s="251" t="str">
        <f>IF(AND(A8900&lt;&gt;"",ISNUMBER(A8900)),VLOOKUP(A8900,Studies!A:BR,6,FALSE),"")</f>
        <v>Plasma</v>
      </c>
      <c r="G8900" s="194">
        <v>218</v>
      </c>
      <c r="H8900" s="50" t="s">
        <v>60</v>
      </c>
      <c r="I8900" s="187">
        <v>1909.9100341796875</v>
      </c>
      <c r="J8900" s="41" t="s">
        <v>964</v>
      </c>
      <c r="K8900" s="41" t="s">
        <v>116</v>
      </c>
    </row>
    <row r="8901" spans="1:11" x14ac:dyDescent="0.2">
      <c r="A8901" s="30">
        <v>5296</v>
      </c>
      <c r="B8901" s="249" t="str">
        <f>IF(AND(A8901&lt;&gt;"",ISNUMBER(A8901)),VLOOKUP(A8901,Studies!A:BR,2,FALSE),"")</f>
        <v>Markowitz 2006</v>
      </c>
      <c r="C8901" s="250" t="str">
        <f>IF(AND(A8901&lt;&gt;"",ISNUMBER(A8901)),VLOOKUP(A8901,Studies!A:BR,3,FALSE),"")</f>
        <v>https://www.ncbi.nlm.nih.gov/pubmed/17133211</v>
      </c>
      <c r="D8901" s="250" t="str">
        <f>IF(AND(A8901&lt;&gt;"",ISNUMBER(A8901)),VLOOKUP(A8901,Studies!A:BR,4,FALSE),"")</f>
        <v>100mg FCT MD</v>
      </c>
      <c r="E8901" s="250" t="str">
        <f>IF(AND(A8901&lt;&gt;"",ISNUMBER(A8901)),VLOOKUP(A8901,Studies!A:BR,5,FALSE),"")</f>
        <v>Raltegravir</v>
      </c>
      <c r="F8901" s="251" t="str">
        <f>IF(AND(A8901&lt;&gt;"",ISNUMBER(A8901)),VLOOKUP(A8901,Studies!A:BR,6,FALSE),"")</f>
        <v>Plasma</v>
      </c>
      <c r="G8901" s="194">
        <v>219</v>
      </c>
      <c r="H8901" s="50" t="s">
        <v>60</v>
      </c>
      <c r="I8901" s="187">
        <v>972.9730224609375</v>
      </c>
      <c r="J8901" s="41" t="s">
        <v>964</v>
      </c>
      <c r="K8901" s="41" t="s">
        <v>116</v>
      </c>
    </row>
    <row r="8902" spans="1:11" x14ac:dyDescent="0.2">
      <c r="A8902" s="30">
        <v>5296</v>
      </c>
      <c r="B8902" s="249" t="str">
        <f>IF(AND(A8902&lt;&gt;"",ISNUMBER(A8902)),VLOOKUP(A8902,Studies!A:BR,2,FALSE),"")</f>
        <v>Markowitz 2006</v>
      </c>
      <c r="C8902" s="250" t="str">
        <f>IF(AND(A8902&lt;&gt;"",ISNUMBER(A8902)),VLOOKUP(A8902,Studies!A:BR,3,FALSE),"")</f>
        <v>https://www.ncbi.nlm.nih.gov/pubmed/17133211</v>
      </c>
      <c r="D8902" s="250" t="str">
        <f>IF(AND(A8902&lt;&gt;"",ISNUMBER(A8902)),VLOOKUP(A8902,Studies!A:BR,4,FALSE),"")</f>
        <v>100mg FCT MD</v>
      </c>
      <c r="E8902" s="250" t="str">
        <f>IF(AND(A8902&lt;&gt;"",ISNUMBER(A8902)),VLOOKUP(A8902,Studies!A:BR,5,FALSE),"")</f>
        <v>Raltegravir</v>
      </c>
      <c r="F8902" s="251" t="str">
        <f>IF(AND(A8902&lt;&gt;"",ISNUMBER(A8902)),VLOOKUP(A8902,Studies!A:BR,6,FALSE),"")</f>
        <v>Plasma</v>
      </c>
      <c r="G8902" s="194">
        <v>220</v>
      </c>
      <c r="H8902" s="50" t="s">
        <v>60</v>
      </c>
      <c r="I8902" s="187">
        <v>594.5946044921875</v>
      </c>
      <c r="J8902" s="41" t="s">
        <v>964</v>
      </c>
      <c r="K8902" s="41" t="s">
        <v>116</v>
      </c>
    </row>
    <row r="8903" spans="1:11" x14ac:dyDescent="0.2">
      <c r="A8903" s="30">
        <v>5296</v>
      </c>
      <c r="B8903" s="249" t="str">
        <f>IF(AND(A8903&lt;&gt;"",ISNUMBER(A8903)),VLOOKUP(A8903,Studies!A:BR,2,FALSE),"")</f>
        <v>Markowitz 2006</v>
      </c>
      <c r="C8903" s="250" t="str">
        <f>IF(AND(A8903&lt;&gt;"",ISNUMBER(A8903)),VLOOKUP(A8903,Studies!A:BR,3,FALSE),"")</f>
        <v>https://www.ncbi.nlm.nih.gov/pubmed/17133211</v>
      </c>
      <c r="D8903" s="250" t="str">
        <f>IF(AND(A8903&lt;&gt;"",ISNUMBER(A8903)),VLOOKUP(A8903,Studies!A:BR,4,FALSE),"")</f>
        <v>100mg FCT MD</v>
      </c>
      <c r="E8903" s="250" t="str">
        <f>IF(AND(A8903&lt;&gt;"",ISNUMBER(A8903)),VLOOKUP(A8903,Studies!A:BR,5,FALSE),"")</f>
        <v>Raltegravir</v>
      </c>
      <c r="F8903" s="251" t="str">
        <f>IF(AND(A8903&lt;&gt;"",ISNUMBER(A8903)),VLOOKUP(A8903,Studies!A:BR,6,FALSE),"")</f>
        <v>Plasma</v>
      </c>
      <c r="G8903" s="194">
        <v>222</v>
      </c>
      <c r="H8903" s="50" t="s">
        <v>60</v>
      </c>
      <c r="I8903" s="187">
        <v>216.21621704101563</v>
      </c>
      <c r="J8903" s="41" t="s">
        <v>964</v>
      </c>
      <c r="K8903" s="41" t="s">
        <v>116</v>
      </c>
    </row>
    <row r="8904" spans="1:11" x14ac:dyDescent="0.2">
      <c r="A8904" s="30">
        <v>5296</v>
      </c>
      <c r="B8904" s="249" t="str">
        <f>IF(AND(A8904&lt;&gt;"",ISNUMBER(A8904)),VLOOKUP(A8904,Studies!A:BR,2,FALSE),"")</f>
        <v>Markowitz 2006</v>
      </c>
      <c r="C8904" s="250" t="str">
        <f>IF(AND(A8904&lt;&gt;"",ISNUMBER(A8904)),VLOOKUP(A8904,Studies!A:BR,3,FALSE),"")</f>
        <v>https://www.ncbi.nlm.nih.gov/pubmed/17133211</v>
      </c>
      <c r="D8904" s="250" t="str">
        <f>IF(AND(A8904&lt;&gt;"",ISNUMBER(A8904)),VLOOKUP(A8904,Studies!A:BR,4,FALSE),"")</f>
        <v>100mg FCT MD</v>
      </c>
      <c r="E8904" s="250" t="str">
        <f>IF(AND(A8904&lt;&gt;"",ISNUMBER(A8904)),VLOOKUP(A8904,Studies!A:BR,5,FALSE),"")</f>
        <v>Raltegravir</v>
      </c>
      <c r="F8904" s="251" t="str">
        <f>IF(AND(A8904&lt;&gt;"",ISNUMBER(A8904)),VLOOKUP(A8904,Studies!A:BR,6,FALSE),"")</f>
        <v>Plasma</v>
      </c>
      <c r="G8904" s="194">
        <v>224</v>
      </c>
      <c r="H8904" s="50" t="s">
        <v>60</v>
      </c>
      <c r="I8904" s="187">
        <v>126.12612915039063</v>
      </c>
      <c r="J8904" s="41" t="s">
        <v>964</v>
      </c>
      <c r="K8904" s="41" t="s">
        <v>116</v>
      </c>
    </row>
    <row r="8905" spans="1:11" x14ac:dyDescent="0.2">
      <c r="A8905" s="30">
        <v>5296</v>
      </c>
      <c r="B8905" s="249" t="str">
        <f>IF(AND(A8905&lt;&gt;"",ISNUMBER(A8905)),VLOOKUP(A8905,Studies!A:BR,2,FALSE),"")</f>
        <v>Markowitz 2006</v>
      </c>
      <c r="C8905" s="250" t="str">
        <f>IF(AND(A8905&lt;&gt;"",ISNUMBER(A8905)),VLOOKUP(A8905,Studies!A:BR,3,FALSE),"")</f>
        <v>https://www.ncbi.nlm.nih.gov/pubmed/17133211</v>
      </c>
      <c r="D8905" s="250" t="str">
        <f>IF(AND(A8905&lt;&gt;"",ISNUMBER(A8905)),VLOOKUP(A8905,Studies!A:BR,4,FALSE),"")</f>
        <v>100mg FCT MD</v>
      </c>
      <c r="E8905" s="250" t="str">
        <f>IF(AND(A8905&lt;&gt;"",ISNUMBER(A8905)),VLOOKUP(A8905,Studies!A:BR,5,FALSE),"")</f>
        <v>Raltegravir</v>
      </c>
      <c r="F8905" s="251" t="str">
        <f>IF(AND(A8905&lt;&gt;"",ISNUMBER(A8905)),VLOOKUP(A8905,Studies!A:BR,6,FALSE),"")</f>
        <v>Plasma</v>
      </c>
      <c r="G8905" s="194">
        <v>228</v>
      </c>
      <c r="H8905" s="50" t="s">
        <v>60</v>
      </c>
      <c r="I8905" s="187">
        <v>54.054054260253906</v>
      </c>
      <c r="J8905" s="41" t="s">
        <v>964</v>
      </c>
      <c r="K8905" s="41" t="s">
        <v>116</v>
      </c>
    </row>
    <row r="8906" spans="1:11" x14ac:dyDescent="0.2">
      <c r="A8906" s="30">
        <v>5297</v>
      </c>
      <c r="B8906" s="249" t="str">
        <f>IF(AND(A8906&lt;&gt;"",ISNUMBER(A8906)),VLOOKUP(A8906,Studies!A:BR,2,FALSE),"")</f>
        <v>Markowitz 2006</v>
      </c>
      <c r="C8906" s="250" t="str">
        <f>IF(AND(A8906&lt;&gt;"",ISNUMBER(A8906)),VLOOKUP(A8906,Studies!A:BR,3,FALSE),"")</f>
        <v>https://www.ncbi.nlm.nih.gov/pubmed/17133211</v>
      </c>
      <c r="D8906" s="250" t="str">
        <f>IF(AND(A8906&lt;&gt;"",ISNUMBER(A8906)),VLOOKUP(A8906,Studies!A:BR,4,FALSE),"")</f>
        <v>200mg FCT MD</v>
      </c>
      <c r="E8906" s="250" t="str">
        <f>IF(AND(A8906&lt;&gt;"",ISNUMBER(A8906)),VLOOKUP(A8906,Studies!A:BR,5,FALSE),"")</f>
        <v>Raltegravir</v>
      </c>
      <c r="F8906" s="251" t="str">
        <f>IF(AND(A8906&lt;&gt;"",ISNUMBER(A8906)),VLOOKUP(A8906,Studies!A:BR,6,FALSE),"")</f>
        <v>Plasma</v>
      </c>
      <c r="G8906" s="194">
        <v>216</v>
      </c>
      <c r="H8906" s="50" t="s">
        <v>60</v>
      </c>
      <c r="I8906" s="187">
        <v>432.43243408203125</v>
      </c>
      <c r="J8906" s="41" t="s">
        <v>964</v>
      </c>
      <c r="K8906" s="41" t="s">
        <v>116</v>
      </c>
    </row>
    <row r="8907" spans="1:11" x14ac:dyDescent="0.2">
      <c r="A8907" s="30">
        <v>5297</v>
      </c>
      <c r="B8907" s="249" t="str">
        <f>IF(AND(A8907&lt;&gt;"",ISNUMBER(A8907)),VLOOKUP(A8907,Studies!A:BR,2,FALSE),"")</f>
        <v>Markowitz 2006</v>
      </c>
      <c r="C8907" s="250" t="str">
        <f>IF(AND(A8907&lt;&gt;"",ISNUMBER(A8907)),VLOOKUP(A8907,Studies!A:BR,3,FALSE),"")</f>
        <v>https://www.ncbi.nlm.nih.gov/pubmed/17133211</v>
      </c>
      <c r="D8907" s="250" t="str">
        <f>IF(AND(A8907&lt;&gt;"",ISNUMBER(A8907)),VLOOKUP(A8907,Studies!A:BR,4,FALSE),"")</f>
        <v>200mg FCT MD</v>
      </c>
      <c r="E8907" s="250" t="str">
        <f>IF(AND(A8907&lt;&gt;"",ISNUMBER(A8907)),VLOOKUP(A8907,Studies!A:BR,5,FALSE),"")</f>
        <v>Raltegravir</v>
      </c>
      <c r="F8907" s="251" t="str">
        <f>IF(AND(A8907&lt;&gt;"",ISNUMBER(A8907)),VLOOKUP(A8907,Studies!A:BR,6,FALSE),"")</f>
        <v>Plasma</v>
      </c>
      <c r="G8907" s="194">
        <v>216.5</v>
      </c>
      <c r="H8907" s="50" t="s">
        <v>60</v>
      </c>
      <c r="I8907" s="187">
        <v>1225.2252197265625</v>
      </c>
      <c r="J8907" s="41" t="s">
        <v>964</v>
      </c>
      <c r="K8907" s="41" t="s">
        <v>116</v>
      </c>
    </row>
    <row r="8908" spans="1:11" x14ac:dyDescent="0.2">
      <c r="A8908" s="30">
        <v>5297</v>
      </c>
      <c r="B8908" s="249" t="str">
        <f>IF(AND(A8908&lt;&gt;"",ISNUMBER(A8908)),VLOOKUP(A8908,Studies!A:BR,2,FALSE),"")</f>
        <v>Markowitz 2006</v>
      </c>
      <c r="C8908" s="250" t="str">
        <f>IF(AND(A8908&lt;&gt;"",ISNUMBER(A8908)),VLOOKUP(A8908,Studies!A:BR,3,FALSE),"")</f>
        <v>https://www.ncbi.nlm.nih.gov/pubmed/17133211</v>
      </c>
      <c r="D8908" s="250" t="str">
        <f>IF(AND(A8908&lt;&gt;"",ISNUMBER(A8908)),VLOOKUP(A8908,Studies!A:BR,4,FALSE),"")</f>
        <v>200mg FCT MD</v>
      </c>
      <c r="E8908" s="250" t="str">
        <f>IF(AND(A8908&lt;&gt;"",ISNUMBER(A8908)),VLOOKUP(A8908,Studies!A:BR,5,FALSE),"")</f>
        <v>Raltegravir</v>
      </c>
      <c r="F8908" s="251" t="str">
        <f>IF(AND(A8908&lt;&gt;"",ISNUMBER(A8908)),VLOOKUP(A8908,Studies!A:BR,6,FALSE),"")</f>
        <v>Plasma</v>
      </c>
      <c r="G8908" s="194">
        <v>217</v>
      </c>
      <c r="H8908" s="50" t="s">
        <v>60</v>
      </c>
      <c r="I8908" s="187">
        <v>2594.5947265625</v>
      </c>
      <c r="J8908" s="41" t="s">
        <v>964</v>
      </c>
      <c r="K8908" s="41" t="s">
        <v>116</v>
      </c>
    </row>
    <row r="8909" spans="1:11" x14ac:dyDescent="0.2">
      <c r="A8909" s="30">
        <v>5297</v>
      </c>
      <c r="B8909" s="249" t="str">
        <f>IF(AND(A8909&lt;&gt;"",ISNUMBER(A8909)),VLOOKUP(A8909,Studies!A:BR,2,FALSE),"")</f>
        <v>Markowitz 2006</v>
      </c>
      <c r="C8909" s="250" t="str">
        <f>IF(AND(A8909&lt;&gt;"",ISNUMBER(A8909)),VLOOKUP(A8909,Studies!A:BR,3,FALSE),"")</f>
        <v>https://www.ncbi.nlm.nih.gov/pubmed/17133211</v>
      </c>
      <c r="D8909" s="250" t="str">
        <f>IF(AND(A8909&lt;&gt;"",ISNUMBER(A8909)),VLOOKUP(A8909,Studies!A:BR,4,FALSE),"")</f>
        <v>200mg FCT MD</v>
      </c>
      <c r="E8909" s="250" t="str">
        <f>IF(AND(A8909&lt;&gt;"",ISNUMBER(A8909)),VLOOKUP(A8909,Studies!A:BR,5,FALSE),"")</f>
        <v>Raltegravir</v>
      </c>
      <c r="F8909" s="251" t="str">
        <f>IF(AND(A8909&lt;&gt;"",ISNUMBER(A8909)),VLOOKUP(A8909,Studies!A:BR,6,FALSE),"")</f>
        <v>Plasma</v>
      </c>
      <c r="G8909" s="194">
        <v>217.5</v>
      </c>
      <c r="H8909" s="50" t="s">
        <v>60</v>
      </c>
      <c r="I8909" s="187">
        <v>2126.126220703125</v>
      </c>
      <c r="J8909" s="41" t="s">
        <v>964</v>
      </c>
      <c r="K8909" s="41" t="s">
        <v>116</v>
      </c>
    </row>
    <row r="8910" spans="1:11" x14ac:dyDescent="0.2">
      <c r="A8910" s="30">
        <v>5297</v>
      </c>
      <c r="B8910" s="249" t="str">
        <f>IF(AND(A8910&lt;&gt;"",ISNUMBER(A8910)),VLOOKUP(A8910,Studies!A:BR,2,FALSE),"")</f>
        <v>Markowitz 2006</v>
      </c>
      <c r="C8910" s="250" t="str">
        <f>IF(AND(A8910&lt;&gt;"",ISNUMBER(A8910)),VLOOKUP(A8910,Studies!A:BR,3,FALSE),"")</f>
        <v>https://www.ncbi.nlm.nih.gov/pubmed/17133211</v>
      </c>
      <c r="D8910" s="250" t="str">
        <f>IF(AND(A8910&lt;&gt;"",ISNUMBER(A8910)),VLOOKUP(A8910,Studies!A:BR,4,FALSE),"")</f>
        <v>200mg FCT MD</v>
      </c>
      <c r="E8910" s="250" t="str">
        <f>IF(AND(A8910&lt;&gt;"",ISNUMBER(A8910)),VLOOKUP(A8910,Studies!A:BR,5,FALSE),"")</f>
        <v>Raltegravir</v>
      </c>
      <c r="F8910" s="251" t="str">
        <f>IF(AND(A8910&lt;&gt;"",ISNUMBER(A8910)),VLOOKUP(A8910,Studies!A:BR,6,FALSE),"")</f>
        <v>Plasma</v>
      </c>
      <c r="G8910" s="194">
        <v>218</v>
      </c>
      <c r="H8910" s="50" t="s">
        <v>60</v>
      </c>
      <c r="I8910" s="187">
        <v>2540.54052734375</v>
      </c>
      <c r="J8910" s="41" t="s">
        <v>964</v>
      </c>
      <c r="K8910" s="41" t="s">
        <v>116</v>
      </c>
    </row>
    <row r="8911" spans="1:11" x14ac:dyDescent="0.2">
      <c r="A8911" s="30">
        <v>5297</v>
      </c>
      <c r="B8911" s="249" t="str">
        <f>IF(AND(A8911&lt;&gt;"",ISNUMBER(A8911)),VLOOKUP(A8911,Studies!A:BR,2,FALSE),"")</f>
        <v>Markowitz 2006</v>
      </c>
      <c r="C8911" s="250" t="str">
        <f>IF(AND(A8911&lt;&gt;"",ISNUMBER(A8911)),VLOOKUP(A8911,Studies!A:BR,3,FALSE),"")</f>
        <v>https://www.ncbi.nlm.nih.gov/pubmed/17133211</v>
      </c>
      <c r="D8911" s="250" t="str">
        <f>IF(AND(A8911&lt;&gt;"",ISNUMBER(A8911)),VLOOKUP(A8911,Studies!A:BR,4,FALSE),"")</f>
        <v>200mg FCT MD</v>
      </c>
      <c r="E8911" s="250" t="str">
        <f>IF(AND(A8911&lt;&gt;"",ISNUMBER(A8911)),VLOOKUP(A8911,Studies!A:BR,5,FALSE),"")</f>
        <v>Raltegravir</v>
      </c>
      <c r="F8911" s="251" t="str">
        <f>IF(AND(A8911&lt;&gt;"",ISNUMBER(A8911)),VLOOKUP(A8911,Studies!A:BR,6,FALSE),"")</f>
        <v>Plasma</v>
      </c>
      <c r="G8911" s="194">
        <v>219</v>
      </c>
      <c r="H8911" s="50" t="s">
        <v>60</v>
      </c>
      <c r="I8911" s="187">
        <v>1873.8739013671875</v>
      </c>
      <c r="J8911" s="41" t="s">
        <v>964</v>
      </c>
      <c r="K8911" s="41" t="s">
        <v>116</v>
      </c>
    </row>
    <row r="8912" spans="1:11" x14ac:dyDescent="0.2">
      <c r="A8912" s="30">
        <v>5297</v>
      </c>
      <c r="B8912" s="249" t="str">
        <f>IF(AND(A8912&lt;&gt;"",ISNUMBER(A8912)),VLOOKUP(A8912,Studies!A:BR,2,FALSE),"")</f>
        <v>Markowitz 2006</v>
      </c>
      <c r="C8912" s="250" t="str">
        <f>IF(AND(A8912&lt;&gt;"",ISNUMBER(A8912)),VLOOKUP(A8912,Studies!A:BR,3,FALSE),"")</f>
        <v>https://www.ncbi.nlm.nih.gov/pubmed/17133211</v>
      </c>
      <c r="D8912" s="250" t="str">
        <f>IF(AND(A8912&lt;&gt;"",ISNUMBER(A8912)),VLOOKUP(A8912,Studies!A:BR,4,FALSE),"")</f>
        <v>200mg FCT MD</v>
      </c>
      <c r="E8912" s="250" t="str">
        <f>IF(AND(A8912&lt;&gt;"",ISNUMBER(A8912)),VLOOKUP(A8912,Studies!A:BR,5,FALSE),"")</f>
        <v>Raltegravir</v>
      </c>
      <c r="F8912" s="251" t="str">
        <f>IF(AND(A8912&lt;&gt;"",ISNUMBER(A8912)),VLOOKUP(A8912,Studies!A:BR,6,FALSE),"")</f>
        <v>Plasma</v>
      </c>
      <c r="G8912" s="194">
        <v>220</v>
      </c>
      <c r="H8912" s="50" t="s">
        <v>60</v>
      </c>
      <c r="I8912" s="187">
        <v>1027.027099609375</v>
      </c>
      <c r="J8912" s="41" t="s">
        <v>964</v>
      </c>
      <c r="K8912" s="41" t="s">
        <v>116</v>
      </c>
    </row>
    <row r="8913" spans="1:11" x14ac:dyDescent="0.2">
      <c r="A8913" s="30">
        <v>5297</v>
      </c>
      <c r="B8913" s="249" t="str">
        <f>IF(AND(A8913&lt;&gt;"",ISNUMBER(A8913)),VLOOKUP(A8913,Studies!A:BR,2,FALSE),"")</f>
        <v>Markowitz 2006</v>
      </c>
      <c r="C8913" s="250" t="str">
        <f>IF(AND(A8913&lt;&gt;"",ISNUMBER(A8913)),VLOOKUP(A8913,Studies!A:BR,3,FALSE),"")</f>
        <v>https://www.ncbi.nlm.nih.gov/pubmed/17133211</v>
      </c>
      <c r="D8913" s="250" t="str">
        <f>IF(AND(A8913&lt;&gt;"",ISNUMBER(A8913)),VLOOKUP(A8913,Studies!A:BR,4,FALSE),"")</f>
        <v>200mg FCT MD</v>
      </c>
      <c r="E8913" s="250" t="str">
        <f>IF(AND(A8913&lt;&gt;"",ISNUMBER(A8913)),VLOOKUP(A8913,Studies!A:BR,5,FALSE),"")</f>
        <v>Raltegravir</v>
      </c>
      <c r="F8913" s="251" t="str">
        <f>IF(AND(A8913&lt;&gt;"",ISNUMBER(A8913)),VLOOKUP(A8913,Studies!A:BR,6,FALSE),"")</f>
        <v>Plasma</v>
      </c>
      <c r="G8913" s="194">
        <v>222</v>
      </c>
      <c r="H8913" s="50" t="s">
        <v>60</v>
      </c>
      <c r="I8913" s="187">
        <v>450.45046997070313</v>
      </c>
      <c r="J8913" s="41" t="s">
        <v>964</v>
      </c>
      <c r="K8913" s="41" t="s">
        <v>116</v>
      </c>
    </row>
    <row r="8914" spans="1:11" x14ac:dyDescent="0.2">
      <c r="A8914" s="30">
        <v>5297</v>
      </c>
      <c r="B8914" s="249" t="str">
        <f>IF(AND(A8914&lt;&gt;"",ISNUMBER(A8914)),VLOOKUP(A8914,Studies!A:BR,2,FALSE),"")</f>
        <v>Markowitz 2006</v>
      </c>
      <c r="C8914" s="250" t="str">
        <f>IF(AND(A8914&lt;&gt;"",ISNUMBER(A8914)),VLOOKUP(A8914,Studies!A:BR,3,FALSE),"")</f>
        <v>https://www.ncbi.nlm.nih.gov/pubmed/17133211</v>
      </c>
      <c r="D8914" s="250" t="str">
        <f>IF(AND(A8914&lt;&gt;"",ISNUMBER(A8914)),VLOOKUP(A8914,Studies!A:BR,4,FALSE),"")</f>
        <v>200mg FCT MD</v>
      </c>
      <c r="E8914" s="250" t="str">
        <f>IF(AND(A8914&lt;&gt;"",ISNUMBER(A8914)),VLOOKUP(A8914,Studies!A:BR,5,FALSE),"")</f>
        <v>Raltegravir</v>
      </c>
      <c r="F8914" s="251" t="str">
        <f>IF(AND(A8914&lt;&gt;"",ISNUMBER(A8914)),VLOOKUP(A8914,Studies!A:BR,6,FALSE),"")</f>
        <v>Plasma</v>
      </c>
      <c r="G8914" s="194">
        <v>224</v>
      </c>
      <c r="H8914" s="50" t="s">
        <v>60</v>
      </c>
      <c r="I8914" s="187">
        <v>270.27029418945313</v>
      </c>
      <c r="J8914" s="41" t="s">
        <v>964</v>
      </c>
      <c r="K8914" s="41" t="s">
        <v>116</v>
      </c>
    </row>
    <row r="8915" spans="1:11" x14ac:dyDescent="0.2">
      <c r="A8915" s="30">
        <v>5297</v>
      </c>
      <c r="B8915" s="249" t="str">
        <f>IF(AND(A8915&lt;&gt;"",ISNUMBER(A8915)),VLOOKUP(A8915,Studies!A:BR,2,FALSE),"")</f>
        <v>Markowitz 2006</v>
      </c>
      <c r="C8915" s="250" t="str">
        <f>IF(AND(A8915&lt;&gt;"",ISNUMBER(A8915)),VLOOKUP(A8915,Studies!A:BR,3,FALSE),"")</f>
        <v>https://www.ncbi.nlm.nih.gov/pubmed/17133211</v>
      </c>
      <c r="D8915" s="250" t="str">
        <f>IF(AND(A8915&lt;&gt;"",ISNUMBER(A8915)),VLOOKUP(A8915,Studies!A:BR,4,FALSE),"")</f>
        <v>200mg FCT MD</v>
      </c>
      <c r="E8915" s="250" t="str">
        <f>IF(AND(A8915&lt;&gt;"",ISNUMBER(A8915)),VLOOKUP(A8915,Studies!A:BR,5,FALSE),"")</f>
        <v>Raltegravir</v>
      </c>
      <c r="F8915" s="251" t="str">
        <f>IF(AND(A8915&lt;&gt;"",ISNUMBER(A8915)),VLOOKUP(A8915,Studies!A:BR,6,FALSE),"")</f>
        <v>Plasma</v>
      </c>
      <c r="G8915" s="194">
        <v>228</v>
      </c>
      <c r="H8915" s="50" t="s">
        <v>60</v>
      </c>
      <c r="I8915" s="187">
        <v>144.14414978027344</v>
      </c>
      <c r="J8915" s="41" t="s">
        <v>964</v>
      </c>
      <c r="K8915" s="41" t="s">
        <v>116</v>
      </c>
    </row>
    <row r="8916" spans="1:11" x14ac:dyDescent="0.2">
      <c r="A8916" s="30">
        <v>5298</v>
      </c>
      <c r="B8916" s="249" t="str">
        <f>IF(AND(A8916&lt;&gt;"",ISNUMBER(A8916)),VLOOKUP(A8916,Studies!A:BR,2,FALSE),"")</f>
        <v>Markowitz 2006</v>
      </c>
      <c r="C8916" s="250" t="str">
        <f>IF(AND(A8916&lt;&gt;"",ISNUMBER(A8916)),VLOOKUP(A8916,Studies!A:BR,3,FALSE),"")</f>
        <v>https://www.ncbi.nlm.nih.gov/pubmed/17133211</v>
      </c>
      <c r="D8916" s="250" t="str">
        <f>IF(AND(A8916&lt;&gt;"",ISNUMBER(A8916)),VLOOKUP(A8916,Studies!A:BR,4,FALSE),"")</f>
        <v>400mg FCT MD</v>
      </c>
      <c r="E8916" s="250" t="str">
        <f>IF(AND(A8916&lt;&gt;"",ISNUMBER(A8916)),VLOOKUP(A8916,Studies!A:BR,5,FALSE),"")</f>
        <v>Raltegravir</v>
      </c>
      <c r="F8916" s="251" t="str">
        <f>IF(AND(A8916&lt;&gt;"",ISNUMBER(A8916)),VLOOKUP(A8916,Studies!A:BR,6,FALSE),"")</f>
        <v>Plasma</v>
      </c>
      <c r="G8916" s="194">
        <v>216</v>
      </c>
      <c r="H8916" s="50" t="s">
        <v>60</v>
      </c>
      <c r="I8916" s="187">
        <v>360.36038208007813</v>
      </c>
      <c r="J8916" s="41" t="s">
        <v>964</v>
      </c>
      <c r="K8916" s="41" t="s">
        <v>116</v>
      </c>
    </row>
    <row r="8917" spans="1:11" x14ac:dyDescent="0.2">
      <c r="A8917" s="30">
        <v>5298</v>
      </c>
      <c r="B8917" s="249" t="str">
        <f>IF(AND(A8917&lt;&gt;"",ISNUMBER(A8917)),VLOOKUP(A8917,Studies!A:BR,2,FALSE),"")</f>
        <v>Markowitz 2006</v>
      </c>
      <c r="C8917" s="250" t="str">
        <f>IF(AND(A8917&lt;&gt;"",ISNUMBER(A8917)),VLOOKUP(A8917,Studies!A:BR,3,FALSE),"")</f>
        <v>https://www.ncbi.nlm.nih.gov/pubmed/17133211</v>
      </c>
      <c r="D8917" s="250" t="str">
        <f>IF(AND(A8917&lt;&gt;"",ISNUMBER(A8917)),VLOOKUP(A8917,Studies!A:BR,4,FALSE),"")</f>
        <v>400mg FCT MD</v>
      </c>
      <c r="E8917" s="250" t="str">
        <f>IF(AND(A8917&lt;&gt;"",ISNUMBER(A8917)),VLOOKUP(A8917,Studies!A:BR,5,FALSE),"")</f>
        <v>Raltegravir</v>
      </c>
      <c r="F8917" s="251" t="str">
        <f>IF(AND(A8917&lt;&gt;"",ISNUMBER(A8917)),VLOOKUP(A8917,Studies!A:BR,6,FALSE),"")</f>
        <v>Plasma</v>
      </c>
      <c r="G8917" s="194">
        <v>216.5</v>
      </c>
      <c r="H8917" s="50" t="s">
        <v>60</v>
      </c>
      <c r="I8917" s="187">
        <v>3621.621826171875</v>
      </c>
      <c r="J8917" s="41" t="s">
        <v>964</v>
      </c>
      <c r="K8917" s="41" t="s">
        <v>116</v>
      </c>
    </row>
    <row r="8918" spans="1:11" x14ac:dyDescent="0.2">
      <c r="A8918" s="30">
        <v>5298</v>
      </c>
      <c r="B8918" s="249" t="str">
        <f>IF(AND(A8918&lt;&gt;"",ISNUMBER(A8918)),VLOOKUP(A8918,Studies!A:BR,2,FALSE),"")</f>
        <v>Markowitz 2006</v>
      </c>
      <c r="C8918" s="250" t="str">
        <f>IF(AND(A8918&lt;&gt;"",ISNUMBER(A8918)),VLOOKUP(A8918,Studies!A:BR,3,FALSE),"")</f>
        <v>https://www.ncbi.nlm.nih.gov/pubmed/17133211</v>
      </c>
      <c r="D8918" s="250" t="str">
        <f>IF(AND(A8918&lt;&gt;"",ISNUMBER(A8918)),VLOOKUP(A8918,Studies!A:BR,4,FALSE),"")</f>
        <v>400mg FCT MD</v>
      </c>
      <c r="E8918" s="250" t="str">
        <f>IF(AND(A8918&lt;&gt;"",ISNUMBER(A8918)),VLOOKUP(A8918,Studies!A:BR,5,FALSE),"")</f>
        <v>Raltegravir</v>
      </c>
      <c r="F8918" s="251" t="str">
        <f>IF(AND(A8918&lt;&gt;"",ISNUMBER(A8918)),VLOOKUP(A8918,Studies!A:BR,6,FALSE),"")</f>
        <v>Plasma</v>
      </c>
      <c r="G8918" s="194">
        <v>217</v>
      </c>
      <c r="H8918" s="50" t="s">
        <v>60</v>
      </c>
      <c r="I8918" s="187">
        <v>5045.04541015625</v>
      </c>
      <c r="J8918" s="41" t="s">
        <v>964</v>
      </c>
      <c r="K8918" s="41" t="s">
        <v>116</v>
      </c>
    </row>
    <row r="8919" spans="1:11" x14ac:dyDescent="0.2">
      <c r="A8919" s="30">
        <v>5298</v>
      </c>
      <c r="B8919" s="249" t="str">
        <f>IF(AND(A8919&lt;&gt;"",ISNUMBER(A8919)),VLOOKUP(A8919,Studies!A:BR,2,FALSE),"")</f>
        <v>Markowitz 2006</v>
      </c>
      <c r="C8919" s="250" t="str">
        <f>IF(AND(A8919&lt;&gt;"",ISNUMBER(A8919)),VLOOKUP(A8919,Studies!A:BR,3,FALSE),"")</f>
        <v>https://www.ncbi.nlm.nih.gov/pubmed/17133211</v>
      </c>
      <c r="D8919" s="250" t="str">
        <f>IF(AND(A8919&lt;&gt;"",ISNUMBER(A8919)),VLOOKUP(A8919,Studies!A:BR,4,FALSE),"")</f>
        <v>400mg FCT MD</v>
      </c>
      <c r="E8919" s="250" t="str">
        <f>IF(AND(A8919&lt;&gt;"",ISNUMBER(A8919)),VLOOKUP(A8919,Studies!A:BR,5,FALSE),"")</f>
        <v>Raltegravir</v>
      </c>
      <c r="F8919" s="251" t="str">
        <f>IF(AND(A8919&lt;&gt;"",ISNUMBER(A8919)),VLOOKUP(A8919,Studies!A:BR,6,FALSE),"")</f>
        <v>Plasma</v>
      </c>
      <c r="G8919" s="194">
        <v>217.5</v>
      </c>
      <c r="H8919" s="50" t="s">
        <v>60</v>
      </c>
      <c r="I8919" s="187">
        <v>4486.48681640625</v>
      </c>
      <c r="J8919" s="41" t="s">
        <v>964</v>
      </c>
      <c r="K8919" s="41" t="s">
        <v>116</v>
      </c>
    </row>
    <row r="8920" spans="1:11" x14ac:dyDescent="0.2">
      <c r="A8920" s="30">
        <v>5298</v>
      </c>
      <c r="B8920" s="249" t="str">
        <f>IF(AND(A8920&lt;&gt;"",ISNUMBER(A8920)),VLOOKUP(A8920,Studies!A:BR,2,FALSE),"")</f>
        <v>Markowitz 2006</v>
      </c>
      <c r="C8920" s="250" t="str">
        <f>IF(AND(A8920&lt;&gt;"",ISNUMBER(A8920)),VLOOKUP(A8920,Studies!A:BR,3,FALSE),"")</f>
        <v>https://www.ncbi.nlm.nih.gov/pubmed/17133211</v>
      </c>
      <c r="D8920" s="250" t="str">
        <f>IF(AND(A8920&lt;&gt;"",ISNUMBER(A8920)),VLOOKUP(A8920,Studies!A:BR,4,FALSE),"")</f>
        <v>400mg FCT MD</v>
      </c>
      <c r="E8920" s="250" t="str">
        <f>IF(AND(A8920&lt;&gt;"",ISNUMBER(A8920)),VLOOKUP(A8920,Studies!A:BR,5,FALSE),"")</f>
        <v>Raltegravir</v>
      </c>
      <c r="F8920" s="251" t="str">
        <f>IF(AND(A8920&lt;&gt;"",ISNUMBER(A8920)),VLOOKUP(A8920,Studies!A:BR,6,FALSE),"")</f>
        <v>Plasma</v>
      </c>
      <c r="G8920" s="194">
        <v>218</v>
      </c>
      <c r="H8920" s="50" t="s">
        <v>60</v>
      </c>
      <c r="I8920" s="187">
        <v>4144.14453125</v>
      </c>
      <c r="J8920" s="41" t="s">
        <v>964</v>
      </c>
      <c r="K8920" s="41" t="s">
        <v>116</v>
      </c>
    </row>
    <row r="8921" spans="1:11" x14ac:dyDescent="0.2">
      <c r="A8921" s="30">
        <v>5298</v>
      </c>
      <c r="B8921" s="249" t="str">
        <f>IF(AND(A8921&lt;&gt;"",ISNUMBER(A8921)),VLOOKUP(A8921,Studies!A:BR,2,FALSE),"")</f>
        <v>Markowitz 2006</v>
      </c>
      <c r="C8921" s="250" t="str">
        <f>IF(AND(A8921&lt;&gt;"",ISNUMBER(A8921)),VLOOKUP(A8921,Studies!A:BR,3,FALSE),"")</f>
        <v>https://www.ncbi.nlm.nih.gov/pubmed/17133211</v>
      </c>
      <c r="D8921" s="250" t="str">
        <f>IF(AND(A8921&lt;&gt;"",ISNUMBER(A8921)),VLOOKUP(A8921,Studies!A:BR,4,FALSE),"")</f>
        <v>400mg FCT MD</v>
      </c>
      <c r="E8921" s="250" t="str">
        <f>IF(AND(A8921&lt;&gt;"",ISNUMBER(A8921)),VLOOKUP(A8921,Studies!A:BR,5,FALSE),"")</f>
        <v>Raltegravir</v>
      </c>
      <c r="F8921" s="251" t="str">
        <f>IF(AND(A8921&lt;&gt;"",ISNUMBER(A8921)),VLOOKUP(A8921,Studies!A:BR,6,FALSE),"")</f>
        <v>Plasma</v>
      </c>
      <c r="G8921" s="194">
        <v>219</v>
      </c>
      <c r="H8921" s="50" t="s">
        <v>60</v>
      </c>
      <c r="I8921" s="187">
        <v>2576.57666015625</v>
      </c>
      <c r="J8921" s="41" t="s">
        <v>964</v>
      </c>
      <c r="K8921" s="41" t="s">
        <v>116</v>
      </c>
    </row>
    <row r="8922" spans="1:11" x14ac:dyDescent="0.2">
      <c r="A8922" s="30">
        <v>5298</v>
      </c>
      <c r="B8922" s="249" t="str">
        <f>IF(AND(A8922&lt;&gt;"",ISNUMBER(A8922)),VLOOKUP(A8922,Studies!A:BR,2,FALSE),"")</f>
        <v>Markowitz 2006</v>
      </c>
      <c r="C8922" s="250" t="str">
        <f>IF(AND(A8922&lt;&gt;"",ISNUMBER(A8922)),VLOOKUP(A8922,Studies!A:BR,3,FALSE),"")</f>
        <v>https://www.ncbi.nlm.nih.gov/pubmed/17133211</v>
      </c>
      <c r="D8922" s="250" t="str">
        <f>IF(AND(A8922&lt;&gt;"",ISNUMBER(A8922)),VLOOKUP(A8922,Studies!A:BR,4,FALSE),"")</f>
        <v>400mg FCT MD</v>
      </c>
      <c r="E8922" s="250" t="str">
        <f>IF(AND(A8922&lt;&gt;"",ISNUMBER(A8922)),VLOOKUP(A8922,Studies!A:BR,5,FALSE),"")</f>
        <v>Raltegravir</v>
      </c>
      <c r="F8922" s="251" t="str">
        <f>IF(AND(A8922&lt;&gt;"",ISNUMBER(A8922)),VLOOKUP(A8922,Studies!A:BR,6,FALSE),"")</f>
        <v>Plasma</v>
      </c>
      <c r="G8922" s="194">
        <v>220</v>
      </c>
      <c r="H8922" s="50" t="s">
        <v>60</v>
      </c>
      <c r="I8922" s="187">
        <v>2036.0361328125</v>
      </c>
      <c r="J8922" s="41" t="s">
        <v>964</v>
      </c>
      <c r="K8922" s="41" t="s">
        <v>116</v>
      </c>
    </row>
    <row r="8923" spans="1:11" x14ac:dyDescent="0.2">
      <c r="A8923" s="30">
        <v>5298</v>
      </c>
      <c r="B8923" s="249" t="str">
        <f>IF(AND(A8923&lt;&gt;"",ISNUMBER(A8923)),VLOOKUP(A8923,Studies!A:BR,2,FALSE),"")</f>
        <v>Markowitz 2006</v>
      </c>
      <c r="C8923" s="250" t="str">
        <f>IF(AND(A8923&lt;&gt;"",ISNUMBER(A8923)),VLOOKUP(A8923,Studies!A:BR,3,FALSE),"")</f>
        <v>https://www.ncbi.nlm.nih.gov/pubmed/17133211</v>
      </c>
      <c r="D8923" s="250" t="str">
        <f>IF(AND(A8923&lt;&gt;"",ISNUMBER(A8923)),VLOOKUP(A8923,Studies!A:BR,4,FALSE),"")</f>
        <v>400mg FCT MD</v>
      </c>
      <c r="E8923" s="250" t="str">
        <f>IF(AND(A8923&lt;&gt;"",ISNUMBER(A8923)),VLOOKUP(A8923,Studies!A:BR,5,FALSE),"")</f>
        <v>Raltegravir</v>
      </c>
      <c r="F8923" s="251" t="str">
        <f>IF(AND(A8923&lt;&gt;"",ISNUMBER(A8923)),VLOOKUP(A8923,Studies!A:BR,6,FALSE),"")</f>
        <v>Plasma</v>
      </c>
      <c r="G8923" s="194">
        <v>222</v>
      </c>
      <c r="H8923" s="50" t="s">
        <v>60</v>
      </c>
      <c r="I8923" s="187">
        <v>630.63067626953125</v>
      </c>
      <c r="J8923" s="41" t="s">
        <v>964</v>
      </c>
      <c r="K8923" s="41" t="s">
        <v>116</v>
      </c>
    </row>
    <row r="8924" spans="1:11" x14ac:dyDescent="0.2">
      <c r="A8924" s="30">
        <v>5298</v>
      </c>
      <c r="B8924" s="249" t="str">
        <f>IF(AND(A8924&lt;&gt;"",ISNUMBER(A8924)),VLOOKUP(A8924,Studies!A:BR,2,FALSE),"")</f>
        <v>Markowitz 2006</v>
      </c>
      <c r="C8924" s="250" t="str">
        <f>IF(AND(A8924&lt;&gt;"",ISNUMBER(A8924)),VLOOKUP(A8924,Studies!A:BR,3,FALSE),"")</f>
        <v>https://www.ncbi.nlm.nih.gov/pubmed/17133211</v>
      </c>
      <c r="D8924" s="250" t="str">
        <f>IF(AND(A8924&lt;&gt;"",ISNUMBER(A8924)),VLOOKUP(A8924,Studies!A:BR,4,FALSE),"")</f>
        <v>400mg FCT MD</v>
      </c>
      <c r="E8924" s="250" t="str">
        <f>IF(AND(A8924&lt;&gt;"",ISNUMBER(A8924)),VLOOKUP(A8924,Studies!A:BR,5,FALSE),"")</f>
        <v>Raltegravir</v>
      </c>
      <c r="F8924" s="251" t="str">
        <f>IF(AND(A8924&lt;&gt;"",ISNUMBER(A8924)),VLOOKUP(A8924,Studies!A:BR,6,FALSE),"")</f>
        <v>Plasma</v>
      </c>
      <c r="G8924" s="194">
        <v>224</v>
      </c>
      <c r="H8924" s="50" t="s">
        <v>60</v>
      </c>
      <c r="I8924" s="187">
        <v>306.30630493164063</v>
      </c>
      <c r="J8924" s="41" t="s">
        <v>964</v>
      </c>
      <c r="K8924" s="41" t="s">
        <v>116</v>
      </c>
    </row>
    <row r="8925" spans="1:11" x14ac:dyDescent="0.2">
      <c r="A8925" s="30">
        <v>5298</v>
      </c>
      <c r="B8925" s="249" t="str">
        <f>IF(AND(A8925&lt;&gt;"",ISNUMBER(A8925)),VLOOKUP(A8925,Studies!A:BR,2,FALSE),"")</f>
        <v>Markowitz 2006</v>
      </c>
      <c r="C8925" s="250" t="str">
        <f>IF(AND(A8925&lt;&gt;"",ISNUMBER(A8925)),VLOOKUP(A8925,Studies!A:BR,3,FALSE),"")</f>
        <v>https://www.ncbi.nlm.nih.gov/pubmed/17133211</v>
      </c>
      <c r="D8925" s="250" t="str">
        <f>IF(AND(A8925&lt;&gt;"",ISNUMBER(A8925)),VLOOKUP(A8925,Studies!A:BR,4,FALSE),"")</f>
        <v>400mg FCT MD</v>
      </c>
      <c r="E8925" s="250" t="str">
        <f>IF(AND(A8925&lt;&gt;"",ISNUMBER(A8925)),VLOOKUP(A8925,Studies!A:BR,5,FALSE),"")</f>
        <v>Raltegravir</v>
      </c>
      <c r="F8925" s="251" t="str">
        <f>IF(AND(A8925&lt;&gt;"",ISNUMBER(A8925)),VLOOKUP(A8925,Studies!A:BR,6,FALSE),"")</f>
        <v>Plasma</v>
      </c>
      <c r="G8925" s="194">
        <v>228</v>
      </c>
      <c r="H8925" s="50" t="s">
        <v>60</v>
      </c>
      <c r="I8925" s="187">
        <v>162.16217041015625</v>
      </c>
      <c r="J8925" s="41" t="s">
        <v>964</v>
      </c>
      <c r="K8925" s="41" t="s">
        <v>116</v>
      </c>
    </row>
    <row r="8926" spans="1:11" x14ac:dyDescent="0.2">
      <c r="A8926" s="30">
        <v>5299</v>
      </c>
      <c r="B8926" s="249" t="str">
        <f>IF(AND(A8926&lt;&gt;"",ISNUMBER(A8926)),VLOOKUP(A8926,Studies!A:BR,2,FALSE),"")</f>
        <v>Markowitz 2006</v>
      </c>
      <c r="C8926" s="250" t="str">
        <f>IF(AND(A8926&lt;&gt;"",ISNUMBER(A8926)),VLOOKUP(A8926,Studies!A:BR,3,FALSE),"")</f>
        <v>https://www.ncbi.nlm.nih.gov/pubmed/17133211</v>
      </c>
      <c r="D8926" s="250" t="str">
        <f>IF(AND(A8926&lt;&gt;"",ISNUMBER(A8926)),VLOOKUP(A8926,Studies!A:BR,4,FALSE),"")</f>
        <v>600mg FCT MD</v>
      </c>
      <c r="E8926" s="250" t="str">
        <f>IF(AND(A8926&lt;&gt;"",ISNUMBER(A8926)),VLOOKUP(A8926,Studies!A:BR,5,FALSE),"")</f>
        <v>Raltegravir</v>
      </c>
      <c r="F8926" s="251" t="str">
        <f>IF(AND(A8926&lt;&gt;"",ISNUMBER(A8926)),VLOOKUP(A8926,Studies!A:BR,6,FALSE),"")</f>
        <v>Plasma</v>
      </c>
      <c r="G8926" s="194">
        <v>216</v>
      </c>
      <c r="H8926" s="50" t="s">
        <v>60</v>
      </c>
      <c r="I8926" s="187">
        <v>720.72076416015625</v>
      </c>
      <c r="J8926" s="41" t="s">
        <v>964</v>
      </c>
      <c r="K8926" s="41" t="s">
        <v>116</v>
      </c>
    </row>
    <row r="8927" spans="1:11" x14ac:dyDescent="0.2">
      <c r="A8927" s="30">
        <v>5299</v>
      </c>
      <c r="B8927" s="249" t="str">
        <f>IF(AND(A8927&lt;&gt;"",ISNUMBER(A8927)),VLOOKUP(A8927,Studies!A:BR,2,FALSE),"")</f>
        <v>Markowitz 2006</v>
      </c>
      <c r="C8927" s="250" t="str">
        <f>IF(AND(A8927&lt;&gt;"",ISNUMBER(A8927)),VLOOKUP(A8927,Studies!A:BR,3,FALSE),"")</f>
        <v>https://www.ncbi.nlm.nih.gov/pubmed/17133211</v>
      </c>
      <c r="D8927" s="250" t="str">
        <f>IF(AND(A8927&lt;&gt;"",ISNUMBER(A8927)),VLOOKUP(A8927,Studies!A:BR,4,FALSE),"")</f>
        <v>600mg FCT MD</v>
      </c>
      <c r="E8927" s="250" t="str">
        <f>IF(AND(A8927&lt;&gt;"",ISNUMBER(A8927)),VLOOKUP(A8927,Studies!A:BR,5,FALSE),"")</f>
        <v>Raltegravir</v>
      </c>
      <c r="F8927" s="251" t="str">
        <f>IF(AND(A8927&lt;&gt;"",ISNUMBER(A8927)),VLOOKUP(A8927,Studies!A:BR,6,FALSE),"")</f>
        <v>Plasma</v>
      </c>
      <c r="G8927" s="194">
        <v>216.5</v>
      </c>
      <c r="H8927" s="50" t="s">
        <v>60</v>
      </c>
      <c r="I8927" s="187">
        <v>3135.13525390625</v>
      </c>
      <c r="J8927" s="41" t="s">
        <v>964</v>
      </c>
      <c r="K8927" s="41" t="s">
        <v>116</v>
      </c>
    </row>
    <row r="8928" spans="1:11" x14ac:dyDescent="0.2">
      <c r="A8928" s="30">
        <v>5299</v>
      </c>
      <c r="B8928" s="249" t="str">
        <f>IF(AND(A8928&lt;&gt;"",ISNUMBER(A8928)),VLOOKUP(A8928,Studies!A:BR,2,FALSE),"")</f>
        <v>Markowitz 2006</v>
      </c>
      <c r="C8928" s="250" t="str">
        <f>IF(AND(A8928&lt;&gt;"",ISNUMBER(A8928)),VLOOKUP(A8928,Studies!A:BR,3,FALSE),"")</f>
        <v>https://www.ncbi.nlm.nih.gov/pubmed/17133211</v>
      </c>
      <c r="D8928" s="250" t="str">
        <f>IF(AND(A8928&lt;&gt;"",ISNUMBER(A8928)),VLOOKUP(A8928,Studies!A:BR,4,FALSE),"")</f>
        <v>600mg FCT MD</v>
      </c>
      <c r="E8928" s="250" t="str">
        <f>IF(AND(A8928&lt;&gt;"",ISNUMBER(A8928)),VLOOKUP(A8928,Studies!A:BR,5,FALSE),"")</f>
        <v>Raltegravir</v>
      </c>
      <c r="F8928" s="251" t="str">
        <f>IF(AND(A8928&lt;&gt;"",ISNUMBER(A8928)),VLOOKUP(A8928,Studies!A:BR,6,FALSE),"")</f>
        <v>Plasma</v>
      </c>
      <c r="G8928" s="194">
        <v>217</v>
      </c>
      <c r="H8928" s="50" t="s">
        <v>60</v>
      </c>
      <c r="I8928" s="187">
        <v>3441.441650390625</v>
      </c>
      <c r="J8928" s="41" t="s">
        <v>964</v>
      </c>
      <c r="K8928" s="41" t="s">
        <v>116</v>
      </c>
    </row>
    <row r="8929" spans="1:11" x14ac:dyDescent="0.2">
      <c r="A8929" s="30">
        <v>5299</v>
      </c>
      <c r="B8929" s="249" t="str">
        <f>IF(AND(A8929&lt;&gt;"",ISNUMBER(A8929)),VLOOKUP(A8929,Studies!A:BR,2,FALSE),"")</f>
        <v>Markowitz 2006</v>
      </c>
      <c r="C8929" s="250" t="str">
        <f>IF(AND(A8929&lt;&gt;"",ISNUMBER(A8929)),VLOOKUP(A8929,Studies!A:BR,3,FALSE),"")</f>
        <v>https://www.ncbi.nlm.nih.gov/pubmed/17133211</v>
      </c>
      <c r="D8929" s="250" t="str">
        <f>IF(AND(A8929&lt;&gt;"",ISNUMBER(A8929)),VLOOKUP(A8929,Studies!A:BR,4,FALSE),"")</f>
        <v>600mg FCT MD</v>
      </c>
      <c r="E8929" s="250" t="str">
        <f>IF(AND(A8929&lt;&gt;"",ISNUMBER(A8929)),VLOOKUP(A8929,Studies!A:BR,5,FALSE),"")</f>
        <v>Raltegravir</v>
      </c>
      <c r="F8929" s="251" t="str">
        <f>IF(AND(A8929&lt;&gt;"",ISNUMBER(A8929)),VLOOKUP(A8929,Studies!A:BR,6,FALSE),"")</f>
        <v>Plasma</v>
      </c>
      <c r="G8929" s="194">
        <v>217.5</v>
      </c>
      <c r="H8929" s="50" t="s">
        <v>60</v>
      </c>
      <c r="I8929" s="187">
        <v>3423.423583984375</v>
      </c>
      <c r="J8929" s="41" t="s">
        <v>964</v>
      </c>
      <c r="K8929" s="41" t="s">
        <v>116</v>
      </c>
    </row>
    <row r="8930" spans="1:11" x14ac:dyDescent="0.2">
      <c r="A8930" s="30">
        <v>5299</v>
      </c>
      <c r="B8930" s="249" t="str">
        <f>IF(AND(A8930&lt;&gt;"",ISNUMBER(A8930)),VLOOKUP(A8930,Studies!A:BR,2,FALSE),"")</f>
        <v>Markowitz 2006</v>
      </c>
      <c r="C8930" s="250" t="str">
        <f>IF(AND(A8930&lt;&gt;"",ISNUMBER(A8930)),VLOOKUP(A8930,Studies!A:BR,3,FALSE),"")</f>
        <v>https://www.ncbi.nlm.nih.gov/pubmed/17133211</v>
      </c>
      <c r="D8930" s="250" t="str">
        <f>IF(AND(A8930&lt;&gt;"",ISNUMBER(A8930)),VLOOKUP(A8930,Studies!A:BR,4,FALSE),"")</f>
        <v>600mg FCT MD</v>
      </c>
      <c r="E8930" s="250" t="str">
        <f>IF(AND(A8930&lt;&gt;"",ISNUMBER(A8930)),VLOOKUP(A8930,Studies!A:BR,5,FALSE),"")</f>
        <v>Raltegravir</v>
      </c>
      <c r="F8930" s="251" t="str">
        <f>IF(AND(A8930&lt;&gt;"",ISNUMBER(A8930)),VLOOKUP(A8930,Studies!A:BR,6,FALSE),"")</f>
        <v>Plasma</v>
      </c>
      <c r="G8930" s="194">
        <v>218</v>
      </c>
      <c r="H8930" s="50" t="s">
        <v>60</v>
      </c>
      <c r="I8930" s="187">
        <v>3477.4775390625</v>
      </c>
      <c r="J8930" s="41" t="s">
        <v>964</v>
      </c>
      <c r="K8930" s="41" t="s">
        <v>116</v>
      </c>
    </row>
    <row r="8931" spans="1:11" x14ac:dyDescent="0.2">
      <c r="A8931" s="30">
        <v>5299</v>
      </c>
      <c r="B8931" s="249" t="str">
        <f>IF(AND(A8931&lt;&gt;"",ISNUMBER(A8931)),VLOOKUP(A8931,Studies!A:BR,2,FALSE),"")</f>
        <v>Markowitz 2006</v>
      </c>
      <c r="C8931" s="250" t="str">
        <f>IF(AND(A8931&lt;&gt;"",ISNUMBER(A8931)),VLOOKUP(A8931,Studies!A:BR,3,FALSE),"")</f>
        <v>https://www.ncbi.nlm.nih.gov/pubmed/17133211</v>
      </c>
      <c r="D8931" s="250" t="str">
        <f>IF(AND(A8931&lt;&gt;"",ISNUMBER(A8931)),VLOOKUP(A8931,Studies!A:BR,4,FALSE),"")</f>
        <v>600mg FCT MD</v>
      </c>
      <c r="E8931" s="250" t="str">
        <f>IF(AND(A8931&lt;&gt;"",ISNUMBER(A8931)),VLOOKUP(A8931,Studies!A:BR,5,FALSE),"")</f>
        <v>Raltegravir</v>
      </c>
      <c r="F8931" s="251" t="str">
        <f>IF(AND(A8931&lt;&gt;"",ISNUMBER(A8931)),VLOOKUP(A8931,Studies!A:BR,6,FALSE),"")</f>
        <v>Plasma</v>
      </c>
      <c r="G8931" s="194">
        <v>219</v>
      </c>
      <c r="H8931" s="50" t="s">
        <v>60</v>
      </c>
      <c r="I8931" s="187">
        <v>2666.666748046875</v>
      </c>
      <c r="J8931" s="41" t="s">
        <v>964</v>
      </c>
      <c r="K8931" s="41" t="s">
        <v>116</v>
      </c>
    </row>
    <row r="8932" spans="1:11" x14ac:dyDescent="0.2">
      <c r="A8932" s="30">
        <v>5299</v>
      </c>
      <c r="B8932" s="249" t="str">
        <f>IF(AND(A8932&lt;&gt;"",ISNUMBER(A8932)),VLOOKUP(A8932,Studies!A:BR,2,FALSE),"")</f>
        <v>Markowitz 2006</v>
      </c>
      <c r="C8932" s="250" t="str">
        <f>IF(AND(A8932&lt;&gt;"",ISNUMBER(A8932)),VLOOKUP(A8932,Studies!A:BR,3,FALSE),"")</f>
        <v>https://www.ncbi.nlm.nih.gov/pubmed/17133211</v>
      </c>
      <c r="D8932" s="250" t="str">
        <f>IF(AND(A8932&lt;&gt;"",ISNUMBER(A8932)),VLOOKUP(A8932,Studies!A:BR,4,FALSE),"")</f>
        <v>600mg FCT MD</v>
      </c>
      <c r="E8932" s="250" t="str">
        <f>IF(AND(A8932&lt;&gt;"",ISNUMBER(A8932)),VLOOKUP(A8932,Studies!A:BR,5,FALSE),"")</f>
        <v>Raltegravir</v>
      </c>
      <c r="F8932" s="251" t="str">
        <f>IF(AND(A8932&lt;&gt;"",ISNUMBER(A8932)),VLOOKUP(A8932,Studies!A:BR,6,FALSE),"")</f>
        <v>Plasma</v>
      </c>
      <c r="G8932" s="194">
        <v>220</v>
      </c>
      <c r="H8932" s="50" t="s">
        <v>60</v>
      </c>
      <c r="I8932" s="187">
        <v>2486.486572265625</v>
      </c>
      <c r="J8932" s="41" t="s">
        <v>964</v>
      </c>
      <c r="K8932" s="41" t="s">
        <v>116</v>
      </c>
    </row>
    <row r="8933" spans="1:11" x14ac:dyDescent="0.2">
      <c r="A8933" s="30">
        <v>5299</v>
      </c>
      <c r="B8933" s="249" t="str">
        <f>IF(AND(A8933&lt;&gt;"",ISNUMBER(A8933)),VLOOKUP(A8933,Studies!A:BR,2,FALSE),"")</f>
        <v>Markowitz 2006</v>
      </c>
      <c r="C8933" s="250" t="str">
        <f>IF(AND(A8933&lt;&gt;"",ISNUMBER(A8933)),VLOOKUP(A8933,Studies!A:BR,3,FALSE),"")</f>
        <v>https://www.ncbi.nlm.nih.gov/pubmed/17133211</v>
      </c>
      <c r="D8933" s="250" t="str">
        <f>IF(AND(A8933&lt;&gt;"",ISNUMBER(A8933)),VLOOKUP(A8933,Studies!A:BR,4,FALSE),"")</f>
        <v>600mg FCT MD</v>
      </c>
      <c r="E8933" s="250" t="str">
        <f>IF(AND(A8933&lt;&gt;"",ISNUMBER(A8933)),VLOOKUP(A8933,Studies!A:BR,5,FALSE),"")</f>
        <v>Raltegravir</v>
      </c>
      <c r="F8933" s="251" t="str">
        <f>IF(AND(A8933&lt;&gt;"",ISNUMBER(A8933)),VLOOKUP(A8933,Studies!A:BR,6,FALSE),"")</f>
        <v>Plasma</v>
      </c>
      <c r="G8933" s="194">
        <v>222</v>
      </c>
      <c r="H8933" s="50" t="s">
        <v>60</v>
      </c>
      <c r="I8933" s="187">
        <v>1477.4775390625</v>
      </c>
      <c r="J8933" s="41" t="s">
        <v>964</v>
      </c>
      <c r="K8933" s="41" t="s">
        <v>116</v>
      </c>
    </row>
    <row r="8934" spans="1:11" x14ac:dyDescent="0.2">
      <c r="A8934" s="30">
        <v>5299</v>
      </c>
      <c r="B8934" s="249" t="str">
        <f>IF(AND(A8934&lt;&gt;"",ISNUMBER(A8934)),VLOOKUP(A8934,Studies!A:BR,2,FALSE),"")</f>
        <v>Markowitz 2006</v>
      </c>
      <c r="C8934" s="250" t="str">
        <f>IF(AND(A8934&lt;&gt;"",ISNUMBER(A8934)),VLOOKUP(A8934,Studies!A:BR,3,FALSE),"")</f>
        <v>https://www.ncbi.nlm.nih.gov/pubmed/17133211</v>
      </c>
      <c r="D8934" s="250" t="str">
        <f>IF(AND(A8934&lt;&gt;"",ISNUMBER(A8934)),VLOOKUP(A8934,Studies!A:BR,4,FALSE),"")</f>
        <v>600mg FCT MD</v>
      </c>
      <c r="E8934" s="250" t="str">
        <f>IF(AND(A8934&lt;&gt;"",ISNUMBER(A8934)),VLOOKUP(A8934,Studies!A:BR,5,FALSE),"")</f>
        <v>Raltegravir</v>
      </c>
      <c r="F8934" s="251" t="str">
        <f>IF(AND(A8934&lt;&gt;"",ISNUMBER(A8934)),VLOOKUP(A8934,Studies!A:BR,6,FALSE),"")</f>
        <v>Plasma</v>
      </c>
      <c r="G8934" s="194">
        <v>224</v>
      </c>
      <c r="H8934" s="50" t="s">
        <v>60</v>
      </c>
      <c r="I8934" s="187">
        <v>756.75677490234375</v>
      </c>
      <c r="J8934" s="41" t="s">
        <v>964</v>
      </c>
      <c r="K8934" s="41" t="s">
        <v>116</v>
      </c>
    </row>
    <row r="8935" spans="1:11" x14ac:dyDescent="0.2">
      <c r="A8935" s="30">
        <v>5299</v>
      </c>
      <c r="B8935" s="249" t="str">
        <f>IF(AND(A8935&lt;&gt;"",ISNUMBER(A8935)),VLOOKUP(A8935,Studies!A:BR,2,FALSE),"")</f>
        <v>Markowitz 2006</v>
      </c>
      <c r="C8935" s="250" t="str">
        <f>IF(AND(A8935&lt;&gt;"",ISNUMBER(A8935)),VLOOKUP(A8935,Studies!A:BR,3,FALSE),"")</f>
        <v>https://www.ncbi.nlm.nih.gov/pubmed/17133211</v>
      </c>
      <c r="D8935" s="250" t="str">
        <f>IF(AND(A8935&lt;&gt;"",ISNUMBER(A8935)),VLOOKUP(A8935,Studies!A:BR,4,FALSE),"")</f>
        <v>600mg FCT MD</v>
      </c>
      <c r="E8935" s="250" t="str">
        <f>IF(AND(A8935&lt;&gt;"",ISNUMBER(A8935)),VLOOKUP(A8935,Studies!A:BR,5,FALSE),"")</f>
        <v>Raltegravir</v>
      </c>
      <c r="F8935" s="251" t="str">
        <f>IF(AND(A8935&lt;&gt;"",ISNUMBER(A8935)),VLOOKUP(A8935,Studies!A:BR,6,FALSE),"")</f>
        <v>Plasma</v>
      </c>
      <c r="G8935" s="194">
        <v>228</v>
      </c>
      <c r="H8935" s="50" t="s">
        <v>60</v>
      </c>
      <c r="I8935" s="187">
        <v>288.28829956054688</v>
      </c>
      <c r="J8935" s="41" t="s">
        <v>964</v>
      </c>
      <c r="K8935" s="41" t="s">
        <v>116</v>
      </c>
    </row>
    <row r="8936" spans="1:11" x14ac:dyDescent="0.2">
      <c r="A8936" s="30">
        <v>5300</v>
      </c>
      <c r="B8936" s="249" t="str">
        <f>IF(AND(A8936&lt;&gt;"",ISNUMBER(A8936)),VLOOKUP(A8936,Studies!A:BR,2,FALSE),"")</f>
        <v>Kassahun 2007</v>
      </c>
      <c r="C8936" s="250" t="str">
        <f>IF(AND(A8936&lt;&gt;"",ISNUMBER(A8936)),VLOOKUP(A8936,Studies!A:BR,3,FALSE),"")</f>
        <v>https://www.ncbi.nlm.nih.gov/pubmed/17591678</v>
      </c>
      <c r="D8936" s="250" t="str">
        <f>IF(AND(A8936&lt;&gt;"",ISNUMBER(A8936)),VLOOKUP(A8936,Studies!A:BR,4,FALSE),"")</f>
        <v>200mg FCT SD</v>
      </c>
      <c r="E8936" s="250" t="str">
        <f>IF(AND(A8936&lt;&gt;"",ISNUMBER(A8936)),VLOOKUP(A8936,Studies!A:BR,5,FALSE),"")</f>
        <v>Raltegravir</v>
      </c>
      <c r="F8936" s="251" t="str">
        <f>IF(AND(A8936&lt;&gt;"",ISNUMBER(A8936)),VLOOKUP(A8936,Studies!A:BR,6,FALSE),"")</f>
        <v>Plasma</v>
      </c>
      <c r="G8936" s="194">
        <v>0</v>
      </c>
      <c r="H8936" s="50" t="s">
        <v>60</v>
      </c>
      <c r="I8936" s="187">
        <v>0</v>
      </c>
      <c r="J8936" s="41" t="s">
        <v>964</v>
      </c>
      <c r="K8936" s="41" t="s">
        <v>116</v>
      </c>
    </row>
    <row r="8937" spans="1:11" x14ac:dyDescent="0.2">
      <c r="A8937" s="30">
        <v>5300</v>
      </c>
      <c r="B8937" s="249" t="str">
        <f>IF(AND(A8937&lt;&gt;"",ISNUMBER(A8937)),VLOOKUP(A8937,Studies!A:BR,2,FALSE),"")</f>
        <v>Kassahun 2007</v>
      </c>
      <c r="C8937" s="250" t="str">
        <f>IF(AND(A8937&lt;&gt;"",ISNUMBER(A8937)),VLOOKUP(A8937,Studies!A:BR,3,FALSE),"")</f>
        <v>https://www.ncbi.nlm.nih.gov/pubmed/17591678</v>
      </c>
      <c r="D8937" s="250" t="str">
        <f>IF(AND(A8937&lt;&gt;"",ISNUMBER(A8937)),VLOOKUP(A8937,Studies!A:BR,4,FALSE),"")</f>
        <v>200mg FCT SD</v>
      </c>
      <c r="E8937" s="250" t="str">
        <f>IF(AND(A8937&lt;&gt;"",ISNUMBER(A8937)),VLOOKUP(A8937,Studies!A:BR,5,FALSE),"")</f>
        <v>Raltegravir</v>
      </c>
      <c r="F8937" s="251" t="str">
        <f>IF(AND(A8937&lt;&gt;"",ISNUMBER(A8937)),VLOOKUP(A8937,Studies!A:BR,6,FALSE),"")</f>
        <v>Plasma</v>
      </c>
      <c r="G8937" s="194">
        <v>0.5</v>
      </c>
      <c r="H8937" s="50" t="s">
        <v>60</v>
      </c>
      <c r="I8937" s="187">
        <v>3061.224365234375</v>
      </c>
      <c r="J8937" s="41" t="s">
        <v>964</v>
      </c>
      <c r="K8937" s="41" t="s">
        <v>116</v>
      </c>
    </row>
    <row r="8938" spans="1:11" x14ac:dyDescent="0.2">
      <c r="A8938" s="30">
        <v>5300</v>
      </c>
      <c r="B8938" s="249" t="str">
        <f>IF(AND(A8938&lt;&gt;"",ISNUMBER(A8938)),VLOOKUP(A8938,Studies!A:BR,2,FALSE),"")</f>
        <v>Kassahun 2007</v>
      </c>
      <c r="C8938" s="250" t="str">
        <f>IF(AND(A8938&lt;&gt;"",ISNUMBER(A8938)),VLOOKUP(A8938,Studies!A:BR,3,FALSE),"")</f>
        <v>https://www.ncbi.nlm.nih.gov/pubmed/17591678</v>
      </c>
      <c r="D8938" s="250" t="str">
        <f>IF(AND(A8938&lt;&gt;"",ISNUMBER(A8938)),VLOOKUP(A8938,Studies!A:BR,4,FALSE),"")</f>
        <v>200mg FCT SD</v>
      </c>
      <c r="E8938" s="250" t="str">
        <f>IF(AND(A8938&lt;&gt;"",ISNUMBER(A8938)),VLOOKUP(A8938,Studies!A:BR,5,FALSE),"")</f>
        <v>Raltegravir</v>
      </c>
      <c r="F8938" s="251" t="str">
        <f>IF(AND(A8938&lt;&gt;"",ISNUMBER(A8938)),VLOOKUP(A8938,Studies!A:BR,6,FALSE),"")</f>
        <v>Plasma</v>
      </c>
      <c r="G8938" s="194">
        <v>1</v>
      </c>
      <c r="H8938" s="50" t="s">
        <v>60</v>
      </c>
      <c r="I8938" s="187">
        <v>4359.18359375</v>
      </c>
      <c r="J8938" s="41" t="s">
        <v>964</v>
      </c>
      <c r="K8938" s="41" t="s">
        <v>116</v>
      </c>
    </row>
    <row r="8939" spans="1:11" x14ac:dyDescent="0.2">
      <c r="A8939" s="30">
        <v>5300</v>
      </c>
      <c r="B8939" s="249" t="str">
        <f>IF(AND(A8939&lt;&gt;"",ISNUMBER(A8939)),VLOOKUP(A8939,Studies!A:BR,2,FALSE),"")</f>
        <v>Kassahun 2007</v>
      </c>
      <c r="C8939" s="250" t="str">
        <f>IF(AND(A8939&lt;&gt;"",ISNUMBER(A8939)),VLOOKUP(A8939,Studies!A:BR,3,FALSE),"")</f>
        <v>https://www.ncbi.nlm.nih.gov/pubmed/17591678</v>
      </c>
      <c r="D8939" s="250" t="str">
        <f>IF(AND(A8939&lt;&gt;"",ISNUMBER(A8939)),VLOOKUP(A8939,Studies!A:BR,4,FALSE),"")</f>
        <v>200mg FCT SD</v>
      </c>
      <c r="E8939" s="250" t="str">
        <f>IF(AND(A8939&lt;&gt;"",ISNUMBER(A8939)),VLOOKUP(A8939,Studies!A:BR,5,FALSE),"")</f>
        <v>Raltegravir</v>
      </c>
      <c r="F8939" s="251" t="str">
        <f>IF(AND(A8939&lt;&gt;"",ISNUMBER(A8939)),VLOOKUP(A8939,Studies!A:BR,6,FALSE),"")</f>
        <v>Plasma</v>
      </c>
      <c r="G8939" s="194">
        <v>2</v>
      </c>
      <c r="H8939" s="50" t="s">
        <v>60</v>
      </c>
      <c r="I8939" s="187">
        <v>2865.30615234375</v>
      </c>
      <c r="J8939" s="41" t="s">
        <v>964</v>
      </c>
      <c r="K8939" s="41" t="s">
        <v>116</v>
      </c>
    </row>
    <row r="8940" spans="1:11" x14ac:dyDescent="0.2">
      <c r="A8940" s="30">
        <v>5300</v>
      </c>
      <c r="B8940" s="249" t="str">
        <f>IF(AND(A8940&lt;&gt;"",ISNUMBER(A8940)),VLOOKUP(A8940,Studies!A:BR,2,FALSE),"")</f>
        <v>Kassahun 2007</v>
      </c>
      <c r="C8940" s="250" t="str">
        <f>IF(AND(A8940&lt;&gt;"",ISNUMBER(A8940)),VLOOKUP(A8940,Studies!A:BR,3,FALSE),"")</f>
        <v>https://www.ncbi.nlm.nih.gov/pubmed/17591678</v>
      </c>
      <c r="D8940" s="250" t="str">
        <f>IF(AND(A8940&lt;&gt;"",ISNUMBER(A8940)),VLOOKUP(A8940,Studies!A:BR,4,FALSE),"")</f>
        <v>200mg FCT SD</v>
      </c>
      <c r="E8940" s="250" t="str">
        <f>IF(AND(A8940&lt;&gt;"",ISNUMBER(A8940)),VLOOKUP(A8940,Studies!A:BR,5,FALSE),"")</f>
        <v>Raltegravir</v>
      </c>
      <c r="F8940" s="251" t="str">
        <f>IF(AND(A8940&lt;&gt;"",ISNUMBER(A8940)),VLOOKUP(A8940,Studies!A:BR,6,FALSE),"")</f>
        <v>Plasma</v>
      </c>
      <c r="G8940" s="194">
        <v>3</v>
      </c>
      <c r="H8940" s="50" t="s">
        <v>60</v>
      </c>
      <c r="I8940" s="187">
        <v>1518.3673095703125</v>
      </c>
      <c r="J8940" s="41" t="s">
        <v>964</v>
      </c>
      <c r="K8940" s="41" t="s">
        <v>116</v>
      </c>
    </row>
    <row r="8941" spans="1:11" x14ac:dyDescent="0.2">
      <c r="A8941" s="30">
        <v>5300</v>
      </c>
      <c r="B8941" s="249" t="str">
        <f>IF(AND(A8941&lt;&gt;"",ISNUMBER(A8941)),VLOOKUP(A8941,Studies!A:BR,2,FALSE),"")</f>
        <v>Kassahun 2007</v>
      </c>
      <c r="C8941" s="250" t="str">
        <f>IF(AND(A8941&lt;&gt;"",ISNUMBER(A8941)),VLOOKUP(A8941,Studies!A:BR,3,FALSE),"")</f>
        <v>https://www.ncbi.nlm.nih.gov/pubmed/17591678</v>
      </c>
      <c r="D8941" s="250" t="str">
        <f>IF(AND(A8941&lt;&gt;"",ISNUMBER(A8941)),VLOOKUP(A8941,Studies!A:BR,4,FALSE),"")</f>
        <v>200mg FCT SD</v>
      </c>
      <c r="E8941" s="250" t="str">
        <f>IF(AND(A8941&lt;&gt;"",ISNUMBER(A8941)),VLOOKUP(A8941,Studies!A:BR,5,FALSE),"")</f>
        <v>Raltegravir</v>
      </c>
      <c r="F8941" s="251" t="str">
        <f>IF(AND(A8941&lt;&gt;"",ISNUMBER(A8941)),VLOOKUP(A8941,Studies!A:BR,6,FALSE),"")</f>
        <v>Plasma</v>
      </c>
      <c r="G8941" s="194">
        <v>4</v>
      </c>
      <c r="H8941" s="50" t="s">
        <v>60</v>
      </c>
      <c r="I8941" s="187">
        <v>808.16326904296875</v>
      </c>
      <c r="J8941" s="41" t="s">
        <v>964</v>
      </c>
      <c r="K8941" s="41" t="s">
        <v>116</v>
      </c>
    </row>
    <row r="8942" spans="1:11" x14ac:dyDescent="0.2">
      <c r="A8942" s="30">
        <v>5300</v>
      </c>
      <c r="B8942" s="249" t="str">
        <f>IF(AND(A8942&lt;&gt;"",ISNUMBER(A8942)),VLOOKUP(A8942,Studies!A:BR,2,FALSE),"")</f>
        <v>Kassahun 2007</v>
      </c>
      <c r="C8942" s="250" t="str">
        <f>IF(AND(A8942&lt;&gt;"",ISNUMBER(A8942)),VLOOKUP(A8942,Studies!A:BR,3,FALSE),"")</f>
        <v>https://www.ncbi.nlm.nih.gov/pubmed/17591678</v>
      </c>
      <c r="D8942" s="250" t="str">
        <f>IF(AND(A8942&lt;&gt;"",ISNUMBER(A8942)),VLOOKUP(A8942,Studies!A:BR,4,FALSE),"")</f>
        <v>200mg FCT SD</v>
      </c>
      <c r="E8942" s="250" t="str">
        <f>IF(AND(A8942&lt;&gt;"",ISNUMBER(A8942)),VLOOKUP(A8942,Studies!A:BR,5,FALSE),"")</f>
        <v>Raltegravir</v>
      </c>
      <c r="F8942" s="251" t="str">
        <f>IF(AND(A8942&lt;&gt;"",ISNUMBER(A8942)),VLOOKUP(A8942,Studies!A:BR,6,FALSE),"")</f>
        <v>Plasma</v>
      </c>
      <c r="G8942" s="194">
        <v>5</v>
      </c>
      <c r="H8942" s="50" t="s">
        <v>60</v>
      </c>
      <c r="I8942" s="187">
        <v>391.83673095703125</v>
      </c>
      <c r="J8942" s="41" t="s">
        <v>964</v>
      </c>
      <c r="K8942" s="41" t="s">
        <v>116</v>
      </c>
    </row>
    <row r="8943" spans="1:11" x14ac:dyDescent="0.2">
      <c r="A8943" s="30">
        <v>5300</v>
      </c>
      <c r="B8943" s="249" t="str">
        <f>IF(AND(A8943&lt;&gt;"",ISNUMBER(A8943)),VLOOKUP(A8943,Studies!A:BR,2,FALSE),"")</f>
        <v>Kassahun 2007</v>
      </c>
      <c r="C8943" s="250" t="str">
        <f>IF(AND(A8943&lt;&gt;"",ISNUMBER(A8943)),VLOOKUP(A8943,Studies!A:BR,3,FALSE),"")</f>
        <v>https://www.ncbi.nlm.nih.gov/pubmed/17591678</v>
      </c>
      <c r="D8943" s="250" t="str">
        <f>IF(AND(A8943&lt;&gt;"",ISNUMBER(A8943)),VLOOKUP(A8943,Studies!A:BR,4,FALSE),"")</f>
        <v>200mg FCT SD</v>
      </c>
      <c r="E8943" s="250" t="str">
        <f>IF(AND(A8943&lt;&gt;"",ISNUMBER(A8943)),VLOOKUP(A8943,Studies!A:BR,5,FALSE),"")</f>
        <v>Raltegravir</v>
      </c>
      <c r="F8943" s="251" t="str">
        <f>IF(AND(A8943&lt;&gt;"",ISNUMBER(A8943)),VLOOKUP(A8943,Studies!A:BR,6,FALSE),"")</f>
        <v>Plasma</v>
      </c>
      <c r="G8943" s="194">
        <v>6</v>
      </c>
      <c r="H8943" s="50" t="s">
        <v>60</v>
      </c>
      <c r="I8943" s="187">
        <v>171.42857360839844</v>
      </c>
      <c r="J8943" s="41" t="s">
        <v>964</v>
      </c>
      <c r="K8943" s="41" t="s">
        <v>116</v>
      </c>
    </row>
    <row r="8944" spans="1:11" x14ac:dyDescent="0.2">
      <c r="A8944" s="30">
        <v>5300</v>
      </c>
      <c r="B8944" s="249" t="str">
        <f>IF(AND(A8944&lt;&gt;"",ISNUMBER(A8944)),VLOOKUP(A8944,Studies!A:BR,2,FALSE),"")</f>
        <v>Kassahun 2007</v>
      </c>
      <c r="C8944" s="250" t="str">
        <f>IF(AND(A8944&lt;&gt;"",ISNUMBER(A8944)),VLOOKUP(A8944,Studies!A:BR,3,FALSE),"")</f>
        <v>https://www.ncbi.nlm.nih.gov/pubmed/17591678</v>
      </c>
      <c r="D8944" s="250" t="str">
        <f>IF(AND(A8944&lt;&gt;"",ISNUMBER(A8944)),VLOOKUP(A8944,Studies!A:BR,4,FALSE),"")</f>
        <v>200mg FCT SD</v>
      </c>
      <c r="E8944" s="250" t="str">
        <f>IF(AND(A8944&lt;&gt;"",ISNUMBER(A8944)),VLOOKUP(A8944,Studies!A:BR,5,FALSE),"")</f>
        <v>Raltegravir</v>
      </c>
      <c r="F8944" s="251" t="str">
        <f>IF(AND(A8944&lt;&gt;"",ISNUMBER(A8944)),VLOOKUP(A8944,Studies!A:BR,6,FALSE),"")</f>
        <v>Plasma</v>
      </c>
      <c r="G8944" s="194">
        <v>8</v>
      </c>
      <c r="H8944" s="50" t="s">
        <v>60</v>
      </c>
      <c r="I8944" s="187">
        <v>97.959182739257813</v>
      </c>
      <c r="J8944" s="41" t="s">
        <v>964</v>
      </c>
      <c r="K8944" s="41" t="s">
        <v>116</v>
      </c>
    </row>
    <row r="8945" spans="1:15" x14ac:dyDescent="0.2">
      <c r="A8945" s="30">
        <v>5300</v>
      </c>
      <c r="B8945" s="249" t="str">
        <f>IF(AND(A8945&lt;&gt;"",ISNUMBER(A8945)),VLOOKUP(A8945,Studies!A:BR,2,FALSE),"")</f>
        <v>Kassahun 2007</v>
      </c>
      <c r="C8945" s="250" t="str">
        <f>IF(AND(A8945&lt;&gt;"",ISNUMBER(A8945)),VLOOKUP(A8945,Studies!A:BR,3,FALSE),"")</f>
        <v>https://www.ncbi.nlm.nih.gov/pubmed/17591678</v>
      </c>
      <c r="D8945" s="250" t="str">
        <f>IF(AND(A8945&lt;&gt;"",ISNUMBER(A8945)),VLOOKUP(A8945,Studies!A:BR,4,FALSE),"")</f>
        <v>200mg FCT SD</v>
      </c>
      <c r="E8945" s="250" t="str">
        <f>IF(AND(A8945&lt;&gt;"",ISNUMBER(A8945)),VLOOKUP(A8945,Studies!A:BR,5,FALSE),"")</f>
        <v>Raltegravir</v>
      </c>
      <c r="F8945" s="251" t="str">
        <f>IF(AND(A8945&lt;&gt;"",ISNUMBER(A8945)),VLOOKUP(A8945,Studies!A:BR,6,FALSE),"")</f>
        <v>Plasma</v>
      </c>
      <c r="G8945" s="194">
        <v>10</v>
      </c>
      <c r="H8945" s="50" t="s">
        <v>60</v>
      </c>
      <c r="I8945" s="187">
        <v>73.469390869140625</v>
      </c>
      <c r="J8945" s="41" t="s">
        <v>964</v>
      </c>
      <c r="K8945" s="41" t="s">
        <v>116</v>
      </c>
    </row>
    <row r="8946" spans="1:15" x14ac:dyDescent="0.2">
      <c r="A8946" s="30">
        <v>5300</v>
      </c>
      <c r="B8946" s="249" t="str">
        <f>IF(AND(A8946&lt;&gt;"",ISNUMBER(A8946)),VLOOKUP(A8946,Studies!A:BR,2,FALSE),"")</f>
        <v>Kassahun 2007</v>
      </c>
      <c r="C8946" s="250" t="str">
        <f>IF(AND(A8946&lt;&gt;"",ISNUMBER(A8946)),VLOOKUP(A8946,Studies!A:BR,3,FALSE),"")</f>
        <v>https://www.ncbi.nlm.nih.gov/pubmed/17591678</v>
      </c>
      <c r="D8946" s="250" t="str">
        <f>IF(AND(A8946&lt;&gt;"",ISNUMBER(A8946)),VLOOKUP(A8946,Studies!A:BR,4,FALSE),"")</f>
        <v>200mg FCT SD</v>
      </c>
      <c r="E8946" s="250" t="str">
        <f>IF(AND(A8946&lt;&gt;"",ISNUMBER(A8946)),VLOOKUP(A8946,Studies!A:BR,5,FALSE),"")</f>
        <v>Raltegravir</v>
      </c>
      <c r="F8946" s="251" t="str">
        <f>IF(AND(A8946&lt;&gt;"",ISNUMBER(A8946)),VLOOKUP(A8946,Studies!A:BR,6,FALSE),"")</f>
        <v>Plasma</v>
      </c>
      <c r="G8946" s="194">
        <v>12</v>
      </c>
      <c r="H8946" s="50" t="s">
        <v>60</v>
      </c>
      <c r="I8946" s="187">
        <v>97.959182739257813</v>
      </c>
      <c r="J8946" s="41" t="s">
        <v>964</v>
      </c>
      <c r="K8946" s="41" t="s">
        <v>116</v>
      </c>
    </row>
    <row r="8947" spans="1:15" x14ac:dyDescent="0.2">
      <c r="A8947" s="30">
        <v>5435</v>
      </c>
      <c r="B8947" s="249" t="str">
        <f>IF(AND(A8947&lt;&gt;"",ISNUMBER(A8947)),VLOOKUP(A8947,Studies!A:BR,2,FALSE),"")</f>
        <v>Rhee 2014</v>
      </c>
      <c r="C8947" s="250" t="str">
        <f>IF(AND(A8947&lt;&gt;"",ISNUMBER(A8947)),VLOOKUP(A8947,Studies!A:BR,3,FALSE),"")</f>
        <v>https://www.ncbi.nlm.nih.gov/pubmed/24608069</v>
      </c>
      <c r="D8947" s="250" t="str">
        <f>IF(AND(A8947&lt;&gt;"",ISNUMBER(A8947)),VLOOKUP(A8947,Studies!A:BR,4,FALSE),"")</f>
        <v>Chewable tablet fasted</v>
      </c>
      <c r="E8947" s="250" t="str">
        <f>IF(AND(A8947&lt;&gt;"",ISNUMBER(A8947)),VLOOKUP(A8947,Studies!A:BR,5,FALSE),"")</f>
        <v>Raltegravir</v>
      </c>
      <c r="F8947" s="251" t="str">
        <f>IF(AND(A8947&lt;&gt;"",ISNUMBER(A8947)),VLOOKUP(A8947,Studies!A:BR,6,FALSE),"")</f>
        <v>Plasma</v>
      </c>
      <c r="G8947" s="194">
        <v>0.5</v>
      </c>
      <c r="H8947" s="50" t="s">
        <v>60</v>
      </c>
      <c r="I8947" s="187">
        <v>16.033226013183594</v>
      </c>
      <c r="J8947" s="41" t="s">
        <v>1220</v>
      </c>
      <c r="K8947" s="41" t="s">
        <v>116</v>
      </c>
    </row>
    <row r="8948" spans="1:15" x14ac:dyDescent="0.2">
      <c r="A8948" s="30">
        <v>5435</v>
      </c>
      <c r="B8948" s="249" t="str">
        <f>IF(AND(A8948&lt;&gt;"",ISNUMBER(A8948)),VLOOKUP(A8948,Studies!A:BR,2,FALSE),"")</f>
        <v>Rhee 2014</v>
      </c>
      <c r="C8948" s="250" t="str">
        <f>IF(AND(A8948&lt;&gt;"",ISNUMBER(A8948)),VLOOKUP(A8948,Studies!A:BR,3,FALSE),"")</f>
        <v>https://www.ncbi.nlm.nih.gov/pubmed/24608069</v>
      </c>
      <c r="D8948" s="250" t="str">
        <f>IF(AND(A8948&lt;&gt;"",ISNUMBER(A8948)),VLOOKUP(A8948,Studies!A:BR,4,FALSE),"")</f>
        <v>Chewable tablet fasted</v>
      </c>
      <c r="E8948" s="250" t="str">
        <f>IF(AND(A8948&lt;&gt;"",ISNUMBER(A8948)),VLOOKUP(A8948,Studies!A:BR,5,FALSE),"")</f>
        <v>Raltegravir</v>
      </c>
      <c r="F8948" s="251" t="str">
        <f>IF(AND(A8948&lt;&gt;"",ISNUMBER(A8948)),VLOOKUP(A8948,Studies!A:BR,6,FALSE),"")</f>
        <v>Plasma</v>
      </c>
      <c r="G8948" s="194">
        <v>1</v>
      </c>
      <c r="H8948" s="50" t="s">
        <v>60</v>
      </c>
      <c r="I8948" s="187">
        <v>12.301504135131836</v>
      </c>
      <c r="J8948" s="41" t="s">
        <v>1220</v>
      </c>
      <c r="K8948" s="41" t="s">
        <v>116</v>
      </c>
    </row>
    <row r="8949" spans="1:15" x14ac:dyDescent="0.2">
      <c r="A8949" s="30">
        <v>5435</v>
      </c>
      <c r="B8949" s="249" t="str">
        <f>IF(AND(A8949&lt;&gt;"",ISNUMBER(A8949)),VLOOKUP(A8949,Studies!A:BR,2,FALSE),"")</f>
        <v>Rhee 2014</v>
      </c>
      <c r="C8949" s="250" t="str">
        <f>IF(AND(A8949&lt;&gt;"",ISNUMBER(A8949)),VLOOKUP(A8949,Studies!A:BR,3,FALSE),"")</f>
        <v>https://www.ncbi.nlm.nih.gov/pubmed/24608069</v>
      </c>
      <c r="D8949" s="250" t="str">
        <f>IF(AND(A8949&lt;&gt;"",ISNUMBER(A8949)),VLOOKUP(A8949,Studies!A:BR,4,FALSE),"")</f>
        <v>Chewable tablet fasted</v>
      </c>
      <c r="E8949" s="250" t="str">
        <f>IF(AND(A8949&lt;&gt;"",ISNUMBER(A8949)),VLOOKUP(A8949,Studies!A:BR,5,FALSE),"")</f>
        <v>Raltegravir</v>
      </c>
      <c r="F8949" s="251" t="str">
        <f>IF(AND(A8949&lt;&gt;"",ISNUMBER(A8949)),VLOOKUP(A8949,Studies!A:BR,6,FALSE),"")</f>
        <v>Plasma</v>
      </c>
      <c r="G8949" s="194">
        <v>1.5</v>
      </c>
      <c r="H8949" s="50" t="s">
        <v>60</v>
      </c>
      <c r="I8949" s="187">
        <v>8.7804069519042969</v>
      </c>
      <c r="J8949" s="41" t="s">
        <v>1220</v>
      </c>
      <c r="K8949" s="41" t="s">
        <v>116</v>
      </c>
    </row>
    <row r="8950" spans="1:15" x14ac:dyDescent="0.2">
      <c r="A8950" s="30">
        <v>5435</v>
      </c>
      <c r="B8950" s="249" t="str">
        <f>IF(AND(A8950&lt;&gt;"",ISNUMBER(A8950)),VLOOKUP(A8950,Studies!A:BR,2,FALSE),"")</f>
        <v>Rhee 2014</v>
      </c>
      <c r="C8950" s="250" t="str">
        <f>IF(AND(A8950&lt;&gt;"",ISNUMBER(A8950)),VLOOKUP(A8950,Studies!A:BR,3,FALSE),"")</f>
        <v>https://www.ncbi.nlm.nih.gov/pubmed/24608069</v>
      </c>
      <c r="D8950" s="250" t="str">
        <f>IF(AND(A8950&lt;&gt;"",ISNUMBER(A8950)),VLOOKUP(A8950,Studies!A:BR,4,FALSE),"")</f>
        <v>Chewable tablet fasted</v>
      </c>
      <c r="E8950" s="250" t="str">
        <f>IF(AND(A8950&lt;&gt;"",ISNUMBER(A8950)),VLOOKUP(A8950,Studies!A:BR,5,FALSE),"")</f>
        <v>Raltegravir</v>
      </c>
      <c r="F8950" s="251" t="str">
        <f>IF(AND(A8950&lt;&gt;"",ISNUMBER(A8950)),VLOOKUP(A8950,Studies!A:BR,6,FALSE),"")</f>
        <v>Plasma</v>
      </c>
      <c r="G8950" s="194">
        <v>2</v>
      </c>
      <c r="H8950" s="50" t="s">
        <v>60</v>
      </c>
      <c r="I8950" s="187">
        <v>6.4199466705322266</v>
      </c>
      <c r="J8950" s="41" t="s">
        <v>1220</v>
      </c>
      <c r="K8950" s="41" t="s">
        <v>116</v>
      </c>
    </row>
    <row r="8951" spans="1:15" x14ac:dyDescent="0.2">
      <c r="A8951" s="30">
        <v>5435</v>
      </c>
      <c r="B8951" s="249" t="str">
        <f>IF(AND(A8951&lt;&gt;"",ISNUMBER(A8951)),VLOOKUP(A8951,Studies!A:BR,2,FALSE),"")</f>
        <v>Rhee 2014</v>
      </c>
      <c r="C8951" s="250" t="str">
        <f>IF(AND(A8951&lt;&gt;"",ISNUMBER(A8951)),VLOOKUP(A8951,Studies!A:BR,3,FALSE),"")</f>
        <v>https://www.ncbi.nlm.nih.gov/pubmed/24608069</v>
      </c>
      <c r="D8951" s="250" t="str">
        <f>IF(AND(A8951&lt;&gt;"",ISNUMBER(A8951)),VLOOKUP(A8951,Studies!A:BR,4,FALSE),"")</f>
        <v>Chewable tablet fasted</v>
      </c>
      <c r="E8951" s="250" t="str">
        <f>IF(AND(A8951&lt;&gt;"",ISNUMBER(A8951)),VLOOKUP(A8951,Studies!A:BR,5,FALSE),"")</f>
        <v>Raltegravir</v>
      </c>
      <c r="F8951" s="251" t="str">
        <f>IF(AND(A8951&lt;&gt;"",ISNUMBER(A8951)),VLOOKUP(A8951,Studies!A:BR,6,FALSE),"")</f>
        <v>Plasma</v>
      </c>
      <c r="G8951" s="194">
        <v>3</v>
      </c>
      <c r="H8951" s="50" t="s">
        <v>60</v>
      </c>
      <c r="I8951" s="187">
        <v>3.6893141269683838</v>
      </c>
      <c r="J8951" s="187" t="s">
        <v>1220</v>
      </c>
      <c r="K8951" s="187" t="s">
        <v>116</v>
      </c>
      <c r="O8951" s="199"/>
    </row>
    <row r="8952" spans="1:15" x14ac:dyDescent="0.2">
      <c r="A8952" s="183">
        <v>5435</v>
      </c>
      <c r="B8952" s="249" t="str">
        <f>IF(AND(A8952&lt;&gt;"",ISNUMBER(A8952)),VLOOKUP(A8952,Studies!A:BR,2,FALSE),"")</f>
        <v>Rhee 2014</v>
      </c>
      <c r="C8952" s="250" t="str">
        <f>IF(AND(A8952&lt;&gt;"",ISNUMBER(A8952)),VLOOKUP(A8952,Studies!A:BR,3,FALSE),"")</f>
        <v>https://www.ncbi.nlm.nih.gov/pubmed/24608069</v>
      </c>
      <c r="D8952" s="250" t="str">
        <f>IF(AND(A8952&lt;&gt;"",ISNUMBER(A8952)),VLOOKUP(A8952,Studies!A:BR,4,FALSE),"")</f>
        <v>Chewable tablet fasted</v>
      </c>
      <c r="E8952" s="250" t="str">
        <f>IF(AND(A8952&lt;&gt;"",ISNUMBER(A8952)),VLOOKUP(A8952,Studies!A:BR,5,FALSE),"")</f>
        <v>Raltegravir</v>
      </c>
      <c r="F8952" s="251" t="str">
        <f>IF(AND(A8952&lt;&gt;"",ISNUMBER(A8952)),VLOOKUP(A8952,Studies!A:BR,6,FALSE),"")</f>
        <v>Plasma</v>
      </c>
      <c r="G8952" s="194">
        <v>4</v>
      </c>
      <c r="H8952" s="194" t="s">
        <v>60</v>
      </c>
      <c r="I8952" s="187">
        <v>2.1201171875</v>
      </c>
      <c r="J8952" s="187" t="s">
        <v>1220</v>
      </c>
      <c r="K8952" s="187" t="s">
        <v>116</v>
      </c>
      <c r="O8952" s="199"/>
    </row>
    <row r="8953" spans="1:15" x14ac:dyDescent="0.2">
      <c r="A8953" s="183">
        <v>5435</v>
      </c>
      <c r="B8953" s="249" t="str">
        <f>IF(AND(A8953&lt;&gt;"",ISNUMBER(A8953)),VLOOKUP(A8953,Studies!A:BR,2,FALSE),"")</f>
        <v>Rhee 2014</v>
      </c>
      <c r="C8953" s="250" t="str">
        <f>IF(AND(A8953&lt;&gt;"",ISNUMBER(A8953)),VLOOKUP(A8953,Studies!A:BR,3,FALSE),"")</f>
        <v>https://www.ncbi.nlm.nih.gov/pubmed/24608069</v>
      </c>
      <c r="D8953" s="250" t="str">
        <f>IF(AND(A8953&lt;&gt;"",ISNUMBER(A8953)),VLOOKUP(A8953,Studies!A:BR,4,FALSE),"")</f>
        <v>Chewable tablet fasted</v>
      </c>
      <c r="E8953" s="250" t="str">
        <f>IF(AND(A8953&lt;&gt;"",ISNUMBER(A8953)),VLOOKUP(A8953,Studies!A:BR,5,FALSE),"")</f>
        <v>Raltegravir</v>
      </c>
      <c r="F8953" s="251" t="str">
        <f>IF(AND(A8953&lt;&gt;"",ISNUMBER(A8953)),VLOOKUP(A8953,Studies!A:BR,6,FALSE),"")</f>
        <v>Plasma</v>
      </c>
      <c r="G8953" s="194">
        <v>5</v>
      </c>
      <c r="H8953" s="194" t="s">
        <v>60</v>
      </c>
      <c r="I8953" s="187">
        <v>1.218355655670166</v>
      </c>
      <c r="J8953" s="187" t="s">
        <v>1220</v>
      </c>
      <c r="K8953" s="187" t="s">
        <v>116</v>
      </c>
      <c r="O8953" s="199"/>
    </row>
    <row r="8954" spans="1:15" x14ac:dyDescent="0.2">
      <c r="A8954" s="183">
        <v>5435</v>
      </c>
      <c r="B8954" s="249" t="str">
        <f>IF(AND(A8954&lt;&gt;"",ISNUMBER(A8954)),VLOOKUP(A8954,Studies!A:BR,2,FALSE),"")</f>
        <v>Rhee 2014</v>
      </c>
      <c r="C8954" s="250" t="str">
        <f>IF(AND(A8954&lt;&gt;"",ISNUMBER(A8954)),VLOOKUP(A8954,Studies!A:BR,3,FALSE),"")</f>
        <v>https://www.ncbi.nlm.nih.gov/pubmed/24608069</v>
      </c>
      <c r="D8954" s="250" t="str">
        <f>IF(AND(A8954&lt;&gt;"",ISNUMBER(A8954)),VLOOKUP(A8954,Studies!A:BR,4,FALSE),"")</f>
        <v>Chewable tablet fasted</v>
      </c>
      <c r="E8954" s="250" t="str">
        <f>IF(AND(A8954&lt;&gt;"",ISNUMBER(A8954)),VLOOKUP(A8954,Studies!A:BR,5,FALSE),"")</f>
        <v>Raltegravir</v>
      </c>
      <c r="F8954" s="251" t="str">
        <f>IF(AND(A8954&lt;&gt;"",ISNUMBER(A8954)),VLOOKUP(A8954,Studies!A:BR,6,FALSE),"")</f>
        <v>Plasma</v>
      </c>
      <c r="G8954" s="194">
        <v>6</v>
      </c>
      <c r="H8954" s="194" t="s">
        <v>60</v>
      </c>
      <c r="I8954" s="187">
        <v>0.73469787836074829</v>
      </c>
      <c r="J8954" s="187" t="s">
        <v>1220</v>
      </c>
      <c r="K8954" s="187" t="s">
        <v>116</v>
      </c>
      <c r="O8954" s="199"/>
    </row>
    <row r="8955" spans="1:15" x14ac:dyDescent="0.2">
      <c r="A8955" s="183">
        <v>5435</v>
      </c>
      <c r="B8955" s="249" t="str">
        <f>IF(AND(A8955&lt;&gt;"",ISNUMBER(A8955)),VLOOKUP(A8955,Studies!A:BR,2,FALSE),"")</f>
        <v>Rhee 2014</v>
      </c>
      <c r="C8955" s="250" t="str">
        <f>IF(AND(A8955&lt;&gt;"",ISNUMBER(A8955)),VLOOKUP(A8955,Studies!A:BR,3,FALSE),"")</f>
        <v>https://www.ncbi.nlm.nih.gov/pubmed/24608069</v>
      </c>
      <c r="D8955" s="250" t="str">
        <f>IF(AND(A8955&lt;&gt;"",ISNUMBER(A8955)),VLOOKUP(A8955,Studies!A:BR,4,FALSE),"")</f>
        <v>Chewable tablet fasted</v>
      </c>
      <c r="E8955" s="250" t="str">
        <f>IF(AND(A8955&lt;&gt;"",ISNUMBER(A8955)),VLOOKUP(A8955,Studies!A:BR,5,FALSE),"")</f>
        <v>Raltegravir</v>
      </c>
      <c r="F8955" s="251" t="str">
        <f>IF(AND(A8955&lt;&gt;"",ISNUMBER(A8955)),VLOOKUP(A8955,Studies!A:BR,6,FALSE),"")</f>
        <v>Plasma</v>
      </c>
      <c r="G8955" s="194">
        <v>8</v>
      </c>
      <c r="H8955" s="194" t="s">
        <v>60</v>
      </c>
      <c r="I8955" s="187">
        <v>0.30870220065116882</v>
      </c>
      <c r="J8955" s="187" t="s">
        <v>1220</v>
      </c>
      <c r="K8955" s="187" t="s">
        <v>116</v>
      </c>
      <c r="O8955" s="199"/>
    </row>
    <row r="8956" spans="1:15" x14ac:dyDescent="0.2">
      <c r="A8956" s="183">
        <v>5435</v>
      </c>
      <c r="B8956" s="249" t="str">
        <f>IF(AND(A8956&lt;&gt;"",ISNUMBER(A8956)),VLOOKUP(A8956,Studies!A:BR,2,FALSE),"")</f>
        <v>Rhee 2014</v>
      </c>
      <c r="C8956" s="250" t="str">
        <f>IF(AND(A8956&lt;&gt;"",ISNUMBER(A8956)),VLOOKUP(A8956,Studies!A:BR,3,FALSE),"")</f>
        <v>https://www.ncbi.nlm.nih.gov/pubmed/24608069</v>
      </c>
      <c r="D8956" s="250" t="str">
        <f>IF(AND(A8956&lt;&gt;"",ISNUMBER(A8956)),VLOOKUP(A8956,Studies!A:BR,4,FALSE),"")</f>
        <v>Chewable tablet fasted</v>
      </c>
      <c r="E8956" s="250" t="str">
        <f>IF(AND(A8956&lt;&gt;"",ISNUMBER(A8956)),VLOOKUP(A8956,Studies!A:BR,5,FALSE),"")</f>
        <v>Raltegravir</v>
      </c>
      <c r="F8956" s="251" t="str">
        <f>IF(AND(A8956&lt;&gt;"",ISNUMBER(A8956)),VLOOKUP(A8956,Studies!A:BR,6,FALSE),"")</f>
        <v>Plasma</v>
      </c>
      <c r="G8956" s="194">
        <v>10</v>
      </c>
      <c r="H8956" s="194" t="s">
        <v>60</v>
      </c>
      <c r="I8956" s="187">
        <v>0.19069299101829529</v>
      </c>
      <c r="J8956" s="187" t="s">
        <v>1220</v>
      </c>
      <c r="K8956" s="187" t="s">
        <v>116</v>
      </c>
      <c r="O8956" s="199"/>
    </row>
    <row r="8957" spans="1:15" x14ac:dyDescent="0.2">
      <c r="A8957" s="183">
        <v>5435</v>
      </c>
      <c r="B8957" s="249" t="str">
        <f>IF(AND(A8957&lt;&gt;"",ISNUMBER(A8957)),VLOOKUP(A8957,Studies!A:BR,2,FALSE),"")</f>
        <v>Rhee 2014</v>
      </c>
      <c r="C8957" s="250" t="str">
        <f>IF(AND(A8957&lt;&gt;"",ISNUMBER(A8957)),VLOOKUP(A8957,Studies!A:BR,3,FALSE),"")</f>
        <v>https://www.ncbi.nlm.nih.gov/pubmed/24608069</v>
      </c>
      <c r="D8957" s="250" t="str">
        <f>IF(AND(A8957&lt;&gt;"",ISNUMBER(A8957)),VLOOKUP(A8957,Studies!A:BR,4,FALSE),"")</f>
        <v>Chewable tablet fasted</v>
      </c>
      <c r="E8957" s="250" t="str">
        <f>IF(AND(A8957&lt;&gt;"",ISNUMBER(A8957)),VLOOKUP(A8957,Studies!A:BR,5,FALSE),"")</f>
        <v>Raltegravir</v>
      </c>
      <c r="F8957" s="251" t="str">
        <f>IF(AND(A8957&lt;&gt;"",ISNUMBER(A8957)),VLOOKUP(A8957,Studies!A:BR,6,FALSE),"")</f>
        <v>Plasma</v>
      </c>
      <c r="G8957" s="194">
        <v>12</v>
      </c>
      <c r="H8957" s="194" t="s">
        <v>60</v>
      </c>
      <c r="I8957" s="187">
        <v>0.14987604320049286</v>
      </c>
      <c r="J8957" s="187" t="s">
        <v>1220</v>
      </c>
      <c r="K8957" s="187" t="s">
        <v>116</v>
      </c>
      <c r="O8957" s="199"/>
    </row>
    <row r="8958" spans="1:15" x14ac:dyDescent="0.2">
      <c r="A8958" s="183">
        <v>5435</v>
      </c>
      <c r="B8958" s="249" t="str">
        <f>IF(AND(A8958&lt;&gt;"",ISNUMBER(A8958)),VLOOKUP(A8958,Studies!A:BR,2,FALSE),"")</f>
        <v>Rhee 2014</v>
      </c>
      <c r="C8958" s="250" t="str">
        <f>IF(AND(A8958&lt;&gt;"",ISNUMBER(A8958)),VLOOKUP(A8958,Studies!A:BR,3,FALSE),"")</f>
        <v>https://www.ncbi.nlm.nih.gov/pubmed/24608069</v>
      </c>
      <c r="D8958" s="250" t="str">
        <f>IF(AND(A8958&lt;&gt;"",ISNUMBER(A8958)),VLOOKUP(A8958,Studies!A:BR,4,FALSE),"")</f>
        <v>Chewable tablet fasted</v>
      </c>
      <c r="E8958" s="250" t="str">
        <f>IF(AND(A8958&lt;&gt;"",ISNUMBER(A8958)),VLOOKUP(A8958,Studies!A:BR,5,FALSE),"")</f>
        <v>Raltegravir</v>
      </c>
      <c r="F8958" s="251" t="str">
        <f>IF(AND(A8958&lt;&gt;"",ISNUMBER(A8958)),VLOOKUP(A8958,Studies!A:BR,6,FALSE),"")</f>
        <v>Plasma</v>
      </c>
      <c r="G8958" s="194">
        <v>16</v>
      </c>
      <c r="H8958" s="194" t="s">
        <v>60</v>
      </c>
      <c r="I8958" s="187">
        <v>9.0378880500793457E-2</v>
      </c>
      <c r="J8958" s="187" t="s">
        <v>1220</v>
      </c>
      <c r="K8958" s="187" t="s">
        <v>116</v>
      </c>
      <c r="O8958" s="199"/>
    </row>
    <row r="8959" spans="1:15" x14ac:dyDescent="0.2">
      <c r="A8959" s="183">
        <v>5435</v>
      </c>
      <c r="B8959" s="249" t="str">
        <f>IF(AND(A8959&lt;&gt;"",ISNUMBER(A8959)),VLOOKUP(A8959,Studies!A:BR,2,FALSE),"")</f>
        <v>Rhee 2014</v>
      </c>
      <c r="C8959" s="250" t="str">
        <f>IF(AND(A8959&lt;&gt;"",ISNUMBER(A8959)),VLOOKUP(A8959,Studies!A:BR,3,FALSE),"")</f>
        <v>https://www.ncbi.nlm.nih.gov/pubmed/24608069</v>
      </c>
      <c r="D8959" s="250" t="str">
        <f>IF(AND(A8959&lt;&gt;"",ISNUMBER(A8959)),VLOOKUP(A8959,Studies!A:BR,4,FALSE),"")</f>
        <v>Chewable tablet fasted</v>
      </c>
      <c r="E8959" s="250" t="str">
        <f>IF(AND(A8959&lt;&gt;"",ISNUMBER(A8959)),VLOOKUP(A8959,Studies!A:BR,5,FALSE),"")</f>
        <v>Raltegravir</v>
      </c>
      <c r="F8959" s="251" t="str">
        <f>IF(AND(A8959&lt;&gt;"",ISNUMBER(A8959)),VLOOKUP(A8959,Studies!A:BR,6,FALSE),"")</f>
        <v>Plasma</v>
      </c>
      <c r="G8959" s="194">
        <v>24</v>
      </c>
      <c r="H8959" s="194" t="s">
        <v>60</v>
      </c>
      <c r="I8959" s="187">
        <v>6.9343253970146179E-2</v>
      </c>
      <c r="J8959" s="187" t="s">
        <v>1220</v>
      </c>
      <c r="K8959" s="187" t="s">
        <v>116</v>
      </c>
      <c r="O8959" s="199"/>
    </row>
    <row r="8960" spans="1:15" x14ac:dyDescent="0.2">
      <c r="A8960" s="30">
        <v>5436</v>
      </c>
      <c r="B8960" s="249" t="str">
        <f>IF(AND(A8960&lt;&gt;"",ISNUMBER(A8960)),VLOOKUP(A8960,Studies!A:BR,2,FALSE),"")</f>
        <v>Rhee 2014</v>
      </c>
      <c r="C8960" s="250" t="str">
        <f>IF(AND(A8960&lt;&gt;"",ISNUMBER(A8960)),VLOOKUP(A8960,Studies!A:BR,3,FALSE),"")</f>
        <v>https://www.ncbi.nlm.nih.gov/pubmed/24608069</v>
      </c>
      <c r="D8960" s="250" t="str">
        <f>IF(AND(A8960&lt;&gt;"",ISNUMBER(A8960)),VLOOKUP(A8960,Studies!A:BR,4,FALSE),"")</f>
        <v>Chewable tablet fed</v>
      </c>
      <c r="E8960" s="250" t="str">
        <f>IF(AND(A8960&lt;&gt;"",ISNUMBER(A8960)),VLOOKUP(A8960,Studies!A:BR,5,FALSE),"")</f>
        <v>Raltegravir</v>
      </c>
      <c r="F8960" s="251" t="str">
        <f>IF(AND(A8960&lt;&gt;"",ISNUMBER(A8960)),VLOOKUP(A8960,Studies!A:BR,6,FALSE),"")</f>
        <v>Plasma</v>
      </c>
      <c r="G8960" s="194">
        <v>0.5</v>
      </c>
      <c r="H8960" s="194" t="s">
        <v>60</v>
      </c>
      <c r="I8960" s="187">
        <v>5.5560979843139648</v>
      </c>
      <c r="J8960" s="187" t="s">
        <v>1220</v>
      </c>
      <c r="K8960" s="187" t="s">
        <v>116</v>
      </c>
      <c r="O8960" s="199"/>
    </row>
    <row r="8961" spans="1:15" x14ac:dyDescent="0.2">
      <c r="A8961" s="183">
        <v>5436</v>
      </c>
      <c r="B8961" s="249" t="str">
        <f>IF(AND(A8961&lt;&gt;"",ISNUMBER(A8961)),VLOOKUP(A8961,Studies!A:BR,2,FALSE),"")</f>
        <v>Rhee 2014</v>
      </c>
      <c r="C8961" s="250" t="str">
        <f>IF(AND(A8961&lt;&gt;"",ISNUMBER(A8961)),VLOOKUP(A8961,Studies!A:BR,3,FALSE),"")</f>
        <v>https://www.ncbi.nlm.nih.gov/pubmed/24608069</v>
      </c>
      <c r="D8961" s="250" t="str">
        <f>IF(AND(A8961&lt;&gt;"",ISNUMBER(A8961)),VLOOKUP(A8961,Studies!A:BR,4,FALSE),"")</f>
        <v>Chewable tablet fed</v>
      </c>
      <c r="E8961" s="250" t="str">
        <f>IF(AND(A8961&lt;&gt;"",ISNUMBER(A8961)),VLOOKUP(A8961,Studies!A:BR,5,FALSE),"")</f>
        <v>Raltegravir</v>
      </c>
      <c r="F8961" s="251" t="str">
        <f>IF(AND(A8961&lt;&gt;"",ISNUMBER(A8961)),VLOOKUP(A8961,Studies!A:BR,6,FALSE),"")</f>
        <v>Plasma</v>
      </c>
      <c r="G8961" s="194">
        <v>1</v>
      </c>
      <c r="H8961" s="194" t="s">
        <v>60</v>
      </c>
      <c r="I8961" s="187">
        <v>5.9724240303039551</v>
      </c>
      <c r="J8961" s="187" t="s">
        <v>1220</v>
      </c>
      <c r="K8961" s="187" t="s">
        <v>116</v>
      </c>
      <c r="O8961" s="199"/>
    </row>
    <row r="8962" spans="1:15" x14ac:dyDescent="0.2">
      <c r="A8962" s="183">
        <v>5436</v>
      </c>
      <c r="B8962" s="249" t="str">
        <f>IF(AND(A8962&lt;&gt;"",ISNUMBER(A8962)),VLOOKUP(A8962,Studies!A:BR,2,FALSE),"")</f>
        <v>Rhee 2014</v>
      </c>
      <c r="C8962" s="250" t="str">
        <f>IF(AND(A8962&lt;&gt;"",ISNUMBER(A8962)),VLOOKUP(A8962,Studies!A:BR,3,FALSE),"")</f>
        <v>https://www.ncbi.nlm.nih.gov/pubmed/24608069</v>
      </c>
      <c r="D8962" s="250" t="str">
        <f>IF(AND(A8962&lt;&gt;"",ISNUMBER(A8962)),VLOOKUP(A8962,Studies!A:BR,4,FALSE),"")</f>
        <v>Chewable tablet fed</v>
      </c>
      <c r="E8962" s="250" t="str">
        <f>IF(AND(A8962&lt;&gt;"",ISNUMBER(A8962)),VLOOKUP(A8962,Studies!A:BR,5,FALSE),"")</f>
        <v>Raltegravir</v>
      </c>
      <c r="F8962" s="251" t="str">
        <f>IF(AND(A8962&lt;&gt;"",ISNUMBER(A8962)),VLOOKUP(A8962,Studies!A:BR,6,FALSE),"")</f>
        <v>Plasma</v>
      </c>
      <c r="G8962" s="194">
        <v>1.5</v>
      </c>
      <c r="H8962" s="194" t="s">
        <v>60</v>
      </c>
      <c r="I8962" s="187">
        <v>5.4238748550415039</v>
      </c>
      <c r="J8962" s="187" t="s">
        <v>1220</v>
      </c>
      <c r="K8962" s="187" t="s">
        <v>116</v>
      </c>
      <c r="O8962" s="199"/>
    </row>
    <row r="8963" spans="1:15" x14ac:dyDescent="0.2">
      <c r="A8963" s="183">
        <v>5436</v>
      </c>
      <c r="B8963" s="249" t="str">
        <f>IF(AND(A8963&lt;&gt;"",ISNUMBER(A8963)),VLOOKUP(A8963,Studies!A:BR,2,FALSE),"")</f>
        <v>Rhee 2014</v>
      </c>
      <c r="C8963" s="250" t="str">
        <f>IF(AND(A8963&lt;&gt;"",ISNUMBER(A8963)),VLOOKUP(A8963,Studies!A:BR,3,FALSE),"")</f>
        <v>https://www.ncbi.nlm.nih.gov/pubmed/24608069</v>
      </c>
      <c r="D8963" s="250" t="str">
        <f>IF(AND(A8963&lt;&gt;"",ISNUMBER(A8963)),VLOOKUP(A8963,Studies!A:BR,4,FALSE),"")</f>
        <v>Chewable tablet fed</v>
      </c>
      <c r="E8963" s="250" t="str">
        <f>IF(AND(A8963&lt;&gt;"",ISNUMBER(A8963)),VLOOKUP(A8963,Studies!A:BR,5,FALSE),"")</f>
        <v>Raltegravir</v>
      </c>
      <c r="F8963" s="251" t="str">
        <f>IF(AND(A8963&lt;&gt;"",ISNUMBER(A8963)),VLOOKUP(A8963,Studies!A:BR,6,FALSE),"")</f>
        <v>Plasma</v>
      </c>
      <c r="G8963" s="194">
        <v>2</v>
      </c>
      <c r="H8963" s="194" t="s">
        <v>60</v>
      </c>
      <c r="I8963" s="187">
        <v>5.168792724609375</v>
      </c>
      <c r="J8963" s="187" t="s">
        <v>1220</v>
      </c>
      <c r="K8963" s="187" t="s">
        <v>116</v>
      </c>
      <c r="O8963" s="199"/>
    </row>
    <row r="8964" spans="1:15" x14ac:dyDescent="0.2">
      <c r="A8964" s="183">
        <v>5436</v>
      </c>
      <c r="B8964" s="249" t="str">
        <f>IF(AND(A8964&lt;&gt;"",ISNUMBER(A8964)),VLOOKUP(A8964,Studies!A:BR,2,FALSE),"")</f>
        <v>Rhee 2014</v>
      </c>
      <c r="C8964" s="250" t="str">
        <f>IF(AND(A8964&lt;&gt;"",ISNUMBER(A8964)),VLOOKUP(A8964,Studies!A:BR,3,FALSE),"")</f>
        <v>https://www.ncbi.nlm.nih.gov/pubmed/24608069</v>
      </c>
      <c r="D8964" s="250" t="str">
        <f>IF(AND(A8964&lt;&gt;"",ISNUMBER(A8964)),VLOOKUP(A8964,Studies!A:BR,4,FALSE),"")</f>
        <v>Chewable tablet fed</v>
      </c>
      <c r="E8964" s="250" t="str">
        <f>IF(AND(A8964&lt;&gt;"",ISNUMBER(A8964)),VLOOKUP(A8964,Studies!A:BR,5,FALSE),"")</f>
        <v>Raltegravir</v>
      </c>
      <c r="F8964" s="251" t="str">
        <f>IF(AND(A8964&lt;&gt;"",ISNUMBER(A8964)),VLOOKUP(A8964,Studies!A:BR,6,FALSE),"")</f>
        <v>Plasma</v>
      </c>
      <c r="G8964" s="194">
        <v>3</v>
      </c>
      <c r="H8964" s="194" t="s">
        <v>60</v>
      </c>
      <c r="I8964" s="187">
        <v>4.161470890045166</v>
      </c>
      <c r="J8964" s="187" t="s">
        <v>1220</v>
      </c>
      <c r="K8964" s="187" t="s">
        <v>116</v>
      </c>
      <c r="O8964" s="199"/>
    </row>
    <row r="8965" spans="1:15" x14ac:dyDescent="0.2">
      <c r="A8965" s="183">
        <v>5436</v>
      </c>
      <c r="B8965" s="249" t="str">
        <f>IF(AND(A8965&lt;&gt;"",ISNUMBER(A8965)),VLOOKUP(A8965,Studies!A:BR,2,FALSE),"")</f>
        <v>Rhee 2014</v>
      </c>
      <c r="C8965" s="250" t="str">
        <f>IF(AND(A8965&lt;&gt;"",ISNUMBER(A8965)),VLOOKUP(A8965,Studies!A:BR,3,FALSE),"")</f>
        <v>https://www.ncbi.nlm.nih.gov/pubmed/24608069</v>
      </c>
      <c r="D8965" s="250" t="str">
        <f>IF(AND(A8965&lt;&gt;"",ISNUMBER(A8965)),VLOOKUP(A8965,Studies!A:BR,4,FALSE),"")</f>
        <v>Chewable tablet fed</v>
      </c>
      <c r="E8965" s="250" t="str">
        <f>IF(AND(A8965&lt;&gt;"",ISNUMBER(A8965)),VLOOKUP(A8965,Studies!A:BR,5,FALSE),"")</f>
        <v>Raltegravir</v>
      </c>
      <c r="F8965" s="251" t="str">
        <f>IF(AND(A8965&lt;&gt;"",ISNUMBER(A8965)),VLOOKUP(A8965,Studies!A:BR,6,FALSE),"")</f>
        <v>Plasma</v>
      </c>
      <c r="G8965" s="194">
        <v>4</v>
      </c>
      <c r="H8965" s="194" t="s">
        <v>60</v>
      </c>
      <c r="I8965" s="187">
        <v>3.8713831901550293</v>
      </c>
      <c r="J8965" s="187" t="s">
        <v>1220</v>
      </c>
      <c r="K8965" s="187" t="s">
        <v>116</v>
      </c>
      <c r="O8965" s="199"/>
    </row>
    <row r="8966" spans="1:15" x14ac:dyDescent="0.2">
      <c r="A8966" s="183">
        <v>5436</v>
      </c>
      <c r="B8966" s="249" t="str">
        <f>IF(AND(A8966&lt;&gt;"",ISNUMBER(A8966)),VLOOKUP(A8966,Studies!A:BR,2,FALSE),"")</f>
        <v>Rhee 2014</v>
      </c>
      <c r="C8966" s="250" t="str">
        <f>IF(AND(A8966&lt;&gt;"",ISNUMBER(A8966)),VLOOKUP(A8966,Studies!A:BR,3,FALSE),"")</f>
        <v>https://www.ncbi.nlm.nih.gov/pubmed/24608069</v>
      </c>
      <c r="D8966" s="250" t="str">
        <f>IF(AND(A8966&lt;&gt;"",ISNUMBER(A8966)),VLOOKUP(A8966,Studies!A:BR,4,FALSE),"")</f>
        <v>Chewable tablet fed</v>
      </c>
      <c r="E8966" s="250" t="str">
        <f>IF(AND(A8966&lt;&gt;"",ISNUMBER(A8966)),VLOOKUP(A8966,Studies!A:BR,5,FALSE),"")</f>
        <v>Raltegravir</v>
      </c>
      <c r="F8966" s="251" t="str">
        <f>IF(AND(A8966&lt;&gt;"",ISNUMBER(A8966)),VLOOKUP(A8966,Studies!A:BR,6,FALSE),"")</f>
        <v>Plasma</v>
      </c>
      <c r="G8966" s="194">
        <v>5</v>
      </c>
      <c r="H8966" s="194" t="s">
        <v>60</v>
      </c>
      <c r="I8966" s="187">
        <v>2.7632653713226318</v>
      </c>
      <c r="J8966" s="187" t="s">
        <v>1220</v>
      </c>
      <c r="K8966" s="187" t="s">
        <v>116</v>
      </c>
      <c r="O8966" s="199"/>
    </row>
    <row r="8967" spans="1:15" x14ac:dyDescent="0.2">
      <c r="A8967" s="183">
        <v>5436</v>
      </c>
      <c r="B8967" s="249" t="str">
        <f>IF(AND(A8967&lt;&gt;"",ISNUMBER(A8967)),VLOOKUP(A8967,Studies!A:BR,2,FALSE),"")</f>
        <v>Rhee 2014</v>
      </c>
      <c r="C8967" s="250" t="str">
        <f>IF(AND(A8967&lt;&gt;"",ISNUMBER(A8967)),VLOOKUP(A8967,Studies!A:BR,3,FALSE),"")</f>
        <v>https://www.ncbi.nlm.nih.gov/pubmed/24608069</v>
      </c>
      <c r="D8967" s="250" t="str">
        <f>IF(AND(A8967&lt;&gt;"",ISNUMBER(A8967)),VLOOKUP(A8967,Studies!A:BR,4,FALSE),"")</f>
        <v>Chewable tablet fed</v>
      </c>
      <c r="E8967" s="250" t="str">
        <f>IF(AND(A8967&lt;&gt;"",ISNUMBER(A8967)),VLOOKUP(A8967,Studies!A:BR,5,FALSE),"")</f>
        <v>Raltegravir</v>
      </c>
      <c r="F8967" s="251" t="str">
        <f>IF(AND(A8967&lt;&gt;"",ISNUMBER(A8967)),VLOOKUP(A8967,Studies!A:BR,6,FALSE),"")</f>
        <v>Plasma</v>
      </c>
      <c r="G8967" s="194">
        <v>6</v>
      </c>
      <c r="H8967" s="194" t="s">
        <v>60</v>
      </c>
      <c r="I8967" s="187">
        <v>1.7485491037368774</v>
      </c>
      <c r="J8967" s="187" t="s">
        <v>1220</v>
      </c>
      <c r="K8967" s="187" t="s">
        <v>116</v>
      </c>
      <c r="O8967" s="199"/>
    </row>
    <row r="8968" spans="1:15" x14ac:dyDescent="0.2">
      <c r="A8968" s="183">
        <v>5436</v>
      </c>
      <c r="B8968" s="249" t="str">
        <f>IF(AND(A8968&lt;&gt;"",ISNUMBER(A8968)),VLOOKUP(A8968,Studies!A:BR,2,FALSE),"")</f>
        <v>Rhee 2014</v>
      </c>
      <c r="C8968" s="250" t="str">
        <f>IF(AND(A8968&lt;&gt;"",ISNUMBER(A8968)),VLOOKUP(A8968,Studies!A:BR,3,FALSE),"")</f>
        <v>https://www.ncbi.nlm.nih.gov/pubmed/24608069</v>
      </c>
      <c r="D8968" s="250" t="str">
        <f>IF(AND(A8968&lt;&gt;"",ISNUMBER(A8968)),VLOOKUP(A8968,Studies!A:BR,4,FALSE),"")</f>
        <v>Chewable tablet fed</v>
      </c>
      <c r="E8968" s="250" t="str">
        <f>IF(AND(A8968&lt;&gt;"",ISNUMBER(A8968)),VLOOKUP(A8968,Studies!A:BR,5,FALSE),"")</f>
        <v>Raltegravir</v>
      </c>
      <c r="F8968" s="251" t="str">
        <f>IF(AND(A8968&lt;&gt;"",ISNUMBER(A8968)),VLOOKUP(A8968,Studies!A:BR,6,FALSE),"")</f>
        <v>Plasma</v>
      </c>
      <c r="G8968" s="194">
        <v>8</v>
      </c>
      <c r="H8968" s="194" t="s">
        <v>60</v>
      </c>
      <c r="I8968" s="187">
        <v>0.91253823041915894</v>
      </c>
      <c r="J8968" s="187" t="s">
        <v>1220</v>
      </c>
      <c r="K8968" s="187" t="s">
        <v>116</v>
      </c>
      <c r="O8968" s="199"/>
    </row>
    <row r="8969" spans="1:15" x14ac:dyDescent="0.2">
      <c r="A8969" s="183">
        <v>5436</v>
      </c>
      <c r="B8969" s="249" t="str">
        <f>IF(AND(A8969&lt;&gt;"",ISNUMBER(A8969)),VLOOKUP(A8969,Studies!A:BR,2,FALSE),"")</f>
        <v>Rhee 2014</v>
      </c>
      <c r="C8969" s="250" t="str">
        <f>IF(AND(A8969&lt;&gt;"",ISNUMBER(A8969)),VLOOKUP(A8969,Studies!A:BR,3,FALSE),"")</f>
        <v>https://www.ncbi.nlm.nih.gov/pubmed/24608069</v>
      </c>
      <c r="D8969" s="250" t="str">
        <f>IF(AND(A8969&lt;&gt;"",ISNUMBER(A8969)),VLOOKUP(A8969,Studies!A:BR,4,FALSE),"")</f>
        <v>Chewable tablet fed</v>
      </c>
      <c r="E8969" s="250" t="str">
        <f>IF(AND(A8969&lt;&gt;"",ISNUMBER(A8969)),VLOOKUP(A8969,Studies!A:BR,5,FALSE),"")</f>
        <v>Raltegravir</v>
      </c>
      <c r="F8969" s="251" t="str">
        <f>IF(AND(A8969&lt;&gt;"",ISNUMBER(A8969)),VLOOKUP(A8969,Studies!A:BR,6,FALSE),"")</f>
        <v>Plasma</v>
      </c>
      <c r="G8969" s="194">
        <v>10</v>
      </c>
      <c r="H8969" s="194" t="s">
        <v>60</v>
      </c>
      <c r="I8969" s="187">
        <v>0.77095550298690796</v>
      </c>
      <c r="J8969" s="187" t="s">
        <v>1220</v>
      </c>
      <c r="K8969" s="187" t="s">
        <v>116</v>
      </c>
      <c r="O8969" s="199"/>
    </row>
    <row r="8970" spans="1:15" x14ac:dyDescent="0.2">
      <c r="A8970" s="183">
        <v>5436</v>
      </c>
      <c r="B8970" s="249" t="str">
        <f>IF(AND(A8970&lt;&gt;"",ISNUMBER(A8970)),VLOOKUP(A8970,Studies!A:BR,2,FALSE),"")</f>
        <v>Rhee 2014</v>
      </c>
      <c r="C8970" s="250" t="str">
        <f>IF(AND(A8970&lt;&gt;"",ISNUMBER(A8970)),VLOOKUP(A8970,Studies!A:BR,3,FALSE),"")</f>
        <v>https://www.ncbi.nlm.nih.gov/pubmed/24608069</v>
      </c>
      <c r="D8970" s="250" t="str">
        <f>IF(AND(A8970&lt;&gt;"",ISNUMBER(A8970)),VLOOKUP(A8970,Studies!A:BR,4,FALSE),"")</f>
        <v>Chewable tablet fed</v>
      </c>
      <c r="E8970" s="250" t="str">
        <f>IF(AND(A8970&lt;&gt;"",ISNUMBER(A8970)),VLOOKUP(A8970,Studies!A:BR,5,FALSE),"")</f>
        <v>Raltegravir</v>
      </c>
      <c r="F8970" s="251" t="str">
        <f>IF(AND(A8970&lt;&gt;"",ISNUMBER(A8970)),VLOOKUP(A8970,Studies!A:BR,6,FALSE),"")</f>
        <v>Plasma</v>
      </c>
      <c r="G8970" s="194">
        <v>12</v>
      </c>
      <c r="H8970" s="194" t="s">
        <v>60</v>
      </c>
      <c r="I8970" s="187">
        <v>0.55028259754180908</v>
      </c>
      <c r="J8970" s="187" t="s">
        <v>1220</v>
      </c>
      <c r="K8970" s="187" t="s">
        <v>116</v>
      </c>
      <c r="O8970" s="199"/>
    </row>
    <row r="8971" spans="1:15" x14ac:dyDescent="0.2">
      <c r="A8971" s="183">
        <v>5436</v>
      </c>
      <c r="B8971" s="249" t="str">
        <f>IF(AND(A8971&lt;&gt;"",ISNUMBER(A8971)),VLOOKUP(A8971,Studies!A:BR,2,FALSE),"")</f>
        <v>Rhee 2014</v>
      </c>
      <c r="C8971" s="250" t="str">
        <f>IF(AND(A8971&lt;&gt;"",ISNUMBER(A8971)),VLOOKUP(A8971,Studies!A:BR,3,FALSE),"")</f>
        <v>https://www.ncbi.nlm.nih.gov/pubmed/24608069</v>
      </c>
      <c r="D8971" s="250" t="str">
        <f>IF(AND(A8971&lt;&gt;"",ISNUMBER(A8971)),VLOOKUP(A8971,Studies!A:BR,4,FALSE),"")</f>
        <v>Chewable tablet fed</v>
      </c>
      <c r="E8971" s="250" t="str">
        <f>IF(AND(A8971&lt;&gt;"",ISNUMBER(A8971)),VLOOKUP(A8971,Studies!A:BR,5,FALSE),"")</f>
        <v>Raltegravir</v>
      </c>
      <c r="F8971" s="251" t="str">
        <f>IF(AND(A8971&lt;&gt;"",ISNUMBER(A8971)),VLOOKUP(A8971,Studies!A:BR,6,FALSE),"")</f>
        <v>Plasma</v>
      </c>
      <c r="G8971" s="194">
        <v>16</v>
      </c>
      <c r="H8971" s="194" t="s">
        <v>60</v>
      </c>
      <c r="I8971" s="187">
        <v>0.27367711067199707</v>
      </c>
      <c r="J8971" s="187" t="s">
        <v>1220</v>
      </c>
      <c r="K8971" s="187" t="s">
        <v>116</v>
      </c>
      <c r="O8971" s="199"/>
    </row>
    <row r="8972" spans="1:15" x14ac:dyDescent="0.2">
      <c r="A8972" s="183">
        <v>5436</v>
      </c>
      <c r="B8972" s="249" t="str">
        <f>IF(AND(A8972&lt;&gt;"",ISNUMBER(A8972)),VLOOKUP(A8972,Studies!A:BR,2,FALSE),"")</f>
        <v>Rhee 2014</v>
      </c>
      <c r="C8972" s="250" t="str">
        <f>IF(AND(A8972&lt;&gt;"",ISNUMBER(A8972)),VLOOKUP(A8972,Studies!A:BR,3,FALSE),"")</f>
        <v>https://www.ncbi.nlm.nih.gov/pubmed/24608069</v>
      </c>
      <c r="D8972" s="250" t="str">
        <f>IF(AND(A8972&lt;&gt;"",ISNUMBER(A8972)),VLOOKUP(A8972,Studies!A:BR,4,FALSE),"")</f>
        <v>Chewable tablet fed</v>
      </c>
      <c r="E8972" s="250" t="str">
        <f>IF(AND(A8972&lt;&gt;"",ISNUMBER(A8972)),VLOOKUP(A8972,Studies!A:BR,5,FALSE),"")</f>
        <v>Raltegravir</v>
      </c>
      <c r="F8972" s="251" t="str">
        <f>IF(AND(A8972&lt;&gt;"",ISNUMBER(A8972)),VLOOKUP(A8972,Studies!A:BR,6,FALSE),"")</f>
        <v>Plasma</v>
      </c>
      <c r="G8972" s="194">
        <v>24</v>
      </c>
      <c r="H8972" s="194" t="s">
        <v>60</v>
      </c>
      <c r="I8972" s="187">
        <v>7.1033701300621033E-2</v>
      </c>
      <c r="J8972" s="187" t="s">
        <v>1220</v>
      </c>
      <c r="K8972" s="187" t="s">
        <v>116</v>
      </c>
      <c r="O8972" s="199"/>
    </row>
    <row r="8973" spans="1:15" x14ac:dyDescent="0.2">
      <c r="A8973" s="30">
        <v>5437</v>
      </c>
      <c r="B8973" s="249" t="str">
        <f>IF(AND(A8973&lt;&gt;"",ISNUMBER(A8973)),VLOOKUP(A8973,Studies!A:BR,2,FALSE),"")</f>
        <v>Rhee 2014</v>
      </c>
      <c r="C8973" s="250" t="str">
        <f>IF(AND(A8973&lt;&gt;"",ISNUMBER(A8973)),VLOOKUP(A8973,Studies!A:BR,3,FALSE),"")</f>
        <v>https://www.ncbi.nlm.nih.gov/pubmed/24608069</v>
      </c>
      <c r="D8973" s="250" t="str">
        <f>IF(AND(A8973&lt;&gt;"",ISNUMBER(A8973)),VLOOKUP(A8973,Studies!A:BR,4,FALSE),"")</f>
        <v>granules suspension</v>
      </c>
      <c r="E8973" s="250" t="str">
        <f>IF(AND(A8973&lt;&gt;"",ISNUMBER(A8973)),VLOOKUP(A8973,Studies!A:BR,5,FALSE),"")</f>
        <v>Raltegravir</v>
      </c>
      <c r="F8973" s="251" t="str">
        <f>IF(AND(A8973&lt;&gt;"",ISNUMBER(A8973)),VLOOKUP(A8973,Studies!A:BR,6,FALSE),"")</f>
        <v>Plasma</v>
      </c>
      <c r="G8973" s="194">
        <v>0.5</v>
      </c>
      <c r="H8973" s="194" t="s">
        <v>60</v>
      </c>
      <c r="I8973" s="187">
        <v>18.9776611328125</v>
      </c>
      <c r="J8973" s="187" t="s">
        <v>1220</v>
      </c>
      <c r="K8973" s="187" t="s">
        <v>116</v>
      </c>
      <c r="O8973" s="199"/>
    </row>
    <row r="8974" spans="1:15" x14ac:dyDescent="0.2">
      <c r="A8974" s="183">
        <v>5437</v>
      </c>
      <c r="B8974" s="249" t="str">
        <f>IF(AND(A8974&lt;&gt;"",ISNUMBER(A8974)),VLOOKUP(A8974,Studies!A:BR,2,FALSE),"")</f>
        <v>Rhee 2014</v>
      </c>
      <c r="C8974" s="250" t="str">
        <f>IF(AND(A8974&lt;&gt;"",ISNUMBER(A8974)),VLOOKUP(A8974,Studies!A:BR,3,FALSE),"")</f>
        <v>https://www.ncbi.nlm.nih.gov/pubmed/24608069</v>
      </c>
      <c r="D8974" s="250" t="str">
        <f>IF(AND(A8974&lt;&gt;"",ISNUMBER(A8974)),VLOOKUP(A8974,Studies!A:BR,4,FALSE),"")</f>
        <v>granules suspension</v>
      </c>
      <c r="E8974" s="250" t="str">
        <f>IF(AND(A8974&lt;&gt;"",ISNUMBER(A8974)),VLOOKUP(A8974,Studies!A:BR,5,FALSE),"")</f>
        <v>Raltegravir</v>
      </c>
      <c r="F8974" s="251" t="str">
        <f>IF(AND(A8974&lt;&gt;"",ISNUMBER(A8974)),VLOOKUP(A8974,Studies!A:BR,6,FALSE),"")</f>
        <v>Plasma</v>
      </c>
      <c r="G8974" s="194">
        <v>1</v>
      </c>
      <c r="H8974" s="194" t="s">
        <v>60</v>
      </c>
      <c r="I8974" s="187">
        <v>19.440301895141602</v>
      </c>
      <c r="J8974" s="187" t="s">
        <v>1220</v>
      </c>
      <c r="K8974" s="187" t="s">
        <v>116</v>
      </c>
      <c r="O8974" s="199"/>
    </row>
    <row r="8975" spans="1:15" x14ac:dyDescent="0.2">
      <c r="A8975" s="183">
        <v>5437</v>
      </c>
      <c r="B8975" s="249" t="str">
        <f>IF(AND(A8975&lt;&gt;"",ISNUMBER(A8975)),VLOOKUP(A8975,Studies!A:BR,2,FALSE),"")</f>
        <v>Rhee 2014</v>
      </c>
      <c r="C8975" s="250" t="str">
        <f>IF(AND(A8975&lt;&gt;"",ISNUMBER(A8975)),VLOOKUP(A8975,Studies!A:BR,3,FALSE),"")</f>
        <v>https://www.ncbi.nlm.nih.gov/pubmed/24608069</v>
      </c>
      <c r="D8975" s="250" t="str">
        <f>IF(AND(A8975&lt;&gt;"",ISNUMBER(A8975)),VLOOKUP(A8975,Studies!A:BR,4,FALSE),"")</f>
        <v>granules suspension</v>
      </c>
      <c r="E8975" s="250" t="str">
        <f>IF(AND(A8975&lt;&gt;"",ISNUMBER(A8975)),VLOOKUP(A8975,Studies!A:BR,5,FALSE),"")</f>
        <v>Raltegravir</v>
      </c>
      <c r="F8975" s="251" t="str">
        <f>IF(AND(A8975&lt;&gt;"",ISNUMBER(A8975)),VLOOKUP(A8975,Studies!A:BR,6,FALSE),"")</f>
        <v>Plasma</v>
      </c>
      <c r="G8975" s="194">
        <v>1.5</v>
      </c>
      <c r="H8975" s="194" t="s">
        <v>60</v>
      </c>
      <c r="I8975" s="187">
        <v>16.824472427368164</v>
      </c>
      <c r="J8975" s="187" t="s">
        <v>1220</v>
      </c>
      <c r="K8975" s="187" t="s">
        <v>116</v>
      </c>
      <c r="O8975" s="199"/>
    </row>
    <row r="8976" spans="1:15" x14ac:dyDescent="0.2">
      <c r="A8976" s="183">
        <v>5437</v>
      </c>
      <c r="B8976" s="249" t="str">
        <f>IF(AND(A8976&lt;&gt;"",ISNUMBER(A8976)),VLOOKUP(A8976,Studies!A:BR,2,FALSE),"")</f>
        <v>Rhee 2014</v>
      </c>
      <c r="C8976" s="250" t="str">
        <f>IF(AND(A8976&lt;&gt;"",ISNUMBER(A8976)),VLOOKUP(A8976,Studies!A:BR,3,FALSE),"")</f>
        <v>https://www.ncbi.nlm.nih.gov/pubmed/24608069</v>
      </c>
      <c r="D8976" s="250" t="str">
        <f>IF(AND(A8976&lt;&gt;"",ISNUMBER(A8976)),VLOOKUP(A8976,Studies!A:BR,4,FALSE),"")</f>
        <v>granules suspension</v>
      </c>
      <c r="E8976" s="250" t="str">
        <f>IF(AND(A8976&lt;&gt;"",ISNUMBER(A8976)),VLOOKUP(A8976,Studies!A:BR,5,FALSE),"")</f>
        <v>Raltegravir</v>
      </c>
      <c r="F8976" s="251" t="str">
        <f>IF(AND(A8976&lt;&gt;"",ISNUMBER(A8976)),VLOOKUP(A8976,Studies!A:BR,6,FALSE),"")</f>
        <v>Plasma</v>
      </c>
      <c r="G8976" s="194">
        <v>2</v>
      </c>
      <c r="H8976" s="194" t="s">
        <v>60</v>
      </c>
      <c r="I8976" s="187">
        <v>11.171646118164063</v>
      </c>
      <c r="J8976" s="187" t="s">
        <v>1220</v>
      </c>
      <c r="K8976" s="187" t="s">
        <v>116</v>
      </c>
      <c r="O8976" s="199"/>
    </row>
    <row r="8977" spans="1:15" x14ac:dyDescent="0.2">
      <c r="A8977" s="183">
        <v>5437</v>
      </c>
      <c r="B8977" s="249" t="str">
        <f>IF(AND(A8977&lt;&gt;"",ISNUMBER(A8977)),VLOOKUP(A8977,Studies!A:BR,2,FALSE),"")</f>
        <v>Rhee 2014</v>
      </c>
      <c r="C8977" s="250" t="str">
        <f>IF(AND(A8977&lt;&gt;"",ISNUMBER(A8977)),VLOOKUP(A8977,Studies!A:BR,3,FALSE),"")</f>
        <v>https://www.ncbi.nlm.nih.gov/pubmed/24608069</v>
      </c>
      <c r="D8977" s="250" t="str">
        <f>IF(AND(A8977&lt;&gt;"",ISNUMBER(A8977)),VLOOKUP(A8977,Studies!A:BR,4,FALSE),"")</f>
        <v>granules suspension</v>
      </c>
      <c r="E8977" s="250" t="str">
        <f>IF(AND(A8977&lt;&gt;"",ISNUMBER(A8977)),VLOOKUP(A8977,Studies!A:BR,5,FALSE),"")</f>
        <v>Raltegravir</v>
      </c>
      <c r="F8977" s="251" t="str">
        <f>IF(AND(A8977&lt;&gt;"",ISNUMBER(A8977)),VLOOKUP(A8977,Studies!A:BR,6,FALSE),"")</f>
        <v>Plasma</v>
      </c>
      <c r="G8977" s="194">
        <v>3</v>
      </c>
      <c r="H8977" s="194" t="s">
        <v>60</v>
      </c>
      <c r="I8977" s="187">
        <v>5.9724240303039551</v>
      </c>
      <c r="J8977" s="187" t="s">
        <v>1220</v>
      </c>
      <c r="K8977" s="187" t="s">
        <v>116</v>
      </c>
      <c r="O8977" s="199"/>
    </row>
    <row r="8978" spans="1:15" x14ac:dyDescent="0.2">
      <c r="A8978" s="183">
        <v>5437</v>
      </c>
      <c r="B8978" s="249" t="str">
        <f>IF(AND(A8978&lt;&gt;"",ISNUMBER(A8978)),VLOOKUP(A8978,Studies!A:BR,2,FALSE),"")</f>
        <v>Rhee 2014</v>
      </c>
      <c r="C8978" s="250" t="str">
        <f>IF(AND(A8978&lt;&gt;"",ISNUMBER(A8978)),VLOOKUP(A8978,Studies!A:BR,3,FALSE),"")</f>
        <v>https://www.ncbi.nlm.nih.gov/pubmed/24608069</v>
      </c>
      <c r="D8978" s="250" t="str">
        <f>IF(AND(A8978&lt;&gt;"",ISNUMBER(A8978)),VLOOKUP(A8978,Studies!A:BR,4,FALSE),"")</f>
        <v>granules suspension</v>
      </c>
      <c r="E8978" s="250" t="str">
        <f>IF(AND(A8978&lt;&gt;"",ISNUMBER(A8978)),VLOOKUP(A8978,Studies!A:BR,5,FALSE),"")</f>
        <v>Raltegravir</v>
      </c>
      <c r="F8978" s="251" t="str">
        <f>IF(AND(A8978&lt;&gt;"",ISNUMBER(A8978)),VLOOKUP(A8978,Studies!A:BR,6,FALSE),"")</f>
        <v>Plasma</v>
      </c>
      <c r="G8978" s="194">
        <v>4</v>
      </c>
      <c r="H8978" s="194" t="s">
        <v>60</v>
      </c>
      <c r="I8978" s="187">
        <v>3.1928911209106445</v>
      </c>
      <c r="J8978" s="187" t="s">
        <v>1220</v>
      </c>
      <c r="K8978" s="187" t="s">
        <v>116</v>
      </c>
      <c r="O8978" s="199"/>
    </row>
    <row r="8979" spans="1:15" x14ac:dyDescent="0.2">
      <c r="A8979" s="183">
        <v>5437</v>
      </c>
      <c r="B8979" s="249" t="str">
        <f>IF(AND(A8979&lt;&gt;"",ISNUMBER(A8979)),VLOOKUP(A8979,Studies!A:BR,2,FALSE),"")</f>
        <v>Rhee 2014</v>
      </c>
      <c r="C8979" s="250" t="str">
        <f>IF(AND(A8979&lt;&gt;"",ISNUMBER(A8979)),VLOOKUP(A8979,Studies!A:BR,3,FALSE),"")</f>
        <v>https://www.ncbi.nlm.nih.gov/pubmed/24608069</v>
      </c>
      <c r="D8979" s="250" t="str">
        <f>IF(AND(A8979&lt;&gt;"",ISNUMBER(A8979)),VLOOKUP(A8979,Studies!A:BR,4,FALSE),"")</f>
        <v>granules suspension</v>
      </c>
      <c r="E8979" s="250" t="str">
        <f>IF(AND(A8979&lt;&gt;"",ISNUMBER(A8979)),VLOOKUP(A8979,Studies!A:BR,5,FALSE),"")</f>
        <v>Raltegravir</v>
      </c>
      <c r="F8979" s="251" t="str">
        <f>IF(AND(A8979&lt;&gt;"",ISNUMBER(A8979)),VLOOKUP(A8979,Studies!A:BR,6,FALSE),"")</f>
        <v>Plasma</v>
      </c>
      <c r="G8979" s="194">
        <v>5</v>
      </c>
      <c r="H8979" s="194" t="s">
        <v>60</v>
      </c>
      <c r="I8979" s="187">
        <v>1.6266611814498901</v>
      </c>
      <c r="J8979" s="187" t="s">
        <v>1220</v>
      </c>
      <c r="K8979" s="187" t="s">
        <v>116</v>
      </c>
      <c r="O8979" s="199"/>
    </row>
    <row r="8980" spans="1:15" x14ac:dyDescent="0.2">
      <c r="A8980" s="183">
        <v>5437</v>
      </c>
      <c r="B8980" s="249" t="str">
        <f>IF(AND(A8980&lt;&gt;"",ISNUMBER(A8980)),VLOOKUP(A8980,Studies!A:BR,2,FALSE),"")</f>
        <v>Rhee 2014</v>
      </c>
      <c r="C8980" s="250" t="str">
        <f>IF(AND(A8980&lt;&gt;"",ISNUMBER(A8980)),VLOOKUP(A8980,Studies!A:BR,3,FALSE),"")</f>
        <v>https://www.ncbi.nlm.nih.gov/pubmed/24608069</v>
      </c>
      <c r="D8980" s="250" t="str">
        <f>IF(AND(A8980&lt;&gt;"",ISNUMBER(A8980)),VLOOKUP(A8980,Studies!A:BR,4,FALSE),"")</f>
        <v>granules suspension</v>
      </c>
      <c r="E8980" s="250" t="str">
        <f>IF(AND(A8980&lt;&gt;"",ISNUMBER(A8980)),VLOOKUP(A8980,Studies!A:BR,5,FALSE),"")</f>
        <v>Raltegravir</v>
      </c>
      <c r="F8980" s="251" t="str">
        <f>IF(AND(A8980&lt;&gt;"",ISNUMBER(A8980)),VLOOKUP(A8980,Studies!A:BR,6,FALSE),"")</f>
        <v>Plasma</v>
      </c>
      <c r="G8980" s="194">
        <v>6</v>
      </c>
      <c r="H8980" s="194" t="s">
        <v>60</v>
      </c>
      <c r="I8980" s="187">
        <v>1.0293245315551758</v>
      </c>
      <c r="J8980" s="187" t="s">
        <v>1220</v>
      </c>
      <c r="K8980" s="187" t="s">
        <v>116</v>
      </c>
      <c r="O8980" s="199"/>
    </row>
    <row r="8981" spans="1:15" x14ac:dyDescent="0.2">
      <c r="A8981" s="183">
        <v>5437</v>
      </c>
      <c r="B8981" s="249" t="str">
        <f>IF(AND(A8981&lt;&gt;"",ISNUMBER(A8981)),VLOOKUP(A8981,Studies!A:BR,2,FALSE),"")</f>
        <v>Rhee 2014</v>
      </c>
      <c r="C8981" s="250" t="str">
        <f>IF(AND(A8981&lt;&gt;"",ISNUMBER(A8981)),VLOOKUP(A8981,Studies!A:BR,3,FALSE),"")</f>
        <v>https://www.ncbi.nlm.nih.gov/pubmed/24608069</v>
      </c>
      <c r="D8981" s="250" t="str">
        <f>IF(AND(A8981&lt;&gt;"",ISNUMBER(A8981)),VLOOKUP(A8981,Studies!A:BR,4,FALSE),"")</f>
        <v>granules suspension</v>
      </c>
      <c r="E8981" s="250" t="str">
        <f>IF(AND(A8981&lt;&gt;"",ISNUMBER(A8981)),VLOOKUP(A8981,Studies!A:BR,5,FALSE),"")</f>
        <v>Raltegravir</v>
      </c>
      <c r="F8981" s="251" t="str">
        <f>IF(AND(A8981&lt;&gt;"",ISNUMBER(A8981)),VLOOKUP(A8981,Studies!A:BR,6,FALSE),"")</f>
        <v>Plasma</v>
      </c>
      <c r="G8981" s="194">
        <v>8</v>
      </c>
      <c r="H8981" s="194" t="s">
        <v>60</v>
      </c>
      <c r="I8981" s="187">
        <v>0.43249717354774475</v>
      </c>
      <c r="J8981" s="187" t="s">
        <v>1220</v>
      </c>
      <c r="K8981" s="187" t="s">
        <v>116</v>
      </c>
      <c r="O8981" s="199"/>
    </row>
    <row r="8982" spans="1:15" x14ac:dyDescent="0.2">
      <c r="A8982" s="183">
        <v>5437</v>
      </c>
      <c r="B8982" s="249" t="str">
        <f>IF(AND(A8982&lt;&gt;"",ISNUMBER(A8982)),VLOOKUP(A8982,Studies!A:BR,2,FALSE),"")</f>
        <v>Rhee 2014</v>
      </c>
      <c r="C8982" s="250" t="str">
        <f>IF(AND(A8982&lt;&gt;"",ISNUMBER(A8982)),VLOOKUP(A8982,Studies!A:BR,3,FALSE),"")</f>
        <v>https://www.ncbi.nlm.nih.gov/pubmed/24608069</v>
      </c>
      <c r="D8982" s="250" t="str">
        <f>IF(AND(A8982&lt;&gt;"",ISNUMBER(A8982)),VLOOKUP(A8982,Studies!A:BR,4,FALSE),"")</f>
        <v>granules suspension</v>
      </c>
      <c r="E8982" s="250" t="str">
        <f>IF(AND(A8982&lt;&gt;"",ISNUMBER(A8982)),VLOOKUP(A8982,Studies!A:BR,5,FALSE),"")</f>
        <v>Raltegravir</v>
      </c>
      <c r="F8982" s="251" t="str">
        <f>IF(AND(A8982&lt;&gt;"",ISNUMBER(A8982)),VLOOKUP(A8982,Studies!A:BR,6,FALSE),"")</f>
        <v>Plasma</v>
      </c>
      <c r="G8982" s="194">
        <v>10</v>
      </c>
      <c r="H8982" s="194" t="s">
        <v>60</v>
      </c>
      <c r="I8982" s="187">
        <v>0.26080626249313354</v>
      </c>
      <c r="J8982" s="187" t="s">
        <v>1220</v>
      </c>
      <c r="K8982" s="187" t="s">
        <v>116</v>
      </c>
      <c r="O8982" s="199"/>
    </row>
    <row r="8983" spans="1:15" x14ac:dyDescent="0.2">
      <c r="A8983" s="183">
        <v>5437</v>
      </c>
      <c r="B8983" s="249" t="str">
        <f>IF(AND(A8983&lt;&gt;"",ISNUMBER(A8983)),VLOOKUP(A8983,Studies!A:BR,2,FALSE),"")</f>
        <v>Rhee 2014</v>
      </c>
      <c r="C8983" s="250" t="str">
        <f>IF(AND(A8983&lt;&gt;"",ISNUMBER(A8983)),VLOOKUP(A8983,Studies!A:BR,3,FALSE),"")</f>
        <v>https://www.ncbi.nlm.nih.gov/pubmed/24608069</v>
      </c>
      <c r="D8983" s="250" t="str">
        <f>IF(AND(A8983&lt;&gt;"",ISNUMBER(A8983)),VLOOKUP(A8983,Studies!A:BR,4,FALSE),"")</f>
        <v>granules suspension</v>
      </c>
      <c r="E8983" s="250" t="str">
        <f>IF(AND(A8983&lt;&gt;"",ISNUMBER(A8983)),VLOOKUP(A8983,Studies!A:BR,5,FALSE),"")</f>
        <v>Raltegravir</v>
      </c>
      <c r="F8983" s="251" t="str">
        <f>IF(AND(A8983&lt;&gt;"",ISNUMBER(A8983)),VLOOKUP(A8983,Studies!A:BR,6,FALSE),"")</f>
        <v>Plasma</v>
      </c>
      <c r="G8983" s="194">
        <v>12</v>
      </c>
      <c r="H8983" s="194" t="s">
        <v>60</v>
      </c>
      <c r="I8983" s="187">
        <v>0.17740015685558319</v>
      </c>
      <c r="J8983" s="187" t="s">
        <v>1220</v>
      </c>
      <c r="K8983" s="187" t="s">
        <v>116</v>
      </c>
      <c r="O8983" s="199"/>
    </row>
    <row r="8984" spans="1:15" x14ac:dyDescent="0.2">
      <c r="A8984" s="30">
        <v>5437</v>
      </c>
      <c r="B8984" s="249" t="str">
        <f>IF(AND(A8984&lt;&gt;"",ISNUMBER(A8984)),VLOOKUP(A8984,Studies!A:BR,2,FALSE),"")</f>
        <v>Rhee 2014</v>
      </c>
      <c r="C8984" s="250" t="str">
        <f>IF(AND(A8984&lt;&gt;"",ISNUMBER(A8984)),VLOOKUP(A8984,Studies!A:BR,3,FALSE),"")</f>
        <v>https://www.ncbi.nlm.nih.gov/pubmed/24608069</v>
      </c>
      <c r="D8984" s="250" t="str">
        <f>IF(AND(A8984&lt;&gt;"",ISNUMBER(A8984)),VLOOKUP(A8984,Studies!A:BR,4,FALSE),"")</f>
        <v>granules suspension</v>
      </c>
      <c r="E8984" s="250" t="str">
        <f>IF(AND(A8984&lt;&gt;"",ISNUMBER(A8984)),VLOOKUP(A8984,Studies!A:BR,5,FALSE),"")</f>
        <v>Raltegravir</v>
      </c>
      <c r="F8984" s="251" t="str">
        <f>IF(AND(A8984&lt;&gt;"",ISNUMBER(A8984)),VLOOKUP(A8984,Studies!A:BR,6,FALSE),"")</f>
        <v>Plasma</v>
      </c>
      <c r="G8984" s="194">
        <v>16</v>
      </c>
      <c r="H8984" s="50" t="s">
        <v>60</v>
      </c>
      <c r="I8984" s="187">
        <v>0.10443075001239777</v>
      </c>
      <c r="J8984" s="41" t="s">
        <v>1220</v>
      </c>
      <c r="K8984" s="41" t="s">
        <v>116</v>
      </c>
    </row>
    <row r="8985" spans="1:15" x14ac:dyDescent="0.2">
      <c r="A8985" s="30">
        <v>5437</v>
      </c>
      <c r="B8985" s="249" t="str">
        <f>IF(AND(A8985&lt;&gt;"",ISNUMBER(A8985)),VLOOKUP(A8985,Studies!A:BR,2,FALSE),"")</f>
        <v>Rhee 2014</v>
      </c>
      <c r="C8985" s="250" t="str">
        <f>IF(AND(A8985&lt;&gt;"",ISNUMBER(A8985)),VLOOKUP(A8985,Studies!A:BR,3,FALSE),"")</f>
        <v>https://www.ncbi.nlm.nih.gov/pubmed/24608069</v>
      </c>
      <c r="D8985" s="250" t="str">
        <f>IF(AND(A8985&lt;&gt;"",ISNUMBER(A8985)),VLOOKUP(A8985,Studies!A:BR,4,FALSE),"")</f>
        <v>granules suspension</v>
      </c>
      <c r="E8985" s="250" t="str">
        <f>IF(AND(A8985&lt;&gt;"",ISNUMBER(A8985)),VLOOKUP(A8985,Studies!A:BR,5,FALSE),"")</f>
        <v>Raltegravir</v>
      </c>
      <c r="F8985" s="251" t="str">
        <f>IF(AND(A8985&lt;&gt;"",ISNUMBER(A8985)),VLOOKUP(A8985,Studies!A:BR,6,FALSE),"")</f>
        <v>Plasma</v>
      </c>
      <c r="G8985" s="194">
        <v>24</v>
      </c>
      <c r="H8985" s="194" t="s">
        <v>60</v>
      </c>
      <c r="I8985" s="187">
        <v>6.9343253970146179E-2</v>
      </c>
      <c r="J8985" s="41" t="s">
        <v>1220</v>
      </c>
      <c r="K8985" s="41" t="s">
        <v>116</v>
      </c>
    </row>
    <row r="8986" spans="1:15" x14ac:dyDescent="0.2">
      <c r="A8986" s="30">
        <v>5438</v>
      </c>
      <c r="B8986" s="249" t="str">
        <f>IF(AND(A8986&lt;&gt;"",ISNUMBER(A8986)),VLOOKUP(A8986,Studies!A:BR,2,FALSE),"")</f>
        <v>Rhee 2014</v>
      </c>
      <c r="C8986" s="250" t="str">
        <f>IF(AND(A8986&lt;&gt;"",ISNUMBER(A8986)),VLOOKUP(A8986,Studies!A:BR,3,FALSE),"")</f>
        <v>https://www.ncbi.nlm.nih.gov/pubmed/24608069</v>
      </c>
      <c r="D8986" s="250" t="str">
        <f>IF(AND(A8986&lt;&gt;"",ISNUMBER(A8986)),VLOOKUP(A8986,Studies!A:BR,4,FALSE),"")</f>
        <v>filmcoated tablet</v>
      </c>
      <c r="E8986" s="250" t="str">
        <f>IF(AND(A8986&lt;&gt;"",ISNUMBER(A8986)),VLOOKUP(A8986,Studies!A:BR,5,FALSE),"")</f>
        <v>Raltegravir</v>
      </c>
      <c r="F8986" s="251" t="str">
        <f>IF(AND(A8986&lt;&gt;"",ISNUMBER(A8986)),VLOOKUP(A8986,Studies!A:BR,6,FALSE),"")</f>
        <v>Plasma</v>
      </c>
      <c r="G8986" s="194">
        <v>0.5</v>
      </c>
      <c r="H8986" s="194" t="s">
        <v>60</v>
      </c>
      <c r="I8986" s="187">
        <v>1.1893613338470459</v>
      </c>
      <c r="J8986" s="41" t="s">
        <v>1220</v>
      </c>
      <c r="K8986" s="41" t="s">
        <v>116</v>
      </c>
    </row>
    <row r="8987" spans="1:15" x14ac:dyDescent="0.2">
      <c r="A8987" s="30">
        <v>5438</v>
      </c>
      <c r="B8987" s="249" t="str">
        <f>IF(AND(A8987&lt;&gt;"",ISNUMBER(A8987)),VLOOKUP(A8987,Studies!A:BR,2,FALSE),"")</f>
        <v>Rhee 2014</v>
      </c>
      <c r="C8987" s="250" t="str">
        <f>IF(AND(A8987&lt;&gt;"",ISNUMBER(A8987)),VLOOKUP(A8987,Studies!A:BR,3,FALSE),"")</f>
        <v>https://www.ncbi.nlm.nih.gov/pubmed/24608069</v>
      </c>
      <c r="D8987" s="250" t="str">
        <f>IF(AND(A8987&lt;&gt;"",ISNUMBER(A8987)),VLOOKUP(A8987,Studies!A:BR,4,FALSE),"")</f>
        <v>filmcoated tablet</v>
      </c>
      <c r="E8987" s="250" t="str">
        <f>IF(AND(A8987&lt;&gt;"",ISNUMBER(A8987)),VLOOKUP(A8987,Studies!A:BR,5,FALSE),"")</f>
        <v>Raltegravir</v>
      </c>
      <c r="F8987" s="251" t="str">
        <f>IF(AND(A8987&lt;&gt;"",ISNUMBER(A8987)),VLOOKUP(A8987,Studies!A:BR,6,FALSE),"")</f>
        <v>Plasma</v>
      </c>
      <c r="G8987" s="194">
        <v>1</v>
      </c>
      <c r="H8987" s="194" t="s">
        <v>60</v>
      </c>
      <c r="I8987" s="187">
        <v>2.8996336460113525</v>
      </c>
      <c r="J8987" s="41" t="s">
        <v>1220</v>
      </c>
      <c r="K8987" s="41" t="s">
        <v>116</v>
      </c>
    </row>
    <row r="8988" spans="1:15" x14ac:dyDescent="0.2">
      <c r="A8988" s="30">
        <v>5438</v>
      </c>
      <c r="B8988" s="249" t="str">
        <f>IF(AND(A8988&lt;&gt;"",ISNUMBER(A8988)),VLOOKUP(A8988,Studies!A:BR,2,FALSE),"")</f>
        <v>Rhee 2014</v>
      </c>
      <c r="C8988" s="250" t="str">
        <f>IF(AND(A8988&lt;&gt;"",ISNUMBER(A8988)),VLOOKUP(A8988,Studies!A:BR,3,FALSE),"")</f>
        <v>https://www.ncbi.nlm.nih.gov/pubmed/24608069</v>
      </c>
      <c r="D8988" s="250" t="str">
        <f>IF(AND(A8988&lt;&gt;"",ISNUMBER(A8988)),VLOOKUP(A8988,Studies!A:BR,4,FALSE),"")</f>
        <v>filmcoated tablet</v>
      </c>
      <c r="E8988" s="250" t="str">
        <f>IF(AND(A8988&lt;&gt;"",ISNUMBER(A8988)),VLOOKUP(A8988,Studies!A:BR,5,FALSE),"")</f>
        <v>Raltegravir</v>
      </c>
      <c r="F8988" s="251" t="str">
        <f>IF(AND(A8988&lt;&gt;"",ISNUMBER(A8988)),VLOOKUP(A8988,Studies!A:BR,6,FALSE),"")</f>
        <v>Plasma</v>
      </c>
      <c r="G8988" s="194">
        <v>1.5</v>
      </c>
      <c r="H8988" s="194" t="s">
        <v>60</v>
      </c>
      <c r="I8988" s="187">
        <v>3.5158076286315918</v>
      </c>
      <c r="J8988" s="41" t="s">
        <v>1220</v>
      </c>
      <c r="K8988" s="41" t="s">
        <v>116</v>
      </c>
    </row>
    <row r="8989" spans="1:15" x14ac:dyDescent="0.2">
      <c r="A8989" s="30">
        <v>5438</v>
      </c>
      <c r="B8989" s="249" t="str">
        <f>IF(AND(A8989&lt;&gt;"",ISNUMBER(A8989)),VLOOKUP(A8989,Studies!A:BR,2,FALSE),"")</f>
        <v>Rhee 2014</v>
      </c>
      <c r="C8989" s="250" t="str">
        <f>IF(AND(A8989&lt;&gt;"",ISNUMBER(A8989)),VLOOKUP(A8989,Studies!A:BR,3,FALSE),"")</f>
        <v>https://www.ncbi.nlm.nih.gov/pubmed/24608069</v>
      </c>
      <c r="D8989" s="250" t="str">
        <f>IF(AND(A8989&lt;&gt;"",ISNUMBER(A8989)),VLOOKUP(A8989,Studies!A:BR,4,FALSE),"")</f>
        <v>filmcoated tablet</v>
      </c>
      <c r="E8989" s="250" t="str">
        <f>IF(AND(A8989&lt;&gt;"",ISNUMBER(A8989)),VLOOKUP(A8989,Studies!A:BR,5,FALSE),"")</f>
        <v>Raltegravir</v>
      </c>
      <c r="F8989" s="251" t="str">
        <f>IF(AND(A8989&lt;&gt;"",ISNUMBER(A8989)),VLOOKUP(A8989,Studies!A:BR,6,FALSE),"")</f>
        <v>Plasma</v>
      </c>
      <c r="G8989" s="194">
        <v>2</v>
      </c>
      <c r="H8989" s="194" t="s">
        <v>60</v>
      </c>
      <c r="I8989" s="187">
        <v>4.062436580657959</v>
      </c>
      <c r="J8989" s="41" t="s">
        <v>1220</v>
      </c>
      <c r="K8989" s="41" t="s">
        <v>116</v>
      </c>
    </row>
    <row r="8990" spans="1:15" x14ac:dyDescent="0.2">
      <c r="A8990" s="30">
        <v>5438</v>
      </c>
      <c r="B8990" s="249" t="str">
        <f>IF(AND(A8990&lt;&gt;"",ISNUMBER(A8990)),VLOOKUP(A8990,Studies!A:BR,2,FALSE),"")</f>
        <v>Rhee 2014</v>
      </c>
      <c r="C8990" s="250" t="str">
        <f>IF(AND(A8990&lt;&gt;"",ISNUMBER(A8990)),VLOOKUP(A8990,Studies!A:BR,3,FALSE),"")</f>
        <v>https://www.ncbi.nlm.nih.gov/pubmed/24608069</v>
      </c>
      <c r="D8990" s="250" t="str">
        <f>IF(AND(A8990&lt;&gt;"",ISNUMBER(A8990)),VLOOKUP(A8990,Studies!A:BR,4,FALSE),"")</f>
        <v>filmcoated tablet</v>
      </c>
      <c r="E8990" s="250" t="str">
        <f>IF(AND(A8990&lt;&gt;"",ISNUMBER(A8990)),VLOOKUP(A8990,Studies!A:BR,5,FALSE),"")</f>
        <v>Raltegravir</v>
      </c>
      <c r="F8990" s="251" t="str">
        <f>IF(AND(A8990&lt;&gt;"",ISNUMBER(A8990)),VLOOKUP(A8990,Studies!A:BR,6,FALSE),"")</f>
        <v>Plasma</v>
      </c>
      <c r="G8990" s="194">
        <v>3</v>
      </c>
      <c r="H8990" s="194" t="s">
        <v>60</v>
      </c>
      <c r="I8990" s="187">
        <v>2.9703209400177002</v>
      </c>
      <c r="J8990" s="41" t="s">
        <v>1220</v>
      </c>
      <c r="K8990" s="41" t="s">
        <v>116</v>
      </c>
    </row>
    <row r="8991" spans="1:15" x14ac:dyDescent="0.2">
      <c r="A8991" s="30">
        <v>5438</v>
      </c>
      <c r="B8991" s="249" t="str">
        <f>IF(AND(A8991&lt;&gt;"",ISNUMBER(A8991)),VLOOKUP(A8991,Studies!A:BR,2,FALSE),"")</f>
        <v>Rhee 2014</v>
      </c>
      <c r="C8991" s="250" t="str">
        <f>IF(AND(A8991&lt;&gt;"",ISNUMBER(A8991)),VLOOKUP(A8991,Studies!A:BR,3,FALSE),"")</f>
        <v>https://www.ncbi.nlm.nih.gov/pubmed/24608069</v>
      </c>
      <c r="D8991" s="250" t="str">
        <f>IF(AND(A8991&lt;&gt;"",ISNUMBER(A8991)),VLOOKUP(A8991,Studies!A:BR,4,FALSE),"")</f>
        <v>filmcoated tablet</v>
      </c>
      <c r="E8991" s="250" t="str">
        <f>IF(AND(A8991&lt;&gt;"",ISNUMBER(A8991)),VLOOKUP(A8991,Studies!A:BR,5,FALSE),"")</f>
        <v>Raltegravir</v>
      </c>
      <c r="F8991" s="251" t="str">
        <f>IF(AND(A8991&lt;&gt;"",ISNUMBER(A8991)),VLOOKUP(A8991,Studies!A:BR,6,FALSE),"")</f>
        <v>Plasma</v>
      </c>
      <c r="G8991" s="194">
        <v>4</v>
      </c>
      <c r="H8991" s="194" t="s">
        <v>60</v>
      </c>
      <c r="I8991" s="187">
        <v>2.8996336460113525</v>
      </c>
      <c r="J8991" s="41" t="s">
        <v>1220</v>
      </c>
      <c r="K8991" s="41" t="s">
        <v>116</v>
      </c>
    </row>
    <row r="8992" spans="1:15" x14ac:dyDescent="0.2">
      <c r="A8992" s="30">
        <v>5438</v>
      </c>
      <c r="B8992" s="249" t="str">
        <f>IF(AND(A8992&lt;&gt;"",ISNUMBER(A8992)),VLOOKUP(A8992,Studies!A:BR,2,FALSE),"")</f>
        <v>Rhee 2014</v>
      </c>
      <c r="C8992" s="250" t="str">
        <f>IF(AND(A8992&lt;&gt;"",ISNUMBER(A8992)),VLOOKUP(A8992,Studies!A:BR,3,FALSE),"")</f>
        <v>https://www.ncbi.nlm.nih.gov/pubmed/24608069</v>
      </c>
      <c r="D8992" s="250" t="str">
        <f>IF(AND(A8992&lt;&gt;"",ISNUMBER(A8992)),VLOOKUP(A8992,Studies!A:BR,4,FALSE),"")</f>
        <v>filmcoated tablet</v>
      </c>
      <c r="E8992" s="250" t="str">
        <f>IF(AND(A8992&lt;&gt;"",ISNUMBER(A8992)),VLOOKUP(A8992,Studies!A:BR,5,FALSE),"")</f>
        <v>Raltegravir</v>
      </c>
      <c r="F8992" s="251" t="str">
        <f>IF(AND(A8992&lt;&gt;"",ISNUMBER(A8992)),VLOOKUP(A8992,Studies!A:BR,6,FALSE),"")</f>
        <v>Plasma</v>
      </c>
      <c r="G8992" s="194">
        <v>5</v>
      </c>
      <c r="H8992" s="194" t="s">
        <v>60</v>
      </c>
      <c r="I8992" s="187">
        <v>2.391448974609375</v>
      </c>
      <c r="J8992" s="41" t="s">
        <v>1220</v>
      </c>
      <c r="K8992" s="41" t="s">
        <v>116</v>
      </c>
    </row>
    <row r="8993" spans="1:11" x14ac:dyDescent="0.2">
      <c r="A8993" s="30">
        <v>5438</v>
      </c>
      <c r="B8993" s="249" t="str">
        <f>IF(AND(A8993&lt;&gt;"",ISNUMBER(A8993)),VLOOKUP(A8993,Studies!A:BR,2,FALSE),"")</f>
        <v>Rhee 2014</v>
      </c>
      <c r="C8993" s="250" t="str">
        <f>IF(AND(A8993&lt;&gt;"",ISNUMBER(A8993)),VLOOKUP(A8993,Studies!A:BR,3,FALSE),"")</f>
        <v>https://www.ncbi.nlm.nih.gov/pubmed/24608069</v>
      </c>
      <c r="D8993" s="250" t="str">
        <f>IF(AND(A8993&lt;&gt;"",ISNUMBER(A8993)),VLOOKUP(A8993,Studies!A:BR,4,FALSE),"")</f>
        <v>filmcoated tablet</v>
      </c>
      <c r="E8993" s="250" t="str">
        <f>IF(AND(A8993&lt;&gt;"",ISNUMBER(A8993)),VLOOKUP(A8993,Studies!A:BR,5,FALSE),"")</f>
        <v>Raltegravir</v>
      </c>
      <c r="F8993" s="251" t="str">
        <f>IF(AND(A8993&lt;&gt;"",ISNUMBER(A8993)),VLOOKUP(A8993,Studies!A:BR,6,FALSE),"")</f>
        <v>Plasma</v>
      </c>
      <c r="G8993" s="194">
        <v>6</v>
      </c>
      <c r="H8993" s="194" t="s">
        <v>60</v>
      </c>
      <c r="I8993" s="187">
        <v>1.4421014785766602</v>
      </c>
      <c r="J8993" s="41" t="s">
        <v>1220</v>
      </c>
      <c r="K8993" s="41" t="s">
        <v>116</v>
      </c>
    </row>
    <row r="8994" spans="1:11" x14ac:dyDescent="0.2">
      <c r="A8994" s="30">
        <v>5438</v>
      </c>
      <c r="B8994" s="249" t="str">
        <f>IF(AND(A8994&lt;&gt;"",ISNUMBER(A8994)),VLOOKUP(A8994,Studies!A:BR,2,FALSE),"")</f>
        <v>Rhee 2014</v>
      </c>
      <c r="C8994" s="250" t="str">
        <f>IF(AND(A8994&lt;&gt;"",ISNUMBER(A8994)),VLOOKUP(A8994,Studies!A:BR,3,FALSE),"")</f>
        <v>https://www.ncbi.nlm.nih.gov/pubmed/24608069</v>
      </c>
      <c r="D8994" s="250" t="str">
        <f>IF(AND(A8994&lt;&gt;"",ISNUMBER(A8994)),VLOOKUP(A8994,Studies!A:BR,4,FALSE),"")</f>
        <v>filmcoated tablet</v>
      </c>
      <c r="E8994" s="250" t="str">
        <f>IF(AND(A8994&lt;&gt;"",ISNUMBER(A8994)),VLOOKUP(A8994,Studies!A:BR,5,FALSE),"")</f>
        <v>Raltegravir</v>
      </c>
      <c r="F8994" s="251" t="str">
        <f>IF(AND(A8994&lt;&gt;"",ISNUMBER(A8994)),VLOOKUP(A8994,Studies!A:BR,6,FALSE),"")</f>
        <v>Plasma</v>
      </c>
      <c r="G8994" s="194">
        <v>8</v>
      </c>
      <c r="H8994" s="194" t="s">
        <v>60</v>
      </c>
      <c r="I8994" s="187">
        <v>0.51192343235015869</v>
      </c>
      <c r="J8994" s="41" t="s">
        <v>1220</v>
      </c>
      <c r="K8994" s="41" t="s">
        <v>116</v>
      </c>
    </row>
    <row r="8995" spans="1:11" x14ac:dyDescent="0.2">
      <c r="A8995" s="30">
        <v>5438</v>
      </c>
      <c r="B8995" s="249" t="str">
        <f>IF(AND(A8995&lt;&gt;"",ISNUMBER(A8995)),VLOOKUP(A8995,Studies!A:BR,2,FALSE),"")</f>
        <v>Rhee 2014</v>
      </c>
      <c r="C8995" s="250" t="str">
        <f>IF(AND(A8995&lt;&gt;"",ISNUMBER(A8995)),VLOOKUP(A8995,Studies!A:BR,3,FALSE),"")</f>
        <v>https://www.ncbi.nlm.nih.gov/pubmed/24608069</v>
      </c>
      <c r="D8995" s="250" t="str">
        <f>IF(AND(A8995&lt;&gt;"",ISNUMBER(A8995)),VLOOKUP(A8995,Studies!A:BR,4,FALSE),"")</f>
        <v>filmcoated tablet</v>
      </c>
      <c r="E8995" s="250" t="str">
        <f>IF(AND(A8995&lt;&gt;"",ISNUMBER(A8995)),VLOOKUP(A8995,Studies!A:BR,5,FALSE),"")</f>
        <v>Raltegravir</v>
      </c>
      <c r="F8995" s="251" t="str">
        <f>IF(AND(A8995&lt;&gt;"",ISNUMBER(A8995)),VLOOKUP(A8995,Studies!A:BR,6,FALSE),"")</f>
        <v>Plasma</v>
      </c>
      <c r="G8995" s="194">
        <v>10</v>
      </c>
      <c r="H8995" s="194" t="s">
        <v>60</v>
      </c>
      <c r="I8995" s="187">
        <v>0.24854068458080292</v>
      </c>
      <c r="J8995" s="41" t="s">
        <v>1220</v>
      </c>
      <c r="K8995" s="41" t="s">
        <v>116</v>
      </c>
    </row>
    <row r="8996" spans="1:11" x14ac:dyDescent="0.2">
      <c r="A8996" s="30">
        <v>5438</v>
      </c>
      <c r="B8996" s="249" t="str">
        <f>IF(AND(A8996&lt;&gt;"",ISNUMBER(A8996)),VLOOKUP(A8996,Studies!A:BR,2,FALSE),"")</f>
        <v>Rhee 2014</v>
      </c>
      <c r="C8996" s="250" t="str">
        <f>IF(AND(A8996&lt;&gt;"",ISNUMBER(A8996)),VLOOKUP(A8996,Studies!A:BR,3,FALSE),"")</f>
        <v>https://www.ncbi.nlm.nih.gov/pubmed/24608069</v>
      </c>
      <c r="D8996" s="250" t="str">
        <f>IF(AND(A8996&lt;&gt;"",ISNUMBER(A8996)),VLOOKUP(A8996,Studies!A:BR,4,FALSE),"")</f>
        <v>filmcoated tablet</v>
      </c>
      <c r="E8996" s="250" t="str">
        <f>IF(AND(A8996&lt;&gt;"",ISNUMBER(A8996)),VLOOKUP(A8996,Studies!A:BR,5,FALSE),"")</f>
        <v>Raltegravir</v>
      </c>
      <c r="F8996" s="251" t="str">
        <f>IF(AND(A8996&lt;&gt;"",ISNUMBER(A8996)),VLOOKUP(A8996,Studies!A:BR,6,FALSE),"")</f>
        <v>Plasma</v>
      </c>
      <c r="G8996" s="194">
        <v>12</v>
      </c>
      <c r="H8996" s="194" t="s">
        <v>60</v>
      </c>
      <c r="I8996" s="187">
        <v>0.16110645234584808</v>
      </c>
      <c r="J8996" s="41" t="s">
        <v>1220</v>
      </c>
      <c r="K8996" s="41" t="s">
        <v>116</v>
      </c>
    </row>
    <row r="8997" spans="1:11" x14ac:dyDescent="0.2">
      <c r="A8997" s="30">
        <v>5438</v>
      </c>
      <c r="B8997" s="249" t="str">
        <f>IF(AND(A8997&lt;&gt;"",ISNUMBER(A8997)),VLOOKUP(A8997,Studies!A:BR,2,FALSE),"")</f>
        <v>Rhee 2014</v>
      </c>
      <c r="C8997" s="250" t="str">
        <f>IF(AND(A8997&lt;&gt;"",ISNUMBER(A8997)),VLOOKUP(A8997,Studies!A:BR,3,FALSE),"")</f>
        <v>https://www.ncbi.nlm.nih.gov/pubmed/24608069</v>
      </c>
      <c r="D8997" s="250" t="str">
        <f>IF(AND(A8997&lt;&gt;"",ISNUMBER(A8997)),VLOOKUP(A8997,Studies!A:BR,4,FALSE),"")</f>
        <v>filmcoated tablet</v>
      </c>
      <c r="E8997" s="250" t="str">
        <f>IF(AND(A8997&lt;&gt;"",ISNUMBER(A8997)),VLOOKUP(A8997,Studies!A:BR,5,FALSE),"")</f>
        <v>Raltegravir</v>
      </c>
      <c r="F8997" s="251" t="str">
        <f>IF(AND(A8997&lt;&gt;"",ISNUMBER(A8997)),VLOOKUP(A8997,Studies!A:BR,6,FALSE),"")</f>
        <v>Plasma</v>
      </c>
      <c r="G8997" s="194">
        <v>16</v>
      </c>
      <c r="H8997" s="194" t="s">
        <v>60</v>
      </c>
      <c r="I8997" s="187">
        <v>9.9519453942775726E-2</v>
      </c>
      <c r="J8997" s="41" t="s">
        <v>1220</v>
      </c>
      <c r="K8997" s="41" t="s">
        <v>116</v>
      </c>
    </row>
    <row r="8998" spans="1:11" x14ac:dyDescent="0.2">
      <c r="A8998" s="30">
        <v>5438</v>
      </c>
      <c r="B8998" s="249" t="str">
        <f>IF(AND(A8998&lt;&gt;"",ISNUMBER(A8998)),VLOOKUP(A8998,Studies!A:BR,2,FALSE),"")</f>
        <v>Rhee 2014</v>
      </c>
      <c r="C8998" s="250" t="str">
        <f>IF(AND(A8998&lt;&gt;"",ISNUMBER(A8998)),VLOOKUP(A8998,Studies!A:BR,3,FALSE),"")</f>
        <v>https://www.ncbi.nlm.nih.gov/pubmed/24608069</v>
      </c>
      <c r="D8998" s="250" t="str">
        <f>IF(AND(A8998&lt;&gt;"",ISNUMBER(A8998)),VLOOKUP(A8998,Studies!A:BR,4,FALSE),"")</f>
        <v>filmcoated tablet</v>
      </c>
      <c r="E8998" s="250" t="str">
        <f>IF(AND(A8998&lt;&gt;"",ISNUMBER(A8998)),VLOOKUP(A8998,Studies!A:BR,5,FALSE),"")</f>
        <v>Raltegravir</v>
      </c>
      <c r="F8998" s="251" t="str">
        <f>IF(AND(A8998&lt;&gt;"",ISNUMBER(A8998)),VLOOKUP(A8998,Studies!A:BR,6,FALSE),"")</f>
        <v>Plasma</v>
      </c>
      <c r="G8998" s="194">
        <v>24</v>
      </c>
      <c r="H8998" s="194" t="s">
        <v>60</v>
      </c>
      <c r="I8998" s="187">
        <v>7.1033701300621033E-2</v>
      </c>
      <c r="J8998" s="41" t="s">
        <v>1220</v>
      </c>
      <c r="K8998" s="41" t="s">
        <v>116</v>
      </c>
    </row>
    <row r="8999" spans="1:11" x14ac:dyDescent="0.2">
      <c r="A8999" s="30">
        <v>5439</v>
      </c>
      <c r="B8999" s="249" t="str">
        <f>IF(AND(A8999&lt;&gt;"",ISNUMBER(A8999)),VLOOKUP(A8999,Studies!A:BR,2,FALSE),"")</f>
        <v>Iwamoto 2008</v>
      </c>
      <c r="C8999" s="250" t="str">
        <f>IF(AND(A8999&lt;&gt;"",ISNUMBER(A8999)),VLOOKUP(A8999,Studies!A:BR,3,FALSE),"")</f>
        <v xml:space="preserve">https://www.ncbi.nlm.nih.gov/pubmed/17713476
</v>
      </c>
      <c r="D8999" s="250" t="str">
        <f>IF(AND(A8999&lt;&gt;"",ISNUMBER(A8999)),VLOOKUP(A8999,Studies!A:BR,4,FALSE),"")</f>
        <v xml:space="preserve">10mg </v>
      </c>
      <c r="E8999" s="250" t="str">
        <f>IF(AND(A8999&lt;&gt;"",ISNUMBER(A8999)),VLOOKUP(A8999,Studies!A:BR,5,FALSE),"")</f>
        <v>Raltegravir</v>
      </c>
      <c r="F8999" s="251" t="str">
        <f>IF(AND(A8999&lt;&gt;"",ISNUMBER(A8999)),VLOOKUP(A8999,Studies!A:BR,6,FALSE),"")</f>
        <v>Plasma</v>
      </c>
      <c r="G8999" s="194">
        <v>0.25</v>
      </c>
      <c r="H8999" s="194" t="s">
        <v>60</v>
      </c>
      <c r="I8999" s="187">
        <v>86.043502810000007</v>
      </c>
      <c r="J8999" s="41" t="s">
        <v>964</v>
      </c>
      <c r="K8999" s="41" t="s">
        <v>116</v>
      </c>
    </row>
    <row r="9000" spans="1:11" x14ac:dyDescent="0.2">
      <c r="A9000" s="30">
        <v>5439</v>
      </c>
      <c r="B9000" s="249" t="str">
        <f>IF(AND(A9000&lt;&gt;"",ISNUMBER(A9000)),VLOOKUP(A9000,Studies!A:BR,2,FALSE),"")</f>
        <v>Iwamoto 2008</v>
      </c>
      <c r="C9000" s="250" t="str">
        <f>IF(AND(A9000&lt;&gt;"",ISNUMBER(A9000)),VLOOKUP(A9000,Studies!A:BR,3,FALSE),"")</f>
        <v xml:space="preserve">https://www.ncbi.nlm.nih.gov/pubmed/17713476
</v>
      </c>
      <c r="D9000" s="250" t="str">
        <f>IF(AND(A9000&lt;&gt;"",ISNUMBER(A9000)),VLOOKUP(A9000,Studies!A:BR,4,FALSE),"")</f>
        <v xml:space="preserve">10mg </v>
      </c>
      <c r="E9000" s="250" t="str">
        <f>IF(AND(A9000&lt;&gt;"",ISNUMBER(A9000)),VLOOKUP(A9000,Studies!A:BR,5,FALSE),"")</f>
        <v>Raltegravir</v>
      </c>
      <c r="F9000" s="251" t="str">
        <f>IF(AND(A9000&lt;&gt;"",ISNUMBER(A9000)),VLOOKUP(A9000,Studies!A:BR,6,FALSE),"")</f>
        <v>Plasma</v>
      </c>
      <c r="G9000" s="194">
        <v>0.5</v>
      </c>
      <c r="H9000" s="194" t="s">
        <v>60</v>
      </c>
      <c r="I9000" s="187">
        <v>508.43048099999999</v>
      </c>
      <c r="J9000" s="41" t="s">
        <v>964</v>
      </c>
      <c r="K9000" s="41" t="s">
        <v>116</v>
      </c>
    </row>
    <row r="9001" spans="1:11" x14ac:dyDescent="0.2">
      <c r="A9001" s="30">
        <v>5439</v>
      </c>
      <c r="B9001" s="249" t="str">
        <f>IF(AND(A9001&lt;&gt;"",ISNUMBER(A9001)),VLOOKUP(A9001,Studies!A:BR,2,FALSE),"")</f>
        <v>Iwamoto 2008</v>
      </c>
      <c r="C9001" s="250" t="str">
        <f>IF(AND(A9001&lt;&gt;"",ISNUMBER(A9001)),VLOOKUP(A9001,Studies!A:BR,3,FALSE),"")</f>
        <v xml:space="preserve">https://www.ncbi.nlm.nih.gov/pubmed/17713476
</v>
      </c>
      <c r="D9001" s="250" t="str">
        <f>IF(AND(A9001&lt;&gt;"",ISNUMBER(A9001)),VLOOKUP(A9001,Studies!A:BR,4,FALSE),"")</f>
        <v xml:space="preserve">10mg </v>
      </c>
      <c r="E9001" s="250" t="str">
        <f>IF(AND(A9001&lt;&gt;"",ISNUMBER(A9001)),VLOOKUP(A9001,Studies!A:BR,5,FALSE),"")</f>
        <v>Raltegravir</v>
      </c>
      <c r="F9001" s="251" t="str">
        <f>IF(AND(A9001&lt;&gt;"",ISNUMBER(A9001)),VLOOKUP(A9001,Studies!A:BR,6,FALSE),"")</f>
        <v>Plasma</v>
      </c>
      <c r="G9001" s="194">
        <v>1</v>
      </c>
      <c r="H9001" s="194" t="s">
        <v>60</v>
      </c>
      <c r="I9001" s="187">
        <v>356.39273070000002</v>
      </c>
      <c r="J9001" s="41" t="s">
        <v>964</v>
      </c>
      <c r="K9001" s="41" t="s">
        <v>116</v>
      </c>
    </row>
    <row r="9002" spans="1:11" x14ac:dyDescent="0.2">
      <c r="A9002" s="30">
        <v>5439</v>
      </c>
      <c r="B9002" s="249" t="str">
        <f>IF(AND(A9002&lt;&gt;"",ISNUMBER(A9002)),VLOOKUP(A9002,Studies!A:BR,2,FALSE),"")</f>
        <v>Iwamoto 2008</v>
      </c>
      <c r="C9002" s="250" t="str">
        <f>IF(AND(A9002&lt;&gt;"",ISNUMBER(A9002)),VLOOKUP(A9002,Studies!A:BR,3,FALSE),"")</f>
        <v xml:space="preserve">https://www.ncbi.nlm.nih.gov/pubmed/17713476
</v>
      </c>
      <c r="D9002" s="250" t="str">
        <f>IF(AND(A9002&lt;&gt;"",ISNUMBER(A9002)),VLOOKUP(A9002,Studies!A:BR,4,FALSE),"")</f>
        <v xml:space="preserve">10mg </v>
      </c>
      <c r="E9002" s="250" t="str">
        <f>IF(AND(A9002&lt;&gt;"",ISNUMBER(A9002)),VLOOKUP(A9002,Studies!A:BR,5,FALSE),"")</f>
        <v>Raltegravir</v>
      </c>
      <c r="F9002" s="251" t="str">
        <f>IF(AND(A9002&lt;&gt;"",ISNUMBER(A9002)),VLOOKUP(A9002,Studies!A:BR,6,FALSE),"")</f>
        <v>Plasma</v>
      </c>
      <c r="G9002" s="194">
        <v>1.5</v>
      </c>
      <c r="H9002" s="194" t="s">
        <v>60</v>
      </c>
      <c r="I9002" s="187">
        <v>206.31938170000001</v>
      </c>
      <c r="J9002" s="41" t="s">
        <v>964</v>
      </c>
      <c r="K9002" s="41" t="s">
        <v>116</v>
      </c>
    </row>
    <row r="9003" spans="1:11" x14ac:dyDescent="0.2">
      <c r="A9003" s="30">
        <v>5439</v>
      </c>
      <c r="B9003" s="249" t="str">
        <f>IF(AND(A9003&lt;&gt;"",ISNUMBER(A9003)),VLOOKUP(A9003,Studies!A:BR,2,FALSE),"")</f>
        <v>Iwamoto 2008</v>
      </c>
      <c r="C9003" s="250" t="str">
        <f>IF(AND(A9003&lt;&gt;"",ISNUMBER(A9003)),VLOOKUP(A9003,Studies!A:BR,3,FALSE),"")</f>
        <v xml:space="preserve">https://www.ncbi.nlm.nih.gov/pubmed/17713476
</v>
      </c>
      <c r="D9003" s="250" t="str">
        <f>IF(AND(A9003&lt;&gt;"",ISNUMBER(A9003)),VLOOKUP(A9003,Studies!A:BR,4,FALSE),"")</f>
        <v xml:space="preserve">10mg </v>
      </c>
      <c r="E9003" s="250" t="str">
        <f>IF(AND(A9003&lt;&gt;"",ISNUMBER(A9003)),VLOOKUP(A9003,Studies!A:BR,5,FALSE),"")</f>
        <v>Raltegravir</v>
      </c>
      <c r="F9003" s="251" t="str">
        <f>IF(AND(A9003&lt;&gt;"",ISNUMBER(A9003)),VLOOKUP(A9003,Studies!A:BR,6,FALSE),"")</f>
        <v>Plasma</v>
      </c>
      <c r="G9003" s="194">
        <v>2</v>
      </c>
      <c r="H9003" s="194" t="s">
        <v>60</v>
      </c>
      <c r="I9003" s="187">
        <v>140.72395320000001</v>
      </c>
      <c r="J9003" s="41" t="s">
        <v>964</v>
      </c>
      <c r="K9003" s="41" t="s">
        <v>116</v>
      </c>
    </row>
    <row r="9004" spans="1:11" x14ac:dyDescent="0.2">
      <c r="A9004" s="30">
        <v>5439</v>
      </c>
      <c r="B9004" s="249" t="str">
        <f>IF(AND(A9004&lt;&gt;"",ISNUMBER(A9004)),VLOOKUP(A9004,Studies!A:BR,2,FALSE),"")</f>
        <v>Iwamoto 2008</v>
      </c>
      <c r="C9004" s="250" t="str">
        <f>IF(AND(A9004&lt;&gt;"",ISNUMBER(A9004)),VLOOKUP(A9004,Studies!A:BR,3,FALSE),"")</f>
        <v xml:space="preserve">https://www.ncbi.nlm.nih.gov/pubmed/17713476
</v>
      </c>
      <c r="D9004" s="250" t="str">
        <f>IF(AND(A9004&lt;&gt;"",ISNUMBER(A9004)),VLOOKUP(A9004,Studies!A:BR,4,FALSE),"")</f>
        <v xml:space="preserve">10mg </v>
      </c>
      <c r="E9004" s="250" t="str">
        <f>IF(AND(A9004&lt;&gt;"",ISNUMBER(A9004)),VLOOKUP(A9004,Studies!A:BR,5,FALSE),"")</f>
        <v>Raltegravir</v>
      </c>
      <c r="F9004" s="251" t="str">
        <f>IF(AND(A9004&lt;&gt;"",ISNUMBER(A9004)),VLOOKUP(A9004,Studies!A:BR,6,FALSE),"")</f>
        <v>Plasma</v>
      </c>
      <c r="G9004" s="194">
        <v>3</v>
      </c>
      <c r="H9004" s="194" t="s">
        <v>60</v>
      </c>
      <c r="I9004" s="187">
        <v>73.030029299999995</v>
      </c>
      <c r="J9004" s="41" t="s">
        <v>964</v>
      </c>
      <c r="K9004" s="41" t="s">
        <v>116</v>
      </c>
    </row>
    <row r="9005" spans="1:11" x14ac:dyDescent="0.2">
      <c r="A9005" s="30">
        <v>5439</v>
      </c>
      <c r="B9005" s="249" t="str">
        <f>IF(AND(A9005&lt;&gt;"",ISNUMBER(A9005)),VLOOKUP(A9005,Studies!A:BR,2,FALSE),"")</f>
        <v>Iwamoto 2008</v>
      </c>
      <c r="C9005" s="250" t="str">
        <f>IF(AND(A9005&lt;&gt;"",ISNUMBER(A9005)),VLOOKUP(A9005,Studies!A:BR,3,FALSE),"")</f>
        <v xml:space="preserve">https://www.ncbi.nlm.nih.gov/pubmed/17713476
</v>
      </c>
      <c r="D9005" s="250" t="str">
        <f>IF(AND(A9005&lt;&gt;"",ISNUMBER(A9005)),VLOOKUP(A9005,Studies!A:BR,4,FALSE),"")</f>
        <v xml:space="preserve">10mg </v>
      </c>
      <c r="E9005" s="250" t="str">
        <f>IF(AND(A9005&lt;&gt;"",ISNUMBER(A9005)),VLOOKUP(A9005,Studies!A:BR,5,FALSE),"")</f>
        <v>Raltegravir</v>
      </c>
      <c r="F9005" s="251" t="str">
        <f>IF(AND(A9005&lt;&gt;"",ISNUMBER(A9005)),VLOOKUP(A9005,Studies!A:BR,6,FALSE),"")</f>
        <v>Plasma</v>
      </c>
      <c r="G9005" s="194">
        <v>4</v>
      </c>
      <c r="H9005" s="194" t="s">
        <v>60</v>
      </c>
      <c r="I9005" s="187">
        <v>60.313613889999999</v>
      </c>
      <c r="J9005" s="41" t="s">
        <v>964</v>
      </c>
      <c r="K9005" s="41" t="s">
        <v>116</v>
      </c>
    </row>
    <row r="9006" spans="1:11" x14ac:dyDescent="0.2">
      <c r="A9006" s="30">
        <v>5439</v>
      </c>
      <c r="B9006" s="249" t="str">
        <f>IF(AND(A9006&lt;&gt;"",ISNUMBER(A9006)),VLOOKUP(A9006,Studies!A:BR,2,FALSE),"")</f>
        <v>Iwamoto 2008</v>
      </c>
      <c r="C9006" s="250" t="str">
        <f>IF(AND(A9006&lt;&gt;"",ISNUMBER(A9006)),VLOOKUP(A9006,Studies!A:BR,3,FALSE),"")</f>
        <v xml:space="preserve">https://www.ncbi.nlm.nih.gov/pubmed/17713476
</v>
      </c>
      <c r="D9006" s="250" t="str">
        <f>IF(AND(A9006&lt;&gt;"",ISNUMBER(A9006)),VLOOKUP(A9006,Studies!A:BR,4,FALSE),"")</f>
        <v xml:space="preserve">10mg </v>
      </c>
      <c r="E9006" s="250" t="str">
        <f>IF(AND(A9006&lt;&gt;"",ISNUMBER(A9006)),VLOOKUP(A9006,Studies!A:BR,5,FALSE),"")</f>
        <v>Raltegravir</v>
      </c>
      <c r="F9006" s="251" t="str">
        <f>IF(AND(A9006&lt;&gt;"",ISNUMBER(A9006)),VLOOKUP(A9006,Studies!A:BR,6,FALSE),"")</f>
        <v>Plasma</v>
      </c>
      <c r="G9006" s="194">
        <v>6</v>
      </c>
      <c r="H9006" s="194" t="s">
        <v>60</v>
      </c>
      <c r="I9006" s="187">
        <v>20.773393630000001</v>
      </c>
      <c r="J9006" s="41" t="s">
        <v>964</v>
      </c>
      <c r="K9006" s="41" t="s">
        <v>116</v>
      </c>
    </row>
    <row r="9007" spans="1:11" x14ac:dyDescent="0.2">
      <c r="A9007" s="30">
        <v>5439</v>
      </c>
      <c r="B9007" s="249" t="str">
        <f>IF(AND(A9007&lt;&gt;"",ISNUMBER(A9007)),VLOOKUP(A9007,Studies!A:BR,2,FALSE),"")</f>
        <v>Iwamoto 2008</v>
      </c>
      <c r="C9007" s="250" t="str">
        <f>IF(AND(A9007&lt;&gt;"",ISNUMBER(A9007)),VLOOKUP(A9007,Studies!A:BR,3,FALSE),"")</f>
        <v xml:space="preserve">https://www.ncbi.nlm.nih.gov/pubmed/17713476
</v>
      </c>
      <c r="D9007" s="250" t="str">
        <f>IF(AND(A9007&lt;&gt;"",ISNUMBER(A9007)),VLOOKUP(A9007,Studies!A:BR,4,FALSE),"")</f>
        <v xml:space="preserve">10mg </v>
      </c>
      <c r="E9007" s="250" t="str">
        <f>IF(AND(A9007&lt;&gt;"",ISNUMBER(A9007)),VLOOKUP(A9007,Studies!A:BR,5,FALSE),"")</f>
        <v>Raltegravir</v>
      </c>
      <c r="F9007" s="251" t="str">
        <f>IF(AND(A9007&lt;&gt;"",ISNUMBER(A9007)),VLOOKUP(A9007,Studies!A:BR,6,FALSE),"")</f>
        <v>Plasma</v>
      </c>
      <c r="G9007" s="194">
        <v>8</v>
      </c>
      <c r="H9007" s="194" t="s">
        <v>60</v>
      </c>
      <c r="I9007" s="187">
        <v>9.6641397480000002</v>
      </c>
      <c r="J9007" s="41" t="s">
        <v>964</v>
      </c>
      <c r="K9007" s="41" t="s">
        <v>116</v>
      </c>
    </row>
    <row r="9008" spans="1:11" x14ac:dyDescent="0.2">
      <c r="A9008" s="30">
        <v>5439</v>
      </c>
      <c r="B9008" s="249" t="str">
        <f>IF(AND(A9008&lt;&gt;"",ISNUMBER(A9008)),VLOOKUP(A9008,Studies!A:BR,2,FALSE),"")</f>
        <v>Iwamoto 2008</v>
      </c>
      <c r="C9008" s="250" t="str">
        <f>IF(AND(A9008&lt;&gt;"",ISNUMBER(A9008)),VLOOKUP(A9008,Studies!A:BR,3,FALSE),"")</f>
        <v xml:space="preserve">https://www.ncbi.nlm.nih.gov/pubmed/17713476
</v>
      </c>
      <c r="D9008" s="250" t="str">
        <f>IF(AND(A9008&lt;&gt;"",ISNUMBER(A9008)),VLOOKUP(A9008,Studies!A:BR,4,FALSE),"")</f>
        <v xml:space="preserve">10mg </v>
      </c>
      <c r="E9008" s="250" t="str">
        <f>IF(AND(A9008&lt;&gt;"",ISNUMBER(A9008)),VLOOKUP(A9008,Studies!A:BR,5,FALSE),"")</f>
        <v>Raltegravir</v>
      </c>
      <c r="F9008" s="251" t="str">
        <f>IF(AND(A9008&lt;&gt;"",ISNUMBER(A9008)),VLOOKUP(A9008,Studies!A:BR,6,FALSE),"")</f>
        <v>Plasma</v>
      </c>
      <c r="G9008" s="194">
        <v>12</v>
      </c>
      <c r="H9008" s="194" t="s">
        <v>60</v>
      </c>
      <c r="I9008" s="187">
        <v>4.3747129439999997</v>
      </c>
      <c r="J9008" s="41" t="s">
        <v>964</v>
      </c>
      <c r="K9008" s="41" t="s">
        <v>116</v>
      </c>
    </row>
    <row r="9009" spans="1:11" x14ac:dyDescent="0.2">
      <c r="A9009" s="30">
        <v>5440</v>
      </c>
      <c r="B9009" s="249" t="str">
        <f>IF(AND(A9009&lt;&gt;"",ISNUMBER(A9009)),VLOOKUP(A9009,Studies!A:BR,2,FALSE),"")</f>
        <v>Iwamoto 2008</v>
      </c>
      <c r="C9009" s="250" t="str">
        <f>IF(AND(A9009&lt;&gt;"",ISNUMBER(A9009)),VLOOKUP(A9009,Studies!A:BR,3,FALSE),"")</f>
        <v xml:space="preserve">https://www.ncbi.nlm.nih.gov/pubmed/17713476
</v>
      </c>
      <c r="D9009" s="250" t="str">
        <f>IF(AND(A9009&lt;&gt;"",ISNUMBER(A9009)),VLOOKUP(A9009,Studies!A:BR,4,FALSE),"")</f>
        <v>25mg</v>
      </c>
      <c r="E9009" s="250" t="str">
        <f>IF(AND(A9009&lt;&gt;"",ISNUMBER(A9009)),VLOOKUP(A9009,Studies!A:BR,5,FALSE),"")</f>
        <v>Raltegravir</v>
      </c>
      <c r="F9009" s="251" t="str">
        <f>IF(AND(A9009&lt;&gt;"",ISNUMBER(A9009)),VLOOKUP(A9009,Studies!A:BR,6,FALSE),"")</f>
        <v>Plasma</v>
      </c>
      <c r="G9009" s="194">
        <v>0.5</v>
      </c>
      <c r="H9009" s="194" t="s">
        <v>60</v>
      </c>
      <c r="I9009" s="187">
        <v>397.5635986328125</v>
      </c>
      <c r="J9009" s="41" t="s">
        <v>964</v>
      </c>
      <c r="K9009" s="41" t="s">
        <v>116</v>
      </c>
    </row>
    <row r="9010" spans="1:11" x14ac:dyDescent="0.2">
      <c r="A9010" s="30">
        <v>5440</v>
      </c>
      <c r="B9010" s="249" t="str">
        <f>IF(AND(A9010&lt;&gt;"",ISNUMBER(A9010)),VLOOKUP(A9010,Studies!A:BR,2,FALSE),"")</f>
        <v>Iwamoto 2008</v>
      </c>
      <c r="C9010" s="250" t="str">
        <f>IF(AND(A9010&lt;&gt;"",ISNUMBER(A9010)),VLOOKUP(A9010,Studies!A:BR,3,FALSE),"")</f>
        <v xml:space="preserve">https://www.ncbi.nlm.nih.gov/pubmed/17713476
</v>
      </c>
      <c r="D9010" s="250" t="str">
        <f>IF(AND(A9010&lt;&gt;"",ISNUMBER(A9010)),VLOOKUP(A9010,Studies!A:BR,4,FALSE),"")</f>
        <v>25mg</v>
      </c>
      <c r="E9010" s="250" t="str">
        <f>IF(AND(A9010&lt;&gt;"",ISNUMBER(A9010)),VLOOKUP(A9010,Studies!A:BR,5,FALSE),"")</f>
        <v>Raltegravir</v>
      </c>
      <c r="F9010" s="251" t="str">
        <f>IF(AND(A9010&lt;&gt;"",ISNUMBER(A9010)),VLOOKUP(A9010,Studies!A:BR,6,FALSE),"")</f>
        <v>Plasma</v>
      </c>
      <c r="G9010" s="194">
        <v>1</v>
      </c>
      <c r="H9010" s="194" t="s">
        <v>60</v>
      </c>
      <c r="I9010" s="187">
        <v>725.32745361328125</v>
      </c>
      <c r="J9010" s="41" t="s">
        <v>964</v>
      </c>
      <c r="K9010" s="41" t="s">
        <v>116</v>
      </c>
    </row>
    <row r="9011" spans="1:11" x14ac:dyDescent="0.2">
      <c r="A9011" s="30">
        <v>5440</v>
      </c>
      <c r="B9011" s="249" t="str">
        <f>IF(AND(A9011&lt;&gt;"",ISNUMBER(A9011)),VLOOKUP(A9011,Studies!A:BR,2,FALSE),"")</f>
        <v>Iwamoto 2008</v>
      </c>
      <c r="C9011" s="250" t="str">
        <f>IF(AND(A9011&lt;&gt;"",ISNUMBER(A9011)),VLOOKUP(A9011,Studies!A:BR,3,FALSE),"")</f>
        <v xml:space="preserve">https://www.ncbi.nlm.nih.gov/pubmed/17713476
</v>
      </c>
      <c r="D9011" s="250" t="str">
        <f>IF(AND(A9011&lt;&gt;"",ISNUMBER(A9011)),VLOOKUP(A9011,Studies!A:BR,4,FALSE),"")</f>
        <v>25mg</v>
      </c>
      <c r="E9011" s="250" t="str">
        <f>IF(AND(A9011&lt;&gt;"",ISNUMBER(A9011)),VLOOKUP(A9011,Studies!A:BR,5,FALSE),"")</f>
        <v>Raltegravir</v>
      </c>
      <c r="F9011" s="251" t="str">
        <f>IF(AND(A9011&lt;&gt;"",ISNUMBER(A9011)),VLOOKUP(A9011,Studies!A:BR,6,FALSE),"")</f>
        <v>Plasma</v>
      </c>
      <c r="G9011" s="194">
        <v>1.5</v>
      </c>
      <c r="H9011" s="194" t="s">
        <v>60</v>
      </c>
      <c r="I9011" s="187">
        <v>455.77847290039063</v>
      </c>
      <c r="J9011" s="41" t="s">
        <v>964</v>
      </c>
      <c r="K9011" s="41" t="s">
        <v>116</v>
      </c>
    </row>
    <row r="9012" spans="1:11" x14ac:dyDescent="0.2">
      <c r="A9012" s="30">
        <v>5440</v>
      </c>
      <c r="B9012" s="249" t="str">
        <f>IF(AND(A9012&lt;&gt;"",ISNUMBER(A9012)),VLOOKUP(A9012,Studies!A:BR,2,FALSE),"")</f>
        <v>Iwamoto 2008</v>
      </c>
      <c r="C9012" s="250" t="str">
        <f>IF(AND(A9012&lt;&gt;"",ISNUMBER(A9012)),VLOOKUP(A9012,Studies!A:BR,3,FALSE),"")</f>
        <v xml:space="preserve">https://www.ncbi.nlm.nih.gov/pubmed/17713476
</v>
      </c>
      <c r="D9012" s="250" t="str">
        <f>IF(AND(A9012&lt;&gt;"",ISNUMBER(A9012)),VLOOKUP(A9012,Studies!A:BR,4,FALSE),"")</f>
        <v>25mg</v>
      </c>
      <c r="E9012" s="250" t="str">
        <f>IF(AND(A9012&lt;&gt;"",ISNUMBER(A9012)),VLOOKUP(A9012,Studies!A:BR,5,FALSE),"")</f>
        <v>Raltegravir</v>
      </c>
      <c r="F9012" s="251" t="str">
        <f>IF(AND(A9012&lt;&gt;"",ISNUMBER(A9012)),VLOOKUP(A9012,Studies!A:BR,6,FALSE),"")</f>
        <v>Plasma</v>
      </c>
      <c r="G9012" s="194">
        <v>2</v>
      </c>
      <c r="H9012" s="194" t="s">
        <v>60</v>
      </c>
      <c r="I9012" s="187">
        <v>328.3375244140625</v>
      </c>
      <c r="J9012" s="41" t="s">
        <v>964</v>
      </c>
      <c r="K9012" s="41" t="s">
        <v>116</v>
      </c>
    </row>
    <row r="9013" spans="1:11" x14ac:dyDescent="0.2">
      <c r="A9013" s="30">
        <v>5440</v>
      </c>
      <c r="B9013" s="249" t="str">
        <f>IF(AND(A9013&lt;&gt;"",ISNUMBER(A9013)),VLOOKUP(A9013,Studies!A:BR,2,FALSE),"")</f>
        <v>Iwamoto 2008</v>
      </c>
      <c r="C9013" s="250" t="str">
        <f>IF(AND(A9013&lt;&gt;"",ISNUMBER(A9013)),VLOOKUP(A9013,Studies!A:BR,3,FALSE),"")</f>
        <v xml:space="preserve">https://www.ncbi.nlm.nih.gov/pubmed/17713476
</v>
      </c>
      <c r="D9013" s="250" t="str">
        <f>IF(AND(A9013&lt;&gt;"",ISNUMBER(A9013)),VLOOKUP(A9013,Studies!A:BR,4,FALSE),"")</f>
        <v>25mg</v>
      </c>
      <c r="E9013" s="250" t="str">
        <f>IF(AND(A9013&lt;&gt;"",ISNUMBER(A9013)),VLOOKUP(A9013,Studies!A:BR,5,FALSE),"")</f>
        <v>Raltegravir</v>
      </c>
      <c r="F9013" s="251" t="str">
        <f>IF(AND(A9013&lt;&gt;"",ISNUMBER(A9013)),VLOOKUP(A9013,Studies!A:BR,6,FALSE),"")</f>
        <v>Plasma</v>
      </c>
      <c r="G9013" s="194">
        <v>3</v>
      </c>
      <c r="H9013" s="194" t="s">
        <v>60</v>
      </c>
      <c r="I9013" s="187">
        <v>152.748291015625</v>
      </c>
      <c r="J9013" s="41" t="s">
        <v>964</v>
      </c>
      <c r="K9013" s="41" t="s">
        <v>116</v>
      </c>
    </row>
    <row r="9014" spans="1:11" x14ac:dyDescent="0.2">
      <c r="A9014" s="30">
        <v>5440</v>
      </c>
      <c r="B9014" s="249" t="str">
        <f>IF(AND(A9014&lt;&gt;"",ISNUMBER(A9014)),VLOOKUP(A9014,Studies!A:BR,2,FALSE),"")</f>
        <v>Iwamoto 2008</v>
      </c>
      <c r="C9014" s="250" t="str">
        <f>IF(AND(A9014&lt;&gt;"",ISNUMBER(A9014)),VLOOKUP(A9014,Studies!A:BR,3,FALSE),"")</f>
        <v xml:space="preserve">https://www.ncbi.nlm.nih.gov/pubmed/17713476
</v>
      </c>
      <c r="D9014" s="250" t="str">
        <f>IF(AND(A9014&lt;&gt;"",ISNUMBER(A9014)),VLOOKUP(A9014,Studies!A:BR,4,FALSE),"")</f>
        <v>25mg</v>
      </c>
      <c r="E9014" s="250" t="str">
        <f>IF(AND(A9014&lt;&gt;"",ISNUMBER(A9014)),VLOOKUP(A9014,Studies!A:BR,5,FALSE),"")</f>
        <v>Raltegravir</v>
      </c>
      <c r="F9014" s="251" t="str">
        <f>IF(AND(A9014&lt;&gt;"",ISNUMBER(A9014)),VLOOKUP(A9014,Studies!A:BR,6,FALSE),"")</f>
        <v>Plasma</v>
      </c>
      <c r="G9014" s="194">
        <v>4</v>
      </c>
      <c r="H9014" s="194" t="s">
        <v>60</v>
      </c>
      <c r="I9014" s="187">
        <v>79.270164489746094</v>
      </c>
      <c r="J9014" s="41" t="s">
        <v>964</v>
      </c>
      <c r="K9014" s="41" t="s">
        <v>116</v>
      </c>
    </row>
    <row r="9015" spans="1:11" x14ac:dyDescent="0.2">
      <c r="A9015" s="30">
        <v>5440</v>
      </c>
      <c r="B9015" s="249" t="str">
        <f>IF(AND(A9015&lt;&gt;"",ISNUMBER(A9015)),VLOOKUP(A9015,Studies!A:BR,2,FALSE),"")</f>
        <v>Iwamoto 2008</v>
      </c>
      <c r="C9015" s="250" t="str">
        <f>IF(AND(A9015&lt;&gt;"",ISNUMBER(A9015)),VLOOKUP(A9015,Studies!A:BR,3,FALSE),"")</f>
        <v xml:space="preserve">https://www.ncbi.nlm.nih.gov/pubmed/17713476
</v>
      </c>
      <c r="D9015" s="250" t="str">
        <f>IF(AND(A9015&lt;&gt;"",ISNUMBER(A9015)),VLOOKUP(A9015,Studies!A:BR,4,FALSE),"")</f>
        <v>25mg</v>
      </c>
      <c r="E9015" s="250" t="str">
        <f>IF(AND(A9015&lt;&gt;"",ISNUMBER(A9015)),VLOOKUP(A9015,Studies!A:BR,5,FALSE),"")</f>
        <v>Raltegravir</v>
      </c>
      <c r="F9015" s="251" t="str">
        <f>IF(AND(A9015&lt;&gt;"",ISNUMBER(A9015)),VLOOKUP(A9015,Studies!A:BR,6,FALSE),"")</f>
        <v>Plasma</v>
      </c>
      <c r="G9015" s="194">
        <v>6</v>
      </c>
      <c r="H9015" s="194" t="s">
        <v>60</v>
      </c>
      <c r="I9015" s="187">
        <v>25.15321159362793</v>
      </c>
      <c r="J9015" s="41" t="s">
        <v>964</v>
      </c>
      <c r="K9015" s="41" t="s">
        <v>116</v>
      </c>
    </row>
    <row r="9016" spans="1:11" x14ac:dyDescent="0.2">
      <c r="A9016" s="30">
        <v>5440</v>
      </c>
      <c r="B9016" s="249" t="str">
        <f>IF(AND(A9016&lt;&gt;"",ISNUMBER(A9016)),VLOOKUP(A9016,Studies!A:BR,2,FALSE),"")</f>
        <v>Iwamoto 2008</v>
      </c>
      <c r="C9016" s="250" t="str">
        <f>IF(AND(A9016&lt;&gt;"",ISNUMBER(A9016)),VLOOKUP(A9016,Studies!A:BR,3,FALSE),"")</f>
        <v xml:space="preserve">https://www.ncbi.nlm.nih.gov/pubmed/17713476
</v>
      </c>
      <c r="D9016" s="250" t="str">
        <f>IF(AND(A9016&lt;&gt;"",ISNUMBER(A9016)),VLOOKUP(A9016,Studies!A:BR,4,FALSE),"")</f>
        <v>25mg</v>
      </c>
      <c r="E9016" s="250" t="str">
        <f>IF(AND(A9016&lt;&gt;"",ISNUMBER(A9016)),VLOOKUP(A9016,Studies!A:BR,5,FALSE),"")</f>
        <v>Raltegravir</v>
      </c>
      <c r="F9016" s="251" t="str">
        <f>IF(AND(A9016&lt;&gt;"",ISNUMBER(A9016)),VLOOKUP(A9016,Studies!A:BR,6,FALSE),"")</f>
        <v>Plasma</v>
      </c>
      <c r="G9016" s="194">
        <v>8</v>
      </c>
      <c r="H9016" s="194" t="s">
        <v>60</v>
      </c>
      <c r="I9016" s="187">
        <v>14.964912414550781</v>
      </c>
      <c r="J9016" s="41" t="s">
        <v>964</v>
      </c>
      <c r="K9016" s="41" t="s">
        <v>116</v>
      </c>
    </row>
    <row r="9017" spans="1:11" x14ac:dyDescent="0.2">
      <c r="A9017" s="30">
        <v>5440</v>
      </c>
      <c r="B9017" s="249" t="str">
        <f>IF(AND(A9017&lt;&gt;"",ISNUMBER(A9017)),VLOOKUP(A9017,Studies!A:BR,2,FALSE),"")</f>
        <v>Iwamoto 2008</v>
      </c>
      <c r="C9017" s="250" t="str">
        <f>IF(AND(A9017&lt;&gt;"",ISNUMBER(A9017)),VLOOKUP(A9017,Studies!A:BR,3,FALSE),"")</f>
        <v xml:space="preserve">https://www.ncbi.nlm.nih.gov/pubmed/17713476
</v>
      </c>
      <c r="D9017" s="250" t="str">
        <f>IF(AND(A9017&lt;&gt;"",ISNUMBER(A9017)),VLOOKUP(A9017,Studies!A:BR,4,FALSE),"")</f>
        <v>25mg</v>
      </c>
      <c r="E9017" s="250" t="str">
        <f>IF(AND(A9017&lt;&gt;"",ISNUMBER(A9017)),VLOOKUP(A9017,Studies!A:BR,5,FALSE),"")</f>
        <v>Raltegravir</v>
      </c>
      <c r="F9017" s="251" t="str">
        <f>IF(AND(A9017&lt;&gt;"",ISNUMBER(A9017)),VLOOKUP(A9017,Studies!A:BR,6,FALSE),"")</f>
        <v>Plasma</v>
      </c>
      <c r="G9017" s="194">
        <v>12</v>
      </c>
      <c r="H9017" s="194" t="s">
        <v>60</v>
      </c>
      <c r="I9017" s="187">
        <v>6.5916042327880859</v>
      </c>
      <c r="J9017" s="41" t="s">
        <v>964</v>
      </c>
      <c r="K9017" s="41" t="s">
        <v>116</v>
      </c>
    </row>
    <row r="9018" spans="1:11" x14ac:dyDescent="0.2">
      <c r="A9018" s="30">
        <v>5441</v>
      </c>
      <c r="B9018" s="249" t="str">
        <f>IF(AND(A9018&lt;&gt;"",ISNUMBER(A9018)),VLOOKUP(A9018,Studies!A:BR,2,FALSE),"")</f>
        <v>Iwamoto 2008</v>
      </c>
      <c r="C9018" s="250" t="str">
        <f>IF(AND(A9018&lt;&gt;"",ISNUMBER(A9018)),VLOOKUP(A9018,Studies!A:BR,3,FALSE),"")</f>
        <v xml:space="preserve">https://www.ncbi.nlm.nih.gov/pubmed/17713476
</v>
      </c>
      <c r="D9018" s="250" t="str">
        <f>IF(AND(A9018&lt;&gt;"",ISNUMBER(A9018)),VLOOKUP(A9018,Studies!A:BR,4,FALSE),"")</f>
        <v>50mg</v>
      </c>
      <c r="E9018" s="250" t="str">
        <f>IF(AND(A9018&lt;&gt;"",ISNUMBER(A9018)),VLOOKUP(A9018,Studies!A:BR,5,FALSE),"")</f>
        <v>Raltegravir</v>
      </c>
      <c r="F9018" s="251" t="str">
        <f>IF(AND(A9018&lt;&gt;"",ISNUMBER(A9018)),VLOOKUP(A9018,Studies!A:BR,6,FALSE),"")</f>
        <v>Plasma</v>
      </c>
      <c r="G9018" s="194">
        <v>0.5</v>
      </c>
      <c r="H9018" s="194" t="s">
        <v>60</v>
      </c>
      <c r="I9018" s="187">
        <v>1422.9249267578125</v>
      </c>
      <c r="J9018" s="41" t="s">
        <v>964</v>
      </c>
      <c r="K9018" s="41" t="s">
        <v>116</v>
      </c>
    </row>
    <row r="9019" spans="1:11" x14ac:dyDescent="0.2">
      <c r="A9019" s="30">
        <v>5441</v>
      </c>
      <c r="B9019" s="249" t="str">
        <f>IF(AND(A9019&lt;&gt;"",ISNUMBER(A9019)),VLOOKUP(A9019,Studies!A:BR,2,FALSE),"")</f>
        <v>Iwamoto 2008</v>
      </c>
      <c r="C9019" s="250" t="str">
        <f>IF(AND(A9019&lt;&gt;"",ISNUMBER(A9019)),VLOOKUP(A9019,Studies!A:BR,3,FALSE),"")</f>
        <v xml:space="preserve">https://www.ncbi.nlm.nih.gov/pubmed/17713476
</v>
      </c>
      <c r="D9019" s="250" t="str">
        <f>IF(AND(A9019&lt;&gt;"",ISNUMBER(A9019)),VLOOKUP(A9019,Studies!A:BR,4,FALSE),"")</f>
        <v>50mg</v>
      </c>
      <c r="E9019" s="250" t="str">
        <f>IF(AND(A9019&lt;&gt;"",ISNUMBER(A9019)),VLOOKUP(A9019,Studies!A:BR,5,FALSE),"")</f>
        <v>Raltegravir</v>
      </c>
      <c r="F9019" s="251" t="str">
        <f>IF(AND(A9019&lt;&gt;"",ISNUMBER(A9019)),VLOOKUP(A9019,Studies!A:BR,6,FALSE),"")</f>
        <v>Plasma</v>
      </c>
      <c r="G9019" s="194">
        <v>1</v>
      </c>
      <c r="H9019" s="194" t="s">
        <v>60</v>
      </c>
      <c r="I9019" s="187">
        <v>1739.1304931640625</v>
      </c>
      <c r="J9019" s="41" t="s">
        <v>964</v>
      </c>
      <c r="K9019" s="41" t="s">
        <v>116</v>
      </c>
    </row>
    <row r="9020" spans="1:11" x14ac:dyDescent="0.2">
      <c r="A9020" s="30">
        <v>5441</v>
      </c>
      <c r="B9020" s="249" t="str">
        <f>IF(AND(A9020&lt;&gt;"",ISNUMBER(A9020)),VLOOKUP(A9020,Studies!A:BR,2,FALSE),"")</f>
        <v>Iwamoto 2008</v>
      </c>
      <c r="C9020" s="250" t="str">
        <f>IF(AND(A9020&lt;&gt;"",ISNUMBER(A9020)),VLOOKUP(A9020,Studies!A:BR,3,FALSE),"")</f>
        <v xml:space="preserve">https://www.ncbi.nlm.nih.gov/pubmed/17713476
</v>
      </c>
      <c r="D9020" s="250" t="str">
        <f>IF(AND(A9020&lt;&gt;"",ISNUMBER(A9020)),VLOOKUP(A9020,Studies!A:BR,4,FALSE),"")</f>
        <v>50mg</v>
      </c>
      <c r="E9020" s="250" t="str">
        <f>IF(AND(A9020&lt;&gt;"",ISNUMBER(A9020)),VLOOKUP(A9020,Studies!A:BR,5,FALSE),"")</f>
        <v>Raltegravir</v>
      </c>
      <c r="F9020" s="251" t="str">
        <f>IF(AND(A9020&lt;&gt;"",ISNUMBER(A9020)),VLOOKUP(A9020,Studies!A:BR,6,FALSE),"")</f>
        <v>Plasma</v>
      </c>
      <c r="G9020" s="194">
        <v>1.5</v>
      </c>
      <c r="H9020" s="50" t="s">
        <v>60</v>
      </c>
      <c r="I9020" s="187">
        <v>1185.770751953125</v>
      </c>
      <c r="J9020" s="41" t="s">
        <v>964</v>
      </c>
      <c r="K9020" s="41" t="s">
        <v>116</v>
      </c>
    </row>
    <row r="9021" spans="1:11" x14ac:dyDescent="0.2">
      <c r="A9021" s="30">
        <v>5441</v>
      </c>
      <c r="B9021" s="249" t="str">
        <f>IF(AND(A9021&lt;&gt;"",ISNUMBER(A9021)),VLOOKUP(A9021,Studies!A:BR,2,FALSE),"")</f>
        <v>Iwamoto 2008</v>
      </c>
      <c r="C9021" s="250" t="str">
        <f>IF(AND(A9021&lt;&gt;"",ISNUMBER(A9021)),VLOOKUP(A9021,Studies!A:BR,3,FALSE),"")</f>
        <v xml:space="preserve">https://www.ncbi.nlm.nih.gov/pubmed/17713476
</v>
      </c>
      <c r="D9021" s="250" t="str">
        <f>IF(AND(A9021&lt;&gt;"",ISNUMBER(A9021)),VLOOKUP(A9021,Studies!A:BR,4,FALSE),"")</f>
        <v>50mg</v>
      </c>
      <c r="E9021" s="250" t="str">
        <f>IF(AND(A9021&lt;&gt;"",ISNUMBER(A9021)),VLOOKUP(A9021,Studies!A:BR,5,FALSE),"")</f>
        <v>Raltegravir</v>
      </c>
      <c r="F9021" s="251" t="str">
        <f>IF(AND(A9021&lt;&gt;"",ISNUMBER(A9021)),VLOOKUP(A9021,Studies!A:BR,6,FALSE),"")</f>
        <v>Plasma</v>
      </c>
      <c r="G9021" s="194">
        <v>2</v>
      </c>
      <c r="H9021" s="50" t="s">
        <v>60</v>
      </c>
      <c r="I9021" s="187">
        <v>869.56524658203125</v>
      </c>
      <c r="J9021" s="41" t="s">
        <v>964</v>
      </c>
      <c r="K9021" s="41" t="s">
        <v>116</v>
      </c>
    </row>
    <row r="9022" spans="1:11" x14ac:dyDescent="0.2">
      <c r="A9022" s="30">
        <v>5441</v>
      </c>
      <c r="B9022" s="249" t="str">
        <f>IF(AND(A9022&lt;&gt;"",ISNUMBER(A9022)),VLOOKUP(A9022,Studies!A:BR,2,FALSE),"")</f>
        <v>Iwamoto 2008</v>
      </c>
      <c r="C9022" s="250" t="str">
        <f>IF(AND(A9022&lt;&gt;"",ISNUMBER(A9022)),VLOOKUP(A9022,Studies!A:BR,3,FALSE),"")</f>
        <v xml:space="preserve">https://www.ncbi.nlm.nih.gov/pubmed/17713476
</v>
      </c>
      <c r="D9022" s="250" t="str">
        <f>IF(AND(A9022&lt;&gt;"",ISNUMBER(A9022)),VLOOKUP(A9022,Studies!A:BR,4,FALSE),"")</f>
        <v>50mg</v>
      </c>
      <c r="E9022" s="250" t="str">
        <f>IF(AND(A9022&lt;&gt;"",ISNUMBER(A9022)),VLOOKUP(A9022,Studies!A:BR,5,FALSE),"")</f>
        <v>Raltegravir</v>
      </c>
      <c r="F9022" s="251" t="str">
        <f>IF(AND(A9022&lt;&gt;"",ISNUMBER(A9022)),VLOOKUP(A9022,Studies!A:BR,6,FALSE),"")</f>
        <v>Plasma</v>
      </c>
      <c r="G9022" s="194">
        <v>4</v>
      </c>
      <c r="H9022" s="50" t="s">
        <v>60</v>
      </c>
      <c r="I9022" s="187">
        <v>286.40020751953125</v>
      </c>
      <c r="J9022" s="41" t="s">
        <v>964</v>
      </c>
      <c r="K9022" s="41" t="s">
        <v>116</v>
      </c>
    </row>
    <row r="9023" spans="1:11" x14ac:dyDescent="0.2">
      <c r="A9023" s="30">
        <v>5441</v>
      </c>
      <c r="B9023" s="249" t="str">
        <f>IF(AND(A9023&lt;&gt;"",ISNUMBER(A9023)),VLOOKUP(A9023,Studies!A:BR,2,FALSE),"")</f>
        <v>Iwamoto 2008</v>
      </c>
      <c r="C9023" s="250" t="str">
        <f>IF(AND(A9023&lt;&gt;"",ISNUMBER(A9023)),VLOOKUP(A9023,Studies!A:BR,3,FALSE),"")</f>
        <v xml:space="preserve">https://www.ncbi.nlm.nih.gov/pubmed/17713476
</v>
      </c>
      <c r="D9023" s="250" t="str">
        <f>IF(AND(A9023&lt;&gt;"",ISNUMBER(A9023)),VLOOKUP(A9023,Studies!A:BR,4,FALSE),"")</f>
        <v>50mg</v>
      </c>
      <c r="E9023" s="250" t="str">
        <f>IF(AND(A9023&lt;&gt;"",ISNUMBER(A9023)),VLOOKUP(A9023,Studies!A:BR,5,FALSE),"")</f>
        <v>Raltegravir</v>
      </c>
      <c r="F9023" s="251" t="str">
        <f>IF(AND(A9023&lt;&gt;"",ISNUMBER(A9023)),VLOOKUP(A9023,Studies!A:BR,6,FALSE),"")</f>
        <v>Plasma</v>
      </c>
      <c r="G9023" s="194">
        <v>6</v>
      </c>
      <c r="H9023" s="50" t="s">
        <v>60</v>
      </c>
      <c r="I9023" s="187">
        <v>95.983345031738281</v>
      </c>
      <c r="J9023" s="41" t="s">
        <v>964</v>
      </c>
      <c r="K9023" s="41" t="s">
        <v>116</v>
      </c>
    </row>
    <row r="9024" spans="1:11" x14ac:dyDescent="0.2">
      <c r="A9024" s="30">
        <v>5441</v>
      </c>
      <c r="B9024" s="249" t="str">
        <f>IF(AND(A9024&lt;&gt;"",ISNUMBER(A9024)),VLOOKUP(A9024,Studies!A:BR,2,FALSE),"")</f>
        <v>Iwamoto 2008</v>
      </c>
      <c r="C9024" s="250" t="str">
        <f>IF(AND(A9024&lt;&gt;"",ISNUMBER(A9024)),VLOOKUP(A9024,Studies!A:BR,3,FALSE),"")</f>
        <v xml:space="preserve">https://www.ncbi.nlm.nih.gov/pubmed/17713476
</v>
      </c>
      <c r="D9024" s="250" t="str">
        <f>IF(AND(A9024&lt;&gt;"",ISNUMBER(A9024)),VLOOKUP(A9024,Studies!A:BR,4,FALSE),"")</f>
        <v>50mg</v>
      </c>
      <c r="E9024" s="250" t="str">
        <f>IF(AND(A9024&lt;&gt;"",ISNUMBER(A9024)),VLOOKUP(A9024,Studies!A:BR,5,FALSE),"")</f>
        <v>Raltegravir</v>
      </c>
      <c r="F9024" s="251" t="str">
        <f>IF(AND(A9024&lt;&gt;"",ISNUMBER(A9024)),VLOOKUP(A9024,Studies!A:BR,6,FALSE),"")</f>
        <v>Plasma</v>
      </c>
      <c r="G9024" s="194">
        <v>8</v>
      </c>
      <c r="H9024" s="50" t="s">
        <v>60</v>
      </c>
      <c r="I9024" s="187">
        <v>51.191612243652344</v>
      </c>
      <c r="J9024" s="41" t="s">
        <v>964</v>
      </c>
      <c r="K9024" s="41" t="s">
        <v>116</v>
      </c>
    </row>
    <row r="9025" spans="1:11" x14ac:dyDescent="0.2">
      <c r="A9025" s="30">
        <v>5441</v>
      </c>
      <c r="B9025" s="249" t="str">
        <f>IF(AND(A9025&lt;&gt;"",ISNUMBER(A9025)),VLOOKUP(A9025,Studies!A:BR,2,FALSE),"")</f>
        <v>Iwamoto 2008</v>
      </c>
      <c r="C9025" s="250" t="str">
        <f>IF(AND(A9025&lt;&gt;"",ISNUMBER(A9025)),VLOOKUP(A9025,Studies!A:BR,3,FALSE),"")</f>
        <v xml:space="preserve">https://www.ncbi.nlm.nih.gov/pubmed/17713476
</v>
      </c>
      <c r="D9025" s="250" t="str">
        <f>IF(AND(A9025&lt;&gt;"",ISNUMBER(A9025)),VLOOKUP(A9025,Studies!A:BR,4,FALSE),"")</f>
        <v>50mg</v>
      </c>
      <c r="E9025" s="250" t="str">
        <f>IF(AND(A9025&lt;&gt;"",ISNUMBER(A9025)),VLOOKUP(A9025,Studies!A:BR,5,FALSE),"")</f>
        <v>Raltegravir</v>
      </c>
      <c r="F9025" s="251" t="str">
        <f>IF(AND(A9025&lt;&gt;"",ISNUMBER(A9025)),VLOOKUP(A9025,Studies!A:BR,6,FALSE),"")</f>
        <v>Plasma</v>
      </c>
      <c r="G9025" s="194">
        <v>12</v>
      </c>
      <c r="H9025" s="50" t="s">
        <v>60</v>
      </c>
      <c r="I9025" s="187">
        <v>25.15321159362793</v>
      </c>
      <c r="J9025" s="41" t="s">
        <v>964</v>
      </c>
      <c r="K9025" s="41" t="s">
        <v>116</v>
      </c>
    </row>
    <row r="9026" spans="1:11" x14ac:dyDescent="0.2">
      <c r="A9026" s="30">
        <v>5441</v>
      </c>
      <c r="B9026" s="249" t="str">
        <f>IF(AND(A9026&lt;&gt;"",ISNUMBER(A9026)),VLOOKUP(A9026,Studies!A:BR,2,FALSE),"")</f>
        <v>Iwamoto 2008</v>
      </c>
      <c r="C9026" s="250" t="str">
        <f>IF(AND(A9026&lt;&gt;"",ISNUMBER(A9026)),VLOOKUP(A9026,Studies!A:BR,3,FALSE),"")</f>
        <v xml:space="preserve">https://www.ncbi.nlm.nih.gov/pubmed/17713476
</v>
      </c>
      <c r="D9026" s="250" t="str">
        <f>IF(AND(A9026&lt;&gt;"",ISNUMBER(A9026)),VLOOKUP(A9026,Studies!A:BR,4,FALSE),"")</f>
        <v>50mg</v>
      </c>
      <c r="E9026" s="250" t="str">
        <f>IF(AND(A9026&lt;&gt;"",ISNUMBER(A9026)),VLOOKUP(A9026,Studies!A:BR,5,FALSE),"")</f>
        <v>Raltegravir</v>
      </c>
      <c r="F9026" s="251" t="str">
        <f>IF(AND(A9026&lt;&gt;"",ISNUMBER(A9026)),VLOOKUP(A9026,Studies!A:BR,6,FALSE),"")</f>
        <v>Plasma</v>
      </c>
      <c r="G9026" s="194">
        <v>15</v>
      </c>
      <c r="H9026" s="50" t="s">
        <v>60</v>
      </c>
      <c r="I9026" s="187">
        <v>14.964912414550781</v>
      </c>
      <c r="J9026" s="41" t="s">
        <v>964</v>
      </c>
      <c r="K9026" s="41" t="s">
        <v>116</v>
      </c>
    </row>
    <row r="9027" spans="1:11" x14ac:dyDescent="0.2">
      <c r="A9027" s="30">
        <v>5441</v>
      </c>
      <c r="B9027" s="249" t="str">
        <f>IF(AND(A9027&lt;&gt;"",ISNUMBER(A9027)),VLOOKUP(A9027,Studies!A:BR,2,FALSE),"")</f>
        <v>Iwamoto 2008</v>
      </c>
      <c r="C9027" s="250" t="str">
        <f>IF(AND(A9027&lt;&gt;"",ISNUMBER(A9027)),VLOOKUP(A9027,Studies!A:BR,3,FALSE),"")</f>
        <v xml:space="preserve">https://www.ncbi.nlm.nih.gov/pubmed/17713476
</v>
      </c>
      <c r="D9027" s="250" t="str">
        <f>IF(AND(A9027&lt;&gt;"",ISNUMBER(A9027)),VLOOKUP(A9027,Studies!A:BR,4,FALSE),"")</f>
        <v>50mg</v>
      </c>
      <c r="E9027" s="250" t="str">
        <f>IF(AND(A9027&lt;&gt;"",ISNUMBER(A9027)),VLOOKUP(A9027,Studies!A:BR,5,FALSE),"")</f>
        <v>Raltegravir</v>
      </c>
      <c r="F9027" s="251" t="str">
        <f>IF(AND(A9027&lt;&gt;"",ISNUMBER(A9027)),VLOOKUP(A9027,Studies!A:BR,6,FALSE),"")</f>
        <v>Plasma</v>
      </c>
      <c r="G9027" s="194">
        <v>24</v>
      </c>
      <c r="H9027" s="50" t="s">
        <v>60</v>
      </c>
      <c r="I9027" s="187">
        <v>12.701576232910156</v>
      </c>
      <c r="J9027" s="41" t="s">
        <v>964</v>
      </c>
      <c r="K9027" s="41" t="s">
        <v>116</v>
      </c>
    </row>
    <row r="9028" spans="1:11" x14ac:dyDescent="0.2">
      <c r="A9028" s="30">
        <v>5441</v>
      </c>
      <c r="B9028" s="249" t="str">
        <f>IF(AND(A9028&lt;&gt;"",ISNUMBER(A9028)),VLOOKUP(A9028,Studies!A:BR,2,FALSE),"")</f>
        <v>Iwamoto 2008</v>
      </c>
      <c r="C9028" s="250" t="str">
        <f>IF(AND(A9028&lt;&gt;"",ISNUMBER(A9028)),VLOOKUP(A9028,Studies!A:BR,3,FALSE),"")</f>
        <v xml:space="preserve">https://www.ncbi.nlm.nih.gov/pubmed/17713476
</v>
      </c>
      <c r="D9028" s="250" t="str">
        <f>IF(AND(A9028&lt;&gt;"",ISNUMBER(A9028)),VLOOKUP(A9028,Studies!A:BR,4,FALSE),"")</f>
        <v>50mg</v>
      </c>
      <c r="E9028" s="250" t="str">
        <f>IF(AND(A9028&lt;&gt;"",ISNUMBER(A9028)),VLOOKUP(A9028,Studies!A:BR,5,FALSE),"")</f>
        <v>Raltegravir</v>
      </c>
      <c r="F9028" s="251" t="str">
        <f>IF(AND(A9028&lt;&gt;"",ISNUMBER(A9028)),VLOOKUP(A9028,Studies!A:BR,6,FALSE),"")</f>
        <v>Plasma</v>
      </c>
      <c r="G9028" s="194">
        <v>32</v>
      </c>
      <c r="H9028" s="50" t="s">
        <v>60</v>
      </c>
      <c r="I9028" s="187">
        <v>6.9619350433349609</v>
      </c>
      <c r="J9028" s="41" t="s">
        <v>964</v>
      </c>
      <c r="K9028" s="41" t="s">
        <v>116</v>
      </c>
    </row>
    <row r="9029" spans="1:11" x14ac:dyDescent="0.2">
      <c r="A9029" s="30">
        <v>5442</v>
      </c>
      <c r="B9029" s="249" t="str">
        <f>IF(AND(A9029&lt;&gt;"",ISNUMBER(A9029)),VLOOKUP(A9029,Studies!A:BR,2,FALSE),"")</f>
        <v>Iwamoto 2008</v>
      </c>
      <c r="C9029" s="250" t="str">
        <f>IF(AND(A9029&lt;&gt;"",ISNUMBER(A9029)),VLOOKUP(A9029,Studies!A:BR,3,FALSE),"")</f>
        <v xml:space="preserve">https://www.ncbi.nlm.nih.gov/pubmed/17713476
</v>
      </c>
      <c r="D9029" s="250" t="str">
        <f>IF(AND(A9029&lt;&gt;"",ISNUMBER(A9029)),VLOOKUP(A9029,Studies!A:BR,4,FALSE),"")</f>
        <v>100mg</v>
      </c>
      <c r="E9029" s="250" t="str">
        <f>IF(AND(A9029&lt;&gt;"",ISNUMBER(A9029)),VLOOKUP(A9029,Studies!A:BR,5,FALSE),"")</f>
        <v>Raltegravir</v>
      </c>
      <c r="F9029" s="251" t="str">
        <f>IF(AND(A9029&lt;&gt;"",ISNUMBER(A9029)),VLOOKUP(A9029,Studies!A:BR,6,FALSE),"")</f>
        <v>Plasma</v>
      </c>
      <c r="G9029" s="194">
        <v>0.5</v>
      </c>
      <c r="H9029" s="50" t="s">
        <v>60</v>
      </c>
      <c r="I9029" s="187">
        <v>2450.593017578125</v>
      </c>
      <c r="J9029" s="41" t="s">
        <v>964</v>
      </c>
      <c r="K9029" s="41" t="s">
        <v>116</v>
      </c>
    </row>
    <row r="9030" spans="1:11" x14ac:dyDescent="0.2">
      <c r="A9030" s="30">
        <v>5442</v>
      </c>
      <c r="B9030" s="249" t="str">
        <f>IF(AND(A9030&lt;&gt;"",ISNUMBER(A9030)),VLOOKUP(A9030,Studies!A:BR,2,FALSE),"")</f>
        <v>Iwamoto 2008</v>
      </c>
      <c r="C9030" s="250" t="str">
        <f>IF(AND(A9030&lt;&gt;"",ISNUMBER(A9030)),VLOOKUP(A9030,Studies!A:BR,3,FALSE),"")</f>
        <v xml:space="preserve">https://www.ncbi.nlm.nih.gov/pubmed/17713476
</v>
      </c>
      <c r="D9030" s="250" t="str">
        <f>IF(AND(A9030&lt;&gt;"",ISNUMBER(A9030)),VLOOKUP(A9030,Studies!A:BR,4,FALSE),"")</f>
        <v>100mg</v>
      </c>
      <c r="E9030" s="250" t="str">
        <f>IF(AND(A9030&lt;&gt;"",ISNUMBER(A9030)),VLOOKUP(A9030,Studies!A:BR,5,FALSE),"")</f>
        <v>Raltegravir</v>
      </c>
      <c r="F9030" s="251" t="str">
        <f>IF(AND(A9030&lt;&gt;"",ISNUMBER(A9030)),VLOOKUP(A9030,Studies!A:BR,6,FALSE),"")</f>
        <v>Plasma</v>
      </c>
      <c r="G9030" s="194">
        <v>1</v>
      </c>
      <c r="H9030" s="50" t="s">
        <v>60</v>
      </c>
      <c r="I9030" s="187">
        <v>2134.387451171875</v>
      </c>
      <c r="J9030" s="41" t="s">
        <v>964</v>
      </c>
      <c r="K9030" s="41" t="s">
        <v>116</v>
      </c>
    </row>
    <row r="9031" spans="1:11" x14ac:dyDescent="0.2">
      <c r="A9031" s="30">
        <v>5442</v>
      </c>
      <c r="B9031" s="249" t="str">
        <f>IF(AND(A9031&lt;&gt;"",ISNUMBER(A9031)),VLOOKUP(A9031,Studies!A:BR,2,FALSE),"")</f>
        <v>Iwamoto 2008</v>
      </c>
      <c r="C9031" s="250" t="str">
        <f>IF(AND(A9031&lt;&gt;"",ISNUMBER(A9031)),VLOOKUP(A9031,Studies!A:BR,3,FALSE),"")</f>
        <v xml:space="preserve">https://www.ncbi.nlm.nih.gov/pubmed/17713476
</v>
      </c>
      <c r="D9031" s="250" t="str">
        <f>IF(AND(A9031&lt;&gt;"",ISNUMBER(A9031)),VLOOKUP(A9031,Studies!A:BR,4,FALSE),"")</f>
        <v>100mg</v>
      </c>
      <c r="E9031" s="250" t="str">
        <f>IF(AND(A9031&lt;&gt;"",ISNUMBER(A9031)),VLOOKUP(A9031,Studies!A:BR,5,FALSE),"")</f>
        <v>Raltegravir</v>
      </c>
      <c r="F9031" s="251" t="str">
        <f>IF(AND(A9031&lt;&gt;"",ISNUMBER(A9031)),VLOOKUP(A9031,Studies!A:BR,6,FALSE),"")</f>
        <v>Plasma</v>
      </c>
      <c r="G9031" s="194">
        <v>1.5</v>
      </c>
      <c r="H9031" s="50" t="s">
        <v>60</v>
      </c>
      <c r="I9031" s="187">
        <v>1581.0277099609375</v>
      </c>
      <c r="J9031" s="41" t="s">
        <v>964</v>
      </c>
      <c r="K9031" s="41" t="s">
        <v>116</v>
      </c>
    </row>
    <row r="9032" spans="1:11" x14ac:dyDescent="0.2">
      <c r="A9032" s="30">
        <v>5442</v>
      </c>
      <c r="B9032" s="249" t="str">
        <f>IF(AND(A9032&lt;&gt;"",ISNUMBER(A9032)),VLOOKUP(A9032,Studies!A:BR,2,FALSE),"")</f>
        <v>Iwamoto 2008</v>
      </c>
      <c r="C9032" s="250" t="str">
        <f>IF(AND(A9032&lt;&gt;"",ISNUMBER(A9032)),VLOOKUP(A9032,Studies!A:BR,3,FALSE),"")</f>
        <v xml:space="preserve">https://www.ncbi.nlm.nih.gov/pubmed/17713476
</v>
      </c>
      <c r="D9032" s="250" t="str">
        <f>IF(AND(A9032&lt;&gt;"",ISNUMBER(A9032)),VLOOKUP(A9032,Studies!A:BR,4,FALSE),"")</f>
        <v>100mg</v>
      </c>
      <c r="E9032" s="250" t="str">
        <f>IF(AND(A9032&lt;&gt;"",ISNUMBER(A9032)),VLOOKUP(A9032,Studies!A:BR,5,FALSE),"")</f>
        <v>Raltegravir</v>
      </c>
      <c r="F9032" s="251" t="str">
        <f>IF(AND(A9032&lt;&gt;"",ISNUMBER(A9032)),VLOOKUP(A9032,Studies!A:BR,6,FALSE),"")</f>
        <v>Plasma</v>
      </c>
      <c r="G9032" s="194">
        <v>2</v>
      </c>
      <c r="H9032" s="50" t="s">
        <v>60</v>
      </c>
      <c r="I9032" s="187">
        <v>1185.770751953125</v>
      </c>
      <c r="J9032" s="41" t="s">
        <v>964</v>
      </c>
      <c r="K9032" s="41" t="s">
        <v>116</v>
      </c>
    </row>
    <row r="9033" spans="1:11" x14ac:dyDescent="0.2">
      <c r="A9033" s="30">
        <v>5442</v>
      </c>
      <c r="B9033" s="249" t="str">
        <f>IF(AND(A9033&lt;&gt;"",ISNUMBER(A9033)),VLOOKUP(A9033,Studies!A:BR,2,FALSE),"")</f>
        <v>Iwamoto 2008</v>
      </c>
      <c r="C9033" s="250" t="str">
        <f>IF(AND(A9033&lt;&gt;"",ISNUMBER(A9033)),VLOOKUP(A9033,Studies!A:BR,3,FALSE),"")</f>
        <v xml:space="preserve">https://www.ncbi.nlm.nih.gov/pubmed/17713476
</v>
      </c>
      <c r="D9033" s="250" t="str">
        <f>IF(AND(A9033&lt;&gt;"",ISNUMBER(A9033)),VLOOKUP(A9033,Studies!A:BR,4,FALSE),"")</f>
        <v>100mg</v>
      </c>
      <c r="E9033" s="250" t="str">
        <f>IF(AND(A9033&lt;&gt;"",ISNUMBER(A9033)),VLOOKUP(A9033,Studies!A:BR,5,FALSE),"")</f>
        <v>Raltegravir</v>
      </c>
      <c r="F9033" s="251" t="str">
        <f>IF(AND(A9033&lt;&gt;"",ISNUMBER(A9033)),VLOOKUP(A9033,Studies!A:BR,6,FALSE),"")</f>
        <v>Plasma</v>
      </c>
      <c r="G9033" s="194">
        <v>3</v>
      </c>
      <c r="H9033" s="50" t="s">
        <v>60</v>
      </c>
      <c r="I9033" s="187">
        <v>766.0780029296875</v>
      </c>
      <c r="J9033" s="41" t="s">
        <v>964</v>
      </c>
      <c r="K9033" s="41" t="s">
        <v>116</v>
      </c>
    </row>
    <row r="9034" spans="1:11" x14ac:dyDescent="0.2">
      <c r="A9034" s="30">
        <v>5442</v>
      </c>
      <c r="B9034" s="249" t="str">
        <f>IF(AND(A9034&lt;&gt;"",ISNUMBER(A9034)),VLOOKUP(A9034,Studies!A:BR,2,FALSE),"")</f>
        <v>Iwamoto 2008</v>
      </c>
      <c r="C9034" s="250" t="str">
        <f>IF(AND(A9034&lt;&gt;"",ISNUMBER(A9034)),VLOOKUP(A9034,Studies!A:BR,3,FALSE),"")</f>
        <v xml:space="preserve">https://www.ncbi.nlm.nih.gov/pubmed/17713476
</v>
      </c>
      <c r="D9034" s="250" t="str">
        <f>IF(AND(A9034&lt;&gt;"",ISNUMBER(A9034)),VLOOKUP(A9034,Studies!A:BR,4,FALSE),"")</f>
        <v>100mg</v>
      </c>
      <c r="E9034" s="250" t="str">
        <f>IF(AND(A9034&lt;&gt;"",ISNUMBER(A9034)),VLOOKUP(A9034,Studies!A:BR,5,FALSE),"")</f>
        <v>Raltegravir</v>
      </c>
      <c r="F9034" s="251" t="str">
        <f>IF(AND(A9034&lt;&gt;"",ISNUMBER(A9034)),VLOOKUP(A9034,Studies!A:BR,6,FALSE),"")</f>
        <v>Plasma</v>
      </c>
      <c r="G9034" s="194">
        <v>4</v>
      </c>
      <c r="H9034" s="50" t="s">
        <v>60</v>
      </c>
      <c r="I9034" s="187">
        <v>431.53390502929688</v>
      </c>
      <c r="J9034" s="41" t="s">
        <v>964</v>
      </c>
      <c r="K9034" s="41" t="s">
        <v>116</v>
      </c>
    </row>
    <row r="9035" spans="1:11" x14ac:dyDescent="0.2">
      <c r="A9035" s="30">
        <v>5442</v>
      </c>
      <c r="B9035" s="249" t="str">
        <f>IF(AND(A9035&lt;&gt;"",ISNUMBER(A9035)),VLOOKUP(A9035,Studies!A:BR,2,FALSE),"")</f>
        <v>Iwamoto 2008</v>
      </c>
      <c r="C9035" s="250" t="str">
        <f>IF(AND(A9035&lt;&gt;"",ISNUMBER(A9035)),VLOOKUP(A9035,Studies!A:BR,3,FALSE),"")</f>
        <v xml:space="preserve">https://www.ncbi.nlm.nih.gov/pubmed/17713476
</v>
      </c>
      <c r="D9035" s="250" t="str">
        <f>IF(AND(A9035&lt;&gt;"",ISNUMBER(A9035)),VLOOKUP(A9035,Studies!A:BR,4,FALSE),"")</f>
        <v>100mg</v>
      </c>
      <c r="E9035" s="250" t="str">
        <f>IF(AND(A9035&lt;&gt;"",ISNUMBER(A9035)),VLOOKUP(A9035,Studies!A:BR,5,FALSE),"")</f>
        <v>Raltegravir</v>
      </c>
      <c r="F9035" s="251" t="str">
        <f>IF(AND(A9035&lt;&gt;"",ISNUMBER(A9035)),VLOOKUP(A9035,Studies!A:BR,6,FALSE),"")</f>
        <v>Plasma</v>
      </c>
      <c r="G9035" s="194">
        <v>6</v>
      </c>
      <c r="H9035" s="50" t="s">
        <v>60</v>
      </c>
      <c r="I9035" s="187">
        <v>129.64617919921875</v>
      </c>
      <c r="J9035" s="41" t="s">
        <v>964</v>
      </c>
      <c r="K9035" s="41" t="s">
        <v>116</v>
      </c>
    </row>
    <row r="9036" spans="1:11" x14ac:dyDescent="0.2">
      <c r="A9036" s="30">
        <v>5442</v>
      </c>
      <c r="B9036" s="249" t="str">
        <f>IF(AND(A9036&lt;&gt;"",ISNUMBER(A9036)),VLOOKUP(A9036,Studies!A:BR,2,FALSE),"")</f>
        <v>Iwamoto 2008</v>
      </c>
      <c r="C9036" s="250" t="str">
        <f>IF(AND(A9036&lt;&gt;"",ISNUMBER(A9036)),VLOOKUP(A9036,Studies!A:BR,3,FALSE),"")</f>
        <v xml:space="preserve">https://www.ncbi.nlm.nih.gov/pubmed/17713476
</v>
      </c>
      <c r="D9036" s="250" t="str">
        <f>IF(AND(A9036&lt;&gt;"",ISNUMBER(A9036)),VLOOKUP(A9036,Studies!A:BR,4,FALSE),"")</f>
        <v>100mg</v>
      </c>
      <c r="E9036" s="250" t="str">
        <f>IF(AND(A9036&lt;&gt;"",ISNUMBER(A9036)),VLOOKUP(A9036,Studies!A:BR,5,FALSE),"")</f>
        <v>Raltegravir</v>
      </c>
      <c r="F9036" s="251" t="str">
        <f>IF(AND(A9036&lt;&gt;"",ISNUMBER(A9036)),VLOOKUP(A9036,Studies!A:BR,6,FALSE),"")</f>
        <v>Plasma</v>
      </c>
      <c r="G9036" s="194">
        <v>8</v>
      </c>
      <c r="H9036" s="50" t="s">
        <v>60</v>
      </c>
      <c r="I9036" s="187">
        <v>73.030029296875</v>
      </c>
      <c r="J9036" s="41" t="s">
        <v>964</v>
      </c>
      <c r="K9036" s="41" t="s">
        <v>116</v>
      </c>
    </row>
    <row r="9037" spans="1:11" x14ac:dyDescent="0.2">
      <c r="A9037" s="30">
        <v>5442</v>
      </c>
      <c r="B9037" s="249" t="str">
        <f>IF(AND(A9037&lt;&gt;"",ISNUMBER(A9037)),VLOOKUP(A9037,Studies!A:BR,2,FALSE),"")</f>
        <v>Iwamoto 2008</v>
      </c>
      <c r="C9037" s="250" t="str">
        <f>IF(AND(A9037&lt;&gt;"",ISNUMBER(A9037)),VLOOKUP(A9037,Studies!A:BR,3,FALSE),"")</f>
        <v xml:space="preserve">https://www.ncbi.nlm.nih.gov/pubmed/17713476
</v>
      </c>
      <c r="D9037" s="250" t="str">
        <f>IF(AND(A9037&lt;&gt;"",ISNUMBER(A9037)),VLOOKUP(A9037,Studies!A:BR,4,FALSE),"")</f>
        <v>100mg</v>
      </c>
      <c r="E9037" s="250" t="str">
        <f>IF(AND(A9037&lt;&gt;"",ISNUMBER(A9037)),VLOOKUP(A9037,Studies!A:BR,5,FALSE),"")</f>
        <v>Raltegravir</v>
      </c>
      <c r="F9037" s="251" t="str">
        <f>IF(AND(A9037&lt;&gt;"",ISNUMBER(A9037)),VLOOKUP(A9037,Studies!A:BR,6,FALSE),"")</f>
        <v>Plasma</v>
      </c>
      <c r="G9037" s="194">
        <v>12</v>
      </c>
      <c r="H9037" s="50" t="s">
        <v>60</v>
      </c>
      <c r="I9037" s="187">
        <v>26.566377639770508</v>
      </c>
      <c r="J9037" s="41" t="s">
        <v>964</v>
      </c>
      <c r="K9037" s="41" t="s">
        <v>116</v>
      </c>
    </row>
    <row r="9038" spans="1:11" x14ac:dyDescent="0.2">
      <c r="A9038" s="30">
        <v>5442</v>
      </c>
      <c r="B9038" s="249" t="str">
        <f>IF(AND(A9038&lt;&gt;"",ISNUMBER(A9038)),VLOOKUP(A9038,Studies!A:BR,2,FALSE),"")</f>
        <v>Iwamoto 2008</v>
      </c>
      <c r="C9038" s="250" t="str">
        <f>IF(AND(A9038&lt;&gt;"",ISNUMBER(A9038)),VLOOKUP(A9038,Studies!A:BR,3,FALSE),"")</f>
        <v xml:space="preserve">https://www.ncbi.nlm.nih.gov/pubmed/17713476
</v>
      </c>
      <c r="D9038" s="250" t="str">
        <f>IF(AND(A9038&lt;&gt;"",ISNUMBER(A9038)),VLOOKUP(A9038,Studies!A:BR,4,FALSE),"")</f>
        <v>100mg</v>
      </c>
      <c r="E9038" s="250" t="str">
        <f>IF(AND(A9038&lt;&gt;"",ISNUMBER(A9038)),VLOOKUP(A9038,Studies!A:BR,5,FALSE),"")</f>
        <v>Raltegravir</v>
      </c>
      <c r="F9038" s="251" t="str">
        <f>IF(AND(A9038&lt;&gt;"",ISNUMBER(A9038)),VLOOKUP(A9038,Studies!A:BR,6,FALSE),"")</f>
        <v>Plasma</v>
      </c>
      <c r="G9038" s="194">
        <v>15</v>
      </c>
      <c r="H9038" s="50" t="s">
        <v>60</v>
      </c>
      <c r="I9038" s="187">
        <v>17.631563186645508</v>
      </c>
      <c r="J9038" s="41" t="s">
        <v>964</v>
      </c>
      <c r="K9038" s="41" t="s">
        <v>116</v>
      </c>
    </row>
    <row r="9039" spans="1:11" x14ac:dyDescent="0.2">
      <c r="A9039" s="30">
        <v>5442</v>
      </c>
      <c r="B9039" s="249" t="str">
        <f>IF(AND(A9039&lt;&gt;"",ISNUMBER(A9039)),VLOOKUP(A9039,Studies!A:BR,2,FALSE),"")</f>
        <v>Iwamoto 2008</v>
      </c>
      <c r="C9039" s="250" t="str">
        <f>IF(AND(A9039&lt;&gt;"",ISNUMBER(A9039)),VLOOKUP(A9039,Studies!A:BR,3,FALSE),"")</f>
        <v xml:space="preserve">https://www.ncbi.nlm.nih.gov/pubmed/17713476
</v>
      </c>
      <c r="D9039" s="250" t="str">
        <f>IF(AND(A9039&lt;&gt;"",ISNUMBER(A9039)),VLOOKUP(A9039,Studies!A:BR,4,FALSE),"")</f>
        <v>100mg</v>
      </c>
      <c r="E9039" s="250" t="str">
        <f>IF(AND(A9039&lt;&gt;"",ISNUMBER(A9039)),VLOOKUP(A9039,Studies!A:BR,5,FALSE),"")</f>
        <v>Raltegravir</v>
      </c>
      <c r="F9039" s="251" t="str">
        <f>IF(AND(A9039&lt;&gt;"",ISNUMBER(A9039)),VLOOKUP(A9039,Studies!A:BR,6,FALSE),"")</f>
        <v>Plasma</v>
      </c>
      <c r="G9039" s="194">
        <v>24</v>
      </c>
      <c r="H9039" s="50" t="s">
        <v>60</v>
      </c>
      <c r="I9039" s="187">
        <v>11.386227607727051</v>
      </c>
      <c r="J9039" s="41" t="s">
        <v>964</v>
      </c>
      <c r="K9039" s="41" t="s">
        <v>116</v>
      </c>
    </row>
    <row r="9040" spans="1:11" x14ac:dyDescent="0.2">
      <c r="A9040" s="30">
        <v>5442</v>
      </c>
      <c r="B9040" s="249" t="str">
        <f>IF(AND(A9040&lt;&gt;"",ISNUMBER(A9040)),VLOOKUP(A9040,Studies!A:BR,2,FALSE),"")</f>
        <v>Iwamoto 2008</v>
      </c>
      <c r="C9040" s="250" t="str">
        <f>IF(AND(A9040&lt;&gt;"",ISNUMBER(A9040)),VLOOKUP(A9040,Studies!A:BR,3,FALSE),"")</f>
        <v xml:space="preserve">https://www.ncbi.nlm.nih.gov/pubmed/17713476
</v>
      </c>
      <c r="D9040" s="250" t="str">
        <f>IF(AND(A9040&lt;&gt;"",ISNUMBER(A9040)),VLOOKUP(A9040,Studies!A:BR,4,FALSE),"")</f>
        <v>100mg</v>
      </c>
      <c r="E9040" s="250" t="str">
        <f>IF(AND(A9040&lt;&gt;"",ISNUMBER(A9040)),VLOOKUP(A9040,Studies!A:BR,5,FALSE),"")</f>
        <v>Raltegravir</v>
      </c>
      <c r="F9040" s="251" t="str">
        <f>IF(AND(A9040&lt;&gt;"",ISNUMBER(A9040)),VLOOKUP(A9040,Studies!A:BR,6,FALSE),"")</f>
        <v>Plasma</v>
      </c>
      <c r="G9040" s="194">
        <v>32</v>
      </c>
      <c r="H9040" s="50" t="s">
        <v>60</v>
      </c>
      <c r="I9040" s="187">
        <v>6.9619350433349609</v>
      </c>
      <c r="J9040" s="41" t="s">
        <v>964</v>
      </c>
      <c r="K9040" s="41" t="s">
        <v>116</v>
      </c>
    </row>
    <row r="9041" spans="1:11" x14ac:dyDescent="0.2">
      <c r="A9041" s="30">
        <v>5443</v>
      </c>
      <c r="B9041" s="249" t="str">
        <f>IF(AND(A9041&lt;&gt;"",ISNUMBER(A9041)),VLOOKUP(A9041,Studies!A:BR,2,FALSE),"")</f>
        <v>Iwamoto 2008</v>
      </c>
      <c r="C9041" s="250" t="str">
        <f>IF(AND(A9041&lt;&gt;"",ISNUMBER(A9041)),VLOOKUP(A9041,Studies!A:BR,3,FALSE),"")</f>
        <v xml:space="preserve">https://www.ncbi.nlm.nih.gov/pubmed/17713476
</v>
      </c>
      <c r="D9041" s="250" t="str">
        <f>IF(AND(A9041&lt;&gt;"",ISNUMBER(A9041)),VLOOKUP(A9041,Studies!A:BR,4,FALSE),"")</f>
        <v>200mg</v>
      </c>
      <c r="E9041" s="250" t="str">
        <f>IF(AND(A9041&lt;&gt;"",ISNUMBER(A9041)),VLOOKUP(A9041,Studies!A:BR,5,FALSE),"")</f>
        <v>Raltegravir</v>
      </c>
      <c r="F9041" s="251" t="str">
        <f>IF(AND(A9041&lt;&gt;"",ISNUMBER(A9041)),VLOOKUP(A9041,Studies!A:BR,6,FALSE),"")</f>
        <v>Plasma</v>
      </c>
      <c r="G9041" s="194">
        <v>0.5</v>
      </c>
      <c r="H9041" s="50" t="s">
        <v>60</v>
      </c>
      <c r="I9041" s="187">
        <v>5217.39111328125</v>
      </c>
      <c r="J9041" s="41" t="s">
        <v>964</v>
      </c>
      <c r="K9041" s="41" t="s">
        <v>116</v>
      </c>
    </row>
    <row r="9042" spans="1:11" x14ac:dyDescent="0.2">
      <c r="A9042" s="30">
        <v>5443</v>
      </c>
      <c r="B9042" s="249" t="str">
        <f>IF(AND(A9042&lt;&gt;"",ISNUMBER(A9042)),VLOOKUP(A9042,Studies!A:BR,2,FALSE),"")</f>
        <v>Iwamoto 2008</v>
      </c>
      <c r="C9042" s="250" t="str">
        <f>IF(AND(A9042&lt;&gt;"",ISNUMBER(A9042)),VLOOKUP(A9042,Studies!A:BR,3,FALSE),"")</f>
        <v xml:space="preserve">https://www.ncbi.nlm.nih.gov/pubmed/17713476
</v>
      </c>
      <c r="D9042" s="250" t="str">
        <f>IF(AND(A9042&lt;&gt;"",ISNUMBER(A9042)),VLOOKUP(A9042,Studies!A:BR,4,FALSE),"")</f>
        <v>200mg</v>
      </c>
      <c r="E9042" s="250" t="str">
        <f>IF(AND(A9042&lt;&gt;"",ISNUMBER(A9042)),VLOOKUP(A9042,Studies!A:BR,5,FALSE),"")</f>
        <v>Raltegravir</v>
      </c>
      <c r="F9042" s="251" t="str">
        <f>IF(AND(A9042&lt;&gt;"",ISNUMBER(A9042)),VLOOKUP(A9042,Studies!A:BR,6,FALSE),"")</f>
        <v>Plasma</v>
      </c>
      <c r="G9042" s="194">
        <v>1</v>
      </c>
      <c r="H9042" s="50" t="s">
        <v>60</v>
      </c>
      <c r="I9042" s="187">
        <v>5691.69970703125</v>
      </c>
      <c r="J9042" s="41" t="s">
        <v>964</v>
      </c>
      <c r="K9042" s="41" t="s">
        <v>116</v>
      </c>
    </row>
    <row r="9043" spans="1:11" x14ac:dyDescent="0.2">
      <c r="A9043" s="30">
        <v>5443</v>
      </c>
      <c r="B9043" s="249" t="str">
        <f>IF(AND(A9043&lt;&gt;"",ISNUMBER(A9043)),VLOOKUP(A9043,Studies!A:BR,2,FALSE),"")</f>
        <v>Iwamoto 2008</v>
      </c>
      <c r="C9043" s="250" t="str">
        <f>IF(AND(A9043&lt;&gt;"",ISNUMBER(A9043)),VLOOKUP(A9043,Studies!A:BR,3,FALSE),"")</f>
        <v xml:space="preserve">https://www.ncbi.nlm.nih.gov/pubmed/17713476
</v>
      </c>
      <c r="D9043" s="250" t="str">
        <f>IF(AND(A9043&lt;&gt;"",ISNUMBER(A9043)),VLOOKUP(A9043,Studies!A:BR,4,FALSE),"")</f>
        <v>200mg</v>
      </c>
      <c r="E9043" s="250" t="str">
        <f>IF(AND(A9043&lt;&gt;"",ISNUMBER(A9043)),VLOOKUP(A9043,Studies!A:BR,5,FALSE),"")</f>
        <v>Raltegravir</v>
      </c>
      <c r="F9043" s="251" t="str">
        <f>IF(AND(A9043&lt;&gt;"",ISNUMBER(A9043)),VLOOKUP(A9043,Studies!A:BR,6,FALSE),"")</f>
        <v>Plasma</v>
      </c>
      <c r="G9043" s="194">
        <v>1.5</v>
      </c>
      <c r="H9043" s="50" t="s">
        <v>60</v>
      </c>
      <c r="I9043" s="187">
        <v>4743.0830078125</v>
      </c>
      <c r="J9043" s="41" t="s">
        <v>964</v>
      </c>
      <c r="K9043" s="41" t="s">
        <v>116</v>
      </c>
    </row>
    <row r="9044" spans="1:11" x14ac:dyDescent="0.2">
      <c r="A9044" s="30">
        <v>5443</v>
      </c>
      <c r="B9044" s="249" t="str">
        <f>IF(AND(A9044&lt;&gt;"",ISNUMBER(A9044)),VLOOKUP(A9044,Studies!A:BR,2,FALSE),"")</f>
        <v>Iwamoto 2008</v>
      </c>
      <c r="C9044" s="250" t="str">
        <f>IF(AND(A9044&lt;&gt;"",ISNUMBER(A9044)),VLOOKUP(A9044,Studies!A:BR,3,FALSE),"")</f>
        <v xml:space="preserve">https://www.ncbi.nlm.nih.gov/pubmed/17713476
</v>
      </c>
      <c r="D9044" s="250" t="str">
        <f>IF(AND(A9044&lt;&gt;"",ISNUMBER(A9044)),VLOOKUP(A9044,Studies!A:BR,4,FALSE),"")</f>
        <v>200mg</v>
      </c>
      <c r="E9044" s="250" t="str">
        <f>IF(AND(A9044&lt;&gt;"",ISNUMBER(A9044)),VLOOKUP(A9044,Studies!A:BR,5,FALSE),"")</f>
        <v>Raltegravir</v>
      </c>
      <c r="F9044" s="251" t="str">
        <f>IF(AND(A9044&lt;&gt;"",ISNUMBER(A9044)),VLOOKUP(A9044,Studies!A:BR,6,FALSE),"")</f>
        <v>Plasma</v>
      </c>
      <c r="G9044" s="194">
        <v>2</v>
      </c>
      <c r="H9044" s="50" t="s">
        <v>60</v>
      </c>
      <c r="I9044" s="187">
        <v>3557.312255859375</v>
      </c>
      <c r="J9044" s="41" t="s">
        <v>964</v>
      </c>
      <c r="K9044" s="41" t="s">
        <v>116</v>
      </c>
    </row>
    <row r="9045" spans="1:11" x14ac:dyDescent="0.2">
      <c r="A9045" s="30">
        <v>5443</v>
      </c>
      <c r="B9045" s="249" t="str">
        <f>IF(AND(A9045&lt;&gt;"",ISNUMBER(A9045)),VLOOKUP(A9045,Studies!A:BR,2,FALSE),"")</f>
        <v>Iwamoto 2008</v>
      </c>
      <c r="C9045" s="250" t="str">
        <f>IF(AND(A9045&lt;&gt;"",ISNUMBER(A9045)),VLOOKUP(A9045,Studies!A:BR,3,FALSE),"")</f>
        <v xml:space="preserve">https://www.ncbi.nlm.nih.gov/pubmed/17713476
</v>
      </c>
      <c r="D9045" s="250" t="str">
        <f>IF(AND(A9045&lt;&gt;"",ISNUMBER(A9045)),VLOOKUP(A9045,Studies!A:BR,4,FALSE),"")</f>
        <v>200mg</v>
      </c>
      <c r="E9045" s="250" t="str">
        <f>IF(AND(A9045&lt;&gt;"",ISNUMBER(A9045)),VLOOKUP(A9045,Studies!A:BR,5,FALSE),"")</f>
        <v>Raltegravir</v>
      </c>
      <c r="F9045" s="251" t="str">
        <f>IF(AND(A9045&lt;&gt;"",ISNUMBER(A9045)),VLOOKUP(A9045,Studies!A:BR,6,FALSE),"")</f>
        <v>Plasma</v>
      </c>
      <c r="G9045" s="194">
        <v>3</v>
      </c>
      <c r="H9045" s="50" t="s">
        <v>60</v>
      </c>
      <c r="I9045" s="187">
        <v>2292.490234375</v>
      </c>
      <c r="J9045" s="41" t="s">
        <v>964</v>
      </c>
      <c r="K9045" s="41" t="s">
        <v>116</v>
      </c>
    </row>
    <row r="9046" spans="1:11" x14ac:dyDescent="0.2">
      <c r="A9046" s="30">
        <v>5443</v>
      </c>
      <c r="B9046" s="249" t="str">
        <f>IF(AND(A9046&lt;&gt;"",ISNUMBER(A9046)),VLOOKUP(A9046,Studies!A:BR,2,FALSE),"")</f>
        <v>Iwamoto 2008</v>
      </c>
      <c r="C9046" s="250" t="str">
        <f>IF(AND(A9046&lt;&gt;"",ISNUMBER(A9046)),VLOOKUP(A9046,Studies!A:BR,3,FALSE),"")</f>
        <v xml:space="preserve">https://www.ncbi.nlm.nih.gov/pubmed/17713476
</v>
      </c>
      <c r="D9046" s="250" t="str">
        <f>IF(AND(A9046&lt;&gt;"",ISNUMBER(A9046)),VLOOKUP(A9046,Studies!A:BR,4,FALSE),"")</f>
        <v>200mg</v>
      </c>
      <c r="E9046" s="250" t="str">
        <f>IF(AND(A9046&lt;&gt;"",ISNUMBER(A9046)),VLOOKUP(A9046,Studies!A:BR,5,FALSE),"")</f>
        <v>Raltegravir</v>
      </c>
      <c r="F9046" s="251" t="str">
        <f>IF(AND(A9046&lt;&gt;"",ISNUMBER(A9046)),VLOOKUP(A9046,Studies!A:BR,6,FALSE),"")</f>
        <v>Plasma</v>
      </c>
      <c r="G9046" s="194">
        <v>4</v>
      </c>
      <c r="H9046" s="50" t="s">
        <v>60</v>
      </c>
      <c r="I9046" s="187">
        <v>1185.770751953125</v>
      </c>
      <c r="J9046" s="41" t="s">
        <v>964</v>
      </c>
      <c r="K9046" s="41" t="s">
        <v>116</v>
      </c>
    </row>
    <row r="9047" spans="1:11" x14ac:dyDescent="0.2">
      <c r="A9047" s="30">
        <v>5443</v>
      </c>
      <c r="B9047" s="249" t="str">
        <f>IF(AND(A9047&lt;&gt;"",ISNUMBER(A9047)),VLOOKUP(A9047,Studies!A:BR,2,FALSE),"")</f>
        <v>Iwamoto 2008</v>
      </c>
      <c r="C9047" s="250" t="str">
        <f>IF(AND(A9047&lt;&gt;"",ISNUMBER(A9047)),VLOOKUP(A9047,Studies!A:BR,3,FALSE),"")</f>
        <v xml:space="preserve">https://www.ncbi.nlm.nih.gov/pubmed/17713476
</v>
      </c>
      <c r="D9047" s="250" t="str">
        <f>IF(AND(A9047&lt;&gt;"",ISNUMBER(A9047)),VLOOKUP(A9047,Studies!A:BR,4,FALSE),"")</f>
        <v>200mg</v>
      </c>
      <c r="E9047" s="250" t="str">
        <f>IF(AND(A9047&lt;&gt;"",ISNUMBER(A9047)),VLOOKUP(A9047,Studies!A:BR,5,FALSE),"")</f>
        <v>Raltegravir</v>
      </c>
      <c r="F9047" s="251" t="str">
        <f>IF(AND(A9047&lt;&gt;"",ISNUMBER(A9047)),VLOOKUP(A9047,Studies!A:BR,6,FALSE),"")</f>
        <v>Plasma</v>
      </c>
      <c r="G9047" s="194">
        <v>6</v>
      </c>
      <c r="H9047" s="50" t="s">
        <v>60</v>
      </c>
      <c r="I9047" s="187">
        <v>419.89962768554688</v>
      </c>
      <c r="J9047" s="41" t="s">
        <v>964</v>
      </c>
      <c r="K9047" s="41" t="s">
        <v>116</v>
      </c>
    </row>
    <row r="9048" spans="1:11" x14ac:dyDescent="0.2">
      <c r="A9048" s="30">
        <v>5443</v>
      </c>
      <c r="B9048" s="249" t="str">
        <f>IF(AND(A9048&lt;&gt;"",ISNUMBER(A9048)),VLOOKUP(A9048,Studies!A:BR,2,FALSE),"")</f>
        <v>Iwamoto 2008</v>
      </c>
      <c r="C9048" s="250" t="str">
        <f>IF(AND(A9048&lt;&gt;"",ISNUMBER(A9048)),VLOOKUP(A9048,Studies!A:BR,3,FALSE),"")</f>
        <v xml:space="preserve">https://www.ncbi.nlm.nih.gov/pubmed/17713476
</v>
      </c>
      <c r="D9048" s="250" t="str">
        <f>IF(AND(A9048&lt;&gt;"",ISNUMBER(A9048)),VLOOKUP(A9048,Studies!A:BR,4,FALSE),"")</f>
        <v>200mg</v>
      </c>
      <c r="E9048" s="250" t="str">
        <f>IF(AND(A9048&lt;&gt;"",ISNUMBER(A9048)),VLOOKUP(A9048,Studies!A:BR,5,FALSE),"")</f>
        <v>Raltegravir</v>
      </c>
      <c r="F9048" s="251" t="str">
        <f>IF(AND(A9048&lt;&gt;"",ISNUMBER(A9048)),VLOOKUP(A9048,Studies!A:BR,6,FALSE),"")</f>
        <v>Plasma</v>
      </c>
      <c r="G9048" s="194">
        <v>8</v>
      </c>
      <c r="H9048" s="50" t="s">
        <v>60</v>
      </c>
      <c r="I9048" s="187">
        <v>217.91087341308594</v>
      </c>
      <c r="J9048" s="41" t="s">
        <v>964</v>
      </c>
      <c r="K9048" s="41" t="s">
        <v>116</v>
      </c>
    </row>
    <row r="9049" spans="1:11" x14ac:dyDescent="0.2">
      <c r="A9049" s="30">
        <v>5443</v>
      </c>
      <c r="B9049" s="249" t="str">
        <f>IF(AND(A9049&lt;&gt;"",ISNUMBER(A9049)),VLOOKUP(A9049,Studies!A:BR,2,FALSE),"")</f>
        <v>Iwamoto 2008</v>
      </c>
      <c r="C9049" s="250" t="str">
        <f>IF(AND(A9049&lt;&gt;"",ISNUMBER(A9049)),VLOOKUP(A9049,Studies!A:BR,3,FALSE),"")</f>
        <v xml:space="preserve">https://www.ncbi.nlm.nih.gov/pubmed/17713476
</v>
      </c>
      <c r="D9049" s="250" t="str">
        <f>IF(AND(A9049&lt;&gt;"",ISNUMBER(A9049)),VLOOKUP(A9049,Studies!A:BR,4,FALSE),"")</f>
        <v>200mg</v>
      </c>
      <c r="E9049" s="250" t="str">
        <f>IF(AND(A9049&lt;&gt;"",ISNUMBER(A9049)),VLOOKUP(A9049,Studies!A:BR,5,FALSE),"")</f>
        <v>Raltegravir</v>
      </c>
      <c r="F9049" s="251" t="str">
        <f>IF(AND(A9049&lt;&gt;"",ISNUMBER(A9049)),VLOOKUP(A9049,Studies!A:BR,6,FALSE),"")</f>
        <v>Plasma</v>
      </c>
      <c r="G9049" s="194">
        <v>12</v>
      </c>
      <c r="H9049" s="50" t="s">
        <v>60</v>
      </c>
      <c r="I9049" s="187">
        <v>98.642784118652344</v>
      </c>
      <c r="J9049" s="41" t="s">
        <v>964</v>
      </c>
      <c r="K9049" s="41" t="s">
        <v>116</v>
      </c>
    </row>
    <row r="9050" spans="1:11" x14ac:dyDescent="0.2">
      <c r="A9050" s="30">
        <v>5443</v>
      </c>
      <c r="B9050" s="249" t="str">
        <f>IF(AND(A9050&lt;&gt;"",ISNUMBER(A9050)),VLOOKUP(A9050,Studies!A:BR,2,FALSE),"")</f>
        <v>Iwamoto 2008</v>
      </c>
      <c r="C9050" s="250" t="str">
        <f>IF(AND(A9050&lt;&gt;"",ISNUMBER(A9050)),VLOOKUP(A9050,Studies!A:BR,3,FALSE),"")</f>
        <v xml:space="preserve">https://www.ncbi.nlm.nih.gov/pubmed/17713476
</v>
      </c>
      <c r="D9050" s="250" t="str">
        <f>IF(AND(A9050&lt;&gt;"",ISNUMBER(A9050)),VLOOKUP(A9050,Studies!A:BR,4,FALSE),"")</f>
        <v>200mg</v>
      </c>
      <c r="E9050" s="250" t="str">
        <f>IF(AND(A9050&lt;&gt;"",ISNUMBER(A9050)),VLOOKUP(A9050,Studies!A:BR,5,FALSE),"")</f>
        <v>Raltegravir</v>
      </c>
      <c r="F9050" s="251" t="str">
        <f>IF(AND(A9050&lt;&gt;"",ISNUMBER(A9050)),VLOOKUP(A9050,Studies!A:BR,6,FALSE),"")</f>
        <v>Plasma</v>
      </c>
      <c r="G9050" s="194">
        <v>15</v>
      </c>
      <c r="H9050" s="50" t="s">
        <v>60</v>
      </c>
      <c r="I9050" s="187">
        <v>63.702171325683594</v>
      </c>
      <c r="J9050" s="41" t="s">
        <v>964</v>
      </c>
      <c r="K9050" s="41" t="s">
        <v>116</v>
      </c>
    </row>
    <row r="9051" spans="1:11" x14ac:dyDescent="0.2">
      <c r="A9051" s="30">
        <v>5443</v>
      </c>
      <c r="B9051" s="249" t="str">
        <f>IF(AND(A9051&lt;&gt;"",ISNUMBER(A9051)),VLOOKUP(A9051,Studies!A:BR,2,FALSE),"")</f>
        <v>Iwamoto 2008</v>
      </c>
      <c r="C9051" s="250" t="str">
        <f>IF(AND(A9051&lt;&gt;"",ISNUMBER(A9051)),VLOOKUP(A9051,Studies!A:BR,3,FALSE),"")</f>
        <v xml:space="preserve">https://www.ncbi.nlm.nih.gov/pubmed/17713476
</v>
      </c>
      <c r="D9051" s="250" t="str">
        <f>IF(AND(A9051&lt;&gt;"",ISNUMBER(A9051)),VLOOKUP(A9051,Studies!A:BR,4,FALSE),"")</f>
        <v>200mg</v>
      </c>
      <c r="E9051" s="250" t="str">
        <f>IF(AND(A9051&lt;&gt;"",ISNUMBER(A9051)),VLOOKUP(A9051,Studies!A:BR,5,FALSE),"")</f>
        <v>Raltegravir</v>
      </c>
      <c r="F9051" s="251" t="str">
        <f>IF(AND(A9051&lt;&gt;"",ISNUMBER(A9051)),VLOOKUP(A9051,Studies!A:BR,6,FALSE),"")</f>
        <v>Plasma</v>
      </c>
      <c r="G9051" s="194">
        <v>24</v>
      </c>
      <c r="H9051" s="50" t="s">
        <v>60</v>
      </c>
      <c r="I9051" s="187">
        <v>47.161811828613281</v>
      </c>
      <c r="J9051" s="41" t="s">
        <v>964</v>
      </c>
      <c r="K9051" s="41" t="s">
        <v>116</v>
      </c>
    </row>
    <row r="9052" spans="1:11" x14ac:dyDescent="0.2">
      <c r="A9052" s="30">
        <v>5443</v>
      </c>
      <c r="B9052" s="249" t="str">
        <f>IF(AND(A9052&lt;&gt;"",ISNUMBER(A9052)),VLOOKUP(A9052,Studies!A:BR,2,FALSE),"")</f>
        <v>Iwamoto 2008</v>
      </c>
      <c r="C9052" s="250" t="str">
        <f>IF(AND(A9052&lt;&gt;"",ISNUMBER(A9052)),VLOOKUP(A9052,Studies!A:BR,3,FALSE),"")</f>
        <v xml:space="preserve">https://www.ncbi.nlm.nih.gov/pubmed/17713476
</v>
      </c>
      <c r="D9052" s="250" t="str">
        <f>IF(AND(A9052&lt;&gt;"",ISNUMBER(A9052)),VLOOKUP(A9052,Studies!A:BR,4,FALSE),"")</f>
        <v>200mg</v>
      </c>
      <c r="E9052" s="250" t="str">
        <f>IF(AND(A9052&lt;&gt;"",ISNUMBER(A9052)),VLOOKUP(A9052,Studies!A:BR,5,FALSE),"")</f>
        <v>Raltegravir</v>
      </c>
      <c r="F9052" s="251" t="str">
        <f>IF(AND(A9052&lt;&gt;"",ISNUMBER(A9052)),VLOOKUP(A9052,Studies!A:BR,6,FALSE),"")</f>
        <v>Plasma</v>
      </c>
      <c r="G9052" s="194">
        <v>32</v>
      </c>
      <c r="H9052" s="50" t="s">
        <v>60</v>
      </c>
      <c r="I9052" s="187">
        <v>41.138019561767578</v>
      </c>
      <c r="J9052" s="41" t="s">
        <v>964</v>
      </c>
      <c r="K9052" s="41" t="s">
        <v>116</v>
      </c>
    </row>
    <row r="9053" spans="1:11" x14ac:dyDescent="0.2">
      <c r="A9053" s="30">
        <v>5443</v>
      </c>
      <c r="B9053" s="249" t="str">
        <f>IF(AND(A9053&lt;&gt;"",ISNUMBER(A9053)),VLOOKUP(A9053,Studies!A:BR,2,FALSE),"")</f>
        <v>Iwamoto 2008</v>
      </c>
      <c r="C9053" s="250" t="str">
        <f>IF(AND(A9053&lt;&gt;"",ISNUMBER(A9053)),VLOOKUP(A9053,Studies!A:BR,3,FALSE),"")</f>
        <v xml:space="preserve">https://www.ncbi.nlm.nih.gov/pubmed/17713476
</v>
      </c>
      <c r="D9053" s="250" t="str">
        <f>IF(AND(A9053&lt;&gt;"",ISNUMBER(A9053)),VLOOKUP(A9053,Studies!A:BR,4,FALSE),"")</f>
        <v>200mg</v>
      </c>
      <c r="E9053" s="250" t="str">
        <f>IF(AND(A9053&lt;&gt;"",ISNUMBER(A9053)),VLOOKUP(A9053,Studies!A:BR,5,FALSE),"")</f>
        <v>Raltegravir</v>
      </c>
      <c r="F9053" s="251" t="str">
        <f>IF(AND(A9053&lt;&gt;"",ISNUMBER(A9053)),VLOOKUP(A9053,Studies!A:BR,6,FALSE),"")</f>
        <v>Plasma</v>
      </c>
      <c r="G9053" s="194">
        <v>48</v>
      </c>
      <c r="H9053" s="50" t="s">
        <v>60</v>
      </c>
      <c r="I9053" s="187">
        <v>10.489904403686523</v>
      </c>
      <c r="J9053" s="41" t="s">
        <v>964</v>
      </c>
      <c r="K9053" s="41" t="s">
        <v>116</v>
      </c>
    </row>
    <row r="9054" spans="1:11" x14ac:dyDescent="0.2">
      <c r="A9054" s="30">
        <v>5444</v>
      </c>
      <c r="B9054" s="249" t="str">
        <f>IF(AND(A9054&lt;&gt;"",ISNUMBER(A9054)),VLOOKUP(A9054,Studies!A:BR,2,FALSE),"")</f>
        <v>Iwamoto 2008</v>
      </c>
      <c r="C9054" s="250" t="str">
        <f>IF(AND(A9054&lt;&gt;"",ISNUMBER(A9054)),VLOOKUP(A9054,Studies!A:BR,3,FALSE),"")</f>
        <v xml:space="preserve">https://www.ncbi.nlm.nih.gov/pubmed/17713476
</v>
      </c>
      <c r="D9054" s="250" t="str">
        <f>IF(AND(A9054&lt;&gt;"",ISNUMBER(A9054)),VLOOKUP(A9054,Studies!A:BR,4,FALSE),"")</f>
        <v>400mg</v>
      </c>
      <c r="E9054" s="250" t="str">
        <f>IF(AND(A9054&lt;&gt;"",ISNUMBER(A9054)),VLOOKUP(A9054,Studies!A:BR,5,FALSE),"")</f>
        <v>Raltegravir</v>
      </c>
      <c r="F9054" s="251" t="str">
        <f>IF(AND(A9054&lt;&gt;"",ISNUMBER(A9054)),VLOOKUP(A9054,Studies!A:BR,6,FALSE),"")</f>
        <v>Plasma</v>
      </c>
      <c r="G9054" s="194">
        <v>0.25</v>
      </c>
      <c r="H9054" s="50" t="s">
        <v>60</v>
      </c>
      <c r="I9054" s="187">
        <v>1660.0791015625</v>
      </c>
      <c r="J9054" s="41" t="s">
        <v>964</v>
      </c>
      <c r="K9054" s="41" t="s">
        <v>116</v>
      </c>
    </row>
    <row r="9055" spans="1:11" x14ac:dyDescent="0.2">
      <c r="A9055" s="30">
        <v>5444</v>
      </c>
      <c r="B9055" s="249" t="str">
        <f>IF(AND(A9055&lt;&gt;"",ISNUMBER(A9055)),VLOOKUP(A9055,Studies!A:BR,2,FALSE),"")</f>
        <v>Iwamoto 2008</v>
      </c>
      <c r="C9055" s="250" t="str">
        <f>IF(AND(A9055&lt;&gt;"",ISNUMBER(A9055)),VLOOKUP(A9055,Studies!A:BR,3,FALSE),"")</f>
        <v xml:space="preserve">https://www.ncbi.nlm.nih.gov/pubmed/17713476
</v>
      </c>
      <c r="D9055" s="250" t="str">
        <f>IF(AND(A9055&lt;&gt;"",ISNUMBER(A9055)),VLOOKUP(A9055,Studies!A:BR,4,FALSE),"")</f>
        <v>400mg</v>
      </c>
      <c r="E9055" s="250" t="str">
        <f>IF(AND(A9055&lt;&gt;"",ISNUMBER(A9055)),VLOOKUP(A9055,Studies!A:BR,5,FALSE),"")</f>
        <v>Raltegravir</v>
      </c>
      <c r="F9055" s="251" t="str">
        <f>IF(AND(A9055&lt;&gt;"",ISNUMBER(A9055)),VLOOKUP(A9055,Studies!A:BR,6,FALSE),"")</f>
        <v>Plasma</v>
      </c>
      <c r="G9055" s="194">
        <v>0.5</v>
      </c>
      <c r="H9055" s="50" t="s">
        <v>60</v>
      </c>
      <c r="I9055" s="187">
        <v>5612.6484375</v>
      </c>
      <c r="J9055" s="41" t="s">
        <v>964</v>
      </c>
      <c r="K9055" s="41" t="s">
        <v>116</v>
      </c>
    </row>
    <row r="9056" spans="1:11" x14ac:dyDescent="0.2">
      <c r="A9056" s="30">
        <v>5444</v>
      </c>
      <c r="B9056" s="249" t="str">
        <f>IF(AND(A9056&lt;&gt;"",ISNUMBER(A9056)),VLOOKUP(A9056,Studies!A:BR,2,FALSE),"")</f>
        <v>Iwamoto 2008</v>
      </c>
      <c r="C9056" s="250" t="str">
        <f>IF(AND(A9056&lt;&gt;"",ISNUMBER(A9056)),VLOOKUP(A9056,Studies!A:BR,3,FALSE),"")</f>
        <v xml:space="preserve">https://www.ncbi.nlm.nih.gov/pubmed/17713476
</v>
      </c>
      <c r="D9056" s="250" t="str">
        <f>IF(AND(A9056&lt;&gt;"",ISNUMBER(A9056)),VLOOKUP(A9056,Studies!A:BR,4,FALSE),"")</f>
        <v>400mg</v>
      </c>
      <c r="E9056" s="250" t="str">
        <f>IF(AND(A9056&lt;&gt;"",ISNUMBER(A9056)),VLOOKUP(A9056,Studies!A:BR,5,FALSE),"")</f>
        <v>Raltegravir</v>
      </c>
      <c r="F9056" s="251" t="str">
        <f>IF(AND(A9056&lt;&gt;"",ISNUMBER(A9056)),VLOOKUP(A9056,Studies!A:BR,6,FALSE),"")</f>
        <v>Plasma</v>
      </c>
      <c r="G9056" s="194">
        <v>1</v>
      </c>
      <c r="H9056" s="50" t="s">
        <v>60</v>
      </c>
      <c r="I9056" s="187">
        <v>8458.498046875</v>
      </c>
      <c r="J9056" s="41" t="s">
        <v>964</v>
      </c>
      <c r="K9056" s="41" t="s">
        <v>116</v>
      </c>
    </row>
    <row r="9057" spans="1:11" x14ac:dyDescent="0.2">
      <c r="A9057" s="30">
        <v>5444</v>
      </c>
      <c r="B9057" s="249" t="str">
        <f>IF(AND(A9057&lt;&gt;"",ISNUMBER(A9057)),VLOOKUP(A9057,Studies!A:BR,2,FALSE),"")</f>
        <v>Iwamoto 2008</v>
      </c>
      <c r="C9057" s="250" t="str">
        <f>IF(AND(A9057&lt;&gt;"",ISNUMBER(A9057)),VLOOKUP(A9057,Studies!A:BR,3,FALSE),"")</f>
        <v xml:space="preserve">https://www.ncbi.nlm.nih.gov/pubmed/17713476
</v>
      </c>
      <c r="D9057" s="250" t="str">
        <f>IF(AND(A9057&lt;&gt;"",ISNUMBER(A9057)),VLOOKUP(A9057,Studies!A:BR,4,FALSE),"")</f>
        <v>400mg</v>
      </c>
      <c r="E9057" s="250" t="str">
        <f>IF(AND(A9057&lt;&gt;"",ISNUMBER(A9057)),VLOOKUP(A9057,Studies!A:BR,5,FALSE),"")</f>
        <v>Raltegravir</v>
      </c>
      <c r="F9057" s="251" t="str">
        <f>IF(AND(A9057&lt;&gt;"",ISNUMBER(A9057)),VLOOKUP(A9057,Studies!A:BR,6,FALSE),"")</f>
        <v>Plasma</v>
      </c>
      <c r="G9057" s="194">
        <v>1.5</v>
      </c>
      <c r="H9057" s="50" t="s">
        <v>60</v>
      </c>
      <c r="I9057" s="187">
        <v>8142.29248046875</v>
      </c>
      <c r="J9057" s="41" t="s">
        <v>964</v>
      </c>
      <c r="K9057" s="41" t="s">
        <v>116</v>
      </c>
    </row>
    <row r="9058" spans="1:11" x14ac:dyDescent="0.2">
      <c r="A9058" s="30">
        <v>5444</v>
      </c>
      <c r="B9058" s="249" t="str">
        <f>IF(AND(A9058&lt;&gt;"",ISNUMBER(A9058)),VLOOKUP(A9058,Studies!A:BR,2,FALSE),"")</f>
        <v>Iwamoto 2008</v>
      </c>
      <c r="C9058" s="250" t="str">
        <f>IF(AND(A9058&lt;&gt;"",ISNUMBER(A9058)),VLOOKUP(A9058,Studies!A:BR,3,FALSE),"")</f>
        <v xml:space="preserve">https://www.ncbi.nlm.nih.gov/pubmed/17713476
</v>
      </c>
      <c r="D9058" s="250" t="str">
        <f>IF(AND(A9058&lt;&gt;"",ISNUMBER(A9058)),VLOOKUP(A9058,Studies!A:BR,4,FALSE),"")</f>
        <v>400mg</v>
      </c>
      <c r="E9058" s="250" t="str">
        <f>IF(AND(A9058&lt;&gt;"",ISNUMBER(A9058)),VLOOKUP(A9058,Studies!A:BR,5,FALSE),"")</f>
        <v>Raltegravir</v>
      </c>
      <c r="F9058" s="251" t="str">
        <f>IF(AND(A9058&lt;&gt;"",ISNUMBER(A9058)),VLOOKUP(A9058,Studies!A:BR,6,FALSE),"")</f>
        <v>Plasma</v>
      </c>
      <c r="G9058" s="194">
        <v>2</v>
      </c>
      <c r="H9058" s="50" t="s">
        <v>60</v>
      </c>
      <c r="I9058" s="187">
        <v>6798.4189453125</v>
      </c>
      <c r="J9058" s="41" t="s">
        <v>964</v>
      </c>
      <c r="K9058" s="41" t="s">
        <v>116</v>
      </c>
    </row>
    <row r="9059" spans="1:11" x14ac:dyDescent="0.2">
      <c r="A9059" s="30">
        <v>5444</v>
      </c>
      <c r="B9059" s="249" t="str">
        <f>IF(AND(A9059&lt;&gt;"",ISNUMBER(A9059)),VLOOKUP(A9059,Studies!A:BR,2,FALSE),"")</f>
        <v>Iwamoto 2008</v>
      </c>
      <c r="C9059" s="250" t="str">
        <f>IF(AND(A9059&lt;&gt;"",ISNUMBER(A9059)),VLOOKUP(A9059,Studies!A:BR,3,FALSE),"")</f>
        <v xml:space="preserve">https://www.ncbi.nlm.nih.gov/pubmed/17713476
</v>
      </c>
      <c r="D9059" s="250" t="str">
        <f>IF(AND(A9059&lt;&gt;"",ISNUMBER(A9059)),VLOOKUP(A9059,Studies!A:BR,4,FALSE),"")</f>
        <v>400mg</v>
      </c>
      <c r="E9059" s="250" t="str">
        <f>IF(AND(A9059&lt;&gt;"",ISNUMBER(A9059)),VLOOKUP(A9059,Studies!A:BR,5,FALSE),"")</f>
        <v>Raltegravir</v>
      </c>
      <c r="F9059" s="251" t="str">
        <f>IF(AND(A9059&lt;&gt;"",ISNUMBER(A9059)),VLOOKUP(A9059,Studies!A:BR,6,FALSE),"")</f>
        <v>Plasma</v>
      </c>
      <c r="G9059" s="194">
        <v>3</v>
      </c>
      <c r="H9059" s="50" t="s">
        <v>60</v>
      </c>
      <c r="I9059" s="187">
        <v>3794.46630859375</v>
      </c>
      <c r="J9059" s="41" t="s">
        <v>964</v>
      </c>
      <c r="K9059" s="41" t="s">
        <v>116</v>
      </c>
    </row>
    <row r="9060" spans="1:11" x14ac:dyDescent="0.2">
      <c r="A9060" s="30">
        <v>5444</v>
      </c>
      <c r="B9060" s="249" t="str">
        <f>IF(AND(A9060&lt;&gt;"",ISNUMBER(A9060)),VLOOKUP(A9060,Studies!A:BR,2,FALSE),"")</f>
        <v>Iwamoto 2008</v>
      </c>
      <c r="C9060" s="250" t="str">
        <f>IF(AND(A9060&lt;&gt;"",ISNUMBER(A9060)),VLOOKUP(A9060,Studies!A:BR,3,FALSE),"")</f>
        <v xml:space="preserve">https://www.ncbi.nlm.nih.gov/pubmed/17713476
</v>
      </c>
      <c r="D9060" s="250" t="str">
        <f>IF(AND(A9060&lt;&gt;"",ISNUMBER(A9060)),VLOOKUP(A9060,Studies!A:BR,4,FALSE),"")</f>
        <v>400mg</v>
      </c>
      <c r="E9060" s="250" t="str">
        <f>IF(AND(A9060&lt;&gt;"",ISNUMBER(A9060)),VLOOKUP(A9060,Studies!A:BR,5,FALSE),"")</f>
        <v>Raltegravir</v>
      </c>
      <c r="F9060" s="251" t="str">
        <f>IF(AND(A9060&lt;&gt;"",ISNUMBER(A9060)),VLOOKUP(A9060,Studies!A:BR,6,FALSE),"")</f>
        <v>Plasma</v>
      </c>
      <c r="G9060" s="194">
        <v>4</v>
      </c>
      <c r="H9060" s="50" t="s">
        <v>60</v>
      </c>
      <c r="I9060" s="187">
        <v>2055.3359375</v>
      </c>
      <c r="J9060" s="41" t="s">
        <v>964</v>
      </c>
      <c r="K9060" s="41" t="s">
        <v>116</v>
      </c>
    </row>
    <row r="9061" spans="1:11" x14ac:dyDescent="0.2">
      <c r="A9061" s="30">
        <v>5444</v>
      </c>
      <c r="B9061" s="249" t="str">
        <f>IF(AND(A9061&lt;&gt;"",ISNUMBER(A9061)),VLOOKUP(A9061,Studies!A:BR,2,FALSE),"")</f>
        <v>Iwamoto 2008</v>
      </c>
      <c r="C9061" s="250" t="str">
        <f>IF(AND(A9061&lt;&gt;"",ISNUMBER(A9061)),VLOOKUP(A9061,Studies!A:BR,3,FALSE),"")</f>
        <v xml:space="preserve">https://www.ncbi.nlm.nih.gov/pubmed/17713476
</v>
      </c>
      <c r="D9061" s="250" t="str">
        <f>IF(AND(A9061&lt;&gt;"",ISNUMBER(A9061)),VLOOKUP(A9061,Studies!A:BR,4,FALSE),"")</f>
        <v>400mg</v>
      </c>
      <c r="E9061" s="250" t="str">
        <f>IF(AND(A9061&lt;&gt;"",ISNUMBER(A9061)),VLOOKUP(A9061,Studies!A:BR,5,FALSE),"")</f>
        <v>Raltegravir</v>
      </c>
      <c r="F9061" s="251" t="str">
        <f>IF(AND(A9061&lt;&gt;"",ISNUMBER(A9061)),VLOOKUP(A9061,Studies!A:BR,6,FALSE),"")</f>
        <v>Plasma</v>
      </c>
      <c r="G9061" s="194">
        <v>6</v>
      </c>
      <c r="H9061" s="50" t="s">
        <v>60</v>
      </c>
      <c r="I9061" s="187">
        <v>536.9952392578125</v>
      </c>
      <c r="J9061" s="41" t="s">
        <v>964</v>
      </c>
      <c r="K9061" s="41" t="s">
        <v>116</v>
      </c>
    </row>
    <row r="9062" spans="1:11" x14ac:dyDescent="0.2">
      <c r="A9062" s="30">
        <v>5444</v>
      </c>
      <c r="B9062" s="249" t="str">
        <f>IF(AND(A9062&lt;&gt;"",ISNUMBER(A9062)),VLOOKUP(A9062,Studies!A:BR,2,FALSE),"")</f>
        <v>Iwamoto 2008</v>
      </c>
      <c r="C9062" s="250" t="str">
        <f>IF(AND(A9062&lt;&gt;"",ISNUMBER(A9062)),VLOOKUP(A9062,Studies!A:BR,3,FALSE),"")</f>
        <v xml:space="preserve">https://www.ncbi.nlm.nih.gov/pubmed/17713476
</v>
      </c>
      <c r="D9062" s="250" t="str">
        <f>IF(AND(A9062&lt;&gt;"",ISNUMBER(A9062)),VLOOKUP(A9062,Studies!A:BR,4,FALSE),"")</f>
        <v>400mg</v>
      </c>
      <c r="E9062" s="250" t="str">
        <f>IF(AND(A9062&lt;&gt;"",ISNUMBER(A9062)),VLOOKUP(A9062,Studies!A:BR,5,FALSE),"")</f>
        <v>Raltegravir</v>
      </c>
      <c r="F9062" s="251" t="str">
        <f>IF(AND(A9062&lt;&gt;"",ISNUMBER(A9062)),VLOOKUP(A9062,Studies!A:BR,6,FALSE),"")</f>
        <v>Plasma</v>
      </c>
      <c r="G9062" s="194">
        <v>8</v>
      </c>
      <c r="H9062" s="50" t="s">
        <v>60</v>
      </c>
      <c r="I9062" s="187">
        <v>302.49081420898438</v>
      </c>
      <c r="J9062" s="41" t="s">
        <v>964</v>
      </c>
      <c r="K9062" s="41" t="s">
        <v>116</v>
      </c>
    </row>
    <row r="9063" spans="1:11" x14ac:dyDescent="0.2">
      <c r="A9063" s="30">
        <v>5444</v>
      </c>
      <c r="B9063" s="249" t="str">
        <f>IF(AND(A9063&lt;&gt;"",ISNUMBER(A9063)),VLOOKUP(A9063,Studies!A:BR,2,FALSE),"")</f>
        <v>Iwamoto 2008</v>
      </c>
      <c r="C9063" s="250" t="str">
        <f>IF(AND(A9063&lt;&gt;"",ISNUMBER(A9063)),VLOOKUP(A9063,Studies!A:BR,3,FALSE),"")</f>
        <v xml:space="preserve">https://www.ncbi.nlm.nih.gov/pubmed/17713476
</v>
      </c>
      <c r="D9063" s="250" t="str">
        <f>IF(AND(A9063&lt;&gt;"",ISNUMBER(A9063)),VLOOKUP(A9063,Studies!A:BR,4,FALSE),"")</f>
        <v>400mg</v>
      </c>
      <c r="E9063" s="250" t="str">
        <f>IF(AND(A9063&lt;&gt;"",ISNUMBER(A9063)),VLOOKUP(A9063,Studies!A:BR,5,FALSE),"")</f>
        <v>Raltegravir</v>
      </c>
      <c r="F9063" s="251" t="str">
        <f>IF(AND(A9063&lt;&gt;"",ISNUMBER(A9063)),VLOOKUP(A9063,Studies!A:BR,6,FALSE),"")</f>
        <v>Plasma</v>
      </c>
      <c r="G9063" s="194">
        <v>12</v>
      </c>
      <c r="H9063" s="50" t="s">
        <v>60</v>
      </c>
      <c r="I9063" s="187">
        <v>88.427536010742188</v>
      </c>
      <c r="J9063" s="41" t="s">
        <v>964</v>
      </c>
      <c r="K9063" s="41" t="s">
        <v>116</v>
      </c>
    </row>
    <row r="9064" spans="1:11" x14ac:dyDescent="0.2">
      <c r="A9064" s="30">
        <v>5444</v>
      </c>
      <c r="B9064" s="249" t="str">
        <f>IF(AND(A9064&lt;&gt;"",ISNUMBER(A9064)),VLOOKUP(A9064,Studies!A:BR,2,FALSE),"")</f>
        <v>Iwamoto 2008</v>
      </c>
      <c r="C9064" s="250" t="str">
        <f>IF(AND(A9064&lt;&gt;"",ISNUMBER(A9064)),VLOOKUP(A9064,Studies!A:BR,3,FALSE),"")</f>
        <v xml:space="preserve">https://www.ncbi.nlm.nih.gov/pubmed/17713476
</v>
      </c>
      <c r="D9064" s="250" t="str">
        <f>IF(AND(A9064&lt;&gt;"",ISNUMBER(A9064)),VLOOKUP(A9064,Studies!A:BR,4,FALSE),"")</f>
        <v>400mg</v>
      </c>
      <c r="E9064" s="250" t="str">
        <f>IF(AND(A9064&lt;&gt;"",ISNUMBER(A9064)),VLOOKUP(A9064,Studies!A:BR,5,FALSE),"")</f>
        <v>Raltegravir</v>
      </c>
      <c r="F9064" s="251" t="str">
        <f>IF(AND(A9064&lt;&gt;"",ISNUMBER(A9064)),VLOOKUP(A9064,Studies!A:BR,6,FALSE),"")</f>
        <v>Plasma</v>
      </c>
      <c r="G9064" s="194">
        <v>15</v>
      </c>
      <c r="H9064" s="50" t="s">
        <v>60</v>
      </c>
      <c r="I9064" s="187">
        <v>43.449249267578125</v>
      </c>
      <c r="J9064" s="41" t="s">
        <v>964</v>
      </c>
      <c r="K9064" s="41" t="s">
        <v>116</v>
      </c>
    </row>
    <row r="9065" spans="1:11" x14ac:dyDescent="0.2">
      <c r="A9065" s="30">
        <v>5444</v>
      </c>
      <c r="B9065" s="249" t="str">
        <f>IF(AND(A9065&lt;&gt;"",ISNUMBER(A9065)),VLOOKUP(A9065,Studies!A:BR,2,FALSE),"")</f>
        <v>Iwamoto 2008</v>
      </c>
      <c r="C9065" s="250" t="str">
        <f>IF(AND(A9065&lt;&gt;"",ISNUMBER(A9065)),VLOOKUP(A9065,Studies!A:BR,3,FALSE),"")</f>
        <v xml:space="preserve">https://www.ncbi.nlm.nih.gov/pubmed/17713476
</v>
      </c>
      <c r="D9065" s="250" t="str">
        <f>IF(AND(A9065&lt;&gt;"",ISNUMBER(A9065)),VLOOKUP(A9065,Studies!A:BR,4,FALSE),"")</f>
        <v>400mg</v>
      </c>
      <c r="E9065" s="250" t="str">
        <f>IF(AND(A9065&lt;&gt;"",ISNUMBER(A9065)),VLOOKUP(A9065,Studies!A:BR,5,FALSE),"")</f>
        <v>Raltegravir</v>
      </c>
      <c r="F9065" s="251" t="str">
        <f>IF(AND(A9065&lt;&gt;"",ISNUMBER(A9065)),VLOOKUP(A9065,Studies!A:BR,6,FALSE),"")</f>
        <v>Plasma</v>
      </c>
      <c r="G9065" s="194">
        <v>24</v>
      </c>
      <c r="H9065" s="50" t="s">
        <v>60</v>
      </c>
      <c r="I9065" s="187">
        <v>33.974830627441406</v>
      </c>
      <c r="J9065" s="41" t="s">
        <v>964</v>
      </c>
      <c r="K9065" s="41" t="s">
        <v>116</v>
      </c>
    </row>
    <row r="9066" spans="1:11" x14ac:dyDescent="0.2">
      <c r="A9066" s="30">
        <v>5444</v>
      </c>
      <c r="B9066" s="249" t="str">
        <f>IF(AND(A9066&lt;&gt;"",ISNUMBER(A9066)),VLOOKUP(A9066,Studies!A:BR,2,FALSE),"")</f>
        <v>Iwamoto 2008</v>
      </c>
      <c r="C9066" s="250" t="str">
        <f>IF(AND(A9066&lt;&gt;"",ISNUMBER(A9066)),VLOOKUP(A9066,Studies!A:BR,3,FALSE),"")</f>
        <v xml:space="preserve">https://www.ncbi.nlm.nih.gov/pubmed/17713476
</v>
      </c>
      <c r="D9066" s="250" t="str">
        <f>IF(AND(A9066&lt;&gt;"",ISNUMBER(A9066)),VLOOKUP(A9066,Studies!A:BR,4,FALSE),"")</f>
        <v>400mg</v>
      </c>
      <c r="E9066" s="250" t="str">
        <f>IF(AND(A9066&lt;&gt;"",ISNUMBER(A9066)),VLOOKUP(A9066,Studies!A:BR,5,FALSE),"")</f>
        <v>Raltegravir</v>
      </c>
      <c r="F9066" s="251" t="str">
        <f>IF(AND(A9066&lt;&gt;"",ISNUMBER(A9066)),VLOOKUP(A9066,Studies!A:BR,6,FALSE),"")</f>
        <v>Plasma</v>
      </c>
      <c r="G9066" s="194">
        <v>32</v>
      </c>
      <c r="H9066" s="50" t="s">
        <v>60</v>
      </c>
      <c r="I9066" s="187">
        <v>17.156209945678711</v>
      </c>
      <c r="J9066" s="41" t="s">
        <v>964</v>
      </c>
      <c r="K9066" s="41" t="s">
        <v>116</v>
      </c>
    </row>
    <row r="9067" spans="1:11" x14ac:dyDescent="0.2">
      <c r="A9067" s="30">
        <v>5444</v>
      </c>
      <c r="B9067" s="249" t="str">
        <f>IF(AND(A9067&lt;&gt;"",ISNUMBER(A9067)),VLOOKUP(A9067,Studies!A:BR,2,FALSE),"")</f>
        <v>Iwamoto 2008</v>
      </c>
      <c r="C9067" s="250" t="str">
        <f>IF(AND(A9067&lt;&gt;"",ISNUMBER(A9067)),VLOOKUP(A9067,Studies!A:BR,3,FALSE),"")</f>
        <v xml:space="preserve">https://www.ncbi.nlm.nih.gov/pubmed/17713476
</v>
      </c>
      <c r="D9067" s="250" t="str">
        <f>IF(AND(A9067&lt;&gt;"",ISNUMBER(A9067)),VLOOKUP(A9067,Studies!A:BR,4,FALSE),"")</f>
        <v>400mg</v>
      </c>
      <c r="E9067" s="250" t="str">
        <f>IF(AND(A9067&lt;&gt;"",ISNUMBER(A9067)),VLOOKUP(A9067,Studies!A:BR,5,FALSE),"")</f>
        <v>Raltegravir</v>
      </c>
      <c r="F9067" s="251" t="str">
        <f>IF(AND(A9067&lt;&gt;"",ISNUMBER(A9067)),VLOOKUP(A9067,Studies!A:BR,6,FALSE),"")</f>
        <v>Plasma</v>
      </c>
      <c r="G9067" s="194">
        <v>48</v>
      </c>
      <c r="H9067" s="50" t="s">
        <v>60</v>
      </c>
      <c r="I9067" s="187">
        <v>9.6641397476196289</v>
      </c>
      <c r="J9067" s="41" t="s">
        <v>964</v>
      </c>
      <c r="K9067" s="41" t="s">
        <v>116</v>
      </c>
    </row>
    <row r="9068" spans="1:11" x14ac:dyDescent="0.2">
      <c r="A9068" s="30">
        <v>5445</v>
      </c>
      <c r="B9068" s="249" t="str">
        <f>IF(AND(A9068&lt;&gt;"",ISNUMBER(A9068)),VLOOKUP(A9068,Studies!A:BR,2,FALSE),"")</f>
        <v>Iwamoto 2008</v>
      </c>
      <c r="C9068" s="250" t="str">
        <f>IF(AND(A9068&lt;&gt;"",ISNUMBER(A9068)),VLOOKUP(A9068,Studies!A:BR,3,FALSE),"")</f>
        <v xml:space="preserve">https://www.ncbi.nlm.nih.gov/pubmed/17713476
</v>
      </c>
      <c r="D9068" s="250" t="str">
        <f>IF(AND(A9068&lt;&gt;"",ISNUMBER(A9068)),VLOOKUP(A9068,Studies!A:BR,4,FALSE),"")</f>
        <v>800mg</v>
      </c>
      <c r="E9068" s="250" t="str">
        <f>IF(AND(A9068&lt;&gt;"",ISNUMBER(A9068)),VLOOKUP(A9068,Studies!A:BR,5,FALSE),"")</f>
        <v>Raltegravir</v>
      </c>
      <c r="F9068" s="251" t="str">
        <f>IF(AND(A9068&lt;&gt;"",ISNUMBER(A9068)),VLOOKUP(A9068,Studies!A:BR,6,FALSE),"")</f>
        <v>Plasma</v>
      </c>
      <c r="G9068" s="194">
        <v>0.25</v>
      </c>
      <c r="H9068" s="50" t="s">
        <v>60</v>
      </c>
      <c r="I9068" s="187">
        <v>2134.387451171875</v>
      </c>
      <c r="J9068" s="41" t="s">
        <v>964</v>
      </c>
      <c r="K9068" s="41" t="s">
        <v>116</v>
      </c>
    </row>
    <row r="9069" spans="1:11" x14ac:dyDescent="0.2">
      <c r="A9069" s="30">
        <v>5445</v>
      </c>
      <c r="B9069" s="249" t="str">
        <f>IF(AND(A9069&lt;&gt;"",ISNUMBER(A9069)),VLOOKUP(A9069,Studies!A:BR,2,FALSE),"")</f>
        <v>Iwamoto 2008</v>
      </c>
      <c r="C9069" s="250" t="str">
        <f>IF(AND(A9069&lt;&gt;"",ISNUMBER(A9069)),VLOOKUP(A9069,Studies!A:BR,3,FALSE),"")</f>
        <v xml:space="preserve">https://www.ncbi.nlm.nih.gov/pubmed/17713476
</v>
      </c>
      <c r="D9069" s="250" t="str">
        <f>IF(AND(A9069&lt;&gt;"",ISNUMBER(A9069)),VLOOKUP(A9069,Studies!A:BR,4,FALSE),"")</f>
        <v>800mg</v>
      </c>
      <c r="E9069" s="250" t="str">
        <f>IF(AND(A9069&lt;&gt;"",ISNUMBER(A9069)),VLOOKUP(A9069,Studies!A:BR,5,FALSE),"")</f>
        <v>Raltegravir</v>
      </c>
      <c r="F9069" s="251" t="str">
        <f>IF(AND(A9069&lt;&gt;"",ISNUMBER(A9069)),VLOOKUP(A9069,Studies!A:BR,6,FALSE),"")</f>
        <v>Plasma</v>
      </c>
      <c r="G9069" s="194">
        <v>0.5</v>
      </c>
      <c r="H9069" s="50" t="s">
        <v>60</v>
      </c>
      <c r="I9069" s="187">
        <v>12094.861328125</v>
      </c>
      <c r="J9069" s="41" t="s">
        <v>964</v>
      </c>
      <c r="K9069" s="41" t="s">
        <v>116</v>
      </c>
    </row>
    <row r="9070" spans="1:11" x14ac:dyDescent="0.2">
      <c r="A9070" s="30">
        <v>5445</v>
      </c>
      <c r="B9070" s="249" t="str">
        <f>IF(AND(A9070&lt;&gt;"",ISNUMBER(A9070)),VLOOKUP(A9070,Studies!A:BR,2,FALSE),"")</f>
        <v>Iwamoto 2008</v>
      </c>
      <c r="C9070" s="250" t="str">
        <f>IF(AND(A9070&lt;&gt;"",ISNUMBER(A9070)),VLOOKUP(A9070,Studies!A:BR,3,FALSE),"")</f>
        <v xml:space="preserve">https://www.ncbi.nlm.nih.gov/pubmed/17713476
</v>
      </c>
      <c r="D9070" s="250" t="str">
        <f>IF(AND(A9070&lt;&gt;"",ISNUMBER(A9070)),VLOOKUP(A9070,Studies!A:BR,4,FALSE),"")</f>
        <v>800mg</v>
      </c>
      <c r="E9070" s="250" t="str">
        <f>IF(AND(A9070&lt;&gt;"",ISNUMBER(A9070)),VLOOKUP(A9070,Studies!A:BR,5,FALSE),"")</f>
        <v>Raltegravir</v>
      </c>
      <c r="F9070" s="251" t="str">
        <f>IF(AND(A9070&lt;&gt;"",ISNUMBER(A9070)),VLOOKUP(A9070,Studies!A:BR,6,FALSE),"")</f>
        <v>Plasma</v>
      </c>
      <c r="G9070" s="194">
        <v>1</v>
      </c>
      <c r="H9070" s="50" t="s">
        <v>60</v>
      </c>
      <c r="I9070" s="187">
        <v>20237.154296875</v>
      </c>
      <c r="J9070" s="41" t="s">
        <v>964</v>
      </c>
      <c r="K9070" s="41" t="s">
        <v>116</v>
      </c>
    </row>
    <row r="9071" spans="1:11" x14ac:dyDescent="0.2">
      <c r="A9071" s="30">
        <v>5445</v>
      </c>
      <c r="B9071" s="249" t="str">
        <f>IF(AND(A9071&lt;&gt;"",ISNUMBER(A9071)),VLOOKUP(A9071,Studies!A:BR,2,FALSE),"")</f>
        <v>Iwamoto 2008</v>
      </c>
      <c r="C9071" s="250" t="str">
        <f>IF(AND(A9071&lt;&gt;"",ISNUMBER(A9071)),VLOOKUP(A9071,Studies!A:BR,3,FALSE),"")</f>
        <v xml:space="preserve">https://www.ncbi.nlm.nih.gov/pubmed/17713476
</v>
      </c>
      <c r="D9071" s="250" t="str">
        <f>IF(AND(A9071&lt;&gt;"",ISNUMBER(A9071)),VLOOKUP(A9071,Studies!A:BR,4,FALSE),"")</f>
        <v>800mg</v>
      </c>
      <c r="E9071" s="250" t="str">
        <f>IF(AND(A9071&lt;&gt;"",ISNUMBER(A9071)),VLOOKUP(A9071,Studies!A:BR,5,FALSE),"")</f>
        <v>Raltegravir</v>
      </c>
      <c r="F9071" s="251" t="str">
        <f>IF(AND(A9071&lt;&gt;"",ISNUMBER(A9071)),VLOOKUP(A9071,Studies!A:BR,6,FALSE),"")</f>
        <v>Plasma</v>
      </c>
      <c r="G9071" s="194">
        <v>1.5</v>
      </c>
      <c r="H9071" s="50" t="s">
        <v>60</v>
      </c>
      <c r="I9071" s="187">
        <v>23003.953125</v>
      </c>
      <c r="J9071" s="41" t="s">
        <v>964</v>
      </c>
      <c r="K9071" s="41" t="s">
        <v>116</v>
      </c>
    </row>
    <row r="9072" spans="1:11" x14ac:dyDescent="0.2">
      <c r="A9072" s="30">
        <v>5445</v>
      </c>
      <c r="B9072" s="249" t="str">
        <f>IF(AND(A9072&lt;&gt;"",ISNUMBER(A9072)),VLOOKUP(A9072,Studies!A:BR,2,FALSE),"")</f>
        <v>Iwamoto 2008</v>
      </c>
      <c r="C9072" s="250" t="str">
        <f>IF(AND(A9072&lt;&gt;"",ISNUMBER(A9072)),VLOOKUP(A9072,Studies!A:BR,3,FALSE),"")</f>
        <v xml:space="preserve">https://www.ncbi.nlm.nih.gov/pubmed/17713476
</v>
      </c>
      <c r="D9072" s="250" t="str">
        <f>IF(AND(A9072&lt;&gt;"",ISNUMBER(A9072)),VLOOKUP(A9072,Studies!A:BR,4,FALSE),"")</f>
        <v>800mg</v>
      </c>
      <c r="E9072" s="250" t="str">
        <f>IF(AND(A9072&lt;&gt;"",ISNUMBER(A9072)),VLOOKUP(A9072,Studies!A:BR,5,FALSE),"")</f>
        <v>Raltegravir</v>
      </c>
      <c r="F9072" s="251" t="str">
        <f>IF(AND(A9072&lt;&gt;"",ISNUMBER(A9072)),VLOOKUP(A9072,Studies!A:BR,6,FALSE),"")</f>
        <v>Plasma</v>
      </c>
      <c r="G9072" s="194">
        <v>2</v>
      </c>
      <c r="H9072" s="50" t="s">
        <v>60</v>
      </c>
      <c r="I9072" s="187">
        <v>16679.841796875</v>
      </c>
      <c r="J9072" s="41" t="s">
        <v>964</v>
      </c>
      <c r="K9072" s="41" t="s">
        <v>116</v>
      </c>
    </row>
    <row r="9073" spans="1:11" x14ac:dyDescent="0.2">
      <c r="A9073" s="30">
        <v>5445</v>
      </c>
      <c r="B9073" s="249" t="str">
        <f>IF(AND(A9073&lt;&gt;"",ISNUMBER(A9073)),VLOOKUP(A9073,Studies!A:BR,2,FALSE),"")</f>
        <v>Iwamoto 2008</v>
      </c>
      <c r="C9073" s="250" t="str">
        <f>IF(AND(A9073&lt;&gt;"",ISNUMBER(A9073)),VLOOKUP(A9073,Studies!A:BR,3,FALSE),"")</f>
        <v xml:space="preserve">https://www.ncbi.nlm.nih.gov/pubmed/17713476
</v>
      </c>
      <c r="D9073" s="250" t="str">
        <f>IF(AND(A9073&lt;&gt;"",ISNUMBER(A9073)),VLOOKUP(A9073,Studies!A:BR,4,FALSE),"")</f>
        <v>800mg</v>
      </c>
      <c r="E9073" s="250" t="str">
        <f>IF(AND(A9073&lt;&gt;"",ISNUMBER(A9073)),VLOOKUP(A9073,Studies!A:BR,5,FALSE),"")</f>
        <v>Raltegravir</v>
      </c>
      <c r="F9073" s="251" t="str">
        <f>IF(AND(A9073&lt;&gt;"",ISNUMBER(A9073)),VLOOKUP(A9073,Studies!A:BR,6,FALSE),"")</f>
        <v>Plasma</v>
      </c>
      <c r="G9073" s="194">
        <v>3</v>
      </c>
      <c r="H9073" s="50" t="s">
        <v>60</v>
      </c>
      <c r="I9073" s="187">
        <v>9090.9091796875</v>
      </c>
      <c r="J9073" s="41" t="s">
        <v>964</v>
      </c>
      <c r="K9073" s="41" t="s">
        <v>116</v>
      </c>
    </row>
    <row r="9074" spans="1:11" x14ac:dyDescent="0.2">
      <c r="A9074" s="30">
        <v>5445</v>
      </c>
      <c r="B9074" s="249" t="str">
        <f>IF(AND(A9074&lt;&gt;"",ISNUMBER(A9074)),VLOOKUP(A9074,Studies!A:BR,2,FALSE),"")</f>
        <v>Iwamoto 2008</v>
      </c>
      <c r="C9074" s="250" t="str">
        <f>IF(AND(A9074&lt;&gt;"",ISNUMBER(A9074)),VLOOKUP(A9074,Studies!A:BR,3,FALSE),"")</f>
        <v xml:space="preserve">https://www.ncbi.nlm.nih.gov/pubmed/17713476
</v>
      </c>
      <c r="D9074" s="250" t="str">
        <f>IF(AND(A9074&lt;&gt;"",ISNUMBER(A9074)),VLOOKUP(A9074,Studies!A:BR,4,FALSE),"")</f>
        <v>800mg</v>
      </c>
      <c r="E9074" s="250" t="str">
        <f>IF(AND(A9074&lt;&gt;"",ISNUMBER(A9074)),VLOOKUP(A9074,Studies!A:BR,5,FALSE),"")</f>
        <v>Raltegravir</v>
      </c>
      <c r="F9074" s="251" t="str">
        <f>IF(AND(A9074&lt;&gt;"",ISNUMBER(A9074)),VLOOKUP(A9074,Studies!A:BR,6,FALSE),"")</f>
        <v>Plasma</v>
      </c>
      <c r="G9074" s="194">
        <v>4</v>
      </c>
      <c r="H9074" s="50" t="s">
        <v>60</v>
      </c>
      <c r="I9074" s="187">
        <v>5296.44287109375</v>
      </c>
      <c r="J9074" s="41" t="s">
        <v>964</v>
      </c>
      <c r="K9074" s="41" t="s">
        <v>116</v>
      </c>
    </row>
    <row r="9075" spans="1:11" x14ac:dyDescent="0.2">
      <c r="A9075" s="30">
        <v>5445</v>
      </c>
      <c r="B9075" s="249" t="str">
        <f>IF(AND(A9075&lt;&gt;"",ISNUMBER(A9075)),VLOOKUP(A9075,Studies!A:BR,2,FALSE),"")</f>
        <v>Iwamoto 2008</v>
      </c>
      <c r="C9075" s="250" t="str">
        <f>IF(AND(A9075&lt;&gt;"",ISNUMBER(A9075)),VLOOKUP(A9075,Studies!A:BR,3,FALSE),"")</f>
        <v xml:space="preserve">https://www.ncbi.nlm.nih.gov/pubmed/17713476
</v>
      </c>
      <c r="D9075" s="250" t="str">
        <f>IF(AND(A9075&lt;&gt;"",ISNUMBER(A9075)),VLOOKUP(A9075,Studies!A:BR,4,FALSE),"")</f>
        <v>800mg</v>
      </c>
      <c r="E9075" s="250" t="str">
        <f>IF(AND(A9075&lt;&gt;"",ISNUMBER(A9075)),VLOOKUP(A9075,Studies!A:BR,5,FALSE),"")</f>
        <v>Raltegravir</v>
      </c>
      <c r="F9075" s="251" t="str">
        <f>IF(AND(A9075&lt;&gt;"",ISNUMBER(A9075)),VLOOKUP(A9075,Studies!A:BR,6,FALSE),"")</f>
        <v>Plasma</v>
      </c>
      <c r="G9075" s="194">
        <v>6</v>
      </c>
      <c r="H9075" s="50" t="s">
        <v>60</v>
      </c>
      <c r="I9075" s="187">
        <v>1476.180908203125</v>
      </c>
      <c r="J9075" s="41" t="s">
        <v>964</v>
      </c>
      <c r="K9075" s="41" t="s">
        <v>116</v>
      </c>
    </row>
    <row r="9076" spans="1:11" x14ac:dyDescent="0.2">
      <c r="A9076" s="30">
        <v>5445</v>
      </c>
      <c r="B9076" s="249" t="str">
        <f>IF(AND(A9076&lt;&gt;"",ISNUMBER(A9076)),VLOOKUP(A9076,Studies!A:BR,2,FALSE),"")</f>
        <v>Iwamoto 2008</v>
      </c>
      <c r="C9076" s="250" t="str">
        <f>IF(AND(A9076&lt;&gt;"",ISNUMBER(A9076)),VLOOKUP(A9076,Studies!A:BR,3,FALSE),"")</f>
        <v xml:space="preserve">https://www.ncbi.nlm.nih.gov/pubmed/17713476
</v>
      </c>
      <c r="D9076" s="250" t="str">
        <f>IF(AND(A9076&lt;&gt;"",ISNUMBER(A9076)),VLOOKUP(A9076,Studies!A:BR,4,FALSE),"")</f>
        <v>800mg</v>
      </c>
      <c r="E9076" s="250" t="str">
        <f>IF(AND(A9076&lt;&gt;"",ISNUMBER(A9076)),VLOOKUP(A9076,Studies!A:BR,5,FALSE),"")</f>
        <v>Raltegravir</v>
      </c>
      <c r="F9076" s="251" t="str">
        <f>IF(AND(A9076&lt;&gt;"",ISNUMBER(A9076)),VLOOKUP(A9076,Studies!A:BR,6,FALSE),"")</f>
        <v>Plasma</v>
      </c>
      <c r="G9076" s="194">
        <v>8</v>
      </c>
      <c r="H9076" s="50" t="s">
        <v>60</v>
      </c>
      <c r="I9076" s="187">
        <v>522.5177001953125</v>
      </c>
      <c r="J9076" s="41" t="s">
        <v>964</v>
      </c>
      <c r="K9076" s="41" t="s">
        <v>116</v>
      </c>
    </row>
    <row r="9077" spans="1:11" x14ac:dyDescent="0.2">
      <c r="A9077" s="30">
        <v>5445</v>
      </c>
      <c r="B9077" s="249" t="str">
        <f>IF(AND(A9077&lt;&gt;"",ISNUMBER(A9077)),VLOOKUP(A9077,Studies!A:BR,2,FALSE),"")</f>
        <v>Iwamoto 2008</v>
      </c>
      <c r="C9077" s="250" t="str">
        <f>IF(AND(A9077&lt;&gt;"",ISNUMBER(A9077)),VLOOKUP(A9077,Studies!A:BR,3,FALSE),"")</f>
        <v xml:space="preserve">https://www.ncbi.nlm.nih.gov/pubmed/17713476
</v>
      </c>
      <c r="D9077" s="250" t="str">
        <f>IF(AND(A9077&lt;&gt;"",ISNUMBER(A9077)),VLOOKUP(A9077,Studies!A:BR,4,FALSE),"")</f>
        <v>800mg</v>
      </c>
      <c r="E9077" s="250" t="str">
        <f>IF(AND(A9077&lt;&gt;"",ISNUMBER(A9077)),VLOOKUP(A9077,Studies!A:BR,5,FALSE),"")</f>
        <v>Raltegravir</v>
      </c>
      <c r="F9077" s="251" t="str">
        <f>IF(AND(A9077&lt;&gt;"",ISNUMBER(A9077)),VLOOKUP(A9077,Studies!A:BR,6,FALSE),"")</f>
        <v>Plasma</v>
      </c>
      <c r="G9077" s="194">
        <v>12</v>
      </c>
      <c r="H9077" s="50" t="s">
        <v>60</v>
      </c>
      <c r="I9077" s="187">
        <v>206.31938171386719</v>
      </c>
      <c r="J9077" s="41" t="s">
        <v>964</v>
      </c>
      <c r="K9077" s="41" t="s">
        <v>116</v>
      </c>
    </row>
    <row r="9078" spans="1:11" x14ac:dyDescent="0.2">
      <c r="A9078" s="30">
        <v>5445</v>
      </c>
      <c r="B9078" s="249" t="str">
        <f>IF(AND(A9078&lt;&gt;"",ISNUMBER(A9078)),VLOOKUP(A9078,Studies!A:BR,2,FALSE),"")</f>
        <v>Iwamoto 2008</v>
      </c>
      <c r="C9078" s="250" t="str">
        <f>IF(AND(A9078&lt;&gt;"",ISNUMBER(A9078)),VLOOKUP(A9078,Studies!A:BR,3,FALSE),"")</f>
        <v xml:space="preserve">https://www.ncbi.nlm.nih.gov/pubmed/17713476
</v>
      </c>
      <c r="D9078" s="250" t="str">
        <f>IF(AND(A9078&lt;&gt;"",ISNUMBER(A9078)),VLOOKUP(A9078,Studies!A:BR,4,FALSE),"")</f>
        <v>800mg</v>
      </c>
      <c r="E9078" s="250" t="str">
        <f>IF(AND(A9078&lt;&gt;"",ISNUMBER(A9078)),VLOOKUP(A9078,Studies!A:BR,5,FALSE),"")</f>
        <v>Raltegravir</v>
      </c>
      <c r="F9078" s="251" t="str">
        <f>IF(AND(A9078&lt;&gt;"",ISNUMBER(A9078)),VLOOKUP(A9078,Studies!A:BR,6,FALSE),"")</f>
        <v>Plasma</v>
      </c>
      <c r="G9078" s="194">
        <v>15</v>
      </c>
      <c r="H9078" s="50" t="s">
        <v>60</v>
      </c>
      <c r="I9078" s="187">
        <v>129.64617919921875</v>
      </c>
      <c r="J9078" s="41" t="s">
        <v>964</v>
      </c>
      <c r="K9078" s="41" t="s">
        <v>116</v>
      </c>
    </row>
    <row r="9079" spans="1:11" x14ac:dyDescent="0.2">
      <c r="A9079" s="30">
        <v>5445</v>
      </c>
      <c r="B9079" s="249" t="str">
        <f>IF(AND(A9079&lt;&gt;"",ISNUMBER(A9079)),VLOOKUP(A9079,Studies!A:BR,2,FALSE),"")</f>
        <v>Iwamoto 2008</v>
      </c>
      <c r="C9079" s="250" t="str">
        <f>IF(AND(A9079&lt;&gt;"",ISNUMBER(A9079)),VLOOKUP(A9079,Studies!A:BR,3,FALSE),"")</f>
        <v xml:space="preserve">https://www.ncbi.nlm.nih.gov/pubmed/17713476
</v>
      </c>
      <c r="D9079" s="250" t="str">
        <f>IF(AND(A9079&lt;&gt;"",ISNUMBER(A9079)),VLOOKUP(A9079,Studies!A:BR,4,FALSE),"")</f>
        <v>800mg</v>
      </c>
      <c r="E9079" s="250" t="str">
        <f>IF(AND(A9079&lt;&gt;"",ISNUMBER(A9079)),VLOOKUP(A9079,Studies!A:BR,5,FALSE),"")</f>
        <v>Raltegravir</v>
      </c>
      <c r="F9079" s="251" t="str">
        <f>IF(AND(A9079&lt;&gt;"",ISNUMBER(A9079)),VLOOKUP(A9079,Studies!A:BR,6,FALSE),"")</f>
        <v>Plasma</v>
      </c>
      <c r="G9079" s="194">
        <v>24</v>
      </c>
      <c r="H9079" s="50" t="s">
        <v>60</v>
      </c>
      <c r="I9079" s="187">
        <v>113.08695220947266</v>
      </c>
      <c r="J9079" s="41" t="s">
        <v>964</v>
      </c>
      <c r="K9079" s="41" t="s">
        <v>116</v>
      </c>
    </row>
    <row r="9080" spans="1:11" x14ac:dyDescent="0.2">
      <c r="A9080" s="30">
        <v>5445</v>
      </c>
      <c r="B9080" s="249" t="str">
        <f>IF(AND(A9080&lt;&gt;"",ISNUMBER(A9080)),VLOOKUP(A9080,Studies!A:BR,2,FALSE),"")</f>
        <v>Iwamoto 2008</v>
      </c>
      <c r="C9080" s="250" t="str">
        <f>IF(AND(A9080&lt;&gt;"",ISNUMBER(A9080)),VLOOKUP(A9080,Studies!A:BR,3,FALSE),"")</f>
        <v xml:space="preserve">https://www.ncbi.nlm.nih.gov/pubmed/17713476
</v>
      </c>
      <c r="D9080" s="250" t="str">
        <f>IF(AND(A9080&lt;&gt;"",ISNUMBER(A9080)),VLOOKUP(A9080,Studies!A:BR,4,FALSE),"")</f>
        <v>800mg</v>
      </c>
      <c r="E9080" s="250" t="str">
        <f>IF(AND(A9080&lt;&gt;"",ISNUMBER(A9080)),VLOOKUP(A9080,Studies!A:BR,5,FALSE),"")</f>
        <v>Raltegravir</v>
      </c>
      <c r="F9080" s="251" t="str">
        <f>IF(AND(A9080&lt;&gt;"",ISNUMBER(A9080)),VLOOKUP(A9080,Studies!A:BR,6,FALSE),"")</f>
        <v>Plasma</v>
      </c>
      <c r="G9080" s="194">
        <v>32</v>
      </c>
      <c r="H9080" s="50" t="s">
        <v>60</v>
      </c>
      <c r="I9080" s="187">
        <v>83.723747253417969</v>
      </c>
      <c r="J9080" s="41" t="s">
        <v>964</v>
      </c>
      <c r="K9080" s="41" t="s">
        <v>116</v>
      </c>
    </row>
    <row r="9081" spans="1:11" x14ac:dyDescent="0.2">
      <c r="A9081" s="30">
        <v>5445</v>
      </c>
      <c r="B9081" s="249" t="str">
        <f>IF(AND(A9081&lt;&gt;"",ISNUMBER(A9081)),VLOOKUP(A9081,Studies!A:BR,2,FALSE),"")</f>
        <v>Iwamoto 2008</v>
      </c>
      <c r="C9081" s="250" t="str">
        <f>IF(AND(A9081&lt;&gt;"",ISNUMBER(A9081)),VLOOKUP(A9081,Studies!A:BR,3,FALSE),"")</f>
        <v xml:space="preserve">https://www.ncbi.nlm.nih.gov/pubmed/17713476
</v>
      </c>
      <c r="D9081" s="250" t="str">
        <f>IF(AND(A9081&lt;&gt;"",ISNUMBER(A9081)),VLOOKUP(A9081,Studies!A:BR,4,FALSE),"")</f>
        <v>800mg</v>
      </c>
      <c r="E9081" s="250" t="str">
        <f>IF(AND(A9081&lt;&gt;"",ISNUMBER(A9081)),VLOOKUP(A9081,Studies!A:BR,5,FALSE),"")</f>
        <v>Raltegravir</v>
      </c>
      <c r="F9081" s="251" t="str">
        <f>IF(AND(A9081&lt;&gt;"",ISNUMBER(A9081)),VLOOKUP(A9081,Studies!A:BR,6,FALSE),"")</f>
        <v>Plasma</v>
      </c>
      <c r="G9081" s="194">
        <v>48</v>
      </c>
      <c r="H9081" s="50" t="s">
        <v>60</v>
      </c>
      <c r="I9081" s="187">
        <v>41.138019561767578</v>
      </c>
      <c r="J9081" s="41" t="s">
        <v>964</v>
      </c>
      <c r="K9081" s="41" t="s">
        <v>116</v>
      </c>
    </row>
    <row r="9082" spans="1:11" x14ac:dyDescent="0.2">
      <c r="A9082" s="30">
        <v>5446</v>
      </c>
      <c r="B9082" s="249" t="str">
        <f>IF(AND(A9082&lt;&gt;"",ISNUMBER(A9082)),VLOOKUP(A9082,Studies!A:BR,2,FALSE),"")</f>
        <v>Iwamoto 2008</v>
      </c>
      <c r="C9082" s="250" t="str">
        <f>IF(AND(A9082&lt;&gt;"",ISNUMBER(A9082)),VLOOKUP(A9082,Studies!A:BR,3,FALSE),"")</f>
        <v xml:space="preserve">https://www.ncbi.nlm.nih.gov/pubmed/17713476
</v>
      </c>
      <c r="D9082" s="250" t="str">
        <f>IF(AND(A9082&lt;&gt;"",ISNUMBER(A9082)),VLOOKUP(A9082,Studies!A:BR,4,FALSE),"")</f>
        <v>1200mg</v>
      </c>
      <c r="E9082" s="250" t="str">
        <f>IF(AND(A9082&lt;&gt;"",ISNUMBER(A9082)),VLOOKUP(A9082,Studies!A:BR,5,FALSE),"")</f>
        <v>Raltegravir</v>
      </c>
      <c r="F9082" s="251" t="str">
        <f>IF(AND(A9082&lt;&gt;"",ISNUMBER(A9082)),VLOOKUP(A9082,Studies!A:BR,6,FALSE),"")</f>
        <v>Plasma</v>
      </c>
      <c r="G9082" s="194">
        <v>0.25</v>
      </c>
      <c r="H9082" s="50" t="s">
        <v>60</v>
      </c>
      <c r="I9082" s="187">
        <v>2845.849853515625</v>
      </c>
      <c r="J9082" s="41" t="s">
        <v>964</v>
      </c>
      <c r="K9082" s="41" t="s">
        <v>116</v>
      </c>
    </row>
    <row r="9083" spans="1:11" x14ac:dyDescent="0.2">
      <c r="A9083" s="30">
        <v>5446</v>
      </c>
      <c r="B9083" s="249" t="str">
        <f>IF(AND(A9083&lt;&gt;"",ISNUMBER(A9083)),VLOOKUP(A9083,Studies!A:BR,2,FALSE),"")</f>
        <v>Iwamoto 2008</v>
      </c>
      <c r="C9083" s="250" t="str">
        <f>IF(AND(A9083&lt;&gt;"",ISNUMBER(A9083)),VLOOKUP(A9083,Studies!A:BR,3,FALSE),"")</f>
        <v xml:space="preserve">https://www.ncbi.nlm.nih.gov/pubmed/17713476
</v>
      </c>
      <c r="D9083" s="250" t="str">
        <f>IF(AND(A9083&lt;&gt;"",ISNUMBER(A9083)),VLOOKUP(A9083,Studies!A:BR,4,FALSE),"")</f>
        <v>1200mg</v>
      </c>
      <c r="E9083" s="250" t="str">
        <f>IF(AND(A9083&lt;&gt;"",ISNUMBER(A9083)),VLOOKUP(A9083,Studies!A:BR,5,FALSE),"")</f>
        <v>Raltegravir</v>
      </c>
      <c r="F9083" s="251" t="str">
        <f>IF(AND(A9083&lt;&gt;"",ISNUMBER(A9083)),VLOOKUP(A9083,Studies!A:BR,6,FALSE),"")</f>
        <v>Plasma</v>
      </c>
      <c r="G9083" s="194">
        <v>0.5</v>
      </c>
      <c r="H9083" s="50" t="s">
        <v>60</v>
      </c>
      <c r="I9083" s="187">
        <v>12490.119140625</v>
      </c>
      <c r="J9083" s="41" t="s">
        <v>964</v>
      </c>
      <c r="K9083" s="41" t="s">
        <v>116</v>
      </c>
    </row>
    <row r="9084" spans="1:11" x14ac:dyDescent="0.2">
      <c r="A9084" s="30">
        <v>5446</v>
      </c>
      <c r="B9084" s="249" t="str">
        <f>IF(AND(A9084&lt;&gt;"",ISNUMBER(A9084)),VLOOKUP(A9084,Studies!A:BR,2,FALSE),"")</f>
        <v>Iwamoto 2008</v>
      </c>
      <c r="C9084" s="250" t="str">
        <f>IF(AND(A9084&lt;&gt;"",ISNUMBER(A9084)),VLOOKUP(A9084,Studies!A:BR,3,FALSE),"")</f>
        <v xml:space="preserve">https://www.ncbi.nlm.nih.gov/pubmed/17713476
</v>
      </c>
      <c r="D9084" s="250" t="str">
        <f>IF(AND(A9084&lt;&gt;"",ISNUMBER(A9084)),VLOOKUP(A9084,Studies!A:BR,4,FALSE),"")</f>
        <v>1200mg</v>
      </c>
      <c r="E9084" s="250" t="str">
        <f>IF(AND(A9084&lt;&gt;"",ISNUMBER(A9084)),VLOOKUP(A9084,Studies!A:BR,5,FALSE),"")</f>
        <v>Raltegravir</v>
      </c>
      <c r="F9084" s="251" t="str">
        <f>IF(AND(A9084&lt;&gt;"",ISNUMBER(A9084)),VLOOKUP(A9084,Studies!A:BR,6,FALSE),"")</f>
        <v>Plasma</v>
      </c>
      <c r="G9084" s="194">
        <v>1</v>
      </c>
      <c r="H9084" s="50" t="s">
        <v>60</v>
      </c>
      <c r="I9084" s="187">
        <v>27351.779296875</v>
      </c>
      <c r="J9084" s="41" t="s">
        <v>964</v>
      </c>
      <c r="K9084" s="41" t="s">
        <v>116</v>
      </c>
    </row>
    <row r="9085" spans="1:11" x14ac:dyDescent="0.2">
      <c r="A9085" s="30">
        <v>5446</v>
      </c>
      <c r="B9085" s="249" t="str">
        <f>IF(AND(A9085&lt;&gt;"",ISNUMBER(A9085)),VLOOKUP(A9085,Studies!A:BR,2,FALSE),"")</f>
        <v>Iwamoto 2008</v>
      </c>
      <c r="C9085" s="250" t="str">
        <f>IF(AND(A9085&lt;&gt;"",ISNUMBER(A9085)),VLOOKUP(A9085,Studies!A:BR,3,FALSE),"")</f>
        <v xml:space="preserve">https://www.ncbi.nlm.nih.gov/pubmed/17713476
</v>
      </c>
      <c r="D9085" s="250" t="str">
        <f>IF(AND(A9085&lt;&gt;"",ISNUMBER(A9085)),VLOOKUP(A9085,Studies!A:BR,4,FALSE),"")</f>
        <v>1200mg</v>
      </c>
      <c r="E9085" s="250" t="str">
        <f>IF(AND(A9085&lt;&gt;"",ISNUMBER(A9085)),VLOOKUP(A9085,Studies!A:BR,5,FALSE),"")</f>
        <v>Raltegravir</v>
      </c>
      <c r="F9085" s="251" t="str">
        <f>IF(AND(A9085&lt;&gt;"",ISNUMBER(A9085)),VLOOKUP(A9085,Studies!A:BR,6,FALSE),"")</f>
        <v>Plasma</v>
      </c>
      <c r="G9085" s="194">
        <v>1.5</v>
      </c>
      <c r="H9085" s="50" t="s">
        <v>60</v>
      </c>
      <c r="I9085" s="187">
        <v>27984.189453125</v>
      </c>
      <c r="J9085" s="41" t="s">
        <v>964</v>
      </c>
      <c r="K9085" s="41" t="s">
        <v>116</v>
      </c>
    </row>
    <row r="9086" spans="1:11" x14ac:dyDescent="0.2">
      <c r="A9086" s="30">
        <v>5446</v>
      </c>
      <c r="B9086" s="249" t="str">
        <f>IF(AND(A9086&lt;&gt;"",ISNUMBER(A9086)),VLOOKUP(A9086,Studies!A:BR,2,FALSE),"")</f>
        <v>Iwamoto 2008</v>
      </c>
      <c r="C9086" s="250" t="str">
        <f>IF(AND(A9086&lt;&gt;"",ISNUMBER(A9086)),VLOOKUP(A9086,Studies!A:BR,3,FALSE),"")</f>
        <v xml:space="preserve">https://www.ncbi.nlm.nih.gov/pubmed/17713476
</v>
      </c>
      <c r="D9086" s="250" t="str">
        <f>IF(AND(A9086&lt;&gt;"",ISNUMBER(A9086)),VLOOKUP(A9086,Studies!A:BR,4,FALSE),"")</f>
        <v>1200mg</v>
      </c>
      <c r="E9086" s="250" t="str">
        <f>IF(AND(A9086&lt;&gt;"",ISNUMBER(A9086)),VLOOKUP(A9086,Studies!A:BR,5,FALSE),"")</f>
        <v>Raltegravir</v>
      </c>
      <c r="F9086" s="251" t="str">
        <f>IF(AND(A9086&lt;&gt;"",ISNUMBER(A9086)),VLOOKUP(A9086,Studies!A:BR,6,FALSE),"")</f>
        <v>Plasma</v>
      </c>
      <c r="G9086" s="194">
        <v>2</v>
      </c>
      <c r="H9086" s="50" t="s">
        <v>60</v>
      </c>
      <c r="I9086" s="187">
        <v>24110.671875</v>
      </c>
      <c r="J9086" s="41" t="s">
        <v>964</v>
      </c>
      <c r="K9086" s="41" t="s">
        <v>116</v>
      </c>
    </row>
    <row r="9087" spans="1:11" x14ac:dyDescent="0.2">
      <c r="A9087" s="30">
        <v>5446</v>
      </c>
      <c r="B9087" s="249" t="str">
        <f>IF(AND(A9087&lt;&gt;"",ISNUMBER(A9087)),VLOOKUP(A9087,Studies!A:BR,2,FALSE),"")</f>
        <v>Iwamoto 2008</v>
      </c>
      <c r="C9087" s="250" t="str">
        <f>IF(AND(A9087&lt;&gt;"",ISNUMBER(A9087)),VLOOKUP(A9087,Studies!A:BR,3,FALSE),"")</f>
        <v xml:space="preserve">https://www.ncbi.nlm.nih.gov/pubmed/17713476
</v>
      </c>
      <c r="D9087" s="250" t="str">
        <f>IF(AND(A9087&lt;&gt;"",ISNUMBER(A9087)),VLOOKUP(A9087,Studies!A:BR,4,FALSE),"")</f>
        <v>1200mg</v>
      </c>
      <c r="E9087" s="250" t="str">
        <f>IF(AND(A9087&lt;&gt;"",ISNUMBER(A9087)),VLOOKUP(A9087,Studies!A:BR,5,FALSE),"")</f>
        <v>Raltegravir</v>
      </c>
      <c r="F9087" s="251" t="str">
        <f>IF(AND(A9087&lt;&gt;"",ISNUMBER(A9087)),VLOOKUP(A9087,Studies!A:BR,6,FALSE),"")</f>
        <v>Plasma</v>
      </c>
      <c r="G9087" s="194">
        <v>3</v>
      </c>
      <c r="H9087" s="50" t="s">
        <v>60</v>
      </c>
      <c r="I9087" s="187">
        <v>14071.146484375</v>
      </c>
      <c r="J9087" s="41" t="s">
        <v>964</v>
      </c>
      <c r="K9087" s="41" t="s">
        <v>116</v>
      </c>
    </row>
    <row r="9088" spans="1:11" x14ac:dyDescent="0.2">
      <c r="A9088" s="30">
        <v>5446</v>
      </c>
      <c r="B9088" s="249" t="str">
        <f>IF(AND(A9088&lt;&gt;"",ISNUMBER(A9088)),VLOOKUP(A9088,Studies!A:BR,2,FALSE),"")</f>
        <v>Iwamoto 2008</v>
      </c>
      <c r="C9088" s="250" t="str">
        <f>IF(AND(A9088&lt;&gt;"",ISNUMBER(A9088)),VLOOKUP(A9088,Studies!A:BR,3,FALSE),"")</f>
        <v xml:space="preserve">https://www.ncbi.nlm.nih.gov/pubmed/17713476
</v>
      </c>
      <c r="D9088" s="250" t="str">
        <f>IF(AND(A9088&lt;&gt;"",ISNUMBER(A9088)),VLOOKUP(A9088,Studies!A:BR,4,FALSE),"")</f>
        <v>1200mg</v>
      </c>
      <c r="E9088" s="250" t="str">
        <f>IF(AND(A9088&lt;&gt;"",ISNUMBER(A9088)),VLOOKUP(A9088,Studies!A:BR,5,FALSE),"")</f>
        <v>Raltegravir</v>
      </c>
      <c r="F9088" s="251" t="str">
        <f>IF(AND(A9088&lt;&gt;"",ISNUMBER(A9088)),VLOOKUP(A9088,Studies!A:BR,6,FALSE),"")</f>
        <v>Plasma</v>
      </c>
      <c r="G9088" s="194">
        <v>4</v>
      </c>
      <c r="H9088" s="50" t="s">
        <v>60</v>
      </c>
      <c r="I9088" s="187">
        <v>8063.2412109375</v>
      </c>
      <c r="J9088" s="41" t="s">
        <v>964</v>
      </c>
      <c r="K9088" s="41" t="s">
        <v>116</v>
      </c>
    </row>
    <row r="9089" spans="1:11" x14ac:dyDescent="0.2">
      <c r="A9089" s="30">
        <v>5446</v>
      </c>
      <c r="B9089" s="249" t="str">
        <f>IF(AND(A9089&lt;&gt;"",ISNUMBER(A9089)),VLOOKUP(A9089,Studies!A:BR,2,FALSE),"")</f>
        <v>Iwamoto 2008</v>
      </c>
      <c r="C9089" s="250" t="str">
        <f>IF(AND(A9089&lt;&gt;"",ISNUMBER(A9089)),VLOOKUP(A9089,Studies!A:BR,3,FALSE),"")</f>
        <v xml:space="preserve">https://www.ncbi.nlm.nih.gov/pubmed/17713476
</v>
      </c>
      <c r="D9089" s="250" t="str">
        <f>IF(AND(A9089&lt;&gt;"",ISNUMBER(A9089)),VLOOKUP(A9089,Studies!A:BR,4,FALSE),"")</f>
        <v>1200mg</v>
      </c>
      <c r="E9089" s="250" t="str">
        <f>IF(AND(A9089&lt;&gt;"",ISNUMBER(A9089)),VLOOKUP(A9089,Studies!A:BR,5,FALSE),"")</f>
        <v>Raltegravir</v>
      </c>
      <c r="F9089" s="251" t="str">
        <f>IF(AND(A9089&lt;&gt;"",ISNUMBER(A9089)),VLOOKUP(A9089,Studies!A:BR,6,FALSE),"")</f>
        <v>Plasma</v>
      </c>
      <c r="G9089" s="194">
        <v>6</v>
      </c>
      <c r="H9089" s="50" t="s">
        <v>60</v>
      </c>
      <c r="I9089" s="187">
        <v>2105.921142578125</v>
      </c>
      <c r="J9089" s="41" t="s">
        <v>964</v>
      </c>
      <c r="K9089" s="41" t="s">
        <v>116</v>
      </c>
    </row>
    <row r="9090" spans="1:11" x14ac:dyDescent="0.2">
      <c r="A9090" s="30">
        <v>5446</v>
      </c>
      <c r="B9090" s="249" t="str">
        <f>IF(AND(A9090&lt;&gt;"",ISNUMBER(A9090)),VLOOKUP(A9090,Studies!A:BR,2,FALSE),"")</f>
        <v>Iwamoto 2008</v>
      </c>
      <c r="C9090" s="250" t="str">
        <f>IF(AND(A9090&lt;&gt;"",ISNUMBER(A9090)),VLOOKUP(A9090,Studies!A:BR,3,FALSE),"")</f>
        <v xml:space="preserve">https://www.ncbi.nlm.nih.gov/pubmed/17713476
</v>
      </c>
      <c r="D9090" s="250" t="str">
        <f>IF(AND(A9090&lt;&gt;"",ISNUMBER(A9090)),VLOOKUP(A9090,Studies!A:BR,4,FALSE),"")</f>
        <v>1200mg</v>
      </c>
      <c r="E9090" s="250" t="str">
        <f>IF(AND(A9090&lt;&gt;"",ISNUMBER(A9090)),VLOOKUP(A9090,Studies!A:BR,5,FALSE),"")</f>
        <v>Raltegravir</v>
      </c>
      <c r="F9090" s="251" t="str">
        <f>IF(AND(A9090&lt;&gt;"",ISNUMBER(A9090)),VLOOKUP(A9090,Studies!A:BR,6,FALSE),"")</f>
        <v>Plasma</v>
      </c>
      <c r="G9090" s="194">
        <v>8</v>
      </c>
      <c r="H9090" s="50" t="s">
        <v>60</v>
      </c>
      <c r="I9090" s="187">
        <v>725.32745361328125</v>
      </c>
      <c r="J9090" s="41" t="s">
        <v>964</v>
      </c>
      <c r="K9090" s="41" t="s">
        <v>116</v>
      </c>
    </row>
    <row r="9091" spans="1:11" x14ac:dyDescent="0.2">
      <c r="A9091" s="30">
        <v>5446</v>
      </c>
      <c r="B9091" s="249" t="str">
        <f>IF(AND(A9091&lt;&gt;"",ISNUMBER(A9091)),VLOOKUP(A9091,Studies!A:BR,2,FALSE),"")</f>
        <v>Iwamoto 2008</v>
      </c>
      <c r="C9091" s="250" t="str">
        <f>IF(AND(A9091&lt;&gt;"",ISNUMBER(A9091)),VLOOKUP(A9091,Studies!A:BR,3,FALSE),"")</f>
        <v xml:space="preserve">https://www.ncbi.nlm.nih.gov/pubmed/17713476
</v>
      </c>
      <c r="D9091" s="250" t="str">
        <f>IF(AND(A9091&lt;&gt;"",ISNUMBER(A9091)),VLOOKUP(A9091,Studies!A:BR,4,FALSE),"")</f>
        <v>1200mg</v>
      </c>
      <c r="E9091" s="250" t="str">
        <f>IF(AND(A9091&lt;&gt;"",ISNUMBER(A9091)),VLOOKUP(A9091,Studies!A:BR,5,FALSE),"")</f>
        <v>Raltegravir</v>
      </c>
      <c r="F9091" s="251" t="str">
        <f>IF(AND(A9091&lt;&gt;"",ISNUMBER(A9091)),VLOOKUP(A9091,Studies!A:BR,6,FALSE),"")</f>
        <v>Plasma</v>
      </c>
      <c r="G9091" s="194">
        <v>15</v>
      </c>
      <c r="H9091" s="50" t="s">
        <v>60</v>
      </c>
      <c r="I9091" s="187">
        <v>148.63015747070313</v>
      </c>
      <c r="J9091" s="41" t="s">
        <v>964</v>
      </c>
      <c r="K9091" s="41" t="s">
        <v>116</v>
      </c>
    </row>
    <row r="9092" spans="1:11" x14ac:dyDescent="0.2">
      <c r="A9092" s="30">
        <v>5446</v>
      </c>
      <c r="B9092" s="249" t="str">
        <f>IF(AND(A9092&lt;&gt;"",ISNUMBER(A9092)),VLOOKUP(A9092,Studies!A:BR,2,FALSE),"")</f>
        <v>Iwamoto 2008</v>
      </c>
      <c r="C9092" s="250" t="str">
        <f>IF(AND(A9092&lt;&gt;"",ISNUMBER(A9092)),VLOOKUP(A9092,Studies!A:BR,3,FALSE),"")</f>
        <v xml:space="preserve">https://www.ncbi.nlm.nih.gov/pubmed/17713476
</v>
      </c>
      <c r="D9092" s="250" t="str">
        <f>IF(AND(A9092&lt;&gt;"",ISNUMBER(A9092)),VLOOKUP(A9092,Studies!A:BR,4,FALSE),"")</f>
        <v>1200mg</v>
      </c>
      <c r="E9092" s="250" t="str">
        <f>IF(AND(A9092&lt;&gt;"",ISNUMBER(A9092)),VLOOKUP(A9092,Studies!A:BR,5,FALSE),"")</f>
        <v>Raltegravir</v>
      </c>
      <c r="F9092" s="251" t="str">
        <f>IF(AND(A9092&lt;&gt;"",ISNUMBER(A9092)),VLOOKUP(A9092,Studies!A:BR,6,FALSE),"")</f>
        <v>Plasma</v>
      </c>
      <c r="G9092" s="194">
        <v>24</v>
      </c>
      <c r="H9092" s="50" t="s">
        <v>60</v>
      </c>
      <c r="I9092" s="187">
        <v>110.03809356689453</v>
      </c>
      <c r="J9092" s="41" t="s">
        <v>964</v>
      </c>
      <c r="K9092" s="41" t="s">
        <v>116</v>
      </c>
    </row>
    <row r="9093" spans="1:11" x14ac:dyDescent="0.2">
      <c r="A9093" s="30">
        <v>5446</v>
      </c>
      <c r="B9093" s="249" t="str">
        <f>IF(AND(A9093&lt;&gt;"",ISNUMBER(A9093)),VLOOKUP(A9093,Studies!A:BR,2,FALSE),"")</f>
        <v>Iwamoto 2008</v>
      </c>
      <c r="C9093" s="250" t="str">
        <f>IF(AND(A9093&lt;&gt;"",ISNUMBER(A9093)),VLOOKUP(A9093,Studies!A:BR,3,FALSE),"")</f>
        <v xml:space="preserve">https://www.ncbi.nlm.nih.gov/pubmed/17713476
</v>
      </c>
      <c r="D9093" s="250" t="str">
        <f>IF(AND(A9093&lt;&gt;"",ISNUMBER(A9093)),VLOOKUP(A9093,Studies!A:BR,4,FALSE),"")</f>
        <v>1200mg</v>
      </c>
      <c r="E9093" s="250" t="str">
        <f>IF(AND(A9093&lt;&gt;"",ISNUMBER(A9093)),VLOOKUP(A9093,Studies!A:BR,5,FALSE),"")</f>
        <v>Raltegravir</v>
      </c>
      <c r="F9093" s="251" t="str">
        <f>IF(AND(A9093&lt;&gt;"",ISNUMBER(A9093)),VLOOKUP(A9093,Studies!A:BR,6,FALSE),"")</f>
        <v>Plasma</v>
      </c>
      <c r="G9093" s="194">
        <v>32</v>
      </c>
      <c r="H9093" s="50" t="s">
        <v>60</v>
      </c>
      <c r="I9093" s="187">
        <v>75.053489685058594</v>
      </c>
      <c r="J9093" s="41" t="s">
        <v>964</v>
      </c>
      <c r="K9093" s="41" t="s">
        <v>116</v>
      </c>
    </row>
    <row r="9094" spans="1:11" x14ac:dyDescent="0.2">
      <c r="A9094" s="30">
        <v>5446</v>
      </c>
      <c r="B9094" s="249" t="str">
        <f>IF(AND(A9094&lt;&gt;"",ISNUMBER(A9094)),VLOOKUP(A9094,Studies!A:BR,2,FALSE),"")</f>
        <v>Iwamoto 2008</v>
      </c>
      <c r="C9094" s="250" t="str">
        <f>IF(AND(A9094&lt;&gt;"",ISNUMBER(A9094)),VLOOKUP(A9094,Studies!A:BR,3,FALSE),"")</f>
        <v xml:space="preserve">https://www.ncbi.nlm.nih.gov/pubmed/17713476
</v>
      </c>
      <c r="D9094" s="250" t="str">
        <f>IF(AND(A9094&lt;&gt;"",ISNUMBER(A9094)),VLOOKUP(A9094,Studies!A:BR,4,FALSE),"")</f>
        <v>1200mg</v>
      </c>
      <c r="E9094" s="250" t="str">
        <f>IF(AND(A9094&lt;&gt;"",ISNUMBER(A9094)),VLOOKUP(A9094,Studies!A:BR,5,FALSE),"")</f>
        <v>Raltegravir</v>
      </c>
      <c r="F9094" s="251" t="str">
        <f>IF(AND(A9094&lt;&gt;"",ISNUMBER(A9094)),VLOOKUP(A9094,Studies!A:BR,6,FALSE),"")</f>
        <v>Plasma</v>
      </c>
      <c r="G9094" s="194">
        <v>48</v>
      </c>
      <c r="H9094" s="50" t="s">
        <v>60</v>
      </c>
      <c r="I9094" s="187">
        <v>23.815223693847656</v>
      </c>
      <c r="J9094" s="41" t="s">
        <v>964</v>
      </c>
      <c r="K9094" s="41" t="s">
        <v>116</v>
      </c>
    </row>
    <row r="9095" spans="1:11" x14ac:dyDescent="0.2">
      <c r="A9095" s="30">
        <v>5446</v>
      </c>
      <c r="B9095" s="249" t="str">
        <f>IF(AND(A9095&lt;&gt;"",ISNUMBER(A9095)),VLOOKUP(A9095,Studies!A:BR,2,FALSE),"")</f>
        <v>Iwamoto 2008</v>
      </c>
      <c r="C9095" s="250" t="str">
        <f>IF(AND(A9095&lt;&gt;"",ISNUMBER(A9095)),VLOOKUP(A9095,Studies!A:BR,3,FALSE),"")</f>
        <v xml:space="preserve">https://www.ncbi.nlm.nih.gov/pubmed/17713476
</v>
      </c>
      <c r="D9095" s="250" t="str">
        <f>IF(AND(A9095&lt;&gt;"",ISNUMBER(A9095)),VLOOKUP(A9095,Studies!A:BR,4,FALSE),"")</f>
        <v>1200mg</v>
      </c>
      <c r="E9095" s="250" t="str">
        <f>IF(AND(A9095&lt;&gt;"",ISNUMBER(A9095)),VLOOKUP(A9095,Studies!A:BR,5,FALSE),"")</f>
        <v>Raltegravir</v>
      </c>
      <c r="F9095" s="251" t="str">
        <f>IF(AND(A9095&lt;&gt;"",ISNUMBER(A9095)),VLOOKUP(A9095,Studies!A:BR,6,FALSE),"")</f>
        <v>Plasma</v>
      </c>
      <c r="G9095" s="194">
        <v>72</v>
      </c>
      <c r="H9095" s="50" t="s">
        <v>60</v>
      </c>
      <c r="I9095" s="187">
        <v>5.1542582511901855</v>
      </c>
      <c r="J9095" s="41" t="s">
        <v>964</v>
      </c>
      <c r="K9095" s="41" t="s">
        <v>116</v>
      </c>
    </row>
    <row r="9096" spans="1:11" x14ac:dyDescent="0.2">
      <c r="A9096" s="30">
        <v>5447</v>
      </c>
      <c r="B9096" s="249" t="str">
        <f>IF(AND(A9096&lt;&gt;"",ISNUMBER(A9096)),VLOOKUP(A9096,Studies!A:BR,2,FALSE),"")</f>
        <v>Iwamoto 2008</v>
      </c>
      <c r="C9096" s="250" t="str">
        <f>IF(AND(A9096&lt;&gt;"",ISNUMBER(A9096)),VLOOKUP(A9096,Studies!A:BR,3,FALSE),"")</f>
        <v xml:space="preserve">https://www.ncbi.nlm.nih.gov/pubmed/17713476
</v>
      </c>
      <c r="D9096" s="250" t="str">
        <f>IF(AND(A9096&lt;&gt;"",ISNUMBER(A9096)),VLOOKUP(A9096,Studies!A:BR,4,FALSE),"")</f>
        <v>1600mg</v>
      </c>
      <c r="E9096" s="250" t="str">
        <f>IF(AND(A9096&lt;&gt;"",ISNUMBER(A9096)),VLOOKUP(A9096,Studies!A:BR,5,FALSE),"")</f>
        <v>Raltegravir</v>
      </c>
      <c r="F9096" s="251" t="str">
        <f>IF(AND(A9096&lt;&gt;"",ISNUMBER(A9096)),VLOOKUP(A9096,Studies!A:BR,6,FALSE),"")</f>
        <v>Plasma</v>
      </c>
      <c r="G9096" s="194">
        <v>0.25</v>
      </c>
      <c r="H9096" s="50" t="s">
        <v>60</v>
      </c>
      <c r="I9096" s="187">
        <v>10592.8857421875</v>
      </c>
      <c r="J9096" s="41" t="s">
        <v>964</v>
      </c>
      <c r="K9096" s="41" t="s">
        <v>116</v>
      </c>
    </row>
    <row r="9097" spans="1:11" x14ac:dyDescent="0.2">
      <c r="A9097" s="30">
        <v>5447</v>
      </c>
      <c r="B9097" s="249" t="str">
        <f>IF(AND(A9097&lt;&gt;"",ISNUMBER(A9097)),VLOOKUP(A9097,Studies!A:BR,2,FALSE),"")</f>
        <v>Iwamoto 2008</v>
      </c>
      <c r="C9097" s="250" t="str">
        <f>IF(AND(A9097&lt;&gt;"",ISNUMBER(A9097)),VLOOKUP(A9097,Studies!A:BR,3,FALSE),"")</f>
        <v xml:space="preserve">https://www.ncbi.nlm.nih.gov/pubmed/17713476
</v>
      </c>
      <c r="D9097" s="250" t="str">
        <f>IF(AND(A9097&lt;&gt;"",ISNUMBER(A9097)),VLOOKUP(A9097,Studies!A:BR,4,FALSE),"")</f>
        <v>1600mg</v>
      </c>
      <c r="E9097" s="250" t="str">
        <f>IF(AND(A9097&lt;&gt;"",ISNUMBER(A9097)),VLOOKUP(A9097,Studies!A:BR,5,FALSE),"")</f>
        <v>Raltegravir</v>
      </c>
      <c r="F9097" s="251" t="str">
        <f>IF(AND(A9097&lt;&gt;"",ISNUMBER(A9097)),VLOOKUP(A9097,Studies!A:BR,6,FALSE),"")</f>
        <v>Plasma</v>
      </c>
      <c r="G9097" s="194">
        <v>0.5</v>
      </c>
      <c r="H9097" s="50" t="s">
        <v>60</v>
      </c>
      <c r="I9097" s="187">
        <v>27509.880859375</v>
      </c>
      <c r="J9097" s="41" t="s">
        <v>964</v>
      </c>
      <c r="K9097" s="41" t="s">
        <v>116</v>
      </c>
    </row>
    <row r="9098" spans="1:11" x14ac:dyDescent="0.2">
      <c r="A9098" s="30">
        <v>5447</v>
      </c>
      <c r="B9098" s="249" t="str">
        <f>IF(AND(A9098&lt;&gt;"",ISNUMBER(A9098)),VLOOKUP(A9098,Studies!A:BR,2,FALSE),"")</f>
        <v>Iwamoto 2008</v>
      </c>
      <c r="C9098" s="250" t="str">
        <f>IF(AND(A9098&lt;&gt;"",ISNUMBER(A9098)),VLOOKUP(A9098,Studies!A:BR,3,FALSE),"")</f>
        <v xml:space="preserve">https://www.ncbi.nlm.nih.gov/pubmed/17713476
</v>
      </c>
      <c r="D9098" s="250" t="str">
        <f>IF(AND(A9098&lt;&gt;"",ISNUMBER(A9098)),VLOOKUP(A9098,Studies!A:BR,4,FALSE),"")</f>
        <v>1600mg</v>
      </c>
      <c r="E9098" s="250" t="str">
        <f>IF(AND(A9098&lt;&gt;"",ISNUMBER(A9098)),VLOOKUP(A9098,Studies!A:BR,5,FALSE),"")</f>
        <v>Raltegravir</v>
      </c>
      <c r="F9098" s="251" t="str">
        <f>IF(AND(A9098&lt;&gt;"",ISNUMBER(A9098)),VLOOKUP(A9098,Studies!A:BR,6,FALSE),"")</f>
        <v>Plasma</v>
      </c>
      <c r="G9098" s="194">
        <v>1</v>
      </c>
      <c r="H9098" s="50" t="s">
        <v>60</v>
      </c>
      <c r="I9098" s="187">
        <v>35256.91796875</v>
      </c>
      <c r="J9098" s="41" t="s">
        <v>964</v>
      </c>
      <c r="K9098" s="41" t="s">
        <v>116</v>
      </c>
    </row>
    <row r="9099" spans="1:11" x14ac:dyDescent="0.2">
      <c r="A9099" s="30">
        <v>5447</v>
      </c>
      <c r="B9099" s="249" t="str">
        <f>IF(AND(A9099&lt;&gt;"",ISNUMBER(A9099)),VLOOKUP(A9099,Studies!A:BR,2,FALSE),"")</f>
        <v>Iwamoto 2008</v>
      </c>
      <c r="C9099" s="250" t="str">
        <f>IF(AND(A9099&lt;&gt;"",ISNUMBER(A9099)),VLOOKUP(A9099,Studies!A:BR,3,FALSE),"")</f>
        <v xml:space="preserve">https://www.ncbi.nlm.nih.gov/pubmed/17713476
</v>
      </c>
      <c r="D9099" s="250" t="str">
        <f>IF(AND(A9099&lt;&gt;"",ISNUMBER(A9099)),VLOOKUP(A9099,Studies!A:BR,4,FALSE),"")</f>
        <v>1600mg</v>
      </c>
      <c r="E9099" s="250" t="str">
        <f>IF(AND(A9099&lt;&gt;"",ISNUMBER(A9099)),VLOOKUP(A9099,Studies!A:BR,5,FALSE),"")</f>
        <v>Raltegravir</v>
      </c>
      <c r="F9099" s="251" t="str">
        <f>IF(AND(A9099&lt;&gt;"",ISNUMBER(A9099)),VLOOKUP(A9099,Studies!A:BR,6,FALSE),"")</f>
        <v>Plasma</v>
      </c>
      <c r="G9099" s="194">
        <v>1.5</v>
      </c>
      <c r="H9099" s="50" t="s">
        <v>60</v>
      </c>
      <c r="I9099" s="187">
        <v>31462.451171875</v>
      </c>
      <c r="J9099" s="41" t="s">
        <v>964</v>
      </c>
      <c r="K9099" s="41" t="s">
        <v>116</v>
      </c>
    </row>
    <row r="9100" spans="1:11" x14ac:dyDescent="0.2">
      <c r="A9100" s="30">
        <v>5447</v>
      </c>
      <c r="B9100" s="249" t="str">
        <f>IF(AND(A9100&lt;&gt;"",ISNUMBER(A9100)),VLOOKUP(A9100,Studies!A:BR,2,FALSE),"")</f>
        <v>Iwamoto 2008</v>
      </c>
      <c r="C9100" s="250" t="str">
        <f>IF(AND(A9100&lt;&gt;"",ISNUMBER(A9100)),VLOOKUP(A9100,Studies!A:BR,3,FALSE),"")</f>
        <v xml:space="preserve">https://www.ncbi.nlm.nih.gov/pubmed/17713476
</v>
      </c>
      <c r="D9100" s="250" t="str">
        <f>IF(AND(A9100&lt;&gt;"",ISNUMBER(A9100)),VLOOKUP(A9100,Studies!A:BR,4,FALSE),"")</f>
        <v>1600mg</v>
      </c>
      <c r="E9100" s="250" t="str">
        <f>IF(AND(A9100&lt;&gt;"",ISNUMBER(A9100)),VLOOKUP(A9100,Studies!A:BR,5,FALSE),"")</f>
        <v>Raltegravir</v>
      </c>
      <c r="F9100" s="251" t="str">
        <f>IF(AND(A9100&lt;&gt;"",ISNUMBER(A9100)),VLOOKUP(A9100,Studies!A:BR,6,FALSE),"")</f>
        <v>Plasma</v>
      </c>
      <c r="G9100" s="194">
        <v>2</v>
      </c>
      <c r="H9100" s="50" t="s">
        <v>60</v>
      </c>
      <c r="I9100" s="187">
        <v>24031.62109375</v>
      </c>
      <c r="J9100" s="41" t="s">
        <v>964</v>
      </c>
      <c r="K9100" s="41" t="s">
        <v>116</v>
      </c>
    </row>
    <row r="9101" spans="1:11" x14ac:dyDescent="0.2">
      <c r="A9101" s="30">
        <v>5447</v>
      </c>
      <c r="B9101" s="249" t="str">
        <f>IF(AND(A9101&lt;&gt;"",ISNUMBER(A9101)),VLOOKUP(A9101,Studies!A:BR,2,FALSE),"")</f>
        <v>Iwamoto 2008</v>
      </c>
      <c r="C9101" s="250" t="str">
        <f>IF(AND(A9101&lt;&gt;"",ISNUMBER(A9101)),VLOOKUP(A9101,Studies!A:BR,3,FALSE),"")</f>
        <v xml:space="preserve">https://www.ncbi.nlm.nih.gov/pubmed/17713476
</v>
      </c>
      <c r="D9101" s="250" t="str">
        <f>IF(AND(A9101&lt;&gt;"",ISNUMBER(A9101)),VLOOKUP(A9101,Studies!A:BR,4,FALSE),"")</f>
        <v>1600mg</v>
      </c>
      <c r="E9101" s="250" t="str">
        <f>IF(AND(A9101&lt;&gt;"",ISNUMBER(A9101)),VLOOKUP(A9101,Studies!A:BR,5,FALSE),"")</f>
        <v>Raltegravir</v>
      </c>
      <c r="F9101" s="251" t="str">
        <f>IF(AND(A9101&lt;&gt;"",ISNUMBER(A9101)),VLOOKUP(A9101,Studies!A:BR,6,FALSE),"")</f>
        <v>Plasma</v>
      </c>
      <c r="G9101" s="194">
        <v>3</v>
      </c>
      <c r="H9101" s="50" t="s">
        <v>60</v>
      </c>
      <c r="I9101" s="187">
        <v>13517.787109375</v>
      </c>
      <c r="J9101" s="41" t="s">
        <v>964</v>
      </c>
      <c r="K9101" s="41" t="s">
        <v>116</v>
      </c>
    </row>
    <row r="9102" spans="1:11" x14ac:dyDescent="0.2">
      <c r="A9102" s="30">
        <v>5447</v>
      </c>
      <c r="B9102" s="249" t="str">
        <f>IF(AND(A9102&lt;&gt;"",ISNUMBER(A9102)),VLOOKUP(A9102,Studies!A:BR,2,FALSE),"")</f>
        <v>Iwamoto 2008</v>
      </c>
      <c r="C9102" s="250" t="str">
        <f>IF(AND(A9102&lt;&gt;"",ISNUMBER(A9102)),VLOOKUP(A9102,Studies!A:BR,3,FALSE),"")</f>
        <v xml:space="preserve">https://www.ncbi.nlm.nih.gov/pubmed/17713476
</v>
      </c>
      <c r="D9102" s="250" t="str">
        <f>IF(AND(A9102&lt;&gt;"",ISNUMBER(A9102)),VLOOKUP(A9102,Studies!A:BR,4,FALSE),"")</f>
        <v>1600mg</v>
      </c>
      <c r="E9102" s="250" t="str">
        <f>IF(AND(A9102&lt;&gt;"",ISNUMBER(A9102)),VLOOKUP(A9102,Studies!A:BR,5,FALSE),"")</f>
        <v>Raltegravir</v>
      </c>
      <c r="F9102" s="251" t="str">
        <f>IF(AND(A9102&lt;&gt;"",ISNUMBER(A9102)),VLOOKUP(A9102,Studies!A:BR,6,FALSE),"")</f>
        <v>Plasma</v>
      </c>
      <c r="G9102" s="194">
        <v>4</v>
      </c>
      <c r="H9102" s="50" t="s">
        <v>60</v>
      </c>
      <c r="I9102" s="187">
        <v>7351.77880859375</v>
      </c>
      <c r="J9102" s="41" t="s">
        <v>964</v>
      </c>
      <c r="K9102" s="41" t="s">
        <v>116</v>
      </c>
    </row>
    <row r="9103" spans="1:11" x14ac:dyDescent="0.2">
      <c r="A9103" s="30">
        <v>5447</v>
      </c>
      <c r="B9103" s="249" t="str">
        <f>IF(AND(A9103&lt;&gt;"",ISNUMBER(A9103)),VLOOKUP(A9103,Studies!A:BR,2,FALSE),"")</f>
        <v>Iwamoto 2008</v>
      </c>
      <c r="C9103" s="250" t="str">
        <f>IF(AND(A9103&lt;&gt;"",ISNUMBER(A9103)),VLOOKUP(A9103,Studies!A:BR,3,FALSE),"")</f>
        <v xml:space="preserve">https://www.ncbi.nlm.nih.gov/pubmed/17713476
</v>
      </c>
      <c r="D9103" s="250" t="str">
        <f>IF(AND(A9103&lt;&gt;"",ISNUMBER(A9103)),VLOOKUP(A9103,Studies!A:BR,4,FALSE),"")</f>
        <v>1600mg</v>
      </c>
      <c r="E9103" s="250" t="str">
        <f>IF(AND(A9103&lt;&gt;"",ISNUMBER(A9103)),VLOOKUP(A9103,Studies!A:BR,5,FALSE),"")</f>
        <v>Raltegravir</v>
      </c>
      <c r="F9103" s="251" t="str">
        <f>IF(AND(A9103&lt;&gt;"",ISNUMBER(A9103)),VLOOKUP(A9103,Studies!A:BR,6,FALSE),"")</f>
        <v>Plasma</v>
      </c>
      <c r="G9103" s="194">
        <v>6</v>
      </c>
      <c r="H9103" s="50" t="s">
        <v>60</v>
      </c>
      <c r="I9103" s="187">
        <v>1836.9405517578125</v>
      </c>
      <c r="J9103" s="41" t="s">
        <v>964</v>
      </c>
      <c r="K9103" s="41" t="s">
        <v>116</v>
      </c>
    </row>
    <row r="9104" spans="1:11" x14ac:dyDescent="0.2">
      <c r="A9104" s="30">
        <v>5447</v>
      </c>
      <c r="B9104" s="249" t="str">
        <f>IF(AND(A9104&lt;&gt;"",ISNUMBER(A9104)),VLOOKUP(A9104,Studies!A:BR,2,FALSE),"")</f>
        <v>Iwamoto 2008</v>
      </c>
      <c r="C9104" s="250" t="str">
        <f>IF(AND(A9104&lt;&gt;"",ISNUMBER(A9104)),VLOOKUP(A9104,Studies!A:BR,3,FALSE),"")</f>
        <v xml:space="preserve">https://www.ncbi.nlm.nih.gov/pubmed/17713476
</v>
      </c>
      <c r="D9104" s="250" t="str">
        <f>IF(AND(A9104&lt;&gt;"",ISNUMBER(A9104)),VLOOKUP(A9104,Studies!A:BR,4,FALSE),"")</f>
        <v>1600mg</v>
      </c>
      <c r="E9104" s="250" t="str">
        <f>IF(AND(A9104&lt;&gt;"",ISNUMBER(A9104)),VLOOKUP(A9104,Studies!A:BR,5,FALSE),"")</f>
        <v>Raltegravir</v>
      </c>
      <c r="F9104" s="251" t="str">
        <f>IF(AND(A9104&lt;&gt;"",ISNUMBER(A9104)),VLOOKUP(A9104,Studies!A:BR,6,FALSE),"")</f>
        <v>Plasma</v>
      </c>
      <c r="G9104" s="194">
        <v>8</v>
      </c>
      <c r="H9104" s="50" t="s">
        <v>60</v>
      </c>
      <c r="I9104" s="187">
        <v>599.029541015625</v>
      </c>
      <c r="J9104" s="41" t="s">
        <v>964</v>
      </c>
      <c r="K9104" s="41" t="s">
        <v>116</v>
      </c>
    </row>
    <row r="9105" spans="1:11" x14ac:dyDescent="0.2">
      <c r="A9105" s="30">
        <v>5447</v>
      </c>
      <c r="B9105" s="249" t="str">
        <f>IF(AND(A9105&lt;&gt;"",ISNUMBER(A9105)),VLOOKUP(A9105,Studies!A:BR,2,FALSE),"")</f>
        <v>Iwamoto 2008</v>
      </c>
      <c r="C9105" s="250" t="str">
        <f>IF(AND(A9105&lt;&gt;"",ISNUMBER(A9105)),VLOOKUP(A9105,Studies!A:BR,3,FALSE),"")</f>
        <v xml:space="preserve">https://www.ncbi.nlm.nih.gov/pubmed/17713476
</v>
      </c>
      <c r="D9105" s="250" t="str">
        <f>IF(AND(A9105&lt;&gt;"",ISNUMBER(A9105)),VLOOKUP(A9105,Studies!A:BR,4,FALSE),"")</f>
        <v>1600mg</v>
      </c>
      <c r="E9105" s="250" t="str">
        <f>IF(AND(A9105&lt;&gt;"",ISNUMBER(A9105)),VLOOKUP(A9105,Studies!A:BR,5,FALSE),"")</f>
        <v>Raltegravir</v>
      </c>
      <c r="F9105" s="251" t="str">
        <f>IF(AND(A9105&lt;&gt;"",ISNUMBER(A9105)),VLOOKUP(A9105,Studies!A:BR,6,FALSE),"")</f>
        <v>Plasma</v>
      </c>
      <c r="G9105" s="194">
        <v>12</v>
      </c>
      <c r="H9105" s="50" t="s">
        <v>60</v>
      </c>
      <c r="I9105" s="187">
        <v>263.85479736328125</v>
      </c>
      <c r="J9105" s="41" t="s">
        <v>964</v>
      </c>
      <c r="K9105" s="41" t="s">
        <v>116</v>
      </c>
    </row>
    <row r="9106" spans="1:11" x14ac:dyDescent="0.2">
      <c r="A9106" s="30">
        <v>5447</v>
      </c>
      <c r="B9106" s="249" t="str">
        <f>IF(AND(A9106&lt;&gt;"",ISNUMBER(A9106)),VLOOKUP(A9106,Studies!A:BR,2,FALSE),"")</f>
        <v>Iwamoto 2008</v>
      </c>
      <c r="C9106" s="250" t="str">
        <f>IF(AND(A9106&lt;&gt;"",ISNUMBER(A9106)),VLOOKUP(A9106,Studies!A:BR,3,FALSE),"")</f>
        <v xml:space="preserve">https://www.ncbi.nlm.nih.gov/pubmed/17713476
</v>
      </c>
      <c r="D9106" s="250" t="str">
        <f>IF(AND(A9106&lt;&gt;"",ISNUMBER(A9106)),VLOOKUP(A9106,Studies!A:BR,4,FALSE),"")</f>
        <v>1600mg</v>
      </c>
      <c r="E9106" s="250" t="str">
        <f>IF(AND(A9106&lt;&gt;"",ISNUMBER(A9106)),VLOOKUP(A9106,Studies!A:BR,5,FALSE),"")</f>
        <v>Raltegravir</v>
      </c>
      <c r="F9106" s="251" t="str">
        <f>IF(AND(A9106&lt;&gt;"",ISNUMBER(A9106)),VLOOKUP(A9106,Studies!A:BR,6,FALSE),"")</f>
        <v>Plasma</v>
      </c>
      <c r="G9106" s="194">
        <v>15</v>
      </c>
      <c r="H9106" s="50" t="s">
        <v>60</v>
      </c>
      <c r="I9106" s="187">
        <v>190.07801818847656</v>
      </c>
      <c r="J9106" s="41" t="s">
        <v>964</v>
      </c>
      <c r="K9106" s="41" t="s">
        <v>116</v>
      </c>
    </row>
    <row r="9107" spans="1:11" x14ac:dyDescent="0.2">
      <c r="A9107" s="30">
        <v>5447</v>
      </c>
      <c r="B9107" s="249" t="str">
        <f>IF(AND(A9107&lt;&gt;"",ISNUMBER(A9107)),VLOOKUP(A9107,Studies!A:BR,2,FALSE),"")</f>
        <v>Iwamoto 2008</v>
      </c>
      <c r="C9107" s="250" t="str">
        <f>IF(AND(A9107&lt;&gt;"",ISNUMBER(A9107)),VLOOKUP(A9107,Studies!A:BR,3,FALSE),"")</f>
        <v xml:space="preserve">https://www.ncbi.nlm.nih.gov/pubmed/17713476
</v>
      </c>
      <c r="D9107" s="250" t="str">
        <f>IF(AND(A9107&lt;&gt;"",ISNUMBER(A9107)),VLOOKUP(A9107,Studies!A:BR,4,FALSE),"")</f>
        <v>1600mg</v>
      </c>
      <c r="E9107" s="250" t="str">
        <f>IF(AND(A9107&lt;&gt;"",ISNUMBER(A9107)),VLOOKUP(A9107,Studies!A:BR,5,FALSE),"")</f>
        <v>Raltegravir</v>
      </c>
      <c r="F9107" s="251" t="str">
        <f>IF(AND(A9107&lt;&gt;"",ISNUMBER(A9107)),VLOOKUP(A9107,Studies!A:BR,6,FALSE),"")</f>
        <v>Plasma</v>
      </c>
      <c r="G9107" s="194">
        <v>24</v>
      </c>
      <c r="H9107" s="50" t="s">
        <v>60</v>
      </c>
      <c r="I9107" s="187">
        <v>122.74980926513672</v>
      </c>
      <c r="J9107" s="41" t="s">
        <v>964</v>
      </c>
      <c r="K9107" s="41" t="s">
        <v>116</v>
      </c>
    </row>
    <row r="9108" spans="1:11" x14ac:dyDescent="0.2">
      <c r="A9108" s="30">
        <v>5447</v>
      </c>
      <c r="B9108" s="249" t="str">
        <f>IF(AND(A9108&lt;&gt;"",ISNUMBER(A9108)),VLOOKUP(A9108,Studies!A:BR,2,FALSE),"")</f>
        <v>Iwamoto 2008</v>
      </c>
      <c r="C9108" s="250" t="str">
        <f>IF(AND(A9108&lt;&gt;"",ISNUMBER(A9108)),VLOOKUP(A9108,Studies!A:BR,3,FALSE),"")</f>
        <v xml:space="preserve">https://www.ncbi.nlm.nih.gov/pubmed/17713476
</v>
      </c>
      <c r="D9108" s="250" t="str">
        <f>IF(AND(A9108&lt;&gt;"",ISNUMBER(A9108)),VLOOKUP(A9108,Studies!A:BR,4,FALSE),"")</f>
        <v>1600mg</v>
      </c>
      <c r="E9108" s="250" t="str">
        <f>IF(AND(A9108&lt;&gt;"",ISNUMBER(A9108)),VLOOKUP(A9108,Studies!A:BR,5,FALSE),"")</f>
        <v>Raltegravir</v>
      </c>
      <c r="F9108" s="251" t="str">
        <f>IF(AND(A9108&lt;&gt;"",ISNUMBER(A9108)),VLOOKUP(A9108,Studies!A:BR,6,FALSE),"")</f>
        <v>Plasma</v>
      </c>
      <c r="G9108" s="194">
        <v>32</v>
      </c>
      <c r="H9108" s="50" t="s">
        <v>60</v>
      </c>
      <c r="I9108" s="187">
        <v>95.983345031738281</v>
      </c>
      <c r="J9108" s="41" t="s">
        <v>964</v>
      </c>
      <c r="K9108" s="41" t="s">
        <v>116</v>
      </c>
    </row>
    <row r="9109" spans="1:11" x14ac:dyDescent="0.2">
      <c r="A9109" s="30">
        <v>5447</v>
      </c>
      <c r="B9109" s="249" t="str">
        <f>IF(AND(A9109&lt;&gt;"",ISNUMBER(A9109)),VLOOKUP(A9109,Studies!A:BR,2,FALSE),"")</f>
        <v>Iwamoto 2008</v>
      </c>
      <c r="C9109" s="250" t="str">
        <f>IF(AND(A9109&lt;&gt;"",ISNUMBER(A9109)),VLOOKUP(A9109,Studies!A:BR,3,FALSE),"")</f>
        <v xml:space="preserve">https://www.ncbi.nlm.nih.gov/pubmed/17713476
</v>
      </c>
      <c r="D9109" s="250" t="str">
        <f>IF(AND(A9109&lt;&gt;"",ISNUMBER(A9109)),VLOOKUP(A9109,Studies!A:BR,4,FALSE),"")</f>
        <v>1600mg</v>
      </c>
      <c r="E9109" s="250" t="str">
        <f>IF(AND(A9109&lt;&gt;"",ISNUMBER(A9109)),VLOOKUP(A9109,Studies!A:BR,5,FALSE),"")</f>
        <v>Raltegravir</v>
      </c>
      <c r="F9109" s="251" t="str">
        <f>IF(AND(A9109&lt;&gt;"",ISNUMBER(A9109)),VLOOKUP(A9109,Studies!A:BR,6,FALSE),"")</f>
        <v>Plasma</v>
      </c>
      <c r="G9109" s="194">
        <v>48</v>
      </c>
      <c r="H9109" s="50" t="s">
        <v>60</v>
      </c>
      <c r="I9109" s="187">
        <v>57.105335235595703</v>
      </c>
      <c r="J9109" s="41" t="s">
        <v>964</v>
      </c>
      <c r="K9109" s="41" t="s">
        <v>116</v>
      </c>
    </row>
    <row r="9110" spans="1:11" x14ac:dyDescent="0.2">
      <c r="A9110" s="30">
        <v>5447</v>
      </c>
      <c r="B9110" s="249" t="str">
        <f>IF(AND(A9110&lt;&gt;"",ISNUMBER(A9110)),VLOOKUP(A9110,Studies!A:BR,2,FALSE),"")</f>
        <v>Iwamoto 2008</v>
      </c>
      <c r="C9110" s="250" t="str">
        <f>IF(AND(A9110&lt;&gt;"",ISNUMBER(A9110)),VLOOKUP(A9110,Studies!A:BR,3,FALSE),"")</f>
        <v xml:space="preserve">https://www.ncbi.nlm.nih.gov/pubmed/17713476
</v>
      </c>
      <c r="D9110" s="250" t="str">
        <f>IF(AND(A9110&lt;&gt;"",ISNUMBER(A9110)),VLOOKUP(A9110,Studies!A:BR,4,FALSE),"")</f>
        <v>1600mg</v>
      </c>
      <c r="E9110" s="250" t="str">
        <f>IF(AND(A9110&lt;&gt;"",ISNUMBER(A9110)),VLOOKUP(A9110,Studies!A:BR,5,FALSE),"")</f>
        <v>Raltegravir</v>
      </c>
      <c r="F9110" s="251" t="str">
        <f>IF(AND(A9110&lt;&gt;"",ISNUMBER(A9110)),VLOOKUP(A9110,Studies!A:BR,6,FALSE),"")</f>
        <v>Plasma</v>
      </c>
      <c r="G9110" s="194">
        <v>72</v>
      </c>
      <c r="H9110" s="50" t="s">
        <v>60</v>
      </c>
      <c r="I9110" s="187">
        <v>9.1500682830810547</v>
      </c>
      <c r="J9110" s="41" t="s">
        <v>964</v>
      </c>
      <c r="K9110" s="41" t="s">
        <v>116</v>
      </c>
    </row>
    <row r="9111" spans="1:11" x14ac:dyDescent="0.2">
      <c r="A9111" s="30">
        <v>5448</v>
      </c>
      <c r="B9111" s="249" t="str">
        <f>IF(AND(A9111&lt;&gt;"",ISNUMBER(A9111)),VLOOKUP(A9111,Studies!A:BR,2,FALSE),"")</f>
        <v>Wenning 2009</v>
      </c>
      <c r="C9111" s="250" t="str">
        <f>IF(AND(A9111&lt;&gt;"",ISNUMBER(A9111)),VLOOKUP(A9111,Studies!A:BR,3,FALSE),"")</f>
        <v xml:space="preserve">https://www.ncbi.nlm.nih.gov/pubmed/19433563
</v>
      </c>
      <c r="D9111" s="250" t="str">
        <f>IF(AND(A9111&lt;&gt;"",ISNUMBER(A9111)),VLOOKUP(A9111,Studies!A:BR,4,FALSE),"")</f>
        <v xml:space="preserve">400mg </v>
      </c>
      <c r="E9111" s="250" t="str">
        <f>IF(AND(A9111&lt;&gt;"",ISNUMBER(A9111)),VLOOKUP(A9111,Studies!A:BR,5,FALSE),"")</f>
        <v>Raltegravir</v>
      </c>
      <c r="F9111" s="251" t="str">
        <f>IF(AND(A9111&lt;&gt;"",ISNUMBER(A9111)),VLOOKUP(A9111,Studies!A:BR,6,FALSE),"")</f>
        <v>Plasma</v>
      </c>
      <c r="G9111" s="194">
        <v>0.5</v>
      </c>
      <c r="H9111" s="50" t="s">
        <v>60</v>
      </c>
      <c r="I9111" s="187">
        <v>5312.37744140625</v>
      </c>
      <c r="J9111" s="41" t="s">
        <v>964</v>
      </c>
      <c r="K9111" s="41" t="s">
        <v>116</v>
      </c>
    </row>
    <row r="9112" spans="1:11" x14ac:dyDescent="0.2">
      <c r="A9112" s="30">
        <v>5448</v>
      </c>
      <c r="B9112" s="249" t="str">
        <f>IF(AND(A9112&lt;&gt;"",ISNUMBER(A9112)),VLOOKUP(A9112,Studies!A:BR,2,FALSE),"")</f>
        <v>Wenning 2009</v>
      </c>
      <c r="C9112" s="250" t="str">
        <f>IF(AND(A9112&lt;&gt;"",ISNUMBER(A9112)),VLOOKUP(A9112,Studies!A:BR,3,FALSE),"")</f>
        <v xml:space="preserve">https://www.ncbi.nlm.nih.gov/pubmed/19433563
</v>
      </c>
      <c r="D9112" s="250" t="str">
        <f>IF(AND(A9112&lt;&gt;"",ISNUMBER(A9112)),VLOOKUP(A9112,Studies!A:BR,4,FALSE),"")</f>
        <v xml:space="preserve">400mg </v>
      </c>
      <c r="E9112" s="250" t="str">
        <f>IF(AND(A9112&lt;&gt;"",ISNUMBER(A9112)),VLOOKUP(A9112,Studies!A:BR,5,FALSE),"")</f>
        <v>Raltegravir</v>
      </c>
      <c r="F9112" s="251" t="str">
        <f>IF(AND(A9112&lt;&gt;"",ISNUMBER(A9112)),VLOOKUP(A9112,Studies!A:BR,6,FALSE),"")</f>
        <v>Plasma</v>
      </c>
      <c r="G9112" s="194">
        <v>1</v>
      </c>
      <c r="H9112" s="50" t="s">
        <v>60</v>
      </c>
      <c r="I9112" s="187">
        <v>7465.619140625</v>
      </c>
      <c r="J9112" s="41" t="s">
        <v>964</v>
      </c>
      <c r="K9112" s="41" t="s">
        <v>116</v>
      </c>
    </row>
    <row r="9113" spans="1:11" x14ac:dyDescent="0.2">
      <c r="A9113" s="30">
        <v>5448</v>
      </c>
      <c r="B9113" s="249" t="str">
        <f>IF(AND(A9113&lt;&gt;"",ISNUMBER(A9113)),VLOOKUP(A9113,Studies!A:BR,2,FALSE),"")</f>
        <v>Wenning 2009</v>
      </c>
      <c r="C9113" s="250" t="str">
        <f>IF(AND(A9113&lt;&gt;"",ISNUMBER(A9113)),VLOOKUP(A9113,Studies!A:BR,3,FALSE),"")</f>
        <v xml:space="preserve">https://www.ncbi.nlm.nih.gov/pubmed/19433563
</v>
      </c>
      <c r="D9113" s="250" t="str">
        <f>IF(AND(A9113&lt;&gt;"",ISNUMBER(A9113)),VLOOKUP(A9113,Studies!A:BR,4,FALSE),"")</f>
        <v xml:space="preserve">400mg </v>
      </c>
      <c r="E9113" s="250" t="str">
        <f>IF(AND(A9113&lt;&gt;"",ISNUMBER(A9113)),VLOOKUP(A9113,Studies!A:BR,5,FALSE),"")</f>
        <v>Raltegravir</v>
      </c>
      <c r="F9113" s="251" t="str">
        <f>IF(AND(A9113&lt;&gt;"",ISNUMBER(A9113)),VLOOKUP(A9113,Studies!A:BR,6,FALSE),"")</f>
        <v>Plasma</v>
      </c>
      <c r="G9113" s="194">
        <v>1.5</v>
      </c>
      <c r="H9113" s="50" t="s">
        <v>60</v>
      </c>
      <c r="I9113" s="187">
        <v>8094.302734375</v>
      </c>
      <c r="J9113" s="41" t="s">
        <v>964</v>
      </c>
      <c r="K9113" s="41" t="s">
        <v>116</v>
      </c>
    </row>
    <row r="9114" spans="1:11" x14ac:dyDescent="0.2">
      <c r="A9114" s="30">
        <v>5448</v>
      </c>
      <c r="B9114" s="249" t="str">
        <f>IF(AND(A9114&lt;&gt;"",ISNUMBER(A9114)),VLOOKUP(A9114,Studies!A:BR,2,FALSE),"")</f>
        <v>Wenning 2009</v>
      </c>
      <c r="C9114" s="250" t="str">
        <f>IF(AND(A9114&lt;&gt;"",ISNUMBER(A9114)),VLOOKUP(A9114,Studies!A:BR,3,FALSE),"")</f>
        <v xml:space="preserve">https://www.ncbi.nlm.nih.gov/pubmed/19433563
</v>
      </c>
      <c r="D9114" s="250" t="str">
        <f>IF(AND(A9114&lt;&gt;"",ISNUMBER(A9114)),VLOOKUP(A9114,Studies!A:BR,4,FALSE),"")</f>
        <v xml:space="preserve">400mg </v>
      </c>
      <c r="E9114" s="250" t="str">
        <f>IF(AND(A9114&lt;&gt;"",ISNUMBER(A9114)),VLOOKUP(A9114,Studies!A:BR,5,FALSE),"")</f>
        <v>Raltegravir</v>
      </c>
      <c r="F9114" s="251" t="str">
        <f>IF(AND(A9114&lt;&gt;"",ISNUMBER(A9114)),VLOOKUP(A9114,Studies!A:BR,6,FALSE),"")</f>
        <v>Plasma</v>
      </c>
      <c r="G9114" s="194">
        <v>2</v>
      </c>
      <c r="H9114" s="50" t="s">
        <v>60</v>
      </c>
      <c r="I9114" s="187">
        <v>7544.20458984375</v>
      </c>
      <c r="J9114" s="41" t="s">
        <v>964</v>
      </c>
      <c r="K9114" s="41" t="s">
        <v>116</v>
      </c>
    </row>
    <row r="9115" spans="1:11" x14ac:dyDescent="0.2">
      <c r="A9115" s="30">
        <v>5448</v>
      </c>
      <c r="B9115" s="249" t="str">
        <f>IF(AND(A9115&lt;&gt;"",ISNUMBER(A9115)),VLOOKUP(A9115,Studies!A:BR,2,FALSE),"")</f>
        <v>Wenning 2009</v>
      </c>
      <c r="C9115" s="250" t="str">
        <f>IF(AND(A9115&lt;&gt;"",ISNUMBER(A9115)),VLOOKUP(A9115,Studies!A:BR,3,FALSE),"")</f>
        <v xml:space="preserve">https://www.ncbi.nlm.nih.gov/pubmed/19433563
</v>
      </c>
      <c r="D9115" s="250" t="str">
        <f>IF(AND(A9115&lt;&gt;"",ISNUMBER(A9115)),VLOOKUP(A9115,Studies!A:BR,4,FALSE),"")</f>
        <v xml:space="preserve">400mg </v>
      </c>
      <c r="E9115" s="250" t="str">
        <f>IF(AND(A9115&lt;&gt;"",ISNUMBER(A9115)),VLOOKUP(A9115,Studies!A:BR,5,FALSE),"")</f>
        <v>Raltegravir</v>
      </c>
      <c r="F9115" s="251" t="str">
        <f>IF(AND(A9115&lt;&gt;"",ISNUMBER(A9115)),VLOOKUP(A9115,Studies!A:BR,6,FALSE),"")</f>
        <v>Plasma</v>
      </c>
      <c r="G9115" s="194">
        <v>3</v>
      </c>
      <c r="H9115" s="50" t="s">
        <v>60</v>
      </c>
      <c r="I9115" s="187">
        <v>4809.43017578125</v>
      </c>
      <c r="J9115" s="41" t="s">
        <v>964</v>
      </c>
      <c r="K9115" s="41" t="s">
        <v>116</v>
      </c>
    </row>
    <row r="9116" spans="1:11" x14ac:dyDescent="0.2">
      <c r="A9116" s="30">
        <v>5448</v>
      </c>
      <c r="B9116" s="249" t="str">
        <f>IF(AND(A9116&lt;&gt;"",ISNUMBER(A9116)),VLOOKUP(A9116,Studies!A:BR,2,FALSE),"")</f>
        <v>Wenning 2009</v>
      </c>
      <c r="C9116" s="250" t="str">
        <f>IF(AND(A9116&lt;&gt;"",ISNUMBER(A9116)),VLOOKUP(A9116,Studies!A:BR,3,FALSE),"")</f>
        <v xml:space="preserve">https://www.ncbi.nlm.nih.gov/pubmed/19433563
</v>
      </c>
      <c r="D9116" s="250" t="str">
        <f>IF(AND(A9116&lt;&gt;"",ISNUMBER(A9116)),VLOOKUP(A9116,Studies!A:BR,4,FALSE),"")</f>
        <v xml:space="preserve">400mg </v>
      </c>
      <c r="E9116" s="250" t="str">
        <f>IF(AND(A9116&lt;&gt;"",ISNUMBER(A9116)),VLOOKUP(A9116,Studies!A:BR,5,FALSE),"")</f>
        <v>Raltegravir</v>
      </c>
      <c r="F9116" s="251" t="str">
        <f>IF(AND(A9116&lt;&gt;"",ISNUMBER(A9116)),VLOOKUP(A9116,Studies!A:BR,6,FALSE),"")</f>
        <v>Plasma</v>
      </c>
      <c r="G9116" s="194">
        <v>4</v>
      </c>
      <c r="H9116" s="50" t="s">
        <v>60</v>
      </c>
      <c r="I9116" s="187">
        <v>2891.945068359375</v>
      </c>
      <c r="J9116" s="41" t="s">
        <v>964</v>
      </c>
      <c r="K9116" s="41" t="s">
        <v>116</v>
      </c>
    </row>
    <row r="9117" spans="1:11" x14ac:dyDescent="0.2">
      <c r="A9117" s="30">
        <v>5448</v>
      </c>
      <c r="B9117" s="249" t="str">
        <f>IF(AND(A9117&lt;&gt;"",ISNUMBER(A9117)),VLOOKUP(A9117,Studies!A:BR,2,FALSE),"")</f>
        <v>Wenning 2009</v>
      </c>
      <c r="C9117" s="250" t="str">
        <f>IF(AND(A9117&lt;&gt;"",ISNUMBER(A9117)),VLOOKUP(A9117,Studies!A:BR,3,FALSE),"")</f>
        <v xml:space="preserve">https://www.ncbi.nlm.nih.gov/pubmed/19433563
</v>
      </c>
      <c r="D9117" s="250" t="str">
        <f>IF(AND(A9117&lt;&gt;"",ISNUMBER(A9117)),VLOOKUP(A9117,Studies!A:BR,4,FALSE),"")</f>
        <v xml:space="preserve">400mg </v>
      </c>
      <c r="E9117" s="250" t="str">
        <f>IF(AND(A9117&lt;&gt;"",ISNUMBER(A9117)),VLOOKUP(A9117,Studies!A:BR,5,FALSE),"")</f>
        <v>Raltegravir</v>
      </c>
      <c r="F9117" s="251" t="str">
        <f>IF(AND(A9117&lt;&gt;"",ISNUMBER(A9117)),VLOOKUP(A9117,Studies!A:BR,6,FALSE),"")</f>
        <v>Plasma</v>
      </c>
      <c r="G9117" s="194">
        <v>5</v>
      </c>
      <c r="H9117" s="50" t="s">
        <v>60</v>
      </c>
      <c r="I9117" s="187">
        <v>1445.9725341796875</v>
      </c>
      <c r="J9117" s="41" t="s">
        <v>964</v>
      </c>
      <c r="K9117" s="41" t="s">
        <v>116</v>
      </c>
    </row>
    <row r="9118" spans="1:11" x14ac:dyDescent="0.2">
      <c r="A9118" s="30">
        <v>5448</v>
      </c>
      <c r="B9118" s="249" t="str">
        <f>IF(AND(A9118&lt;&gt;"",ISNUMBER(A9118)),VLOOKUP(A9118,Studies!A:BR,2,FALSE),"")</f>
        <v>Wenning 2009</v>
      </c>
      <c r="C9118" s="250" t="str">
        <f>IF(AND(A9118&lt;&gt;"",ISNUMBER(A9118)),VLOOKUP(A9118,Studies!A:BR,3,FALSE),"")</f>
        <v xml:space="preserve">https://www.ncbi.nlm.nih.gov/pubmed/19433563
</v>
      </c>
      <c r="D9118" s="250" t="str">
        <f>IF(AND(A9118&lt;&gt;"",ISNUMBER(A9118)),VLOOKUP(A9118,Studies!A:BR,4,FALSE),"")</f>
        <v xml:space="preserve">400mg </v>
      </c>
      <c r="E9118" s="250" t="str">
        <f>IF(AND(A9118&lt;&gt;"",ISNUMBER(A9118)),VLOOKUP(A9118,Studies!A:BR,5,FALSE),"")</f>
        <v>Raltegravir</v>
      </c>
      <c r="F9118" s="251" t="str">
        <f>IF(AND(A9118&lt;&gt;"",ISNUMBER(A9118)),VLOOKUP(A9118,Studies!A:BR,6,FALSE),"")</f>
        <v>Plasma</v>
      </c>
      <c r="G9118" s="194">
        <v>6</v>
      </c>
      <c r="H9118" s="50" t="s">
        <v>60</v>
      </c>
      <c r="I9118" s="187">
        <v>848.7230224609375</v>
      </c>
      <c r="J9118" s="41" t="s">
        <v>964</v>
      </c>
      <c r="K9118" s="41" t="s">
        <v>116</v>
      </c>
    </row>
    <row r="9119" spans="1:11" x14ac:dyDescent="0.2">
      <c r="A9119" s="30">
        <v>5448</v>
      </c>
      <c r="B9119" s="249" t="str">
        <f>IF(AND(A9119&lt;&gt;"",ISNUMBER(A9119)),VLOOKUP(A9119,Studies!A:BR,2,FALSE),"")</f>
        <v>Wenning 2009</v>
      </c>
      <c r="C9119" s="250" t="str">
        <f>IF(AND(A9119&lt;&gt;"",ISNUMBER(A9119)),VLOOKUP(A9119,Studies!A:BR,3,FALSE),"")</f>
        <v xml:space="preserve">https://www.ncbi.nlm.nih.gov/pubmed/19433563
</v>
      </c>
      <c r="D9119" s="250" t="str">
        <f>IF(AND(A9119&lt;&gt;"",ISNUMBER(A9119)),VLOOKUP(A9119,Studies!A:BR,4,FALSE),"")</f>
        <v xml:space="preserve">400mg </v>
      </c>
      <c r="E9119" s="250" t="str">
        <f>IF(AND(A9119&lt;&gt;"",ISNUMBER(A9119)),VLOOKUP(A9119,Studies!A:BR,5,FALSE),"")</f>
        <v>Raltegravir</v>
      </c>
      <c r="F9119" s="251" t="str">
        <f>IF(AND(A9119&lt;&gt;"",ISNUMBER(A9119)),VLOOKUP(A9119,Studies!A:BR,6,FALSE),"")</f>
        <v>Plasma</v>
      </c>
      <c r="G9119" s="194">
        <v>8</v>
      </c>
      <c r="H9119" s="50" t="s">
        <v>60</v>
      </c>
      <c r="I9119" s="187">
        <v>282.90765380859375</v>
      </c>
      <c r="J9119" s="41" t="s">
        <v>964</v>
      </c>
      <c r="K9119" s="41" t="s">
        <v>116</v>
      </c>
    </row>
    <row r="9120" spans="1:11" x14ac:dyDescent="0.2">
      <c r="A9120" s="30">
        <v>5448</v>
      </c>
      <c r="B9120" s="249" t="str">
        <f>IF(AND(A9120&lt;&gt;"",ISNUMBER(A9120)),VLOOKUP(A9120,Studies!A:BR,2,FALSE),"")</f>
        <v>Wenning 2009</v>
      </c>
      <c r="C9120" s="250" t="str">
        <f>IF(AND(A9120&lt;&gt;"",ISNUMBER(A9120)),VLOOKUP(A9120,Studies!A:BR,3,FALSE),"")</f>
        <v xml:space="preserve">https://www.ncbi.nlm.nih.gov/pubmed/19433563
</v>
      </c>
      <c r="D9120" s="250" t="str">
        <f>IF(AND(A9120&lt;&gt;"",ISNUMBER(A9120)),VLOOKUP(A9120,Studies!A:BR,4,FALSE),"")</f>
        <v xml:space="preserve">400mg </v>
      </c>
      <c r="E9120" s="250" t="str">
        <f>IF(AND(A9120&lt;&gt;"",ISNUMBER(A9120)),VLOOKUP(A9120,Studies!A:BR,5,FALSE),"")</f>
        <v>Raltegravir</v>
      </c>
      <c r="F9120" s="251" t="str">
        <f>IF(AND(A9120&lt;&gt;"",ISNUMBER(A9120)),VLOOKUP(A9120,Studies!A:BR,6,FALSE),"")</f>
        <v>Plasma</v>
      </c>
      <c r="G9120" s="194">
        <v>10</v>
      </c>
      <c r="H9120" s="50" t="s">
        <v>60</v>
      </c>
      <c r="I9120" s="187">
        <v>172.88801574707031</v>
      </c>
      <c r="J9120" s="41" t="s">
        <v>964</v>
      </c>
      <c r="K9120" s="41" t="s">
        <v>116</v>
      </c>
    </row>
    <row r="9121" spans="1:14" x14ac:dyDescent="0.2">
      <c r="A9121" s="30">
        <v>5448</v>
      </c>
      <c r="B9121" s="249" t="str">
        <f>IF(AND(A9121&lt;&gt;"",ISNUMBER(A9121)),VLOOKUP(A9121,Studies!A:BR,2,FALSE),"")</f>
        <v>Wenning 2009</v>
      </c>
      <c r="C9121" s="250" t="str">
        <f>IF(AND(A9121&lt;&gt;"",ISNUMBER(A9121)),VLOOKUP(A9121,Studies!A:BR,3,FALSE),"")</f>
        <v xml:space="preserve">https://www.ncbi.nlm.nih.gov/pubmed/19433563
</v>
      </c>
      <c r="D9121" s="250" t="str">
        <f>IF(AND(A9121&lt;&gt;"",ISNUMBER(A9121)),VLOOKUP(A9121,Studies!A:BR,4,FALSE),"")</f>
        <v xml:space="preserve">400mg </v>
      </c>
      <c r="E9121" s="250" t="str">
        <f>IF(AND(A9121&lt;&gt;"",ISNUMBER(A9121)),VLOOKUP(A9121,Studies!A:BR,5,FALSE),"")</f>
        <v>Raltegravir</v>
      </c>
      <c r="F9121" s="251" t="str">
        <f>IF(AND(A9121&lt;&gt;"",ISNUMBER(A9121)),VLOOKUP(A9121,Studies!A:BR,6,FALSE),"")</f>
        <v>Plasma</v>
      </c>
      <c r="G9121" s="194">
        <v>12</v>
      </c>
      <c r="H9121" s="50" t="s">
        <v>60</v>
      </c>
      <c r="I9121" s="187">
        <v>141.45382690429688</v>
      </c>
      <c r="J9121" s="41" t="s">
        <v>964</v>
      </c>
      <c r="K9121" s="41" t="s">
        <v>116</v>
      </c>
    </row>
    <row r="9122" spans="1:14" x14ac:dyDescent="0.2">
      <c r="A9122" s="30">
        <v>5449</v>
      </c>
      <c r="B9122" s="249" t="str">
        <f>IF(AND(A9122&lt;&gt;"",ISNUMBER(A9122)),VLOOKUP(A9122,Studies!A:BR,2,FALSE),"")</f>
        <v>Larson 2013</v>
      </c>
      <c r="C9122" s="250" t="str">
        <f>IF(AND(A9122&lt;&gt;"",ISNUMBER(A9122)),VLOOKUP(A9122,Studies!A:BR,3,FALSE),"")</f>
        <v>https://www.ncbi.nlm.nih.gov/pubmed/24600298</v>
      </c>
      <c r="D9122" s="250" t="str">
        <f>IF(AND(A9122&lt;&gt;"",ISNUMBER(A9122)),VLOOKUP(A9122,Studies!A:BR,4,FALSE),"")</f>
        <v>8-18y</v>
      </c>
      <c r="E9122" s="250" t="str">
        <f>IF(AND(A9122&lt;&gt;"",ISNUMBER(A9122)),VLOOKUP(A9122,Studies!A:BR,5,FALSE),"")</f>
        <v>Raltegravir</v>
      </c>
      <c r="F9122" s="251" t="str">
        <f>IF(AND(A9122&lt;&gt;"",ISNUMBER(A9122)),VLOOKUP(A9122,Studies!A:BR,6,FALSE),"")</f>
        <v>Plasma</v>
      </c>
      <c r="G9122" s="194">
        <v>0</v>
      </c>
      <c r="H9122" s="50" t="s">
        <v>60</v>
      </c>
      <c r="I9122" s="187">
        <v>223.60470000000001</v>
      </c>
      <c r="J9122" s="41" t="s">
        <v>941</v>
      </c>
      <c r="K9122" s="41" t="s">
        <v>116</v>
      </c>
    </row>
    <row r="9123" spans="1:14" x14ac:dyDescent="0.2">
      <c r="A9123" s="30">
        <v>5449</v>
      </c>
      <c r="B9123" s="249" t="str">
        <f>IF(AND(A9123&lt;&gt;"",ISNUMBER(A9123)),VLOOKUP(A9123,Studies!A:BR,2,FALSE),"")</f>
        <v>Larson 2013</v>
      </c>
      <c r="C9123" s="250" t="str">
        <f>IF(AND(A9123&lt;&gt;"",ISNUMBER(A9123)),VLOOKUP(A9123,Studies!A:BR,3,FALSE),"")</f>
        <v>https://www.ncbi.nlm.nih.gov/pubmed/24600298</v>
      </c>
      <c r="D9123" s="250" t="str">
        <f>IF(AND(A9123&lt;&gt;"",ISNUMBER(A9123)),VLOOKUP(A9123,Studies!A:BR,4,FALSE),"")</f>
        <v>8-18y</v>
      </c>
      <c r="E9123" s="250" t="str">
        <f>IF(AND(A9123&lt;&gt;"",ISNUMBER(A9123)),VLOOKUP(A9123,Studies!A:BR,5,FALSE),"")</f>
        <v>Raltegravir</v>
      </c>
      <c r="F9123" s="251" t="str">
        <f>IF(AND(A9123&lt;&gt;"",ISNUMBER(A9123)),VLOOKUP(A9123,Studies!A:BR,6,FALSE),"")</f>
        <v>Plasma</v>
      </c>
      <c r="G9123" s="194">
        <v>0.5</v>
      </c>
      <c r="H9123" s="50" t="s">
        <v>60</v>
      </c>
      <c r="I9123" s="187">
        <v>655.55470000000003</v>
      </c>
      <c r="J9123" s="41" t="s">
        <v>941</v>
      </c>
      <c r="K9123" s="41" t="s">
        <v>116</v>
      </c>
    </row>
    <row r="9124" spans="1:14" x14ac:dyDescent="0.2">
      <c r="A9124" s="30">
        <v>5449</v>
      </c>
      <c r="B9124" s="249" t="str">
        <f>IF(AND(A9124&lt;&gt;"",ISNUMBER(A9124)),VLOOKUP(A9124,Studies!A:BR,2,FALSE),"")</f>
        <v>Larson 2013</v>
      </c>
      <c r="C9124" s="250" t="str">
        <f>IF(AND(A9124&lt;&gt;"",ISNUMBER(A9124)),VLOOKUP(A9124,Studies!A:BR,3,FALSE),"")</f>
        <v>https://www.ncbi.nlm.nih.gov/pubmed/24600298</v>
      </c>
      <c r="D9124" s="250" t="str">
        <f>IF(AND(A9124&lt;&gt;"",ISNUMBER(A9124)),VLOOKUP(A9124,Studies!A:BR,4,FALSE),"")</f>
        <v>8-18y</v>
      </c>
      <c r="E9124" s="250" t="str">
        <f>IF(AND(A9124&lt;&gt;"",ISNUMBER(A9124)),VLOOKUP(A9124,Studies!A:BR,5,FALSE),"")</f>
        <v>Raltegravir</v>
      </c>
      <c r="F9124" s="251" t="str">
        <f>IF(AND(A9124&lt;&gt;"",ISNUMBER(A9124)),VLOOKUP(A9124,Studies!A:BR,6,FALSE),"")</f>
        <v>Plasma</v>
      </c>
      <c r="G9124" s="194">
        <v>1</v>
      </c>
      <c r="H9124" s="50" t="s">
        <v>60</v>
      </c>
      <c r="I9124" s="187">
        <v>883.82600000000002</v>
      </c>
      <c r="J9124" s="41" t="s">
        <v>941</v>
      </c>
      <c r="K9124" s="41" t="s">
        <v>116</v>
      </c>
    </row>
    <row r="9125" spans="1:14" x14ac:dyDescent="0.2">
      <c r="A9125" s="30">
        <v>5449</v>
      </c>
      <c r="B9125" s="249" t="str">
        <f>IF(AND(A9125&lt;&gt;"",ISNUMBER(A9125)),VLOOKUP(A9125,Studies!A:BR,2,FALSE),"")</f>
        <v>Larson 2013</v>
      </c>
      <c r="C9125" s="250" t="str">
        <f>IF(AND(A9125&lt;&gt;"",ISNUMBER(A9125)),VLOOKUP(A9125,Studies!A:BR,3,FALSE),"")</f>
        <v>https://www.ncbi.nlm.nih.gov/pubmed/24600298</v>
      </c>
      <c r="D9125" s="250" t="str">
        <f>IF(AND(A9125&lt;&gt;"",ISNUMBER(A9125)),VLOOKUP(A9125,Studies!A:BR,4,FALSE),"")</f>
        <v>8-18y</v>
      </c>
      <c r="E9125" s="250" t="str">
        <f>IF(AND(A9125&lt;&gt;"",ISNUMBER(A9125)),VLOOKUP(A9125,Studies!A:BR,5,FALSE),"")</f>
        <v>Raltegravir</v>
      </c>
      <c r="F9125" s="251" t="str">
        <f>IF(AND(A9125&lt;&gt;"",ISNUMBER(A9125)),VLOOKUP(A9125,Studies!A:BR,6,FALSE),"")</f>
        <v>Plasma</v>
      </c>
      <c r="G9125" s="194">
        <v>2</v>
      </c>
      <c r="H9125" s="50" t="s">
        <v>60</v>
      </c>
      <c r="I9125" s="187">
        <v>793.69569999999999</v>
      </c>
      <c r="J9125" s="41" t="s">
        <v>941</v>
      </c>
      <c r="K9125" s="41" t="s">
        <v>116</v>
      </c>
    </row>
    <row r="9126" spans="1:14" x14ac:dyDescent="0.2">
      <c r="A9126" s="30">
        <v>5449</v>
      </c>
      <c r="B9126" s="249" t="str">
        <f>IF(AND(A9126&lt;&gt;"",ISNUMBER(A9126)),VLOOKUP(A9126,Studies!A:BR,2,FALSE),"")</f>
        <v>Larson 2013</v>
      </c>
      <c r="C9126" s="250" t="str">
        <f>IF(AND(A9126&lt;&gt;"",ISNUMBER(A9126)),VLOOKUP(A9126,Studies!A:BR,3,FALSE),"")</f>
        <v>https://www.ncbi.nlm.nih.gov/pubmed/24600298</v>
      </c>
      <c r="D9126" s="250" t="str">
        <f>IF(AND(A9126&lt;&gt;"",ISNUMBER(A9126)),VLOOKUP(A9126,Studies!A:BR,4,FALSE),"")</f>
        <v>8-18y</v>
      </c>
      <c r="E9126" s="250" t="str">
        <f>IF(AND(A9126&lt;&gt;"",ISNUMBER(A9126)),VLOOKUP(A9126,Studies!A:BR,5,FALSE),"")</f>
        <v>Raltegravir</v>
      </c>
      <c r="F9126" s="251" t="str">
        <f>IF(AND(A9126&lt;&gt;"",ISNUMBER(A9126)),VLOOKUP(A9126,Studies!A:BR,6,FALSE),"")</f>
        <v>Plasma</v>
      </c>
      <c r="G9126" s="194">
        <v>3</v>
      </c>
      <c r="H9126" s="50" t="s">
        <v>60</v>
      </c>
      <c r="I9126" s="187">
        <v>738.77499999999998</v>
      </c>
      <c r="J9126" s="41" t="s">
        <v>941</v>
      </c>
      <c r="K9126" s="41" t="s">
        <v>116</v>
      </c>
    </row>
    <row r="9127" spans="1:14" x14ac:dyDescent="0.2">
      <c r="A9127" s="30">
        <v>5449</v>
      </c>
      <c r="B9127" s="249" t="str">
        <f>IF(AND(A9127&lt;&gt;"",ISNUMBER(A9127)),VLOOKUP(A9127,Studies!A:BR,2,FALSE),"")</f>
        <v>Larson 2013</v>
      </c>
      <c r="C9127" s="250" t="str">
        <f>IF(AND(A9127&lt;&gt;"",ISNUMBER(A9127)),VLOOKUP(A9127,Studies!A:BR,3,FALSE),"")</f>
        <v>https://www.ncbi.nlm.nih.gov/pubmed/24600298</v>
      </c>
      <c r="D9127" s="250" t="str">
        <f>IF(AND(A9127&lt;&gt;"",ISNUMBER(A9127)),VLOOKUP(A9127,Studies!A:BR,4,FALSE),"")</f>
        <v>8-18y</v>
      </c>
      <c r="E9127" s="250" t="str">
        <f>IF(AND(A9127&lt;&gt;"",ISNUMBER(A9127)),VLOOKUP(A9127,Studies!A:BR,5,FALSE),"")</f>
        <v>Raltegravir</v>
      </c>
      <c r="F9127" s="251" t="str">
        <f>IF(AND(A9127&lt;&gt;"",ISNUMBER(A9127)),VLOOKUP(A9127,Studies!A:BR,6,FALSE),"")</f>
        <v>Plasma</v>
      </c>
      <c r="G9127" s="194">
        <v>4</v>
      </c>
      <c r="H9127" s="50" t="s">
        <v>60</v>
      </c>
      <c r="I9127" s="187">
        <v>602.94380000000001</v>
      </c>
      <c r="J9127" s="41" t="s">
        <v>941</v>
      </c>
      <c r="K9127" s="41" t="s">
        <v>116</v>
      </c>
    </row>
    <row r="9128" spans="1:14" x14ac:dyDescent="0.2">
      <c r="A9128" s="30">
        <v>5449</v>
      </c>
      <c r="B9128" s="249" t="str">
        <f>IF(AND(A9128&lt;&gt;"",ISNUMBER(A9128)),VLOOKUP(A9128,Studies!A:BR,2,FALSE),"")</f>
        <v>Larson 2013</v>
      </c>
      <c r="C9128" s="250" t="str">
        <f>IF(AND(A9128&lt;&gt;"",ISNUMBER(A9128)),VLOOKUP(A9128,Studies!A:BR,3,FALSE),"")</f>
        <v>https://www.ncbi.nlm.nih.gov/pubmed/24600298</v>
      </c>
      <c r="D9128" s="250" t="str">
        <f>IF(AND(A9128&lt;&gt;"",ISNUMBER(A9128)),VLOOKUP(A9128,Studies!A:BR,4,FALSE),"")</f>
        <v>8-18y</v>
      </c>
      <c r="E9128" s="250" t="str">
        <f>IF(AND(A9128&lt;&gt;"",ISNUMBER(A9128)),VLOOKUP(A9128,Studies!A:BR,5,FALSE),"")</f>
        <v>Raltegravir</v>
      </c>
      <c r="F9128" s="251" t="str">
        <f>IF(AND(A9128&lt;&gt;"",ISNUMBER(A9128)),VLOOKUP(A9128,Studies!A:BR,6,FALSE),"")</f>
        <v>Plasma</v>
      </c>
      <c r="G9128" s="194">
        <v>6</v>
      </c>
      <c r="H9128" s="50" t="s">
        <v>60</v>
      </c>
      <c r="I9128" s="187">
        <v>258.08609999999999</v>
      </c>
      <c r="J9128" s="41" t="s">
        <v>941</v>
      </c>
      <c r="K9128" s="41" t="s">
        <v>116</v>
      </c>
    </row>
    <row r="9129" spans="1:14" x14ac:dyDescent="0.2">
      <c r="A9129" s="30">
        <v>5449</v>
      </c>
      <c r="B9129" s="249" t="str">
        <f>IF(AND(A9129&lt;&gt;"",ISNUMBER(A9129)),VLOOKUP(A9129,Studies!A:BR,2,FALSE),"")</f>
        <v>Larson 2013</v>
      </c>
      <c r="C9129" s="250" t="str">
        <f>IF(AND(A9129&lt;&gt;"",ISNUMBER(A9129)),VLOOKUP(A9129,Studies!A:BR,3,FALSE),"")</f>
        <v>https://www.ncbi.nlm.nih.gov/pubmed/24600298</v>
      </c>
      <c r="D9129" s="250" t="str">
        <f>IF(AND(A9129&lt;&gt;"",ISNUMBER(A9129)),VLOOKUP(A9129,Studies!A:BR,4,FALSE),"")</f>
        <v>8-18y</v>
      </c>
      <c r="E9129" s="250" t="str">
        <f>IF(AND(A9129&lt;&gt;"",ISNUMBER(A9129)),VLOOKUP(A9129,Studies!A:BR,5,FALSE),"")</f>
        <v>Raltegravir</v>
      </c>
      <c r="F9129" s="251" t="str">
        <f>IF(AND(A9129&lt;&gt;"",ISNUMBER(A9129)),VLOOKUP(A9129,Studies!A:BR,6,FALSE),"")</f>
        <v>Plasma</v>
      </c>
      <c r="G9129" s="194">
        <v>8</v>
      </c>
      <c r="H9129" s="50" t="s">
        <v>60</v>
      </c>
      <c r="I9129" s="187">
        <v>171.90719999999999</v>
      </c>
      <c r="J9129" s="41" t="s">
        <v>941</v>
      </c>
      <c r="K9129" s="41" t="s">
        <v>116</v>
      </c>
    </row>
    <row r="9130" spans="1:14" x14ac:dyDescent="0.2">
      <c r="A9130" s="30">
        <v>5449</v>
      </c>
      <c r="B9130" s="249" t="str">
        <f>IF(AND(A9130&lt;&gt;"",ISNUMBER(A9130)),VLOOKUP(A9130,Studies!A:BR,2,FALSE),"")</f>
        <v>Larson 2013</v>
      </c>
      <c r="C9130" s="250" t="str">
        <f>IF(AND(A9130&lt;&gt;"",ISNUMBER(A9130)),VLOOKUP(A9130,Studies!A:BR,3,FALSE),"")</f>
        <v>https://www.ncbi.nlm.nih.gov/pubmed/24600298</v>
      </c>
      <c r="D9130" s="250" t="str">
        <f>IF(AND(A9130&lt;&gt;"",ISNUMBER(A9130)),VLOOKUP(A9130,Studies!A:BR,4,FALSE),"")</f>
        <v>8-18y</v>
      </c>
      <c r="E9130" s="250" t="str">
        <f>IF(AND(A9130&lt;&gt;"",ISNUMBER(A9130)),VLOOKUP(A9130,Studies!A:BR,5,FALSE),"")</f>
        <v>Raltegravir</v>
      </c>
      <c r="F9130" s="251" t="str">
        <f>IF(AND(A9130&lt;&gt;"",ISNUMBER(A9130)),VLOOKUP(A9130,Studies!A:BR,6,FALSE),"")</f>
        <v>Plasma</v>
      </c>
      <c r="G9130" s="194">
        <v>12</v>
      </c>
      <c r="H9130" s="50" t="s">
        <v>60</v>
      </c>
      <c r="I9130" s="187">
        <v>123.0171</v>
      </c>
      <c r="J9130" s="41" t="s">
        <v>941</v>
      </c>
      <c r="K9130" s="41" t="s">
        <v>116</v>
      </c>
    </row>
    <row r="9131" spans="1:14" x14ac:dyDescent="0.2">
      <c r="A9131" s="30">
        <v>806</v>
      </c>
      <c r="B9131" s="249" t="str">
        <f>IF(AND(A9131&lt;&gt;"",ISNUMBER(A9131)),VLOOKUP(A9131,Studies!A:BR,2,FALSE),"")</f>
        <v>Olkkola 1993</v>
      </c>
      <c r="C9131" s="250" t="str">
        <f>IF(AND(A9131&lt;&gt;"",ISNUMBER(A9131)),VLOOKUP(A9131,Studies!A:BR,3,FALSE),"")</f>
        <v>https://www.ncbi.nlm.nih.gov/pubmed/8453848</v>
      </c>
      <c r="D9131" s="250" t="str">
        <f>IF(AND(A9131&lt;&gt;"",ISNUMBER(A9131)),VLOOKUP(A9131,Studies!A:BR,4,FALSE),"")</f>
        <v>iv with Perpetrator, mean</v>
      </c>
      <c r="E9131" s="250" t="str">
        <f>IF(AND(A9131&lt;&gt;"",ISNUMBER(A9131)),VLOOKUP(A9131,Studies!A:BR,5,FALSE),"")</f>
        <v>Erythromycin</v>
      </c>
      <c r="F9131" s="251" t="str">
        <f>IF(AND(A9131&lt;&gt;"",ISNUMBER(A9131)),VLOOKUP(A9131,Studies!A:BR,6,FALSE),"")</f>
        <v>Plasma</v>
      </c>
      <c r="G9131" s="194">
        <v>128</v>
      </c>
      <c r="H9131" s="50" t="s">
        <v>60</v>
      </c>
      <c r="I9131" s="187">
        <v>1.2</v>
      </c>
      <c r="J9131" s="41" t="s">
        <v>962</v>
      </c>
      <c r="K9131" s="41" t="s">
        <v>116</v>
      </c>
      <c r="L9131" s="195">
        <v>0.2</v>
      </c>
      <c r="M9131" s="52" t="s">
        <v>962</v>
      </c>
      <c r="N9131" s="52" t="s">
        <v>949</v>
      </c>
    </row>
    <row r="9132" spans="1:14" x14ac:dyDescent="0.2">
      <c r="A9132" s="30">
        <v>807</v>
      </c>
      <c r="B9132" s="249" t="str">
        <f>IF(AND(A9132&lt;&gt;"",ISNUMBER(A9132)),VLOOKUP(A9132,Studies!A:BR,2,FALSE),"")</f>
        <v>Olkkola 1993</v>
      </c>
      <c r="C9132" s="250" t="str">
        <f>IF(AND(A9132&lt;&gt;"",ISNUMBER(A9132)),VLOOKUP(A9132,Studies!A:BR,3,FALSE),"")</f>
        <v>https://www.ncbi.nlm.nih.gov/pubmed/8453848</v>
      </c>
      <c r="D9132" s="250" t="str">
        <f>IF(AND(A9132&lt;&gt;"",ISNUMBER(A9132)),VLOOKUP(A9132,Studies!A:BR,4,FALSE),"")</f>
        <v>iv with Perpetrator, Ind01</v>
      </c>
      <c r="E9132" s="250" t="str">
        <f>IF(AND(A9132&lt;&gt;"",ISNUMBER(A9132)),VLOOKUP(A9132,Studies!A:BR,5,FALSE),"")</f>
        <v>Erythromycin</v>
      </c>
      <c r="F9132" s="251" t="str">
        <f>IF(AND(A9132&lt;&gt;"",ISNUMBER(A9132)),VLOOKUP(A9132,Studies!A:BR,6,FALSE),"")</f>
        <v>Plasma</v>
      </c>
      <c r="G9132" s="194">
        <v>128</v>
      </c>
      <c r="H9132" s="50" t="s">
        <v>60</v>
      </c>
      <c r="I9132" s="187">
        <v>0.335501374087807</v>
      </c>
      <c r="J9132" s="41" t="s">
        <v>962</v>
      </c>
      <c r="K9132" s="41" t="s">
        <v>76</v>
      </c>
    </row>
    <row r="9133" spans="1:14" x14ac:dyDescent="0.2">
      <c r="A9133" s="30">
        <v>808</v>
      </c>
      <c r="B9133" s="249" t="str">
        <f>IF(AND(A9133&lt;&gt;"",ISNUMBER(A9133)),VLOOKUP(A9133,Studies!A:BR,2,FALSE),"")</f>
        <v>Olkkola 1993</v>
      </c>
      <c r="C9133" s="250" t="str">
        <f>IF(AND(A9133&lt;&gt;"",ISNUMBER(A9133)),VLOOKUP(A9133,Studies!A:BR,3,FALSE),"")</f>
        <v>https://www.ncbi.nlm.nih.gov/pubmed/8453848</v>
      </c>
      <c r="D9133" s="250" t="str">
        <f>IF(AND(A9133&lt;&gt;"",ISNUMBER(A9133)),VLOOKUP(A9133,Studies!A:BR,4,FALSE),"")</f>
        <v>iv with Perpetrator, Ind02</v>
      </c>
      <c r="E9133" s="250" t="str">
        <f>IF(AND(A9133&lt;&gt;"",ISNUMBER(A9133)),VLOOKUP(A9133,Studies!A:BR,5,FALSE),"")</f>
        <v>Erythromycin</v>
      </c>
      <c r="F9133" s="251" t="str">
        <f>IF(AND(A9133&lt;&gt;"",ISNUMBER(A9133)),VLOOKUP(A9133,Studies!A:BR,6,FALSE),"")</f>
        <v>Plasma</v>
      </c>
      <c r="G9133" s="194">
        <v>128</v>
      </c>
      <c r="H9133" s="50" t="s">
        <v>60</v>
      </c>
      <c r="I9133" s="187">
        <v>0.82959711553534998</v>
      </c>
      <c r="J9133" s="41" t="s">
        <v>962</v>
      </c>
      <c r="K9133" s="41" t="s">
        <v>76</v>
      </c>
    </row>
    <row r="9134" spans="1:14" x14ac:dyDescent="0.2">
      <c r="A9134" s="30">
        <v>809</v>
      </c>
      <c r="B9134" s="249" t="str">
        <f>IF(AND(A9134&lt;&gt;"",ISNUMBER(A9134)),VLOOKUP(A9134,Studies!A:BR,2,FALSE),"")</f>
        <v>Olkkola 1993</v>
      </c>
      <c r="C9134" s="250" t="str">
        <f>IF(AND(A9134&lt;&gt;"",ISNUMBER(A9134)),VLOOKUP(A9134,Studies!A:BR,3,FALSE),"")</f>
        <v>https://www.ncbi.nlm.nih.gov/pubmed/8453848</v>
      </c>
      <c r="D9134" s="250" t="str">
        <f>IF(AND(A9134&lt;&gt;"",ISNUMBER(A9134)),VLOOKUP(A9134,Studies!A:BR,4,FALSE),"")</f>
        <v>iv with Perpetrator, Ind03</v>
      </c>
      <c r="E9134" s="250" t="str">
        <f>IF(AND(A9134&lt;&gt;"",ISNUMBER(A9134)),VLOOKUP(A9134,Studies!A:BR,5,FALSE),"")</f>
        <v>Erythromycin</v>
      </c>
      <c r="F9134" s="251" t="str">
        <f>IF(AND(A9134&lt;&gt;"",ISNUMBER(A9134)),VLOOKUP(A9134,Studies!A:BR,6,FALSE),"")</f>
        <v>Plasma</v>
      </c>
      <c r="G9134" s="194">
        <v>128</v>
      </c>
      <c r="H9134" s="50" t="s">
        <v>60</v>
      </c>
      <c r="I9134" s="187">
        <v>1.1587063419191099</v>
      </c>
      <c r="J9134" s="41" t="s">
        <v>962</v>
      </c>
      <c r="K9134" s="41" t="s">
        <v>76</v>
      </c>
    </row>
    <row r="9135" spans="1:14" x14ac:dyDescent="0.2">
      <c r="A9135" s="30">
        <v>810</v>
      </c>
      <c r="B9135" s="249" t="str">
        <f>IF(AND(A9135&lt;&gt;"",ISNUMBER(A9135)),VLOOKUP(A9135,Studies!A:BR,2,FALSE),"")</f>
        <v>Olkkola 1993</v>
      </c>
      <c r="C9135" s="250" t="str">
        <f>IF(AND(A9135&lt;&gt;"",ISNUMBER(A9135)),VLOOKUP(A9135,Studies!A:BR,3,FALSE),"")</f>
        <v>https://www.ncbi.nlm.nih.gov/pubmed/8453848</v>
      </c>
      <c r="D9135" s="250" t="str">
        <f>IF(AND(A9135&lt;&gt;"",ISNUMBER(A9135)),VLOOKUP(A9135,Studies!A:BR,4,FALSE),"")</f>
        <v>iv with Perpetrator, Ind04</v>
      </c>
      <c r="E9135" s="250" t="str">
        <f>IF(AND(A9135&lt;&gt;"",ISNUMBER(A9135)),VLOOKUP(A9135,Studies!A:BR,5,FALSE),"")</f>
        <v>Erythromycin</v>
      </c>
      <c r="F9135" s="251" t="str">
        <f>IF(AND(A9135&lt;&gt;"",ISNUMBER(A9135)),VLOOKUP(A9135,Studies!A:BR,6,FALSE),"")</f>
        <v>Plasma</v>
      </c>
      <c r="G9135" s="194">
        <v>128</v>
      </c>
      <c r="H9135" s="50" t="s">
        <v>60</v>
      </c>
      <c r="I9135" s="187">
        <v>1.4055814518941201</v>
      </c>
      <c r="J9135" s="41" t="s">
        <v>962</v>
      </c>
      <c r="K9135" s="41" t="s">
        <v>76</v>
      </c>
    </row>
    <row r="9136" spans="1:14" x14ac:dyDescent="0.2">
      <c r="A9136" s="30">
        <v>811</v>
      </c>
      <c r="B9136" s="249" t="str">
        <f>IF(AND(A9136&lt;&gt;"",ISNUMBER(A9136)),VLOOKUP(A9136,Studies!A:BR,2,FALSE),"")</f>
        <v>Olkkola 1993</v>
      </c>
      <c r="C9136" s="250" t="str">
        <f>IF(AND(A9136&lt;&gt;"",ISNUMBER(A9136)),VLOOKUP(A9136,Studies!A:BR,3,FALSE),"")</f>
        <v>https://www.ncbi.nlm.nih.gov/pubmed/8453848</v>
      </c>
      <c r="D9136" s="250" t="str">
        <f>IF(AND(A9136&lt;&gt;"",ISNUMBER(A9136)),VLOOKUP(A9136,Studies!A:BR,4,FALSE),"")</f>
        <v>iv with Perpetrator, Ind05</v>
      </c>
      <c r="E9136" s="250" t="str">
        <f>IF(AND(A9136&lt;&gt;"",ISNUMBER(A9136)),VLOOKUP(A9136,Studies!A:BR,5,FALSE),"")</f>
        <v>Erythromycin</v>
      </c>
      <c r="F9136" s="251" t="str">
        <f>IF(AND(A9136&lt;&gt;"",ISNUMBER(A9136)),VLOOKUP(A9136,Studies!A:BR,6,FALSE),"")</f>
        <v>Plasma</v>
      </c>
      <c r="G9136" s="194">
        <v>128</v>
      </c>
      <c r="H9136" s="50" t="s">
        <v>60</v>
      </c>
      <c r="I9136" s="187">
        <v>1.37684558068406</v>
      </c>
      <c r="J9136" s="41" t="s">
        <v>962</v>
      </c>
      <c r="K9136" s="41" t="s">
        <v>76</v>
      </c>
    </row>
    <row r="9137" spans="1:14" x14ac:dyDescent="0.2">
      <c r="A9137" s="30">
        <v>812</v>
      </c>
      <c r="B9137" s="249" t="str">
        <f>IF(AND(A9137&lt;&gt;"",ISNUMBER(A9137)),VLOOKUP(A9137,Studies!A:BR,2,FALSE),"")</f>
        <v>Olkkola 1993</v>
      </c>
      <c r="C9137" s="250" t="str">
        <f>IF(AND(A9137&lt;&gt;"",ISNUMBER(A9137)),VLOOKUP(A9137,Studies!A:BR,3,FALSE),"")</f>
        <v>https://www.ncbi.nlm.nih.gov/pubmed/8453848</v>
      </c>
      <c r="D9137" s="250" t="str">
        <f>IF(AND(A9137&lt;&gt;"",ISNUMBER(A9137)),VLOOKUP(A9137,Studies!A:BR,4,FALSE),"")</f>
        <v>iv with Perpetrator, Ind06</v>
      </c>
      <c r="E9137" s="250" t="str">
        <f>IF(AND(A9137&lt;&gt;"",ISNUMBER(A9137)),VLOOKUP(A9137,Studies!A:BR,5,FALSE),"")</f>
        <v>Erythromycin</v>
      </c>
      <c r="F9137" s="251" t="str">
        <f>IF(AND(A9137&lt;&gt;"",ISNUMBER(A9137)),VLOOKUP(A9137,Studies!A:BR,6,FALSE),"")</f>
        <v>Plasma</v>
      </c>
      <c r="G9137" s="194">
        <v>128</v>
      </c>
      <c r="H9137" s="50" t="s">
        <v>60</v>
      </c>
      <c r="I9137" s="187">
        <v>2.0883895179015299</v>
      </c>
      <c r="J9137" s="41" t="s">
        <v>962</v>
      </c>
      <c r="K9137" s="41" t="s">
        <v>76</v>
      </c>
    </row>
    <row r="9138" spans="1:14" x14ac:dyDescent="0.2">
      <c r="A9138" s="30">
        <v>813</v>
      </c>
      <c r="B9138" s="249" t="str">
        <f>IF(AND(A9138&lt;&gt;"",ISNUMBER(A9138)),VLOOKUP(A9138,Studies!A:BR,2,FALSE),"")</f>
        <v>Olkkola 1993</v>
      </c>
      <c r="C9138" s="250" t="str">
        <f>IF(AND(A9138&lt;&gt;"",ISNUMBER(A9138)),VLOOKUP(A9138,Studies!A:BR,3,FALSE),"")</f>
        <v>https://www.ncbi.nlm.nih.gov/pubmed/8453848</v>
      </c>
      <c r="D9138" s="250" t="str">
        <f>IF(AND(A9138&lt;&gt;"",ISNUMBER(A9138)),VLOOKUP(A9138,Studies!A:BR,4,FALSE),"")</f>
        <v>po with Perpetrator, mean</v>
      </c>
      <c r="E9138" s="250" t="str">
        <f>IF(AND(A9138&lt;&gt;"",ISNUMBER(A9138)),VLOOKUP(A9138,Studies!A:BR,5,FALSE),"")</f>
        <v>Erythromycin</v>
      </c>
      <c r="F9138" s="251" t="str">
        <f>IF(AND(A9138&lt;&gt;"",ISNUMBER(A9138)),VLOOKUP(A9138,Studies!A:BR,6,FALSE),"")</f>
        <v>Plasma</v>
      </c>
      <c r="G9138" s="194">
        <v>128</v>
      </c>
      <c r="H9138" s="50" t="s">
        <v>60</v>
      </c>
      <c r="I9138" s="187">
        <v>3</v>
      </c>
      <c r="J9138" s="41" t="s">
        <v>962</v>
      </c>
      <c r="K9138" s="41" t="s">
        <v>116</v>
      </c>
      <c r="L9138" s="195">
        <v>0.7</v>
      </c>
      <c r="M9138" s="52" t="s">
        <v>962</v>
      </c>
      <c r="N9138" s="52" t="s">
        <v>949</v>
      </c>
    </row>
    <row r="9139" spans="1:14" x14ac:dyDescent="0.2">
      <c r="A9139" s="30">
        <v>814</v>
      </c>
      <c r="B9139" s="249" t="str">
        <f>IF(AND(A9139&lt;&gt;"",ISNUMBER(A9139)),VLOOKUP(A9139,Studies!A:BR,2,FALSE),"")</f>
        <v>Olkkola 1993</v>
      </c>
      <c r="C9139" s="250" t="str">
        <f>IF(AND(A9139&lt;&gt;"",ISNUMBER(A9139)),VLOOKUP(A9139,Studies!A:BR,3,FALSE),"")</f>
        <v>https://www.ncbi.nlm.nih.gov/pubmed/8453849</v>
      </c>
      <c r="D9139" s="250" t="str">
        <f>IF(AND(A9139&lt;&gt;"",ISNUMBER(A9139)),VLOOKUP(A9139,Studies!A:BR,4,FALSE),"")</f>
        <v>po with Perpetrator, Ind01</v>
      </c>
      <c r="E9139" s="250" t="str">
        <f>IF(AND(A9139&lt;&gt;"",ISNUMBER(A9139)),VLOOKUP(A9139,Studies!A:BR,5,FALSE),"")</f>
        <v>Erythromycin</v>
      </c>
      <c r="F9139" s="251" t="str">
        <f>IF(AND(A9139&lt;&gt;"",ISNUMBER(A9139)),VLOOKUP(A9139,Studies!A:BR,6,FALSE),"")</f>
        <v>Plasma</v>
      </c>
      <c r="G9139" s="194">
        <v>128</v>
      </c>
      <c r="H9139" s="50" t="s">
        <v>60</v>
      </c>
      <c r="I9139" s="187">
        <v>5.6147243346309399E-3</v>
      </c>
      <c r="J9139" s="41" t="s">
        <v>962</v>
      </c>
      <c r="K9139" s="41" t="s">
        <v>76</v>
      </c>
    </row>
    <row r="9140" spans="1:14" x14ac:dyDescent="0.2">
      <c r="A9140" s="30">
        <v>815</v>
      </c>
      <c r="B9140" s="249" t="str">
        <f>IF(AND(A9140&lt;&gt;"",ISNUMBER(A9140)),VLOOKUP(A9140,Studies!A:BR,2,FALSE),"")</f>
        <v>Olkkola 1993</v>
      </c>
      <c r="C9140" s="250" t="str">
        <f>IF(AND(A9140&lt;&gt;"",ISNUMBER(A9140)),VLOOKUP(A9140,Studies!A:BR,3,FALSE),"")</f>
        <v>https://www.ncbi.nlm.nih.gov/pubmed/8453850</v>
      </c>
      <c r="D9140" s="250" t="str">
        <f>IF(AND(A9140&lt;&gt;"",ISNUMBER(A9140)),VLOOKUP(A9140,Studies!A:BR,4,FALSE),"")</f>
        <v>po with Perpetrator, Ind02</v>
      </c>
      <c r="E9140" s="250" t="str">
        <f>IF(AND(A9140&lt;&gt;"",ISNUMBER(A9140)),VLOOKUP(A9140,Studies!A:BR,5,FALSE),"")</f>
        <v>Erythromycin</v>
      </c>
      <c r="F9140" s="251" t="str">
        <f>IF(AND(A9140&lt;&gt;"",ISNUMBER(A9140)),VLOOKUP(A9140,Studies!A:BR,6,FALSE),"")</f>
        <v>Plasma</v>
      </c>
      <c r="G9140" s="194">
        <v>128</v>
      </c>
      <c r="H9140" s="50" t="s">
        <v>60</v>
      </c>
      <c r="I9140" s="187">
        <v>0.99622485771232705</v>
      </c>
      <c r="J9140" s="41" t="s">
        <v>962</v>
      </c>
      <c r="K9140" s="41" t="s">
        <v>76</v>
      </c>
    </row>
    <row r="9141" spans="1:14" x14ac:dyDescent="0.2">
      <c r="A9141" s="30">
        <v>816</v>
      </c>
      <c r="B9141" s="249" t="str">
        <f>IF(AND(A9141&lt;&gt;"",ISNUMBER(A9141)),VLOOKUP(A9141,Studies!A:BR,2,FALSE),"")</f>
        <v>Olkkola 1993</v>
      </c>
      <c r="C9141" s="250" t="str">
        <f>IF(AND(A9141&lt;&gt;"",ISNUMBER(A9141)),VLOOKUP(A9141,Studies!A:BR,3,FALSE),"")</f>
        <v>https://www.ncbi.nlm.nih.gov/pubmed/8453851</v>
      </c>
      <c r="D9141" s="250" t="str">
        <f>IF(AND(A9141&lt;&gt;"",ISNUMBER(A9141)),VLOOKUP(A9141,Studies!A:BR,4,FALSE),"")</f>
        <v>po with Perpetrator, Ind03</v>
      </c>
      <c r="E9141" s="250" t="str">
        <f>IF(AND(A9141&lt;&gt;"",ISNUMBER(A9141)),VLOOKUP(A9141,Studies!A:BR,5,FALSE),"")</f>
        <v>Erythromycin</v>
      </c>
      <c r="F9141" s="251" t="str">
        <f>IF(AND(A9141&lt;&gt;"",ISNUMBER(A9141)),VLOOKUP(A9141,Studies!A:BR,6,FALSE),"")</f>
        <v>Plasma</v>
      </c>
      <c r="G9141" s="194">
        <v>128</v>
      </c>
      <c r="H9141" s="50" t="s">
        <v>60</v>
      </c>
      <c r="I9141" s="187">
        <v>0.91969184601258602</v>
      </c>
      <c r="J9141" s="41" t="s">
        <v>962</v>
      </c>
      <c r="K9141" s="41" t="s">
        <v>76</v>
      </c>
    </row>
    <row r="9142" spans="1:14" x14ac:dyDescent="0.2">
      <c r="A9142" s="30">
        <v>817</v>
      </c>
      <c r="B9142" s="249" t="str">
        <f>IF(AND(A9142&lt;&gt;"",ISNUMBER(A9142)),VLOOKUP(A9142,Studies!A:BR,2,FALSE),"")</f>
        <v>Olkkola 1993</v>
      </c>
      <c r="C9142" s="250" t="str">
        <f>IF(AND(A9142&lt;&gt;"",ISNUMBER(A9142)),VLOOKUP(A9142,Studies!A:BR,3,FALSE),"")</f>
        <v>https://www.ncbi.nlm.nih.gov/pubmed/8453852</v>
      </c>
      <c r="D9142" s="250" t="str">
        <f>IF(AND(A9142&lt;&gt;"",ISNUMBER(A9142)),VLOOKUP(A9142,Studies!A:BR,4,FALSE),"")</f>
        <v>po with Perpetrator, Ind04</v>
      </c>
      <c r="E9142" s="250" t="str">
        <f>IF(AND(A9142&lt;&gt;"",ISNUMBER(A9142)),VLOOKUP(A9142,Studies!A:BR,5,FALSE),"")</f>
        <v>Erythromycin</v>
      </c>
      <c r="F9142" s="251" t="str">
        <f>IF(AND(A9142&lt;&gt;"",ISNUMBER(A9142)),VLOOKUP(A9142,Studies!A:BR,6,FALSE),"")</f>
        <v>Plasma</v>
      </c>
      <c r="G9142" s="194">
        <v>128</v>
      </c>
      <c r="H9142" s="50" t="s">
        <v>60</v>
      </c>
      <c r="I9142" s="187">
        <v>1.7863749356146199</v>
      </c>
      <c r="J9142" s="41" t="s">
        <v>962</v>
      </c>
      <c r="K9142" s="41" t="s">
        <v>76</v>
      </c>
    </row>
    <row r="9143" spans="1:14" x14ac:dyDescent="0.2">
      <c r="A9143" s="30">
        <v>818</v>
      </c>
      <c r="B9143" s="249" t="str">
        <f>IF(AND(A9143&lt;&gt;"",ISNUMBER(A9143)),VLOOKUP(A9143,Studies!A:BR,2,FALSE),"")</f>
        <v>Olkkola 1993</v>
      </c>
      <c r="C9143" s="250" t="str">
        <f>IF(AND(A9143&lt;&gt;"",ISNUMBER(A9143)),VLOOKUP(A9143,Studies!A:BR,3,FALSE),"")</f>
        <v>https://www.ncbi.nlm.nih.gov/pubmed/8453853</v>
      </c>
      <c r="D9143" s="250" t="str">
        <f>IF(AND(A9143&lt;&gt;"",ISNUMBER(A9143)),VLOOKUP(A9143,Studies!A:BR,4,FALSE),"")</f>
        <v>po with Perpetrator, Ind05</v>
      </c>
      <c r="E9143" s="250" t="str">
        <f>IF(AND(A9143&lt;&gt;"",ISNUMBER(A9143)),VLOOKUP(A9143,Studies!A:BR,5,FALSE),"")</f>
        <v>Erythromycin</v>
      </c>
      <c r="F9143" s="251" t="str">
        <f>IF(AND(A9143&lt;&gt;"",ISNUMBER(A9143)),VLOOKUP(A9143,Studies!A:BR,6,FALSE),"")</f>
        <v>Plasma</v>
      </c>
      <c r="G9143" s="194">
        <v>128</v>
      </c>
      <c r="H9143" s="50" t="s">
        <v>60</v>
      </c>
      <c r="I9143" s="187">
        <v>1.78827530385096</v>
      </c>
      <c r="J9143" s="41" t="s">
        <v>962</v>
      </c>
      <c r="K9143" s="41" t="s">
        <v>76</v>
      </c>
    </row>
    <row r="9144" spans="1:14" x14ac:dyDescent="0.2">
      <c r="A9144" s="30">
        <v>819</v>
      </c>
      <c r="B9144" s="249" t="str">
        <f>IF(AND(A9144&lt;&gt;"",ISNUMBER(A9144)),VLOOKUP(A9144,Studies!A:BR,2,FALSE),"")</f>
        <v>Olkkola 1993</v>
      </c>
      <c r="C9144" s="250" t="str">
        <f>IF(AND(A9144&lt;&gt;"",ISNUMBER(A9144)),VLOOKUP(A9144,Studies!A:BR,3,FALSE),"")</f>
        <v>https://www.ncbi.nlm.nih.gov/pubmed/8453854</v>
      </c>
      <c r="D9144" s="250" t="str">
        <f>IF(AND(A9144&lt;&gt;"",ISNUMBER(A9144)),VLOOKUP(A9144,Studies!A:BR,4,FALSE),"")</f>
        <v>po with Perpetrator, Ind06</v>
      </c>
      <c r="E9144" s="250" t="str">
        <f>IF(AND(A9144&lt;&gt;"",ISNUMBER(A9144)),VLOOKUP(A9144,Studies!A:BR,5,FALSE),"")</f>
        <v>Erythromycin</v>
      </c>
      <c r="F9144" s="251" t="str">
        <f>IF(AND(A9144&lt;&gt;"",ISNUMBER(A9144)),VLOOKUP(A9144,Studies!A:BR,6,FALSE),"")</f>
        <v>Plasma</v>
      </c>
      <c r="G9144" s="194">
        <v>128</v>
      </c>
      <c r="H9144" s="50" t="s">
        <v>60</v>
      </c>
      <c r="I9144" s="187">
        <v>2.2024691989979801</v>
      </c>
      <c r="J9144" s="41" t="s">
        <v>962</v>
      </c>
      <c r="K9144" s="41" t="s">
        <v>76</v>
      </c>
    </row>
    <row r="9145" spans="1:14" x14ac:dyDescent="0.2">
      <c r="A9145" s="30">
        <v>820</v>
      </c>
      <c r="B9145" s="249" t="str">
        <f>IF(AND(A9145&lt;&gt;"",ISNUMBER(A9145)),VLOOKUP(A9145,Studies!A:BR,2,FALSE),"")</f>
        <v>Olkkola 1993</v>
      </c>
      <c r="C9145" s="250" t="str">
        <f>IF(AND(A9145&lt;&gt;"",ISNUMBER(A9145)),VLOOKUP(A9145,Studies!A:BR,3,FALSE),"")</f>
        <v>https://www.ncbi.nlm.nih.gov/pubmed/8453855</v>
      </c>
      <c r="D9145" s="250" t="str">
        <f>IF(AND(A9145&lt;&gt;"",ISNUMBER(A9145)),VLOOKUP(A9145,Studies!A:BR,4,FALSE),"")</f>
        <v>po with Perpetrator, Ind07</v>
      </c>
      <c r="E9145" s="250" t="str">
        <f>IF(AND(A9145&lt;&gt;"",ISNUMBER(A9145)),VLOOKUP(A9145,Studies!A:BR,5,FALSE),"")</f>
        <v>Erythromycin</v>
      </c>
      <c r="F9145" s="251" t="str">
        <f>IF(AND(A9145&lt;&gt;"",ISNUMBER(A9145)),VLOOKUP(A9145,Studies!A:BR,6,FALSE),"")</f>
        <v>Plasma</v>
      </c>
      <c r="G9145" s="194">
        <v>128</v>
      </c>
      <c r="H9145" s="50" t="s">
        <v>60</v>
      </c>
      <c r="I9145" s="187">
        <v>2.1151098470427501</v>
      </c>
      <c r="J9145" s="41" t="s">
        <v>962</v>
      </c>
      <c r="K9145" s="41" t="s">
        <v>76</v>
      </c>
    </row>
    <row r="9146" spans="1:14" x14ac:dyDescent="0.2">
      <c r="A9146" s="30">
        <v>821</v>
      </c>
      <c r="B9146" s="249" t="str">
        <f>IF(AND(A9146&lt;&gt;"",ISNUMBER(A9146)),VLOOKUP(A9146,Studies!A:BR,2,FALSE),"")</f>
        <v>Olkkola 1993</v>
      </c>
      <c r="C9146" s="250" t="str">
        <f>IF(AND(A9146&lt;&gt;"",ISNUMBER(A9146)),VLOOKUP(A9146,Studies!A:BR,3,FALSE),"")</f>
        <v>https://www.ncbi.nlm.nih.gov/pubmed/8453856</v>
      </c>
      <c r="D9146" s="250" t="str">
        <f>IF(AND(A9146&lt;&gt;"",ISNUMBER(A9146)),VLOOKUP(A9146,Studies!A:BR,4,FALSE),"")</f>
        <v>po with Perpetrator, Ind08</v>
      </c>
      <c r="E9146" s="250" t="str">
        <f>IF(AND(A9146&lt;&gt;"",ISNUMBER(A9146)),VLOOKUP(A9146,Studies!A:BR,5,FALSE),"")</f>
        <v>Erythromycin</v>
      </c>
      <c r="F9146" s="251" t="str">
        <f>IF(AND(A9146&lt;&gt;"",ISNUMBER(A9146)),VLOOKUP(A9146,Studies!A:BR,6,FALSE),"")</f>
        <v>Plasma</v>
      </c>
      <c r="G9146" s="194">
        <v>128</v>
      </c>
      <c r="H9146" s="50" t="s">
        <v>60</v>
      </c>
      <c r="I9146" s="187">
        <v>3.29549766293098</v>
      </c>
      <c r="J9146" s="41" t="s">
        <v>962</v>
      </c>
      <c r="K9146" s="41" t="s">
        <v>76</v>
      </c>
    </row>
    <row r="9147" spans="1:14" x14ac:dyDescent="0.2">
      <c r="A9147" s="30">
        <v>822</v>
      </c>
      <c r="B9147" s="249" t="str">
        <f>IF(AND(A9147&lt;&gt;"",ISNUMBER(A9147)),VLOOKUP(A9147,Studies!A:BR,2,FALSE),"")</f>
        <v>Olkkola 1993</v>
      </c>
      <c r="C9147" s="250" t="str">
        <f>IF(AND(A9147&lt;&gt;"",ISNUMBER(A9147)),VLOOKUP(A9147,Studies!A:BR,3,FALSE),"")</f>
        <v>https://www.ncbi.nlm.nih.gov/pubmed/8453857</v>
      </c>
      <c r="D9147" s="250" t="str">
        <f>IF(AND(A9147&lt;&gt;"",ISNUMBER(A9147)),VLOOKUP(A9147,Studies!A:BR,4,FALSE),"")</f>
        <v>po with Perpetrator, Ind09</v>
      </c>
      <c r="E9147" s="250" t="str">
        <f>IF(AND(A9147&lt;&gt;"",ISNUMBER(A9147)),VLOOKUP(A9147,Studies!A:BR,5,FALSE),"")</f>
        <v>Erythromycin</v>
      </c>
      <c r="F9147" s="251" t="str">
        <f>IF(AND(A9147&lt;&gt;"",ISNUMBER(A9147)),VLOOKUP(A9147,Studies!A:BR,6,FALSE),"")</f>
        <v>Plasma</v>
      </c>
      <c r="G9147" s="194">
        <v>128</v>
      </c>
      <c r="H9147" s="50" t="s">
        <v>60</v>
      </c>
      <c r="I9147" s="187">
        <v>4.1944294256344898</v>
      </c>
      <c r="J9147" s="41" t="s">
        <v>962</v>
      </c>
      <c r="K9147" s="41" t="s">
        <v>76</v>
      </c>
    </row>
    <row r="9148" spans="1:14" x14ac:dyDescent="0.2">
      <c r="A9148" s="30">
        <v>823</v>
      </c>
      <c r="B9148" s="249" t="str">
        <f>IF(AND(A9148&lt;&gt;"",ISNUMBER(A9148)),VLOOKUP(A9148,Studies!A:BR,2,FALSE),"")</f>
        <v>Olkkola 1993</v>
      </c>
      <c r="C9148" s="250" t="str">
        <f>IF(AND(A9148&lt;&gt;"",ISNUMBER(A9148)),VLOOKUP(A9148,Studies!A:BR,3,FALSE),"")</f>
        <v>https://www.ncbi.nlm.nih.gov/pubmed/8453858</v>
      </c>
      <c r="D9148" s="250" t="str">
        <f>IF(AND(A9148&lt;&gt;"",ISNUMBER(A9148)),VLOOKUP(A9148,Studies!A:BR,4,FALSE),"")</f>
        <v>po with Perpetrator, Ind10</v>
      </c>
      <c r="E9148" s="250" t="str">
        <f>IF(AND(A9148&lt;&gt;"",ISNUMBER(A9148)),VLOOKUP(A9148,Studies!A:BR,5,FALSE),"")</f>
        <v>Erythromycin</v>
      </c>
      <c r="F9148" s="251" t="str">
        <f>IF(AND(A9148&lt;&gt;"",ISNUMBER(A9148)),VLOOKUP(A9148,Studies!A:BR,6,FALSE),"")</f>
        <v>Plasma</v>
      </c>
      <c r="G9148" s="194">
        <v>128</v>
      </c>
      <c r="H9148" s="50" t="s">
        <v>60</v>
      </c>
      <c r="I9148" s="187">
        <v>5.0277408972681403</v>
      </c>
      <c r="J9148" s="41" t="s">
        <v>962</v>
      </c>
      <c r="K9148" s="41" t="s">
        <v>76</v>
      </c>
    </row>
    <row r="9149" spans="1:14" x14ac:dyDescent="0.2">
      <c r="A9149" s="30">
        <v>824</v>
      </c>
      <c r="B9149" s="249" t="str">
        <f>IF(AND(A9149&lt;&gt;"",ISNUMBER(A9149)),VLOOKUP(A9149,Studies!A:BR,2,FALSE),"")</f>
        <v>Olkkola 1993</v>
      </c>
      <c r="C9149" s="250" t="str">
        <f>IF(AND(A9149&lt;&gt;"",ISNUMBER(A9149)),VLOOKUP(A9149,Studies!A:BR,3,FALSE),"")</f>
        <v>https://www.ncbi.nlm.nih.gov/pubmed/8453859</v>
      </c>
      <c r="D9149" s="250" t="str">
        <f>IF(AND(A9149&lt;&gt;"",ISNUMBER(A9149)),VLOOKUP(A9149,Studies!A:BR,4,FALSE),"")</f>
        <v>po with Perpetrator, Ind11</v>
      </c>
      <c r="E9149" s="250" t="str">
        <f>IF(AND(A9149&lt;&gt;"",ISNUMBER(A9149)),VLOOKUP(A9149,Studies!A:BR,5,FALSE),"")</f>
        <v>Erythromycin</v>
      </c>
      <c r="F9149" s="251" t="str">
        <f>IF(AND(A9149&lt;&gt;"",ISNUMBER(A9149)),VLOOKUP(A9149,Studies!A:BR,6,FALSE),"")</f>
        <v>Plasma</v>
      </c>
      <c r="G9149" s="194">
        <v>128</v>
      </c>
      <c r="H9149" s="50" t="s">
        <v>60</v>
      </c>
      <c r="I9149" s="187">
        <v>5.0289502225094402</v>
      </c>
      <c r="J9149" s="41" t="s">
        <v>962</v>
      </c>
      <c r="K9149" s="41" t="s">
        <v>76</v>
      </c>
    </row>
    <row r="9150" spans="1:14" x14ac:dyDescent="0.2">
      <c r="A9150" s="30">
        <v>825</v>
      </c>
      <c r="B9150" s="249" t="str">
        <f>IF(AND(A9150&lt;&gt;"",ISNUMBER(A9150)),VLOOKUP(A9150,Studies!A:BR,2,FALSE),"")</f>
        <v>Olkkola 1993</v>
      </c>
      <c r="C9150" s="250" t="str">
        <f>IF(AND(A9150&lt;&gt;"",ISNUMBER(A9150)),VLOOKUP(A9150,Studies!A:BR,3,FALSE),"")</f>
        <v>https://www.ncbi.nlm.nih.gov/pubmed/8453860</v>
      </c>
      <c r="D9150" s="250" t="str">
        <f>IF(AND(A9150&lt;&gt;"",ISNUMBER(A9150)),VLOOKUP(A9150,Studies!A:BR,4,FALSE),"")</f>
        <v>po with Perpetrator, Ind12</v>
      </c>
      <c r="E9150" s="250" t="str">
        <f>IF(AND(A9150&lt;&gt;"",ISNUMBER(A9150)),VLOOKUP(A9150,Studies!A:BR,5,FALSE),"")</f>
        <v>Erythromycin</v>
      </c>
      <c r="F9150" s="251" t="str">
        <f>IF(AND(A9150&lt;&gt;"",ISNUMBER(A9150)),VLOOKUP(A9150,Studies!A:BR,6,FALSE),"")</f>
        <v>Plasma</v>
      </c>
      <c r="G9150" s="194">
        <v>128</v>
      </c>
      <c r="H9150" s="50" t="s">
        <v>60</v>
      </c>
      <c r="I9150" s="187">
        <v>8.9386699341909495</v>
      </c>
      <c r="J9150" s="41" t="s">
        <v>962</v>
      </c>
      <c r="K9150" s="41" t="s">
        <v>76</v>
      </c>
    </row>
    <row r="9151" spans="1:14" x14ac:dyDescent="0.2">
      <c r="A9151" s="30">
        <v>760</v>
      </c>
      <c r="B9151" s="249" t="str">
        <f>IF(AND(A9151&lt;&gt;"",ISNUMBER(A9151)),VLOOKUP(A9151,Studies!A:BR,2,FALSE),"")</f>
        <v>Kharasch 2011b</v>
      </c>
      <c r="C9151" s="250" t="str">
        <f>IF(AND(A9151&lt;&gt;"",ISNUMBER(A9151)),VLOOKUP(A9151,Studies!A:BR,3,FALSE),"")</f>
        <v>https://www.ncbi.nlm.nih.gov/pmc/articles/PMC3584707/</v>
      </c>
      <c r="D9151" s="250" t="str">
        <f>IF(AND(A9151&lt;&gt;"",ISNUMBER(A9151)),VLOOKUP(A9151,Studies!A:BR,4,FALSE),"")</f>
        <v>Alfentanil IV Control sequential</v>
      </c>
      <c r="E9151" s="250" t="str">
        <f>IF(AND(A9151&lt;&gt;"",ISNUMBER(A9151)),VLOOKUP(A9151,Studies!A:BR,5,FALSE),"")</f>
        <v>Alfentanil</v>
      </c>
      <c r="F9151" s="251" t="str">
        <f>IF(AND(A9151&lt;&gt;"",ISNUMBER(A9151)),VLOOKUP(A9151,Studies!A:BR,6,FALSE),"")</f>
        <v>Plasma</v>
      </c>
      <c r="G9151" s="194">
        <v>8.3299999999999999E-2</v>
      </c>
      <c r="H9151" s="50" t="s">
        <v>60</v>
      </c>
      <c r="I9151" s="187">
        <v>79.27937</v>
      </c>
      <c r="J9151" s="41" t="s">
        <v>941</v>
      </c>
      <c r="K9151" s="41" t="s">
        <v>116</v>
      </c>
    </row>
    <row r="9152" spans="1:14" x14ac:dyDescent="0.2">
      <c r="A9152" s="30">
        <v>760</v>
      </c>
      <c r="B9152" s="249" t="str">
        <f>IF(AND(A9152&lt;&gt;"",ISNUMBER(A9152)),VLOOKUP(A9152,Studies!A:BR,2,FALSE),"")</f>
        <v>Kharasch 2011b</v>
      </c>
      <c r="C9152" s="250" t="str">
        <f>IF(AND(A9152&lt;&gt;"",ISNUMBER(A9152)),VLOOKUP(A9152,Studies!A:BR,3,FALSE),"")</f>
        <v>https://www.ncbi.nlm.nih.gov/pmc/articles/PMC3584707/</v>
      </c>
      <c r="D9152" s="250" t="str">
        <f>IF(AND(A9152&lt;&gt;"",ISNUMBER(A9152)),VLOOKUP(A9152,Studies!A:BR,4,FALSE),"")</f>
        <v>Alfentanil IV Control sequential</v>
      </c>
      <c r="E9152" s="250" t="str">
        <f>IF(AND(A9152&lt;&gt;"",ISNUMBER(A9152)),VLOOKUP(A9152,Studies!A:BR,5,FALSE),"")</f>
        <v>Alfentanil</v>
      </c>
      <c r="F9152" s="251" t="str">
        <f>IF(AND(A9152&lt;&gt;"",ISNUMBER(A9152)),VLOOKUP(A9152,Studies!A:BR,6,FALSE),"")</f>
        <v>Plasma</v>
      </c>
      <c r="G9152" s="194">
        <v>0.33</v>
      </c>
      <c r="H9152" s="50" t="s">
        <v>60</v>
      </c>
      <c r="I9152" s="187">
        <v>29.996729999999999</v>
      </c>
      <c r="J9152" s="41" t="s">
        <v>941</v>
      </c>
      <c r="K9152" s="41" t="s">
        <v>116</v>
      </c>
    </row>
    <row r="9153" spans="1:11" x14ac:dyDescent="0.2">
      <c r="A9153" s="30">
        <v>760</v>
      </c>
      <c r="B9153" s="249" t="str">
        <f>IF(AND(A9153&lt;&gt;"",ISNUMBER(A9153)),VLOOKUP(A9153,Studies!A:BR,2,FALSE),"")</f>
        <v>Kharasch 2011b</v>
      </c>
      <c r="C9153" s="250" t="str">
        <f>IF(AND(A9153&lt;&gt;"",ISNUMBER(A9153)),VLOOKUP(A9153,Studies!A:BR,3,FALSE),"")</f>
        <v>https://www.ncbi.nlm.nih.gov/pmc/articles/PMC3584707/</v>
      </c>
      <c r="D9153" s="250" t="str">
        <f>IF(AND(A9153&lt;&gt;"",ISNUMBER(A9153)),VLOOKUP(A9153,Studies!A:BR,4,FALSE),"")</f>
        <v>Alfentanil IV Control sequential</v>
      </c>
      <c r="E9153" s="250" t="str">
        <f>IF(AND(A9153&lt;&gt;"",ISNUMBER(A9153)),VLOOKUP(A9153,Studies!A:BR,5,FALSE),"")</f>
        <v>Alfentanil</v>
      </c>
      <c r="F9153" s="251" t="str">
        <f>IF(AND(A9153&lt;&gt;"",ISNUMBER(A9153)),VLOOKUP(A9153,Studies!A:BR,6,FALSE),"")</f>
        <v>Plasma</v>
      </c>
      <c r="G9153" s="194">
        <v>0.75</v>
      </c>
      <c r="H9153" s="50" t="s">
        <v>60</v>
      </c>
      <c r="I9153" s="187">
        <v>19.70345</v>
      </c>
      <c r="J9153" s="41" t="s">
        <v>941</v>
      </c>
      <c r="K9153" s="41" t="s">
        <v>116</v>
      </c>
    </row>
    <row r="9154" spans="1:11" x14ac:dyDescent="0.2">
      <c r="A9154" s="30">
        <v>760</v>
      </c>
      <c r="B9154" s="249" t="str">
        <f>IF(AND(A9154&lt;&gt;"",ISNUMBER(A9154)),VLOOKUP(A9154,Studies!A:BR,2,FALSE),"")</f>
        <v>Kharasch 2011b</v>
      </c>
      <c r="C9154" s="250" t="str">
        <f>IF(AND(A9154&lt;&gt;"",ISNUMBER(A9154)),VLOOKUP(A9154,Studies!A:BR,3,FALSE),"")</f>
        <v>https://www.ncbi.nlm.nih.gov/pmc/articles/PMC3584707/</v>
      </c>
      <c r="D9154" s="250" t="str">
        <f>IF(AND(A9154&lt;&gt;"",ISNUMBER(A9154)),VLOOKUP(A9154,Studies!A:BR,4,FALSE),"")</f>
        <v>Alfentanil IV Control sequential</v>
      </c>
      <c r="E9154" s="250" t="str">
        <f>IF(AND(A9154&lt;&gt;"",ISNUMBER(A9154)),VLOOKUP(A9154,Studies!A:BR,5,FALSE),"")</f>
        <v>Alfentanil</v>
      </c>
      <c r="F9154" s="251" t="str">
        <f>IF(AND(A9154&lt;&gt;"",ISNUMBER(A9154)),VLOOKUP(A9154,Studies!A:BR,6,FALSE),"")</f>
        <v>Plasma</v>
      </c>
      <c r="G9154" s="194">
        <v>1.5</v>
      </c>
      <c r="H9154" s="50" t="s">
        <v>60</v>
      </c>
      <c r="I9154" s="187">
        <v>12.21959</v>
      </c>
      <c r="J9154" s="41" t="s">
        <v>941</v>
      </c>
      <c r="K9154" s="41" t="s">
        <v>116</v>
      </c>
    </row>
    <row r="9155" spans="1:11" x14ac:dyDescent="0.2">
      <c r="A9155" s="30">
        <v>760</v>
      </c>
      <c r="B9155" s="249" t="str">
        <f>IF(AND(A9155&lt;&gt;"",ISNUMBER(A9155)),VLOOKUP(A9155,Studies!A:BR,2,FALSE),"")</f>
        <v>Kharasch 2011b</v>
      </c>
      <c r="C9155" s="250" t="str">
        <f>IF(AND(A9155&lt;&gt;"",ISNUMBER(A9155)),VLOOKUP(A9155,Studies!A:BR,3,FALSE),"")</f>
        <v>https://www.ncbi.nlm.nih.gov/pmc/articles/PMC3584707/</v>
      </c>
      <c r="D9155" s="250" t="str">
        <f>IF(AND(A9155&lt;&gt;"",ISNUMBER(A9155)),VLOOKUP(A9155,Studies!A:BR,4,FALSE),"")</f>
        <v>Alfentanil IV Control sequential</v>
      </c>
      <c r="E9155" s="250" t="str">
        <f>IF(AND(A9155&lt;&gt;"",ISNUMBER(A9155)),VLOOKUP(A9155,Studies!A:BR,5,FALSE),"")</f>
        <v>Alfentanil</v>
      </c>
      <c r="F9155" s="251" t="str">
        <f>IF(AND(A9155&lt;&gt;"",ISNUMBER(A9155)),VLOOKUP(A9155,Studies!A:BR,6,FALSE),"")</f>
        <v>Plasma</v>
      </c>
      <c r="G9155" s="194">
        <v>2</v>
      </c>
      <c r="H9155" s="50" t="s">
        <v>60</v>
      </c>
      <c r="I9155" s="187">
        <v>8.7582070000000005</v>
      </c>
      <c r="J9155" s="41" t="s">
        <v>941</v>
      </c>
      <c r="K9155" s="41" t="s">
        <v>116</v>
      </c>
    </row>
    <row r="9156" spans="1:11" x14ac:dyDescent="0.2">
      <c r="A9156" s="30">
        <v>760</v>
      </c>
      <c r="B9156" s="249" t="str">
        <f>IF(AND(A9156&lt;&gt;"",ISNUMBER(A9156)),VLOOKUP(A9156,Studies!A:BR,2,FALSE),"")</f>
        <v>Kharasch 2011b</v>
      </c>
      <c r="C9156" s="250" t="str">
        <f>IF(AND(A9156&lt;&gt;"",ISNUMBER(A9156)),VLOOKUP(A9156,Studies!A:BR,3,FALSE),"")</f>
        <v>https://www.ncbi.nlm.nih.gov/pmc/articles/PMC3584707/</v>
      </c>
      <c r="D9156" s="250" t="str">
        <f>IF(AND(A9156&lt;&gt;"",ISNUMBER(A9156)),VLOOKUP(A9156,Studies!A:BR,4,FALSE),"")</f>
        <v>Alfentanil IV Control sequential</v>
      </c>
      <c r="E9156" s="250" t="str">
        <f>IF(AND(A9156&lt;&gt;"",ISNUMBER(A9156)),VLOOKUP(A9156,Studies!A:BR,5,FALSE),"")</f>
        <v>Alfentanil</v>
      </c>
      <c r="F9156" s="251" t="str">
        <f>IF(AND(A9156&lt;&gt;"",ISNUMBER(A9156)),VLOOKUP(A9156,Studies!A:BR,6,FALSE),"")</f>
        <v>Plasma</v>
      </c>
      <c r="G9156" s="194">
        <v>3</v>
      </c>
      <c r="H9156" s="50" t="s">
        <v>60</v>
      </c>
      <c r="I9156" s="187">
        <v>4.9089939999999999</v>
      </c>
      <c r="J9156" s="41" t="s">
        <v>941</v>
      </c>
      <c r="K9156" s="41" t="s">
        <v>116</v>
      </c>
    </row>
    <row r="9157" spans="1:11" x14ac:dyDescent="0.2">
      <c r="A9157" s="30">
        <v>760</v>
      </c>
      <c r="B9157" s="249" t="str">
        <f>IF(AND(A9157&lt;&gt;"",ISNUMBER(A9157)),VLOOKUP(A9157,Studies!A:BR,2,FALSE),"")</f>
        <v>Kharasch 2011b</v>
      </c>
      <c r="C9157" s="250" t="str">
        <f>IF(AND(A9157&lt;&gt;"",ISNUMBER(A9157)),VLOOKUP(A9157,Studies!A:BR,3,FALSE),"")</f>
        <v>https://www.ncbi.nlm.nih.gov/pmc/articles/PMC3584707/</v>
      </c>
      <c r="D9157" s="250" t="str">
        <f>IF(AND(A9157&lt;&gt;"",ISNUMBER(A9157)),VLOOKUP(A9157,Studies!A:BR,4,FALSE),"")</f>
        <v>Alfentanil IV Control sequential</v>
      </c>
      <c r="E9157" s="250" t="str">
        <f>IF(AND(A9157&lt;&gt;"",ISNUMBER(A9157)),VLOOKUP(A9157,Studies!A:BR,5,FALSE),"")</f>
        <v>Alfentanil</v>
      </c>
      <c r="F9157" s="251" t="str">
        <f>IF(AND(A9157&lt;&gt;"",ISNUMBER(A9157)),VLOOKUP(A9157,Studies!A:BR,6,FALSE),"")</f>
        <v>Plasma</v>
      </c>
      <c r="G9157" s="194">
        <v>3.5</v>
      </c>
      <c r="H9157" s="50" t="s">
        <v>60</v>
      </c>
      <c r="I9157" s="187">
        <v>3.782975</v>
      </c>
      <c r="J9157" s="41" t="s">
        <v>941</v>
      </c>
      <c r="K9157" s="41" t="s">
        <v>116</v>
      </c>
    </row>
    <row r="9158" spans="1:11" x14ac:dyDescent="0.2">
      <c r="A9158" s="30">
        <v>760</v>
      </c>
      <c r="B9158" s="249" t="str">
        <f>IF(AND(A9158&lt;&gt;"",ISNUMBER(A9158)),VLOOKUP(A9158,Studies!A:BR,2,FALSE),"")</f>
        <v>Kharasch 2011b</v>
      </c>
      <c r="C9158" s="250" t="str">
        <f>IF(AND(A9158&lt;&gt;"",ISNUMBER(A9158)),VLOOKUP(A9158,Studies!A:BR,3,FALSE),"")</f>
        <v>https://www.ncbi.nlm.nih.gov/pmc/articles/PMC3584707/</v>
      </c>
      <c r="D9158" s="250" t="str">
        <f>IF(AND(A9158&lt;&gt;"",ISNUMBER(A9158)),VLOOKUP(A9158,Studies!A:BR,4,FALSE),"")</f>
        <v>Alfentanil IV Control sequential</v>
      </c>
      <c r="E9158" s="250" t="str">
        <f>IF(AND(A9158&lt;&gt;"",ISNUMBER(A9158)),VLOOKUP(A9158,Studies!A:BR,5,FALSE),"")</f>
        <v>Alfentanil</v>
      </c>
      <c r="F9158" s="251" t="str">
        <f>IF(AND(A9158&lt;&gt;"",ISNUMBER(A9158)),VLOOKUP(A9158,Studies!A:BR,6,FALSE),"")</f>
        <v>Plasma</v>
      </c>
      <c r="G9158" s="194">
        <v>3.75</v>
      </c>
      <c r="H9158" s="50" t="s">
        <v>60</v>
      </c>
      <c r="I9158" s="187">
        <v>3.369605</v>
      </c>
      <c r="J9158" s="41" t="s">
        <v>941</v>
      </c>
      <c r="K9158" s="41" t="s">
        <v>116</v>
      </c>
    </row>
    <row r="9159" spans="1:11" x14ac:dyDescent="0.2">
      <c r="A9159" s="30">
        <v>760</v>
      </c>
      <c r="B9159" s="249" t="str">
        <f>IF(AND(A9159&lt;&gt;"",ISNUMBER(A9159)),VLOOKUP(A9159,Studies!A:BR,2,FALSE),"")</f>
        <v>Kharasch 2011b</v>
      </c>
      <c r="C9159" s="250" t="str">
        <f>IF(AND(A9159&lt;&gt;"",ISNUMBER(A9159)),VLOOKUP(A9159,Studies!A:BR,3,FALSE),"")</f>
        <v>https://www.ncbi.nlm.nih.gov/pmc/articles/PMC3584707/</v>
      </c>
      <c r="D9159" s="250" t="str">
        <f>IF(AND(A9159&lt;&gt;"",ISNUMBER(A9159)),VLOOKUP(A9159,Studies!A:BR,4,FALSE),"")</f>
        <v>Alfentanil IV Control sequential</v>
      </c>
      <c r="E9159" s="250" t="str">
        <f>IF(AND(A9159&lt;&gt;"",ISNUMBER(A9159)),VLOOKUP(A9159,Studies!A:BR,5,FALSE),"")</f>
        <v>Alfentanil</v>
      </c>
      <c r="F9159" s="251" t="str">
        <f>IF(AND(A9159&lt;&gt;"",ISNUMBER(A9159)),VLOOKUP(A9159,Studies!A:BR,6,FALSE),"")</f>
        <v>Plasma</v>
      </c>
      <c r="G9159" s="194">
        <v>4</v>
      </c>
      <c r="H9159" s="50" t="s">
        <v>60</v>
      </c>
      <c r="I9159" s="187">
        <v>3.0897939999999999</v>
      </c>
      <c r="J9159" s="41" t="s">
        <v>941</v>
      </c>
      <c r="K9159" s="41" t="s">
        <v>116</v>
      </c>
    </row>
    <row r="9160" spans="1:11" x14ac:dyDescent="0.2">
      <c r="A9160" s="30">
        <v>760</v>
      </c>
      <c r="B9160" s="249" t="str">
        <f>IF(AND(A9160&lt;&gt;"",ISNUMBER(A9160)),VLOOKUP(A9160,Studies!A:BR,2,FALSE),"")</f>
        <v>Kharasch 2011b</v>
      </c>
      <c r="C9160" s="250" t="str">
        <f>IF(AND(A9160&lt;&gt;"",ISNUMBER(A9160)),VLOOKUP(A9160,Studies!A:BR,3,FALSE),"")</f>
        <v>https://www.ncbi.nlm.nih.gov/pmc/articles/PMC3584707/</v>
      </c>
      <c r="D9160" s="250" t="str">
        <f>IF(AND(A9160&lt;&gt;"",ISNUMBER(A9160)),VLOOKUP(A9160,Studies!A:BR,4,FALSE),"")</f>
        <v>Alfentanil IV Control sequential</v>
      </c>
      <c r="E9160" s="250" t="str">
        <f>IF(AND(A9160&lt;&gt;"",ISNUMBER(A9160)),VLOOKUP(A9160,Studies!A:BR,5,FALSE),"")</f>
        <v>Alfentanil</v>
      </c>
      <c r="F9160" s="251" t="str">
        <f>IF(AND(A9160&lt;&gt;"",ISNUMBER(A9160)),VLOOKUP(A9160,Studies!A:BR,6,FALSE),"")</f>
        <v>Plasma</v>
      </c>
      <c r="G9160" s="194">
        <v>4.5</v>
      </c>
      <c r="H9160" s="50" t="s">
        <v>60</v>
      </c>
      <c r="I9160" s="187">
        <v>2.4870130000000001</v>
      </c>
      <c r="J9160" s="41" t="s">
        <v>941</v>
      </c>
      <c r="K9160" s="41" t="s">
        <v>116</v>
      </c>
    </row>
    <row r="9161" spans="1:11" x14ac:dyDescent="0.2">
      <c r="A9161" s="30">
        <v>760</v>
      </c>
      <c r="B9161" s="249" t="str">
        <f>IF(AND(A9161&lt;&gt;"",ISNUMBER(A9161)),VLOOKUP(A9161,Studies!A:BR,2,FALSE),"")</f>
        <v>Kharasch 2011b</v>
      </c>
      <c r="C9161" s="250" t="str">
        <f>IF(AND(A9161&lt;&gt;"",ISNUMBER(A9161)),VLOOKUP(A9161,Studies!A:BR,3,FALSE),"")</f>
        <v>https://www.ncbi.nlm.nih.gov/pmc/articles/PMC3584707/</v>
      </c>
      <c r="D9161" s="250" t="str">
        <f>IF(AND(A9161&lt;&gt;"",ISNUMBER(A9161)),VLOOKUP(A9161,Studies!A:BR,4,FALSE),"")</f>
        <v>Alfentanil IV Control sequential</v>
      </c>
      <c r="E9161" s="250" t="str">
        <f>IF(AND(A9161&lt;&gt;"",ISNUMBER(A9161)),VLOOKUP(A9161,Studies!A:BR,5,FALSE),"")</f>
        <v>Alfentanil</v>
      </c>
      <c r="F9161" s="251" t="str">
        <f>IF(AND(A9161&lt;&gt;"",ISNUMBER(A9161)),VLOOKUP(A9161,Studies!A:BR,6,FALSE),"")</f>
        <v>Plasma</v>
      </c>
      <c r="G9161" s="194">
        <v>5</v>
      </c>
      <c r="H9161" s="50" t="s">
        <v>60</v>
      </c>
      <c r="I9161" s="187">
        <v>2.0019650000000002</v>
      </c>
      <c r="J9161" s="41" t="s">
        <v>941</v>
      </c>
      <c r="K9161" s="41" t="s">
        <v>116</v>
      </c>
    </row>
    <row r="9162" spans="1:11" x14ac:dyDescent="0.2">
      <c r="A9162" s="30">
        <v>760</v>
      </c>
      <c r="B9162" s="249" t="str">
        <f>IF(AND(A9162&lt;&gt;"",ISNUMBER(A9162)),VLOOKUP(A9162,Studies!A:BR,2,FALSE),"")</f>
        <v>Kharasch 2011b</v>
      </c>
      <c r="C9162" s="250" t="str">
        <f>IF(AND(A9162&lt;&gt;"",ISNUMBER(A9162)),VLOOKUP(A9162,Studies!A:BR,3,FALSE),"")</f>
        <v>https://www.ncbi.nlm.nih.gov/pmc/articles/PMC3584707/</v>
      </c>
      <c r="D9162" s="250" t="str">
        <f>IF(AND(A9162&lt;&gt;"",ISNUMBER(A9162)),VLOOKUP(A9162,Studies!A:BR,4,FALSE),"")</f>
        <v>Alfentanil IV Control sequential</v>
      </c>
      <c r="E9162" s="250" t="str">
        <f>IF(AND(A9162&lt;&gt;"",ISNUMBER(A9162)),VLOOKUP(A9162,Studies!A:BR,5,FALSE),"")</f>
        <v>Alfentanil</v>
      </c>
      <c r="F9162" s="251" t="str">
        <f>IF(AND(A9162&lt;&gt;"",ISNUMBER(A9162)),VLOOKUP(A9162,Studies!A:BR,6,FALSE),"")</f>
        <v>Plasma</v>
      </c>
      <c r="G9162" s="194">
        <v>6</v>
      </c>
      <c r="H9162" s="50" t="s">
        <v>60</v>
      </c>
      <c r="I9162" s="187">
        <v>1.3948449999999999</v>
      </c>
      <c r="J9162" s="41" t="s">
        <v>941</v>
      </c>
      <c r="K9162" s="41" t="s">
        <v>116</v>
      </c>
    </row>
    <row r="9163" spans="1:11" x14ac:dyDescent="0.2">
      <c r="A9163" s="30">
        <v>760</v>
      </c>
      <c r="B9163" s="249" t="str">
        <f>IF(AND(A9163&lt;&gt;"",ISNUMBER(A9163)),VLOOKUP(A9163,Studies!A:BR,2,FALSE),"")</f>
        <v>Kharasch 2011b</v>
      </c>
      <c r="C9163" s="250" t="str">
        <f>IF(AND(A9163&lt;&gt;"",ISNUMBER(A9163)),VLOOKUP(A9163,Studies!A:BR,3,FALSE),"")</f>
        <v>https://www.ncbi.nlm.nih.gov/pmc/articles/PMC3584707/</v>
      </c>
      <c r="D9163" s="250" t="str">
        <f>IF(AND(A9163&lt;&gt;"",ISNUMBER(A9163)),VLOOKUP(A9163,Studies!A:BR,4,FALSE),"")</f>
        <v>Alfentanil IV Control sequential</v>
      </c>
      <c r="E9163" s="250" t="str">
        <f>IF(AND(A9163&lt;&gt;"",ISNUMBER(A9163)),VLOOKUP(A9163,Studies!A:BR,5,FALSE),"")</f>
        <v>Alfentanil</v>
      </c>
      <c r="F9163" s="251" t="str">
        <f>IF(AND(A9163&lt;&gt;"",ISNUMBER(A9163)),VLOOKUP(A9163,Studies!A:BR,6,FALSE),"")</f>
        <v>Plasma</v>
      </c>
      <c r="G9163" s="194">
        <v>7</v>
      </c>
      <c r="H9163" s="50" t="s">
        <v>60</v>
      </c>
      <c r="I9163" s="187">
        <v>0.90379120000000002</v>
      </c>
      <c r="J9163" s="41" t="s">
        <v>941</v>
      </c>
      <c r="K9163" s="41" t="s">
        <v>116</v>
      </c>
    </row>
    <row r="9164" spans="1:11" x14ac:dyDescent="0.2">
      <c r="A9164" s="30">
        <v>760</v>
      </c>
      <c r="B9164" s="249" t="str">
        <f>IF(AND(A9164&lt;&gt;"",ISNUMBER(A9164)),VLOOKUP(A9164,Studies!A:BR,2,FALSE),"")</f>
        <v>Kharasch 2011b</v>
      </c>
      <c r="C9164" s="250" t="str">
        <f>IF(AND(A9164&lt;&gt;"",ISNUMBER(A9164)),VLOOKUP(A9164,Studies!A:BR,3,FALSE),"")</f>
        <v>https://www.ncbi.nlm.nih.gov/pmc/articles/PMC3584707/</v>
      </c>
      <c r="D9164" s="250" t="str">
        <f>IF(AND(A9164&lt;&gt;"",ISNUMBER(A9164)),VLOOKUP(A9164,Studies!A:BR,4,FALSE),"")</f>
        <v>Alfentanil IV Control sequential</v>
      </c>
      <c r="E9164" s="250" t="str">
        <f>IF(AND(A9164&lt;&gt;"",ISNUMBER(A9164)),VLOOKUP(A9164,Studies!A:BR,5,FALSE),"")</f>
        <v>Alfentanil</v>
      </c>
      <c r="F9164" s="251" t="str">
        <f>IF(AND(A9164&lt;&gt;"",ISNUMBER(A9164)),VLOOKUP(A9164,Studies!A:BR,6,FALSE),"")</f>
        <v>Plasma</v>
      </c>
      <c r="G9164" s="194">
        <v>8</v>
      </c>
      <c r="H9164" s="50" t="s">
        <v>60</v>
      </c>
      <c r="I9164" s="187">
        <v>0.57721509999999998</v>
      </c>
      <c r="J9164" s="41" t="s">
        <v>941</v>
      </c>
      <c r="K9164" s="41" t="s">
        <v>116</v>
      </c>
    </row>
    <row r="9165" spans="1:11" x14ac:dyDescent="0.2">
      <c r="A9165" s="30">
        <v>760</v>
      </c>
      <c r="B9165" s="249" t="str">
        <f>IF(AND(A9165&lt;&gt;"",ISNUMBER(A9165)),VLOOKUP(A9165,Studies!A:BR,2,FALSE),"")</f>
        <v>Kharasch 2011b</v>
      </c>
      <c r="C9165" s="250" t="str">
        <f>IF(AND(A9165&lt;&gt;"",ISNUMBER(A9165)),VLOOKUP(A9165,Studies!A:BR,3,FALSE),"")</f>
        <v>https://www.ncbi.nlm.nih.gov/pmc/articles/PMC3584707/</v>
      </c>
      <c r="D9165" s="250" t="str">
        <f>IF(AND(A9165&lt;&gt;"",ISNUMBER(A9165)),VLOOKUP(A9165,Studies!A:BR,4,FALSE),"")</f>
        <v>Alfentanil IV Control sequential</v>
      </c>
      <c r="E9165" s="250" t="str">
        <f>IF(AND(A9165&lt;&gt;"",ISNUMBER(A9165)),VLOOKUP(A9165,Studies!A:BR,5,FALSE),"")</f>
        <v>Alfentanil</v>
      </c>
      <c r="F9165" s="251" t="str">
        <f>IF(AND(A9165&lt;&gt;"",ISNUMBER(A9165)),VLOOKUP(A9165,Studies!A:BR,6,FALSE),"")</f>
        <v>Plasma</v>
      </c>
      <c r="G9165" s="194">
        <v>9</v>
      </c>
      <c r="H9165" s="50" t="s">
        <v>60</v>
      </c>
      <c r="I9165" s="187">
        <v>0.35290250000000001</v>
      </c>
      <c r="J9165" s="41" t="s">
        <v>941</v>
      </c>
      <c r="K9165" s="41" t="s">
        <v>116</v>
      </c>
    </row>
    <row r="9166" spans="1:11" x14ac:dyDescent="0.2">
      <c r="A9166" s="30">
        <v>760</v>
      </c>
      <c r="B9166" s="249" t="str">
        <f>IF(AND(A9166&lt;&gt;"",ISNUMBER(A9166)),VLOOKUP(A9166,Studies!A:BR,2,FALSE),"")</f>
        <v>Kharasch 2011b</v>
      </c>
      <c r="C9166" s="250" t="str">
        <f>IF(AND(A9166&lt;&gt;"",ISNUMBER(A9166)),VLOOKUP(A9166,Studies!A:BR,3,FALSE),"")</f>
        <v>https://www.ncbi.nlm.nih.gov/pmc/articles/PMC3584707/</v>
      </c>
      <c r="D9166" s="250" t="str">
        <f>IF(AND(A9166&lt;&gt;"",ISNUMBER(A9166)),VLOOKUP(A9166,Studies!A:BR,4,FALSE),"")</f>
        <v>Alfentanil IV Control sequential</v>
      </c>
      <c r="E9166" s="250" t="str">
        <f>IF(AND(A9166&lt;&gt;"",ISNUMBER(A9166)),VLOOKUP(A9166,Studies!A:BR,5,FALSE),"")</f>
        <v>Alfentanil</v>
      </c>
      <c r="F9166" s="251" t="str">
        <f>IF(AND(A9166&lt;&gt;"",ISNUMBER(A9166)),VLOOKUP(A9166,Studies!A:BR,6,FALSE),"")</f>
        <v>Plasma</v>
      </c>
      <c r="G9166" s="194">
        <v>10</v>
      </c>
      <c r="H9166" s="50" t="s">
        <v>60</v>
      </c>
      <c r="I9166" s="187">
        <v>0.24235490000000001</v>
      </c>
      <c r="J9166" s="41" t="s">
        <v>941</v>
      </c>
      <c r="K9166" s="41" t="s">
        <v>116</v>
      </c>
    </row>
    <row r="9167" spans="1:11" x14ac:dyDescent="0.2">
      <c r="A9167" s="30">
        <v>760</v>
      </c>
      <c r="B9167" s="249" t="str">
        <f>IF(AND(A9167&lt;&gt;"",ISNUMBER(A9167)),VLOOKUP(A9167,Studies!A:BR,2,FALSE),"")</f>
        <v>Kharasch 2011b</v>
      </c>
      <c r="C9167" s="250" t="str">
        <f>IF(AND(A9167&lt;&gt;"",ISNUMBER(A9167)),VLOOKUP(A9167,Studies!A:BR,3,FALSE),"")</f>
        <v>https://www.ncbi.nlm.nih.gov/pmc/articles/PMC3584707/</v>
      </c>
      <c r="D9167" s="250" t="str">
        <f>IF(AND(A9167&lt;&gt;"",ISNUMBER(A9167)),VLOOKUP(A9167,Studies!A:BR,4,FALSE),"")</f>
        <v>Alfentanil IV Control sequential</v>
      </c>
      <c r="E9167" s="250" t="str">
        <f>IF(AND(A9167&lt;&gt;"",ISNUMBER(A9167)),VLOOKUP(A9167,Studies!A:BR,5,FALSE),"")</f>
        <v>Alfentanil</v>
      </c>
      <c r="F9167" s="251" t="str">
        <f>IF(AND(A9167&lt;&gt;"",ISNUMBER(A9167)),VLOOKUP(A9167,Studies!A:BR,6,FALSE),"")</f>
        <v>Plasma</v>
      </c>
      <c r="G9167" s="194">
        <v>11</v>
      </c>
      <c r="H9167" s="50" t="s">
        <v>60</v>
      </c>
      <c r="I9167" s="187">
        <v>0.14394409999999999</v>
      </c>
      <c r="J9167" s="41" t="s">
        <v>941</v>
      </c>
      <c r="K9167" s="41" t="s">
        <v>116</v>
      </c>
    </row>
    <row r="9168" spans="1:11" x14ac:dyDescent="0.2">
      <c r="A9168" s="30">
        <v>761</v>
      </c>
      <c r="B9168" s="249" t="str">
        <f>IF(AND(A9168&lt;&gt;"",ISNUMBER(A9168)),VLOOKUP(A9168,Studies!A:BR,2,FALSE),"")</f>
        <v>Kharasch 2011b</v>
      </c>
      <c r="C9168" s="250" t="str">
        <f>IF(AND(A9168&lt;&gt;"",ISNUMBER(A9168)),VLOOKUP(A9168,Studies!A:BR,3,FALSE),"")</f>
        <v>https://www.ncbi.nlm.nih.gov/pmc/articles/PMC3584707/</v>
      </c>
      <c r="D9168" s="250" t="str">
        <f>IF(AND(A9168&lt;&gt;"",ISNUMBER(A9168)),VLOOKUP(A9168,Studies!A:BR,4,FALSE),"")</f>
        <v>Alfentanil IV Grapefruit coadmin sequential</v>
      </c>
      <c r="E9168" s="250" t="str">
        <f>IF(AND(A9168&lt;&gt;"",ISNUMBER(A9168)),VLOOKUP(A9168,Studies!A:BR,5,FALSE),"")</f>
        <v>Alfentanil</v>
      </c>
      <c r="F9168" s="251" t="str">
        <f>IF(AND(A9168&lt;&gt;"",ISNUMBER(A9168)),VLOOKUP(A9168,Studies!A:BR,6,FALSE),"")</f>
        <v>Plasma</v>
      </c>
      <c r="G9168" s="194">
        <v>8.3299999999999999E-2</v>
      </c>
      <c r="H9168" s="50" t="s">
        <v>60</v>
      </c>
      <c r="I9168" s="187">
        <v>56.78098</v>
      </c>
      <c r="J9168" s="41" t="s">
        <v>941</v>
      </c>
      <c r="K9168" s="41" t="s">
        <v>116</v>
      </c>
    </row>
    <row r="9169" spans="1:11" x14ac:dyDescent="0.2">
      <c r="A9169" s="30">
        <v>761</v>
      </c>
      <c r="B9169" s="249" t="str">
        <f>IF(AND(A9169&lt;&gt;"",ISNUMBER(A9169)),VLOOKUP(A9169,Studies!A:BR,2,FALSE),"")</f>
        <v>Kharasch 2011b</v>
      </c>
      <c r="C9169" s="250" t="str">
        <f>IF(AND(A9169&lt;&gt;"",ISNUMBER(A9169)),VLOOKUP(A9169,Studies!A:BR,3,FALSE),"")</f>
        <v>https://www.ncbi.nlm.nih.gov/pmc/articles/PMC3584707/</v>
      </c>
      <c r="D9169" s="250" t="str">
        <f>IF(AND(A9169&lt;&gt;"",ISNUMBER(A9169)),VLOOKUP(A9169,Studies!A:BR,4,FALSE),"")</f>
        <v>Alfentanil IV Grapefruit coadmin sequential</v>
      </c>
      <c r="E9169" s="250" t="str">
        <f>IF(AND(A9169&lt;&gt;"",ISNUMBER(A9169)),VLOOKUP(A9169,Studies!A:BR,5,FALSE),"")</f>
        <v>Alfentanil</v>
      </c>
      <c r="F9169" s="251" t="str">
        <f>IF(AND(A9169&lt;&gt;"",ISNUMBER(A9169)),VLOOKUP(A9169,Studies!A:BR,6,FALSE),"")</f>
        <v>Plasma</v>
      </c>
      <c r="G9169" s="194">
        <v>0.33</v>
      </c>
      <c r="H9169" s="50" t="s">
        <v>60</v>
      </c>
      <c r="I9169" s="187">
        <v>27.898219999999998</v>
      </c>
      <c r="J9169" s="41" t="s">
        <v>941</v>
      </c>
      <c r="K9169" s="41" t="s">
        <v>116</v>
      </c>
    </row>
    <row r="9170" spans="1:11" x14ac:dyDescent="0.2">
      <c r="A9170" s="30">
        <v>761</v>
      </c>
      <c r="B9170" s="249" t="str">
        <f>IF(AND(A9170&lt;&gt;"",ISNUMBER(A9170)),VLOOKUP(A9170,Studies!A:BR,2,FALSE),"")</f>
        <v>Kharasch 2011b</v>
      </c>
      <c r="C9170" s="250" t="str">
        <f>IF(AND(A9170&lt;&gt;"",ISNUMBER(A9170)),VLOOKUP(A9170,Studies!A:BR,3,FALSE),"")</f>
        <v>https://www.ncbi.nlm.nih.gov/pmc/articles/PMC3584707/</v>
      </c>
      <c r="D9170" s="250" t="str">
        <f>IF(AND(A9170&lt;&gt;"",ISNUMBER(A9170)),VLOOKUP(A9170,Studies!A:BR,4,FALSE),"")</f>
        <v>Alfentanil IV Grapefruit coadmin sequential</v>
      </c>
      <c r="E9170" s="250" t="str">
        <f>IF(AND(A9170&lt;&gt;"",ISNUMBER(A9170)),VLOOKUP(A9170,Studies!A:BR,5,FALSE),"")</f>
        <v>Alfentanil</v>
      </c>
      <c r="F9170" s="251" t="str">
        <f>IF(AND(A9170&lt;&gt;"",ISNUMBER(A9170)),VLOOKUP(A9170,Studies!A:BR,6,FALSE),"")</f>
        <v>Plasma</v>
      </c>
      <c r="G9170" s="194">
        <v>1</v>
      </c>
      <c r="H9170" s="50" t="s">
        <v>60</v>
      </c>
      <c r="I9170" s="187">
        <v>14.324120000000001</v>
      </c>
      <c r="J9170" s="41" t="s">
        <v>941</v>
      </c>
      <c r="K9170" s="41" t="s">
        <v>116</v>
      </c>
    </row>
    <row r="9171" spans="1:11" x14ac:dyDescent="0.2">
      <c r="A9171" s="30">
        <v>761</v>
      </c>
      <c r="B9171" s="249" t="str">
        <f>IF(AND(A9171&lt;&gt;"",ISNUMBER(A9171)),VLOOKUP(A9171,Studies!A:BR,2,FALSE),"")</f>
        <v>Kharasch 2011b</v>
      </c>
      <c r="C9171" s="250" t="str">
        <f>IF(AND(A9171&lt;&gt;"",ISNUMBER(A9171)),VLOOKUP(A9171,Studies!A:BR,3,FALSE),"")</f>
        <v>https://www.ncbi.nlm.nih.gov/pmc/articles/PMC3584707/</v>
      </c>
      <c r="D9171" s="250" t="str">
        <f>IF(AND(A9171&lt;&gt;"",ISNUMBER(A9171)),VLOOKUP(A9171,Studies!A:BR,4,FALSE),"")</f>
        <v>Alfentanil IV Grapefruit coadmin sequential</v>
      </c>
      <c r="E9171" s="250" t="str">
        <f>IF(AND(A9171&lt;&gt;"",ISNUMBER(A9171)),VLOOKUP(A9171,Studies!A:BR,5,FALSE),"")</f>
        <v>Alfentanil</v>
      </c>
      <c r="F9171" s="251" t="str">
        <f>IF(AND(A9171&lt;&gt;"",ISNUMBER(A9171)),VLOOKUP(A9171,Studies!A:BR,6,FALSE),"")</f>
        <v>Plasma</v>
      </c>
      <c r="G9171" s="194">
        <v>1.5</v>
      </c>
      <c r="H9171" s="50" t="s">
        <v>60</v>
      </c>
      <c r="I9171" s="187">
        <v>11.53046</v>
      </c>
      <c r="J9171" s="41" t="s">
        <v>941</v>
      </c>
      <c r="K9171" s="41" t="s">
        <v>116</v>
      </c>
    </row>
    <row r="9172" spans="1:11" x14ac:dyDescent="0.2">
      <c r="A9172" s="30">
        <v>761</v>
      </c>
      <c r="B9172" s="249" t="str">
        <f>IF(AND(A9172&lt;&gt;"",ISNUMBER(A9172)),VLOOKUP(A9172,Studies!A:BR,2,FALSE),"")</f>
        <v>Kharasch 2011b</v>
      </c>
      <c r="C9172" s="250" t="str">
        <f>IF(AND(A9172&lt;&gt;"",ISNUMBER(A9172)),VLOOKUP(A9172,Studies!A:BR,3,FALSE),"")</f>
        <v>https://www.ncbi.nlm.nih.gov/pmc/articles/PMC3584707/</v>
      </c>
      <c r="D9172" s="250" t="str">
        <f>IF(AND(A9172&lt;&gt;"",ISNUMBER(A9172)),VLOOKUP(A9172,Studies!A:BR,4,FALSE),"")</f>
        <v>Alfentanil IV Grapefruit coadmin sequential</v>
      </c>
      <c r="E9172" s="250" t="str">
        <f>IF(AND(A9172&lt;&gt;"",ISNUMBER(A9172)),VLOOKUP(A9172,Studies!A:BR,5,FALSE),"")</f>
        <v>Alfentanil</v>
      </c>
      <c r="F9172" s="251" t="str">
        <f>IF(AND(A9172&lt;&gt;"",ISNUMBER(A9172)),VLOOKUP(A9172,Studies!A:BR,6,FALSE),"")</f>
        <v>Plasma</v>
      </c>
      <c r="G9172" s="194">
        <v>2</v>
      </c>
      <c r="H9172" s="50" t="s">
        <v>60</v>
      </c>
      <c r="I9172" s="187">
        <v>9.147926</v>
      </c>
      <c r="J9172" s="41" t="s">
        <v>941</v>
      </c>
      <c r="K9172" s="41" t="s">
        <v>116</v>
      </c>
    </row>
    <row r="9173" spans="1:11" x14ac:dyDescent="0.2">
      <c r="A9173" s="30">
        <v>761</v>
      </c>
      <c r="B9173" s="249" t="str">
        <f>IF(AND(A9173&lt;&gt;"",ISNUMBER(A9173)),VLOOKUP(A9173,Studies!A:BR,2,FALSE),"")</f>
        <v>Kharasch 2011b</v>
      </c>
      <c r="C9173" s="250" t="str">
        <f>IF(AND(A9173&lt;&gt;"",ISNUMBER(A9173)),VLOOKUP(A9173,Studies!A:BR,3,FALSE),"")</f>
        <v>https://www.ncbi.nlm.nih.gov/pmc/articles/PMC3584707/</v>
      </c>
      <c r="D9173" s="250" t="str">
        <f>IF(AND(A9173&lt;&gt;"",ISNUMBER(A9173)),VLOOKUP(A9173,Studies!A:BR,4,FALSE),"")</f>
        <v>Alfentanil IV Grapefruit coadmin sequential</v>
      </c>
      <c r="E9173" s="250" t="str">
        <f>IF(AND(A9173&lt;&gt;"",ISNUMBER(A9173)),VLOOKUP(A9173,Studies!A:BR,5,FALSE),"")</f>
        <v>Alfentanil</v>
      </c>
      <c r="F9173" s="251" t="str">
        <f>IF(AND(A9173&lt;&gt;"",ISNUMBER(A9173)),VLOOKUP(A9173,Studies!A:BR,6,FALSE),"")</f>
        <v>Plasma</v>
      </c>
      <c r="G9173" s="194">
        <v>3</v>
      </c>
      <c r="H9173" s="50" t="s">
        <v>60</v>
      </c>
      <c r="I9173" s="187">
        <v>5.4340669999999998</v>
      </c>
      <c r="J9173" s="41" t="s">
        <v>941</v>
      </c>
      <c r="K9173" s="41" t="s">
        <v>116</v>
      </c>
    </row>
    <row r="9174" spans="1:11" x14ac:dyDescent="0.2">
      <c r="A9174" s="30">
        <v>761</v>
      </c>
      <c r="B9174" s="249" t="str">
        <f>IF(AND(A9174&lt;&gt;"",ISNUMBER(A9174)),VLOOKUP(A9174,Studies!A:BR,2,FALSE),"")</f>
        <v>Kharasch 2011b</v>
      </c>
      <c r="C9174" s="250" t="str">
        <f>IF(AND(A9174&lt;&gt;"",ISNUMBER(A9174)),VLOOKUP(A9174,Studies!A:BR,3,FALSE),"")</f>
        <v>https://www.ncbi.nlm.nih.gov/pmc/articles/PMC3584707/</v>
      </c>
      <c r="D9174" s="250" t="str">
        <f>IF(AND(A9174&lt;&gt;"",ISNUMBER(A9174)),VLOOKUP(A9174,Studies!A:BR,4,FALSE),"")</f>
        <v>Alfentanil IV Grapefruit coadmin sequential</v>
      </c>
      <c r="E9174" s="250" t="str">
        <f>IF(AND(A9174&lt;&gt;"",ISNUMBER(A9174)),VLOOKUP(A9174,Studies!A:BR,5,FALSE),"")</f>
        <v>Alfentanil</v>
      </c>
      <c r="F9174" s="251" t="str">
        <f>IF(AND(A9174&lt;&gt;"",ISNUMBER(A9174)),VLOOKUP(A9174,Studies!A:BR,6,FALSE),"")</f>
        <v>Plasma</v>
      </c>
      <c r="G9174" s="194">
        <v>3.25</v>
      </c>
      <c r="H9174" s="50" t="s">
        <v>60</v>
      </c>
      <c r="I9174" s="187">
        <v>4.0074019999999999</v>
      </c>
      <c r="J9174" s="41" t="s">
        <v>941</v>
      </c>
      <c r="K9174" s="41" t="s">
        <v>116</v>
      </c>
    </row>
    <row r="9175" spans="1:11" x14ac:dyDescent="0.2">
      <c r="A9175" s="30">
        <v>761</v>
      </c>
      <c r="B9175" s="249" t="str">
        <f>IF(AND(A9175&lt;&gt;"",ISNUMBER(A9175)),VLOOKUP(A9175,Studies!A:BR,2,FALSE),"")</f>
        <v>Kharasch 2011b</v>
      </c>
      <c r="C9175" s="250" t="str">
        <f>IF(AND(A9175&lt;&gt;"",ISNUMBER(A9175)),VLOOKUP(A9175,Studies!A:BR,3,FALSE),"")</f>
        <v>https://www.ncbi.nlm.nih.gov/pmc/articles/PMC3584707/</v>
      </c>
      <c r="D9175" s="250" t="str">
        <f>IF(AND(A9175&lt;&gt;"",ISNUMBER(A9175)),VLOOKUP(A9175,Studies!A:BR,4,FALSE),"")</f>
        <v>Alfentanil IV Grapefruit coadmin sequential</v>
      </c>
      <c r="E9175" s="250" t="str">
        <f>IF(AND(A9175&lt;&gt;"",ISNUMBER(A9175)),VLOOKUP(A9175,Studies!A:BR,5,FALSE),"")</f>
        <v>Alfentanil</v>
      </c>
      <c r="F9175" s="251" t="str">
        <f>IF(AND(A9175&lt;&gt;"",ISNUMBER(A9175)),VLOOKUP(A9175,Studies!A:BR,6,FALSE),"")</f>
        <v>Plasma</v>
      </c>
      <c r="G9175" s="194">
        <v>3.5</v>
      </c>
      <c r="H9175" s="50" t="s">
        <v>60</v>
      </c>
      <c r="I9175" s="187">
        <v>3.5697559999999999</v>
      </c>
      <c r="J9175" s="41" t="s">
        <v>941</v>
      </c>
      <c r="K9175" s="41" t="s">
        <v>116</v>
      </c>
    </row>
    <row r="9176" spans="1:11" x14ac:dyDescent="0.2">
      <c r="A9176" s="30">
        <v>761</v>
      </c>
      <c r="B9176" s="249" t="str">
        <f>IF(AND(A9176&lt;&gt;"",ISNUMBER(A9176)),VLOOKUP(A9176,Studies!A:BR,2,FALSE),"")</f>
        <v>Kharasch 2011b</v>
      </c>
      <c r="C9176" s="250" t="str">
        <f>IF(AND(A9176&lt;&gt;"",ISNUMBER(A9176)),VLOOKUP(A9176,Studies!A:BR,3,FALSE),"")</f>
        <v>https://www.ncbi.nlm.nih.gov/pmc/articles/PMC3584707/</v>
      </c>
      <c r="D9176" s="250" t="str">
        <f>IF(AND(A9176&lt;&gt;"",ISNUMBER(A9176)),VLOOKUP(A9176,Studies!A:BR,4,FALSE),"")</f>
        <v>Alfentanil IV Grapefruit coadmin sequential</v>
      </c>
      <c r="E9176" s="250" t="str">
        <f>IF(AND(A9176&lt;&gt;"",ISNUMBER(A9176)),VLOOKUP(A9176,Studies!A:BR,5,FALSE),"")</f>
        <v>Alfentanil</v>
      </c>
      <c r="F9176" s="251" t="str">
        <f>IF(AND(A9176&lt;&gt;"",ISNUMBER(A9176)),VLOOKUP(A9176,Studies!A:BR,6,FALSE),"")</f>
        <v>Plasma</v>
      </c>
      <c r="G9176" s="194">
        <v>3.75</v>
      </c>
      <c r="H9176" s="50" t="s">
        <v>60</v>
      </c>
      <c r="I9176" s="187">
        <v>3.2730980000000001</v>
      </c>
      <c r="J9176" s="41" t="s">
        <v>941</v>
      </c>
      <c r="K9176" s="41" t="s">
        <v>116</v>
      </c>
    </row>
    <row r="9177" spans="1:11" x14ac:dyDescent="0.2">
      <c r="A9177" s="30">
        <v>761</v>
      </c>
      <c r="B9177" s="249" t="str">
        <f>IF(AND(A9177&lt;&gt;"",ISNUMBER(A9177)),VLOOKUP(A9177,Studies!A:BR,2,FALSE),"")</f>
        <v>Kharasch 2011b</v>
      </c>
      <c r="C9177" s="250" t="str">
        <f>IF(AND(A9177&lt;&gt;"",ISNUMBER(A9177)),VLOOKUP(A9177,Studies!A:BR,3,FALSE),"")</f>
        <v>https://www.ncbi.nlm.nih.gov/pmc/articles/PMC3584707/</v>
      </c>
      <c r="D9177" s="250" t="str">
        <f>IF(AND(A9177&lt;&gt;"",ISNUMBER(A9177)),VLOOKUP(A9177,Studies!A:BR,4,FALSE),"")</f>
        <v>Alfentanil IV Grapefruit coadmin sequential</v>
      </c>
      <c r="E9177" s="250" t="str">
        <f>IF(AND(A9177&lt;&gt;"",ISNUMBER(A9177)),VLOOKUP(A9177,Studies!A:BR,5,FALSE),"")</f>
        <v>Alfentanil</v>
      </c>
      <c r="F9177" s="251" t="str">
        <f>IF(AND(A9177&lt;&gt;"",ISNUMBER(A9177)),VLOOKUP(A9177,Studies!A:BR,6,FALSE),"")</f>
        <v>Plasma</v>
      </c>
      <c r="G9177" s="194">
        <v>4</v>
      </c>
      <c r="H9177" s="50" t="s">
        <v>60</v>
      </c>
      <c r="I9177" s="187">
        <v>2.9580609999999998</v>
      </c>
      <c r="J9177" s="41" t="s">
        <v>941</v>
      </c>
      <c r="K9177" s="41" t="s">
        <v>116</v>
      </c>
    </row>
    <row r="9178" spans="1:11" x14ac:dyDescent="0.2">
      <c r="A9178" s="30">
        <v>761</v>
      </c>
      <c r="B9178" s="249" t="str">
        <f>IF(AND(A9178&lt;&gt;"",ISNUMBER(A9178)),VLOOKUP(A9178,Studies!A:BR,2,FALSE),"")</f>
        <v>Kharasch 2011b</v>
      </c>
      <c r="C9178" s="250" t="str">
        <f>IF(AND(A9178&lt;&gt;"",ISNUMBER(A9178)),VLOOKUP(A9178,Studies!A:BR,3,FALSE),"")</f>
        <v>https://www.ncbi.nlm.nih.gov/pmc/articles/PMC3584707/</v>
      </c>
      <c r="D9178" s="250" t="str">
        <f>IF(AND(A9178&lt;&gt;"",ISNUMBER(A9178)),VLOOKUP(A9178,Studies!A:BR,4,FALSE),"")</f>
        <v>Alfentanil IV Grapefruit coadmin sequential</v>
      </c>
      <c r="E9178" s="250" t="str">
        <f>IF(AND(A9178&lt;&gt;"",ISNUMBER(A9178)),VLOOKUP(A9178,Studies!A:BR,5,FALSE),"")</f>
        <v>Alfentanil</v>
      </c>
      <c r="F9178" s="251" t="str">
        <f>IF(AND(A9178&lt;&gt;"",ISNUMBER(A9178)),VLOOKUP(A9178,Studies!A:BR,6,FALSE),"")</f>
        <v>Plasma</v>
      </c>
      <c r="G9178" s="194">
        <v>4.5</v>
      </c>
      <c r="H9178" s="50" t="s">
        <v>60</v>
      </c>
      <c r="I9178" s="187">
        <v>2.346838</v>
      </c>
      <c r="J9178" s="41" t="s">
        <v>941</v>
      </c>
      <c r="K9178" s="41" t="s">
        <v>116</v>
      </c>
    </row>
    <row r="9179" spans="1:11" x14ac:dyDescent="0.2">
      <c r="A9179" s="30">
        <v>761</v>
      </c>
      <c r="B9179" s="249" t="str">
        <f>IF(AND(A9179&lt;&gt;"",ISNUMBER(A9179)),VLOOKUP(A9179,Studies!A:BR,2,FALSE),"")</f>
        <v>Kharasch 2011b</v>
      </c>
      <c r="C9179" s="250" t="str">
        <f>IF(AND(A9179&lt;&gt;"",ISNUMBER(A9179)),VLOOKUP(A9179,Studies!A:BR,3,FALSE),"")</f>
        <v>https://www.ncbi.nlm.nih.gov/pmc/articles/PMC3584707/</v>
      </c>
      <c r="D9179" s="250" t="str">
        <f>IF(AND(A9179&lt;&gt;"",ISNUMBER(A9179)),VLOOKUP(A9179,Studies!A:BR,4,FALSE),"")</f>
        <v>Alfentanil IV Grapefruit coadmin sequential</v>
      </c>
      <c r="E9179" s="250" t="str">
        <f>IF(AND(A9179&lt;&gt;"",ISNUMBER(A9179)),VLOOKUP(A9179,Studies!A:BR,5,FALSE),"")</f>
        <v>Alfentanil</v>
      </c>
      <c r="F9179" s="251" t="str">
        <f>IF(AND(A9179&lt;&gt;"",ISNUMBER(A9179)),VLOOKUP(A9179,Studies!A:BR,6,FALSE),"")</f>
        <v>Plasma</v>
      </c>
      <c r="G9179" s="194">
        <v>5</v>
      </c>
      <c r="H9179" s="50" t="s">
        <v>60</v>
      </c>
      <c r="I9179" s="187">
        <v>1.944763</v>
      </c>
      <c r="J9179" s="41" t="s">
        <v>941</v>
      </c>
      <c r="K9179" s="41" t="s">
        <v>116</v>
      </c>
    </row>
    <row r="9180" spans="1:11" x14ac:dyDescent="0.2">
      <c r="A9180" s="30">
        <v>761</v>
      </c>
      <c r="B9180" s="249" t="str">
        <f>IF(AND(A9180&lt;&gt;"",ISNUMBER(A9180)),VLOOKUP(A9180,Studies!A:BR,2,FALSE),"")</f>
        <v>Kharasch 2011b</v>
      </c>
      <c r="C9180" s="250" t="str">
        <f>IF(AND(A9180&lt;&gt;"",ISNUMBER(A9180)),VLOOKUP(A9180,Studies!A:BR,3,FALSE),"")</f>
        <v>https://www.ncbi.nlm.nih.gov/pmc/articles/PMC3584707/</v>
      </c>
      <c r="D9180" s="250" t="str">
        <f>IF(AND(A9180&lt;&gt;"",ISNUMBER(A9180)),VLOOKUP(A9180,Studies!A:BR,4,FALSE),"")</f>
        <v>Alfentanil IV Grapefruit coadmin sequential</v>
      </c>
      <c r="E9180" s="250" t="str">
        <f>IF(AND(A9180&lt;&gt;"",ISNUMBER(A9180)),VLOOKUP(A9180,Studies!A:BR,5,FALSE),"")</f>
        <v>Alfentanil</v>
      </c>
      <c r="F9180" s="251" t="str">
        <f>IF(AND(A9180&lt;&gt;"",ISNUMBER(A9180)),VLOOKUP(A9180,Studies!A:BR,6,FALSE),"")</f>
        <v>Plasma</v>
      </c>
      <c r="G9180" s="194">
        <v>6</v>
      </c>
      <c r="H9180" s="50" t="s">
        <v>60</v>
      </c>
      <c r="I9180" s="187">
        <v>1.3948449999999999</v>
      </c>
      <c r="J9180" s="41" t="s">
        <v>941</v>
      </c>
      <c r="K9180" s="41" t="s">
        <v>116</v>
      </c>
    </row>
    <row r="9181" spans="1:11" x14ac:dyDescent="0.2">
      <c r="A9181" s="30">
        <v>761</v>
      </c>
      <c r="B9181" s="249" t="str">
        <f>IF(AND(A9181&lt;&gt;"",ISNUMBER(A9181)),VLOOKUP(A9181,Studies!A:BR,2,FALSE),"")</f>
        <v>Kharasch 2011b</v>
      </c>
      <c r="C9181" s="250" t="str">
        <f>IF(AND(A9181&lt;&gt;"",ISNUMBER(A9181)),VLOOKUP(A9181,Studies!A:BR,3,FALSE),"")</f>
        <v>https://www.ncbi.nlm.nih.gov/pmc/articles/PMC3584707/</v>
      </c>
      <c r="D9181" s="250" t="str">
        <f>IF(AND(A9181&lt;&gt;"",ISNUMBER(A9181)),VLOOKUP(A9181,Studies!A:BR,4,FALSE),"")</f>
        <v>Alfentanil IV Grapefruit coadmin sequential</v>
      </c>
      <c r="E9181" s="250" t="str">
        <f>IF(AND(A9181&lt;&gt;"",ISNUMBER(A9181)),VLOOKUP(A9181,Studies!A:BR,5,FALSE),"")</f>
        <v>Alfentanil</v>
      </c>
      <c r="F9181" s="251" t="str">
        <f>IF(AND(A9181&lt;&gt;"",ISNUMBER(A9181)),VLOOKUP(A9181,Studies!A:BR,6,FALSE),"")</f>
        <v>Plasma</v>
      </c>
      <c r="G9181" s="194">
        <v>7</v>
      </c>
      <c r="H9181" s="50" t="s">
        <v>60</v>
      </c>
      <c r="I9181" s="187">
        <v>0.9440731</v>
      </c>
      <c r="J9181" s="41" t="s">
        <v>941</v>
      </c>
      <c r="K9181" s="41" t="s">
        <v>116</v>
      </c>
    </row>
    <row r="9182" spans="1:11" x14ac:dyDescent="0.2">
      <c r="A9182" s="30">
        <v>761</v>
      </c>
      <c r="B9182" s="249" t="str">
        <f>IF(AND(A9182&lt;&gt;"",ISNUMBER(A9182)),VLOOKUP(A9182,Studies!A:BR,2,FALSE),"")</f>
        <v>Kharasch 2011b</v>
      </c>
      <c r="C9182" s="250" t="str">
        <f>IF(AND(A9182&lt;&gt;"",ISNUMBER(A9182)),VLOOKUP(A9182,Studies!A:BR,3,FALSE),"")</f>
        <v>https://www.ncbi.nlm.nih.gov/pmc/articles/PMC3584707/</v>
      </c>
      <c r="D9182" s="250" t="str">
        <f>IF(AND(A9182&lt;&gt;"",ISNUMBER(A9182)),VLOOKUP(A9182,Studies!A:BR,4,FALSE),"")</f>
        <v>Alfentanil IV Grapefruit coadmin sequential</v>
      </c>
      <c r="E9182" s="250" t="str">
        <f>IF(AND(A9182&lt;&gt;"",ISNUMBER(A9182)),VLOOKUP(A9182,Studies!A:BR,5,FALSE),"")</f>
        <v>Alfentanil</v>
      </c>
      <c r="F9182" s="251" t="str">
        <f>IF(AND(A9182&lt;&gt;"",ISNUMBER(A9182)),VLOOKUP(A9182,Studies!A:BR,6,FALSE),"")</f>
        <v>Plasma</v>
      </c>
      <c r="G9182" s="194">
        <v>8</v>
      </c>
      <c r="H9182" s="50" t="s">
        <v>60</v>
      </c>
      <c r="I9182" s="187">
        <v>0.62974929999999996</v>
      </c>
      <c r="J9182" s="41" t="s">
        <v>941</v>
      </c>
      <c r="K9182" s="41" t="s">
        <v>116</v>
      </c>
    </row>
    <row r="9183" spans="1:11" x14ac:dyDescent="0.2">
      <c r="A9183" s="30">
        <v>761</v>
      </c>
      <c r="B9183" s="249" t="str">
        <f>IF(AND(A9183&lt;&gt;"",ISNUMBER(A9183)),VLOOKUP(A9183,Studies!A:BR,2,FALSE),"")</f>
        <v>Kharasch 2011b</v>
      </c>
      <c r="C9183" s="250" t="str">
        <f>IF(AND(A9183&lt;&gt;"",ISNUMBER(A9183)),VLOOKUP(A9183,Studies!A:BR,3,FALSE),"")</f>
        <v>https://www.ncbi.nlm.nih.gov/pmc/articles/PMC3584707/</v>
      </c>
      <c r="D9183" s="250" t="str">
        <f>IF(AND(A9183&lt;&gt;"",ISNUMBER(A9183)),VLOOKUP(A9183,Studies!A:BR,4,FALSE),"")</f>
        <v>Alfentanil IV Grapefruit coadmin sequential</v>
      </c>
      <c r="E9183" s="250" t="str">
        <f>IF(AND(A9183&lt;&gt;"",ISNUMBER(A9183)),VLOOKUP(A9183,Studies!A:BR,5,FALSE),"")</f>
        <v>Alfentanil</v>
      </c>
      <c r="F9183" s="251" t="str">
        <f>IF(AND(A9183&lt;&gt;"",ISNUMBER(A9183)),VLOOKUP(A9183,Studies!A:BR,6,FALSE),"")</f>
        <v>Plasma</v>
      </c>
      <c r="G9183" s="194">
        <v>9</v>
      </c>
      <c r="H9183" s="50" t="s">
        <v>60</v>
      </c>
      <c r="I9183" s="187">
        <v>0.42006329999999997</v>
      </c>
      <c r="J9183" s="41" t="s">
        <v>941</v>
      </c>
      <c r="K9183" s="41" t="s">
        <v>116</v>
      </c>
    </row>
    <row r="9184" spans="1:11" x14ac:dyDescent="0.2">
      <c r="A9184" s="30">
        <v>761</v>
      </c>
      <c r="B9184" s="249" t="str">
        <f>IF(AND(A9184&lt;&gt;"",ISNUMBER(A9184)),VLOOKUP(A9184,Studies!A:BR,2,FALSE),"")</f>
        <v>Kharasch 2011b</v>
      </c>
      <c r="C9184" s="250" t="str">
        <f>IF(AND(A9184&lt;&gt;"",ISNUMBER(A9184)),VLOOKUP(A9184,Studies!A:BR,3,FALSE),"")</f>
        <v>https://www.ncbi.nlm.nih.gov/pmc/articles/PMC3584707/</v>
      </c>
      <c r="D9184" s="250" t="str">
        <f>IF(AND(A9184&lt;&gt;"",ISNUMBER(A9184)),VLOOKUP(A9184,Studies!A:BR,4,FALSE),"")</f>
        <v>Alfentanil IV Grapefruit coadmin sequential</v>
      </c>
      <c r="E9184" s="250" t="str">
        <f>IF(AND(A9184&lt;&gt;"",ISNUMBER(A9184)),VLOOKUP(A9184,Studies!A:BR,5,FALSE),"")</f>
        <v>Alfentanil</v>
      </c>
      <c r="F9184" s="251" t="str">
        <f>IF(AND(A9184&lt;&gt;"",ISNUMBER(A9184)),VLOOKUP(A9184,Studies!A:BR,6,FALSE),"")</f>
        <v>Plasma</v>
      </c>
      <c r="G9184" s="194">
        <v>10</v>
      </c>
      <c r="H9184" s="50" t="s">
        <v>60</v>
      </c>
      <c r="I9184" s="187">
        <v>0.26059399999999999</v>
      </c>
      <c r="J9184" s="41" t="s">
        <v>941</v>
      </c>
      <c r="K9184" s="41" t="s">
        <v>116</v>
      </c>
    </row>
    <row r="9185" spans="1:14" x14ac:dyDescent="0.2">
      <c r="A9185" s="30">
        <v>761</v>
      </c>
      <c r="B9185" s="249" t="str">
        <f>IF(AND(A9185&lt;&gt;"",ISNUMBER(A9185)),VLOOKUP(A9185,Studies!A:BR,2,FALSE),"")</f>
        <v>Kharasch 2011b</v>
      </c>
      <c r="C9185" s="250" t="str">
        <f>IF(AND(A9185&lt;&gt;"",ISNUMBER(A9185)),VLOOKUP(A9185,Studies!A:BR,3,FALSE),"")</f>
        <v>https://www.ncbi.nlm.nih.gov/pmc/articles/PMC3584707/</v>
      </c>
      <c r="D9185" s="250" t="str">
        <f>IF(AND(A9185&lt;&gt;"",ISNUMBER(A9185)),VLOOKUP(A9185,Studies!A:BR,4,FALSE),"")</f>
        <v>Alfentanil IV Grapefruit coadmin sequential</v>
      </c>
      <c r="E9185" s="250" t="str">
        <f>IF(AND(A9185&lt;&gt;"",ISNUMBER(A9185)),VLOOKUP(A9185,Studies!A:BR,5,FALSE),"")</f>
        <v>Alfentanil</v>
      </c>
      <c r="F9185" s="251" t="str">
        <f>IF(AND(A9185&lt;&gt;"",ISNUMBER(A9185)),VLOOKUP(A9185,Studies!A:BR,6,FALSE),"")</f>
        <v>Plasma</v>
      </c>
      <c r="G9185" s="194">
        <v>11</v>
      </c>
      <c r="H9185" s="50" t="s">
        <v>60</v>
      </c>
      <c r="I9185" s="187">
        <v>0.16642509999999999</v>
      </c>
      <c r="J9185" s="41" t="s">
        <v>941</v>
      </c>
      <c r="K9185" s="41" t="s">
        <v>116</v>
      </c>
    </row>
    <row r="9186" spans="1:14" x14ac:dyDescent="0.2">
      <c r="A9186" s="30">
        <v>762</v>
      </c>
      <c r="B9186" s="249" t="str">
        <f>IF(AND(A9186&lt;&gt;"",ISNUMBER(A9186)),VLOOKUP(A9186,Studies!A:BR,2,FALSE),"")</f>
        <v>Kharasch 2011b</v>
      </c>
      <c r="C9186" s="250" t="str">
        <f>IF(AND(A9186&lt;&gt;"",ISNUMBER(A9186)),VLOOKUP(A9186,Studies!A:BR,3,FALSE),"")</f>
        <v>https://www.ncbi.nlm.nih.gov/pmc/articles/PMC3584707/</v>
      </c>
      <c r="D9186" s="250" t="str">
        <f>IF(AND(A9186&lt;&gt;"",ISNUMBER(A9186)),VLOOKUP(A9186,Studies!A:BR,4,FALSE),"")</f>
        <v>Alfentanil IV Ketoconazole coadmin sequential</v>
      </c>
      <c r="E9186" s="250" t="str">
        <f>IF(AND(A9186&lt;&gt;"",ISNUMBER(A9186)),VLOOKUP(A9186,Studies!A:BR,5,FALSE),"")</f>
        <v>Alfentanil</v>
      </c>
      <c r="F9186" s="251" t="str">
        <f>IF(AND(A9186&lt;&gt;"",ISNUMBER(A9186)),VLOOKUP(A9186,Studies!A:BR,6,FALSE),"")</f>
        <v>Plasma</v>
      </c>
      <c r="G9186" s="194">
        <v>60.083300000000001</v>
      </c>
      <c r="H9186" s="50" t="s">
        <v>60</v>
      </c>
      <c r="I9186" s="187">
        <v>33.676609999999997</v>
      </c>
      <c r="J9186" s="41" t="s">
        <v>941</v>
      </c>
      <c r="K9186" s="41" t="s">
        <v>116</v>
      </c>
      <c r="L9186" s="195">
        <v>13.342079999999999</v>
      </c>
      <c r="M9186" s="52" t="s">
        <v>941</v>
      </c>
      <c r="N9186" s="52" t="s">
        <v>117</v>
      </c>
    </row>
    <row r="9187" spans="1:14" x14ac:dyDescent="0.2">
      <c r="A9187" s="30">
        <v>762</v>
      </c>
      <c r="B9187" s="249" t="str">
        <f>IF(AND(A9187&lt;&gt;"",ISNUMBER(A9187)),VLOOKUP(A9187,Studies!A:BR,2,FALSE),"")</f>
        <v>Kharasch 2011b</v>
      </c>
      <c r="C9187" s="250" t="str">
        <f>IF(AND(A9187&lt;&gt;"",ISNUMBER(A9187)),VLOOKUP(A9187,Studies!A:BR,3,FALSE),"")</f>
        <v>https://www.ncbi.nlm.nih.gov/pmc/articles/PMC3584707/</v>
      </c>
      <c r="D9187" s="250" t="str">
        <f>IF(AND(A9187&lt;&gt;"",ISNUMBER(A9187)),VLOOKUP(A9187,Studies!A:BR,4,FALSE),"")</f>
        <v>Alfentanil IV Ketoconazole coadmin sequential</v>
      </c>
      <c r="E9187" s="250" t="str">
        <f>IF(AND(A9187&lt;&gt;"",ISNUMBER(A9187)),VLOOKUP(A9187,Studies!A:BR,5,FALSE),"")</f>
        <v>Alfentanil</v>
      </c>
      <c r="F9187" s="251" t="str">
        <f>IF(AND(A9187&lt;&gt;"",ISNUMBER(A9187)),VLOOKUP(A9187,Studies!A:BR,6,FALSE),"")</f>
        <v>Plasma</v>
      </c>
      <c r="G9187" s="194">
        <v>60.75</v>
      </c>
      <c r="H9187" s="50" t="s">
        <v>60</v>
      </c>
      <c r="I9187" s="187">
        <v>16.081910000000001</v>
      </c>
      <c r="J9187" s="41" t="s">
        <v>941</v>
      </c>
      <c r="K9187" s="41" t="s">
        <v>116</v>
      </c>
      <c r="L9187" s="195">
        <v>6.3737050000000002</v>
      </c>
      <c r="M9187" s="52" t="s">
        <v>941</v>
      </c>
      <c r="N9187" s="52" t="s">
        <v>117</v>
      </c>
    </row>
    <row r="9188" spans="1:14" x14ac:dyDescent="0.2">
      <c r="A9188" s="30">
        <v>762</v>
      </c>
      <c r="B9188" s="249" t="str">
        <f>IF(AND(A9188&lt;&gt;"",ISNUMBER(A9188)),VLOOKUP(A9188,Studies!A:BR,2,FALSE),"")</f>
        <v>Kharasch 2011b</v>
      </c>
      <c r="C9188" s="250" t="str">
        <f>IF(AND(A9188&lt;&gt;"",ISNUMBER(A9188)),VLOOKUP(A9188,Studies!A:BR,3,FALSE),"")</f>
        <v>https://www.ncbi.nlm.nih.gov/pmc/articles/PMC3584707/</v>
      </c>
      <c r="D9188" s="250" t="str">
        <f>IF(AND(A9188&lt;&gt;"",ISNUMBER(A9188)),VLOOKUP(A9188,Studies!A:BR,4,FALSE),"")</f>
        <v>Alfentanil IV Ketoconazole coadmin sequential</v>
      </c>
      <c r="E9188" s="250" t="str">
        <f>IF(AND(A9188&lt;&gt;"",ISNUMBER(A9188)),VLOOKUP(A9188,Studies!A:BR,5,FALSE),"")</f>
        <v>Alfentanil</v>
      </c>
      <c r="F9188" s="251" t="str">
        <f>IF(AND(A9188&lt;&gt;"",ISNUMBER(A9188)),VLOOKUP(A9188,Studies!A:BR,6,FALSE),"")</f>
        <v>Plasma</v>
      </c>
      <c r="G9188" s="194">
        <v>61.5</v>
      </c>
      <c r="H9188" s="50" t="s">
        <v>60</v>
      </c>
      <c r="I9188" s="187">
        <v>15.19074</v>
      </c>
      <c r="J9188" s="41" t="s">
        <v>941</v>
      </c>
      <c r="K9188" s="41" t="s">
        <v>116</v>
      </c>
      <c r="L9188" s="195">
        <v>5.4130070000000003</v>
      </c>
      <c r="M9188" s="52" t="s">
        <v>941</v>
      </c>
      <c r="N9188" s="52" t="s">
        <v>117</v>
      </c>
    </row>
    <row r="9189" spans="1:14" x14ac:dyDescent="0.2">
      <c r="A9189" s="30">
        <v>762</v>
      </c>
      <c r="B9189" s="249" t="str">
        <f>IF(AND(A9189&lt;&gt;"",ISNUMBER(A9189)),VLOOKUP(A9189,Studies!A:BR,2,FALSE),"")</f>
        <v>Kharasch 2011b</v>
      </c>
      <c r="C9189" s="250" t="str">
        <f>IF(AND(A9189&lt;&gt;"",ISNUMBER(A9189)),VLOOKUP(A9189,Studies!A:BR,3,FALSE),"")</f>
        <v>https://www.ncbi.nlm.nih.gov/pmc/articles/PMC3584707/</v>
      </c>
      <c r="D9189" s="250" t="str">
        <f>IF(AND(A9189&lt;&gt;"",ISNUMBER(A9189)),VLOOKUP(A9189,Studies!A:BR,4,FALSE),"")</f>
        <v>Alfentanil IV Ketoconazole coadmin sequential</v>
      </c>
      <c r="E9189" s="250" t="str">
        <f>IF(AND(A9189&lt;&gt;"",ISNUMBER(A9189)),VLOOKUP(A9189,Studies!A:BR,5,FALSE),"")</f>
        <v>Alfentanil</v>
      </c>
      <c r="F9189" s="251" t="str">
        <f>IF(AND(A9189&lt;&gt;"",ISNUMBER(A9189)),VLOOKUP(A9189,Studies!A:BR,6,FALSE),"")</f>
        <v>Plasma</v>
      </c>
      <c r="G9189" s="194">
        <v>62</v>
      </c>
      <c r="H9189" s="50" t="s">
        <v>60</v>
      </c>
      <c r="I9189" s="187">
        <v>13.935090000000001</v>
      </c>
      <c r="J9189" s="41" t="s">
        <v>941</v>
      </c>
      <c r="K9189" s="41" t="s">
        <v>116</v>
      </c>
      <c r="L9189" s="195">
        <v>5.5215199999999998</v>
      </c>
      <c r="M9189" s="52" t="s">
        <v>941</v>
      </c>
      <c r="N9189" s="52" t="s">
        <v>117</v>
      </c>
    </row>
    <row r="9190" spans="1:14" x14ac:dyDescent="0.2">
      <c r="A9190" s="30">
        <v>762</v>
      </c>
      <c r="B9190" s="249" t="str">
        <f>IF(AND(A9190&lt;&gt;"",ISNUMBER(A9190)),VLOOKUP(A9190,Studies!A:BR,2,FALSE),"")</f>
        <v>Kharasch 2011b</v>
      </c>
      <c r="C9190" s="250" t="str">
        <f>IF(AND(A9190&lt;&gt;"",ISNUMBER(A9190)),VLOOKUP(A9190,Studies!A:BR,3,FALSE),"")</f>
        <v>https://www.ncbi.nlm.nih.gov/pmc/articles/PMC3584707/</v>
      </c>
      <c r="D9190" s="250" t="str">
        <f>IF(AND(A9190&lt;&gt;"",ISNUMBER(A9190)),VLOOKUP(A9190,Studies!A:BR,4,FALSE),"")</f>
        <v>Alfentanil IV Ketoconazole coadmin sequential</v>
      </c>
      <c r="E9190" s="250" t="str">
        <f>IF(AND(A9190&lt;&gt;"",ISNUMBER(A9190)),VLOOKUP(A9190,Studies!A:BR,5,FALSE),"")</f>
        <v>Alfentanil</v>
      </c>
      <c r="F9190" s="251" t="str">
        <f>IF(AND(A9190&lt;&gt;"",ISNUMBER(A9190)),VLOOKUP(A9190,Studies!A:BR,6,FALSE),"")</f>
        <v>Plasma</v>
      </c>
      <c r="G9190" s="194">
        <v>63</v>
      </c>
      <c r="H9190" s="50" t="s">
        <v>60</v>
      </c>
      <c r="I9190" s="187">
        <v>12.60867</v>
      </c>
      <c r="J9190" s="41" t="s">
        <v>941</v>
      </c>
      <c r="K9190" s="41" t="s">
        <v>116</v>
      </c>
      <c r="L9190" s="195">
        <v>4.2459569999999998</v>
      </c>
      <c r="M9190" s="52" t="s">
        <v>941</v>
      </c>
      <c r="N9190" s="52" t="s">
        <v>117</v>
      </c>
    </row>
    <row r="9191" spans="1:14" x14ac:dyDescent="0.2">
      <c r="A9191" s="30">
        <v>762</v>
      </c>
      <c r="B9191" s="249" t="str">
        <f>IF(AND(A9191&lt;&gt;"",ISNUMBER(A9191)),VLOOKUP(A9191,Studies!A:BR,2,FALSE),"")</f>
        <v>Kharasch 2011b</v>
      </c>
      <c r="C9191" s="250" t="str">
        <f>IF(AND(A9191&lt;&gt;"",ISNUMBER(A9191)),VLOOKUP(A9191,Studies!A:BR,3,FALSE),"")</f>
        <v>https://www.ncbi.nlm.nih.gov/pmc/articles/PMC3584707/</v>
      </c>
      <c r="D9191" s="250" t="str">
        <f>IF(AND(A9191&lt;&gt;"",ISNUMBER(A9191)),VLOOKUP(A9191,Studies!A:BR,4,FALSE),"")</f>
        <v>Alfentanil IV Ketoconazole coadmin sequential</v>
      </c>
      <c r="E9191" s="250" t="str">
        <f>IF(AND(A9191&lt;&gt;"",ISNUMBER(A9191)),VLOOKUP(A9191,Studies!A:BR,5,FALSE),"")</f>
        <v>Alfentanil</v>
      </c>
      <c r="F9191" s="251" t="str">
        <f>IF(AND(A9191&lt;&gt;"",ISNUMBER(A9191)),VLOOKUP(A9191,Studies!A:BR,6,FALSE),"")</f>
        <v>Plasma</v>
      </c>
      <c r="G9191" s="194">
        <v>63.25</v>
      </c>
      <c r="H9191" s="50" t="s">
        <v>60</v>
      </c>
      <c r="I9191" s="187">
        <v>12.074439999999999</v>
      </c>
      <c r="J9191" s="41" t="s">
        <v>941</v>
      </c>
      <c r="K9191" s="41" t="s">
        <v>116</v>
      </c>
      <c r="L9191" s="195">
        <v>4.5402360000000002</v>
      </c>
      <c r="M9191" s="52" t="s">
        <v>941</v>
      </c>
      <c r="N9191" s="52" t="s">
        <v>117</v>
      </c>
    </row>
    <row r="9192" spans="1:14" x14ac:dyDescent="0.2">
      <c r="A9192" s="30">
        <v>762</v>
      </c>
      <c r="B9192" s="249" t="str">
        <f>IF(AND(A9192&lt;&gt;"",ISNUMBER(A9192)),VLOOKUP(A9192,Studies!A:BR,2,FALSE),"")</f>
        <v>Kharasch 2011b</v>
      </c>
      <c r="C9192" s="250" t="str">
        <f>IF(AND(A9192&lt;&gt;"",ISNUMBER(A9192)),VLOOKUP(A9192,Studies!A:BR,3,FALSE),"")</f>
        <v>https://www.ncbi.nlm.nih.gov/pmc/articles/PMC3584707/</v>
      </c>
      <c r="D9192" s="250" t="str">
        <f>IF(AND(A9192&lt;&gt;"",ISNUMBER(A9192)),VLOOKUP(A9192,Studies!A:BR,4,FALSE),"")</f>
        <v>Alfentanil IV Ketoconazole coadmin sequential</v>
      </c>
      <c r="E9192" s="250" t="str">
        <f>IF(AND(A9192&lt;&gt;"",ISNUMBER(A9192)),VLOOKUP(A9192,Studies!A:BR,5,FALSE),"")</f>
        <v>Alfentanil</v>
      </c>
      <c r="F9192" s="251" t="str">
        <f>IF(AND(A9192&lt;&gt;"",ISNUMBER(A9192)),VLOOKUP(A9192,Studies!A:BR,6,FALSE),"")</f>
        <v>Plasma</v>
      </c>
      <c r="G9192" s="194">
        <v>63.5</v>
      </c>
      <c r="H9192" s="50" t="s">
        <v>60</v>
      </c>
      <c r="I9192" s="187">
        <v>11.397449999999999</v>
      </c>
      <c r="J9192" s="41" t="s">
        <v>941</v>
      </c>
      <c r="K9192" s="41" t="s">
        <v>116</v>
      </c>
      <c r="L9192" s="195">
        <v>4.0618559999999997</v>
      </c>
      <c r="M9192" s="52" t="s">
        <v>941</v>
      </c>
      <c r="N9192" s="52" t="s">
        <v>117</v>
      </c>
    </row>
    <row r="9193" spans="1:14" x14ac:dyDescent="0.2">
      <c r="A9193" s="30">
        <v>762</v>
      </c>
      <c r="B9193" s="249" t="str">
        <f>IF(AND(A9193&lt;&gt;"",ISNUMBER(A9193)),VLOOKUP(A9193,Studies!A:BR,2,FALSE),"")</f>
        <v>Kharasch 2011b</v>
      </c>
      <c r="C9193" s="250" t="str">
        <f>IF(AND(A9193&lt;&gt;"",ISNUMBER(A9193)),VLOOKUP(A9193,Studies!A:BR,3,FALSE),"")</f>
        <v>https://www.ncbi.nlm.nih.gov/pmc/articles/PMC3584707/</v>
      </c>
      <c r="D9193" s="250" t="str">
        <f>IF(AND(A9193&lt;&gt;"",ISNUMBER(A9193)),VLOOKUP(A9193,Studies!A:BR,4,FALSE),"")</f>
        <v>Alfentanil IV Ketoconazole coadmin sequential</v>
      </c>
      <c r="E9193" s="250" t="str">
        <f>IF(AND(A9193&lt;&gt;"",ISNUMBER(A9193)),VLOOKUP(A9193,Studies!A:BR,5,FALSE),"")</f>
        <v>Alfentanil</v>
      </c>
      <c r="F9193" s="251" t="str">
        <f>IF(AND(A9193&lt;&gt;"",ISNUMBER(A9193)),VLOOKUP(A9193,Studies!A:BR,6,FALSE),"")</f>
        <v>Plasma</v>
      </c>
      <c r="G9193" s="194">
        <v>63.75</v>
      </c>
      <c r="H9193" s="50" t="s">
        <v>60</v>
      </c>
      <c r="I9193" s="187">
        <v>11.568059999999999</v>
      </c>
      <c r="J9193" s="41" t="s">
        <v>941</v>
      </c>
      <c r="K9193" s="41" t="s">
        <v>116</v>
      </c>
      <c r="L9193" s="195">
        <v>5.3029210000000004</v>
      </c>
      <c r="M9193" s="52" t="s">
        <v>941</v>
      </c>
      <c r="N9193" s="52" t="s">
        <v>117</v>
      </c>
    </row>
    <row r="9194" spans="1:14" x14ac:dyDescent="0.2">
      <c r="A9194" s="30">
        <v>762</v>
      </c>
      <c r="B9194" s="249" t="str">
        <f>IF(AND(A9194&lt;&gt;"",ISNUMBER(A9194)),VLOOKUP(A9194,Studies!A:BR,2,FALSE),"")</f>
        <v>Kharasch 2011b</v>
      </c>
      <c r="C9194" s="250" t="str">
        <f>IF(AND(A9194&lt;&gt;"",ISNUMBER(A9194)),VLOOKUP(A9194,Studies!A:BR,3,FALSE),"")</f>
        <v>https://www.ncbi.nlm.nih.gov/pmc/articles/PMC3584707/</v>
      </c>
      <c r="D9194" s="250" t="str">
        <f>IF(AND(A9194&lt;&gt;"",ISNUMBER(A9194)),VLOOKUP(A9194,Studies!A:BR,4,FALSE),"")</f>
        <v>Alfentanil IV Ketoconazole coadmin sequential</v>
      </c>
      <c r="E9194" s="250" t="str">
        <f>IF(AND(A9194&lt;&gt;"",ISNUMBER(A9194)),VLOOKUP(A9194,Studies!A:BR,5,FALSE),"")</f>
        <v>Alfentanil</v>
      </c>
      <c r="F9194" s="251" t="str">
        <f>IF(AND(A9194&lt;&gt;"",ISNUMBER(A9194)),VLOOKUP(A9194,Studies!A:BR,6,FALSE),"")</f>
        <v>Plasma</v>
      </c>
      <c r="G9194" s="194">
        <v>64</v>
      </c>
      <c r="H9194" s="50" t="s">
        <v>60</v>
      </c>
      <c r="I9194" s="187">
        <v>11.079459999999999</v>
      </c>
      <c r="J9194" s="41" t="s">
        <v>941</v>
      </c>
      <c r="K9194" s="41" t="s">
        <v>116</v>
      </c>
      <c r="L9194" s="195">
        <v>4.6166960000000001</v>
      </c>
      <c r="M9194" s="52" t="s">
        <v>941</v>
      </c>
      <c r="N9194" s="52" t="s">
        <v>117</v>
      </c>
    </row>
    <row r="9195" spans="1:14" x14ac:dyDescent="0.2">
      <c r="A9195" s="30">
        <v>762</v>
      </c>
      <c r="B9195" s="249" t="str">
        <f>IF(AND(A9195&lt;&gt;"",ISNUMBER(A9195)),VLOOKUP(A9195,Studies!A:BR,2,FALSE),"")</f>
        <v>Kharasch 2011b</v>
      </c>
      <c r="C9195" s="250" t="str">
        <f>IF(AND(A9195&lt;&gt;"",ISNUMBER(A9195)),VLOOKUP(A9195,Studies!A:BR,3,FALSE),"")</f>
        <v>https://www.ncbi.nlm.nih.gov/pmc/articles/PMC3584707/</v>
      </c>
      <c r="D9195" s="250" t="str">
        <f>IF(AND(A9195&lt;&gt;"",ISNUMBER(A9195)),VLOOKUP(A9195,Studies!A:BR,4,FALSE),"")</f>
        <v>Alfentanil IV Ketoconazole coadmin sequential</v>
      </c>
      <c r="E9195" s="250" t="str">
        <f>IF(AND(A9195&lt;&gt;"",ISNUMBER(A9195)),VLOOKUP(A9195,Studies!A:BR,5,FALSE),"")</f>
        <v>Alfentanil</v>
      </c>
      <c r="F9195" s="251" t="str">
        <f>IF(AND(A9195&lt;&gt;"",ISNUMBER(A9195)),VLOOKUP(A9195,Studies!A:BR,6,FALSE),"")</f>
        <v>Plasma</v>
      </c>
      <c r="G9195" s="194">
        <v>64.5</v>
      </c>
      <c r="H9195" s="50" t="s">
        <v>60</v>
      </c>
      <c r="I9195" s="187">
        <v>10.615170000000001</v>
      </c>
      <c r="J9195" s="41" t="s">
        <v>941</v>
      </c>
      <c r="K9195" s="41" t="s">
        <v>116</v>
      </c>
      <c r="L9195" s="195">
        <v>3.9930319999999999</v>
      </c>
      <c r="M9195" s="52" t="s">
        <v>941</v>
      </c>
      <c r="N9195" s="52" t="s">
        <v>117</v>
      </c>
    </row>
    <row r="9196" spans="1:14" x14ac:dyDescent="0.2">
      <c r="A9196" s="30">
        <v>762</v>
      </c>
      <c r="B9196" s="249" t="str">
        <f>IF(AND(A9196&lt;&gt;"",ISNUMBER(A9196)),VLOOKUP(A9196,Studies!A:BR,2,FALSE),"")</f>
        <v>Kharasch 2011b</v>
      </c>
      <c r="C9196" s="250" t="str">
        <f>IF(AND(A9196&lt;&gt;"",ISNUMBER(A9196)),VLOOKUP(A9196,Studies!A:BR,3,FALSE),"")</f>
        <v>https://www.ncbi.nlm.nih.gov/pmc/articles/PMC3584707/</v>
      </c>
      <c r="D9196" s="250" t="str">
        <f>IF(AND(A9196&lt;&gt;"",ISNUMBER(A9196)),VLOOKUP(A9196,Studies!A:BR,4,FALSE),"")</f>
        <v>Alfentanil IV Ketoconazole coadmin sequential</v>
      </c>
      <c r="E9196" s="250" t="str">
        <f>IF(AND(A9196&lt;&gt;"",ISNUMBER(A9196)),VLOOKUP(A9196,Studies!A:BR,5,FALSE),"")</f>
        <v>Alfentanil</v>
      </c>
      <c r="F9196" s="251" t="str">
        <f>IF(AND(A9196&lt;&gt;"",ISNUMBER(A9196)),VLOOKUP(A9196,Studies!A:BR,6,FALSE),"")</f>
        <v>Plasma</v>
      </c>
      <c r="G9196" s="194">
        <v>65</v>
      </c>
      <c r="H9196" s="50" t="s">
        <v>60</v>
      </c>
      <c r="I9196" s="187">
        <v>9.8790530000000008</v>
      </c>
      <c r="J9196" s="41" t="s">
        <v>941</v>
      </c>
      <c r="K9196" s="41" t="s">
        <v>116</v>
      </c>
      <c r="L9196" s="195">
        <v>4.1160170000000003</v>
      </c>
      <c r="M9196" s="52" t="s">
        <v>941</v>
      </c>
      <c r="N9196" s="52" t="s">
        <v>117</v>
      </c>
    </row>
    <row r="9197" spans="1:14" x14ac:dyDescent="0.2">
      <c r="A9197" s="30">
        <v>762</v>
      </c>
      <c r="B9197" s="249" t="str">
        <f>IF(AND(A9197&lt;&gt;"",ISNUMBER(A9197)),VLOOKUP(A9197,Studies!A:BR,2,FALSE),"")</f>
        <v>Kharasch 2011b</v>
      </c>
      <c r="C9197" s="250" t="str">
        <f>IF(AND(A9197&lt;&gt;"",ISNUMBER(A9197)),VLOOKUP(A9197,Studies!A:BR,3,FALSE),"")</f>
        <v>https://www.ncbi.nlm.nih.gov/pmc/articles/PMC3584707/</v>
      </c>
      <c r="D9197" s="250" t="str">
        <f>IF(AND(A9197&lt;&gt;"",ISNUMBER(A9197)),VLOOKUP(A9197,Studies!A:BR,4,FALSE),"")</f>
        <v>Alfentanil IV Ketoconazole coadmin sequential</v>
      </c>
      <c r="E9197" s="250" t="str">
        <f>IF(AND(A9197&lt;&gt;"",ISNUMBER(A9197)),VLOOKUP(A9197,Studies!A:BR,5,FALSE),"")</f>
        <v>Alfentanil</v>
      </c>
      <c r="F9197" s="251" t="str">
        <f>IF(AND(A9197&lt;&gt;"",ISNUMBER(A9197)),VLOOKUP(A9197,Studies!A:BR,6,FALSE),"")</f>
        <v>Plasma</v>
      </c>
      <c r="G9197" s="194">
        <v>66</v>
      </c>
      <c r="H9197" s="50" t="s">
        <v>60</v>
      </c>
      <c r="I9197" s="187">
        <v>8.9380889999999997</v>
      </c>
      <c r="J9197" s="41" t="s">
        <v>941</v>
      </c>
      <c r="K9197" s="41" t="s">
        <v>116</v>
      </c>
      <c r="L9197" s="195">
        <v>4.0968629999999999</v>
      </c>
      <c r="M9197" s="52" t="s">
        <v>941</v>
      </c>
      <c r="N9197" s="52" t="s">
        <v>117</v>
      </c>
    </row>
    <row r="9198" spans="1:14" x14ac:dyDescent="0.2">
      <c r="A9198" s="30">
        <v>762</v>
      </c>
      <c r="B9198" s="249" t="str">
        <f>IF(AND(A9198&lt;&gt;"",ISNUMBER(A9198)),VLOOKUP(A9198,Studies!A:BR,2,FALSE),"")</f>
        <v>Kharasch 2011b</v>
      </c>
      <c r="C9198" s="250" t="str">
        <f>IF(AND(A9198&lt;&gt;"",ISNUMBER(A9198)),VLOOKUP(A9198,Studies!A:BR,3,FALSE),"")</f>
        <v>https://www.ncbi.nlm.nih.gov/pmc/articles/PMC3584707/</v>
      </c>
      <c r="D9198" s="250" t="str">
        <f>IF(AND(A9198&lt;&gt;"",ISNUMBER(A9198)),VLOOKUP(A9198,Studies!A:BR,4,FALSE),"")</f>
        <v>Alfentanil IV Ketoconazole coadmin sequential</v>
      </c>
      <c r="E9198" s="250" t="str">
        <f>IF(AND(A9198&lt;&gt;"",ISNUMBER(A9198)),VLOOKUP(A9198,Studies!A:BR,5,FALSE),"")</f>
        <v>Alfentanil</v>
      </c>
      <c r="F9198" s="251" t="str">
        <f>IF(AND(A9198&lt;&gt;"",ISNUMBER(A9198)),VLOOKUP(A9198,Studies!A:BR,6,FALSE),"")</f>
        <v>Plasma</v>
      </c>
      <c r="G9198" s="194">
        <v>67</v>
      </c>
      <c r="H9198" s="50" t="s">
        <v>60</v>
      </c>
      <c r="I9198" s="187">
        <v>7.8551419999999998</v>
      </c>
      <c r="J9198" s="41" t="s">
        <v>941</v>
      </c>
      <c r="K9198" s="41" t="s">
        <v>116</v>
      </c>
      <c r="L9198" s="195">
        <v>3.4358300000000002</v>
      </c>
      <c r="M9198" s="52" t="s">
        <v>941</v>
      </c>
      <c r="N9198" s="52" t="s">
        <v>117</v>
      </c>
    </row>
    <row r="9199" spans="1:14" x14ac:dyDescent="0.2">
      <c r="A9199" s="30">
        <v>762</v>
      </c>
      <c r="B9199" s="249" t="str">
        <f>IF(AND(A9199&lt;&gt;"",ISNUMBER(A9199)),VLOOKUP(A9199,Studies!A:BR,2,FALSE),"")</f>
        <v>Kharasch 2011b</v>
      </c>
      <c r="C9199" s="250" t="str">
        <f>IF(AND(A9199&lt;&gt;"",ISNUMBER(A9199)),VLOOKUP(A9199,Studies!A:BR,3,FALSE),"")</f>
        <v>https://www.ncbi.nlm.nih.gov/pmc/articles/PMC3584707/</v>
      </c>
      <c r="D9199" s="250" t="str">
        <f>IF(AND(A9199&lt;&gt;"",ISNUMBER(A9199)),VLOOKUP(A9199,Studies!A:BR,4,FALSE),"")</f>
        <v>Alfentanil IV Ketoconazole coadmin sequential</v>
      </c>
      <c r="E9199" s="250" t="str">
        <f>IF(AND(A9199&lt;&gt;"",ISNUMBER(A9199)),VLOOKUP(A9199,Studies!A:BR,5,FALSE),"")</f>
        <v>Alfentanil</v>
      </c>
      <c r="F9199" s="251" t="str">
        <f>IF(AND(A9199&lt;&gt;"",ISNUMBER(A9199)),VLOOKUP(A9199,Studies!A:BR,6,FALSE),"")</f>
        <v>Plasma</v>
      </c>
      <c r="G9199" s="194">
        <v>68</v>
      </c>
      <c r="H9199" s="50" t="s">
        <v>60</v>
      </c>
      <c r="I9199" s="187">
        <v>6.803947</v>
      </c>
      <c r="J9199" s="41" t="s">
        <v>941</v>
      </c>
      <c r="K9199" s="41" t="s">
        <v>116</v>
      </c>
      <c r="L9199" s="195">
        <v>3.8657759999999999</v>
      </c>
      <c r="M9199" s="52" t="s">
        <v>941</v>
      </c>
      <c r="N9199" s="52" t="s">
        <v>117</v>
      </c>
    </row>
    <row r="9200" spans="1:14" x14ac:dyDescent="0.2">
      <c r="A9200" s="30">
        <v>762</v>
      </c>
      <c r="B9200" s="249" t="str">
        <f>IF(AND(A9200&lt;&gt;"",ISNUMBER(A9200)),VLOOKUP(A9200,Studies!A:BR,2,FALSE),"")</f>
        <v>Kharasch 2011b</v>
      </c>
      <c r="C9200" s="250" t="str">
        <f>IF(AND(A9200&lt;&gt;"",ISNUMBER(A9200)),VLOOKUP(A9200,Studies!A:BR,3,FALSE),"")</f>
        <v>https://www.ncbi.nlm.nih.gov/pmc/articles/PMC3584707/</v>
      </c>
      <c r="D9200" s="250" t="str">
        <f>IF(AND(A9200&lt;&gt;"",ISNUMBER(A9200)),VLOOKUP(A9200,Studies!A:BR,4,FALSE),"")</f>
        <v>Alfentanil IV Ketoconazole coadmin sequential</v>
      </c>
      <c r="E9200" s="250" t="str">
        <f>IF(AND(A9200&lt;&gt;"",ISNUMBER(A9200)),VLOOKUP(A9200,Studies!A:BR,5,FALSE),"")</f>
        <v>Alfentanil</v>
      </c>
      <c r="F9200" s="251" t="str">
        <f>IF(AND(A9200&lt;&gt;"",ISNUMBER(A9200)),VLOOKUP(A9200,Studies!A:BR,6,FALSE),"")</f>
        <v>Plasma</v>
      </c>
      <c r="G9200" s="194">
        <v>69</v>
      </c>
      <c r="H9200" s="50" t="s">
        <v>60</v>
      </c>
      <c r="I9200" s="187">
        <v>5.8934249999999997</v>
      </c>
      <c r="J9200" s="41" t="s">
        <v>941</v>
      </c>
      <c r="K9200" s="41" t="s">
        <v>116</v>
      </c>
      <c r="L9200" s="195">
        <v>2.954726</v>
      </c>
      <c r="M9200" s="52" t="s">
        <v>941</v>
      </c>
      <c r="N9200" s="52" t="s">
        <v>117</v>
      </c>
    </row>
    <row r="9201" spans="1:14" x14ac:dyDescent="0.2">
      <c r="A9201" s="30">
        <v>762</v>
      </c>
      <c r="B9201" s="249" t="str">
        <f>IF(AND(A9201&lt;&gt;"",ISNUMBER(A9201)),VLOOKUP(A9201,Studies!A:BR,2,FALSE),"")</f>
        <v>Kharasch 2011b</v>
      </c>
      <c r="C9201" s="250" t="str">
        <f>IF(AND(A9201&lt;&gt;"",ISNUMBER(A9201)),VLOOKUP(A9201,Studies!A:BR,3,FALSE),"")</f>
        <v>https://www.ncbi.nlm.nih.gov/pmc/articles/PMC3584707/</v>
      </c>
      <c r="D9201" s="250" t="str">
        <f>IF(AND(A9201&lt;&gt;"",ISNUMBER(A9201)),VLOOKUP(A9201,Studies!A:BR,4,FALSE),"")</f>
        <v>Alfentanil IV Ketoconazole coadmin sequential</v>
      </c>
      <c r="E9201" s="250" t="str">
        <f>IF(AND(A9201&lt;&gt;"",ISNUMBER(A9201)),VLOOKUP(A9201,Studies!A:BR,5,FALSE),"")</f>
        <v>Alfentanil</v>
      </c>
      <c r="F9201" s="251" t="str">
        <f>IF(AND(A9201&lt;&gt;"",ISNUMBER(A9201)),VLOOKUP(A9201,Studies!A:BR,6,FALSE),"")</f>
        <v>Plasma</v>
      </c>
      <c r="G9201" s="194">
        <v>70</v>
      </c>
      <c r="H9201" s="50" t="s">
        <v>60</v>
      </c>
      <c r="I9201" s="187">
        <v>4.9585489999999997</v>
      </c>
      <c r="J9201" s="41" t="s">
        <v>941</v>
      </c>
      <c r="K9201" s="41" t="s">
        <v>116</v>
      </c>
      <c r="L9201" s="195">
        <v>3.4021810000000001</v>
      </c>
      <c r="M9201" s="52" t="s">
        <v>941</v>
      </c>
      <c r="N9201" s="52" t="s">
        <v>117</v>
      </c>
    </row>
    <row r="9202" spans="1:14" x14ac:dyDescent="0.2">
      <c r="A9202" s="30">
        <v>762</v>
      </c>
      <c r="B9202" s="249" t="str">
        <f>IF(AND(A9202&lt;&gt;"",ISNUMBER(A9202)),VLOOKUP(A9202,Studies!A:BR,2,FALSE),"")</f>
        <v>Kharasch 2011b</v>
      </c>
      <c r="C9202" s="250" t="str">
        <f>IF(AND(A9202&lt;&gt;"",ISNUMBER(A9202)),VLOOKUP(A9202,Studies!A:BR,3,FALSE),"")</f>
        <v>https://www.ncbi.nlm.nih.gov/pmc/articles/PMC3584707/</v>
      </c>
      <c r="D9202" s="250" t="str">
        <f>IF(AND(A9202&lt;&gt;"",ISNUMBER(A9202)),VLOOKUP(A9202,Studies!A:BR,4,FALSE),"")</f>
        <v>Alfentanil IV Ketoconazole coadmin sequential</v>
      </c>
      <c r="E9202" s="250" t="str">
        <f>IF(AND(A9202&lt;&gt;"",ISNUMBER(A9202)),VLOOKUP(A9202,Studies!A:BR,5,FALSE),"")</f>
        <v>Alfentanil</v>
      </c>
      <c r="F9202" s="251" t="str">
        <f>IF(AND(A9202&lt;&gt;"",ISNUMBER(A9202)),VLOOKUP(A9202,Studies!A:BR,6,FALSE),"")</f>
        <v>Plasma</v>
      </c>
      <c r="G9202" s="194">
        <v>71</v>
      </c>
      <c r="H9202" s="50" t="s">
        <v>60</v>
      </c>
      <c r="I9202" s="187">
        <v>4.1120089999999996</v>
      </c>
      <c r="J9202" s="41" t="s">
        <v>941</v>
      </c>
      <c r="K9202" s="41" t="s">
        <v>116</v>
      </c>
      <c r="L9202" s="195">
        <v>2.7214580000000002</v>
      </c>
      <c r="M9202" s="52" t="s">
        <v>941</v>
      </c>
      <c r="N9202" s="52" t="s">
        <v>117</v>
      </c>
    </row>
    <row r="9203" spans="1:14" x14ac:dyDescent="0.2">
      <c r="A9203" s="30">
        <v>763</v>
      </c>
      <c r="B9203" s="249" t="str">
        <f>IF(AND(A9203&lt;&gt;"",ISNUMBER(A9203)),VLOOKUP(A9203,Studies!A:BR,2,FALSE),"")</f>
        <v>Kharasch 2011b</v>
      </c>
      <c r="C9203" s="250" t="str">
        <f>IF(AND(A9203&lt;&gt;"",ISNUMBER(A9203)),VLOOKUP(A9203,Studies!A:BR,3,FALSE),"")</f>
        <v>https://www.ncbi.nlm.nih.gov/pmc/articles/PMC3584707/</v>
      </c>
      <c r="D9203" s="250" t="str">
        <f>IF(AND(A9203&lt;&gt;"",ISNUMBER(A9203)),VLOOKUP(A9203,Studies!A:BR,4,FALSE),"")</f>
        <v>Alfentanil IV Rifampin coadmin sequential</v>
      </c>
      <c r="E9203" s="250" t="str">
        <f>IF(AND(A9203&lt;&gt;"",ISNUMBER(A9203)),VLOOKUP(A9203,Studies!A:BR,5,FALSE),"")</f>
        <v>Alfentanil</v>
      </c>
      <c r="F9203" s="251" t="str">
        <f>IF(AND(A9203&lt;&gt;"",ISNUMBER(A9203)),VLOOKUP(A9203,Studies!A:BR,6,FALSE),"")</f>
        <v>Plasma</v>
      </c>
      <c r="G9203" s="194">
        <v>108.08329999999999</v>
      </c>
      <c r="H9203" s="50" t="s">
        <v>60</v>
      </c>
      <c r="I9203" s="187">
        <v>33.677770000000002</v>
      </c>
      <c r="J9203" s="41" t="s">
        <v>941</v>
      </c>
      <c r="K9203" s="41" t="s">
        <v>116</v>
      </c>
      <c r="L9203" s="195">
        <v>23.10125</v>
      </c>
      <c r="M9203" s="52" t="s">
        <v>941</v>
      </c>
      <c r="N9203" s="52" t="s">
        <v>117</v>
      </c>
    </row>
    <row r="9204" spans="1:14" x14ac:dyDescent="0.2">
      <c r="A9204" s="30">
        <v>763</v>
      </c>
      <c r="B9204" s="249" t="str">
        <f>IF(AND(A9204&lt;&gt;"",ISNUMBER(A9204)),VLOOKUP(A9204,Studies!A:BR,2,FALSE),"")</f>
        <v>Kharasch 2011b</v>
      </c>
      <c r="C9204" s="250" t="str">
        <f>IF(AND(A9204&lt;&gt;"",ISNUMBER(A9204)),VLOOKUP(A9204,Studies!A:BR,3,FALSE),"")</f>
        <v>https://www.ncbi.nlm.nih.gov/pmc/articles/PMC3584707/</v>
      </c>
      <c r="D9204" s="250" t="str">
        <f>IF(AND(A9204&lt;&gt;"",ISNUMBER(A9204)),VLOOKUP(A9204,Studies!A:BR,4,FALSE),"")</f>
        <v>Alfentanil IV Rifampin coadmin sequential</v>
      </c>
      <c r="E9204" s="250" t="str">
        <f>IF(AND(A9204&lt;&gt;"",ISNUMBER(A9204)),VLOOKUP(A9204,Studies!A:BR,5,FALSE),"")</f>
        <v>Alfentanil</v>
      </c>
      <c r="F9204" s="251" t="str">
        <f>IF(AND(A9204&lt;&gt;"",ISNUMBER(A9204)),VLOOKUP(A9204,Studies!A:BR,6,FALSE),"")</f>
        <v>Plasma</v>
      </c>
      <c r="G9204" s="194">
        <v>108.33</v>
      </c>
      <c r="H9204" s="50" t="s">
        <v>60</v>
      </c>
      <c r="I9204" s="187">
        <v>14.51993</v>
      </c>
      <c r="J9204" s="41" t="s">
        <v>941</v>
      </c>
      <c r="K9204" s="41" t="s">
        <v>116</v>
      </c>
      <c r="L9204" s="195">
        <v>4.8882219999999998</v>
      </c>
      <c r="M9204" s="52" t="s">
        <v>941</v>
      </c>
      <c r="N9204" s="52" t="s">
        <v>117</v>
      </c>
    </row>
    <row r="9205" spans="1:14" x14ac:dyDescent="0.2">
      <c r="A9205" s="30">
        <v>763</v>
      </c>
      <c r="B9205" s="249" t="str">
        <f>IF(AND(A9205&lt;&gt;"",ISNUMBER(A9205)),VLOOKUP(A9205,Studies!A:BR,2,FALSE),"")</f>
        <v>Kharasch 2011b</v>
      </c>
      <c r="C9205" s="250" t="str">
        <f>IF(AND(A9205&lt;&gt;"",ISNUMBER(A9205)),VLOOKUP(A9205,Studies!A:BR,3,FALSE),"")</f>
        <v>https://www.ncbi.nlm.nih.gov/pmc/articles/PMC3584707/</v>
      </c>
      <c r="D9205" s="250" t="str">
        <f>IF(AND(A9205&lt;&gt;"",ISNUMBER(A9205)),VLOOKUP(A9205,Studies!A:BR,4,FALSE),"")</f>
        <v>Alfentanil IV Rifampin coadmin sequential</v>
      </c>
      <c r="E9205" s="250" t="str">
        <f>IF(AND(A9205&lt;&gt;"",ISNUMBER(A9205)),VLOOKUP(A9205,Studies!A:BR,5,FALSE),"")</f>
        <v>Alfentanil</v>
      </c>
      <c r="F9205" s="251" t="str">
        <f>IF(AND(A9205&lt;&gt;"",ISNUMBER(A9205)),VLOOKUP(A9205,Studies!A:BR,6,FALSE),"")</f>
        <v>Plasma</v>
      </c>
      <c r="G9205" s="194">
        <v>108.5</v>
      </c>
      <c r="H9205" s="50" t="s">
        <v>60</v>
      </c>
      <c r="I9205" s="187">
        <v>10.708220000000001</v>
      </c>
      <c r="J9205" s="41" t="s">
        <v>941</v>
      </c>
      <c r="K9205" s="41" t="s">
        <v>116</v>
      </c>
      <c r="L9205" s="195">
        <v>4.9076849999999999</v>
      </c>
      <c r="M9205" s="52" t="s">
        <v>941</v>
      </c>
      <c r="N9205" s="52" t="s">
        <v>117</v>
      </c>
    </row>
    <row r="9206" spans="1:14" x14ac:dyDescent="0.2">
      <c r="A9206" s="30">
        <v>763</v>
      </c>
      <c r="B9206" s="249" t="str">
        <f>IF(AND(A9206&lt;&gt;"",ISNUMBER(A9206)),VLOOKUP(A9206,Studies!A:BR,2,FALSE),"")</f>
        <v>Kharasch 2011b</v>
      </c>
      <c r="C9206" s="250" t="str">
        <f>IF(AND(A9206&lt;&gt;"",ISNUMBER(A9206)),VLOOKUP(A9206,Studies!A:BR,3,FALSE),"")</f>
        <v>https://www.ncbi.nlm.nih.gov/pmc/articles/PMC3584707/</v>
      </c>
      <c r="D9206" s="250" t="str">
        <f>IF(AND(A9206&lt;&gt;"",ISNUMBER(A9206)),VLOOKUP(A9206,Studies!A:BR,4,FALSE),"")</f>
        <v>Alfentanil IV Rifampin coadmin sequential</v>
      </c>
      <c r="E9206" s="250" t="str">
        <f>IF(AND(A9206&lt;&gt;"",ISNUMBER(A9206)),VLOOKUP(A9206,Studies!A:BR,5,FALSE),"")</f>
        <v>Alfentanil</v>
      </c>
      <c r="F9206" s="251" t="str">
        <f>IF(AND(A9206&lt;&gt;"",ISNUMBER(A9206)),VLOOKUP(A9206,Studies!A:BR,6,FALSE),"")</f>
        <v>Plasma</v>
      </c>
      <c r="G9206" s="194">
        <v>108.75</v>
      </c>
      <c r="H9206" s="50" t="s">
        <v>60</v>
      </c>
      <c r="I9206" s="187">
        <v>7.6720360000000003</v>
      </c>
      <c r="J9206" s="41" t="s">
        <v>941</v>
      </c>
      <c r="K9206" s="41" t="s">
        <v>116</v>
      </c>
      <c r="L9206" s="195">
        <v>4.1848390000000002</v>
      </c>
      <c r="M9206" s="52" t="s">
        <v>941</v>
      </c>
      <c r="N9206" s="52" t="s">
        <v>117</v>
      </c>
    </row>
    <row r="9207" spans="1:14" x14ac:dyDescent="0.2">
      <c r="A9207" s="30">
        <v>763</v>
      </c>
      <c r="B9207" s="249" t="str">
        <f>IF(AND(A9207&lt;&gt;"",ISNUMBER(A9207)),VLOOKUP(A9207,Studies!A:BR,2,FALSE),"")</f>
        <v>Kharasch 2011b</v>
      </c>
      <c r="C9207" s="250" t="str">
        <f>IF(AND(A9207&lt;&gt;"",ISNUMBER(A9207)),VLOOKUP(A9207,Studies!A:BR,3,FALSE),"")</f>
        <v>https://www.ncbi.nlm.nih.gov/pmc/articles/PMC3584707/</v>
      </c>
      <c r="D9207" s="250" t="str">
        <f>IF(AND(A9207&lt;&gt;"",ISNUMBER(A9207)),VLOOKUP(A9207,Studies!A:BR,4,FALSE),"")</f>
        <v>Alfentanil IV Rifampin coadmin sequential</v>
      </c>
      <c r="E9207" s="250" t="str">
        <f>IF(AND(A9207&lt;&gt;"",ISNUMBER(A9207)),VLOOKUP(A9207,Studies!A:BR,5,FALSE),"")</f>
        <v>Alfentanil</v>
      </c>
      <c r="F9207" s="251" t="str">
        <f>IF(AND(A9207&lt;&gt;"",ISNUMBER(A9207)),VLOOKUP(A9207,Studies!A:BR,6,FALSE),"")</f>
        <v>Plasma</v>
      </c>
      <c r="G9207" s="194">
        <v>109</v>
      </c>
      <c r="H9207" s="50" t="s">
        <v>60</v>
      </c>
      <c r="I9207" s="187">
        <v>5.2625510000000002</v>
      </c>
      <c r="J9207" s="41" t="s">
        <v>941</v>
      </c>
      <c r="K9207" s="41" t="s">
        <v>116</v>
      </c>
      <c r="L9207" s="195">
        <v>2.4121429999999999</v>
      </c>
      <c r="M9207" s="52" t="s">
        <v>941</v>
      </c>
      <c r="N9207" s="52" t="s">
        <v>117</v>
      </c>
    </row>
    <row r="9208" spans="1:14" x14ac:dyDescent="0.2">
      <c r="A9208" s="30">
        <v>763</v>
      </c>
      <c r="B9208" s="249" t="str">
        <f>IF(AND(A9208&lt;&gt;"",ISNUMBER(A9208)),VLOOKUP(A9208,Studies!A:BR,2,FALSE),"")</f>
        <v>Kharasch 2011b</v>
      </c>
      <c r="C9208" s="250" t="str">
        <f>IF(AND(A9208&lt;&gt;"",ISNUMBER(A9208)),VLOOKUP(A9208,Studies!A:BR,3,FALSE),"")</f>
        <v>https://www.ncbi.nlm.nih.gov/pmc/articles/PMC3584707/</v>
      </c>
      <c r="D9208" s="250" t="str">
        <f>IF(AND(A9208&lt;&gt;"",ISNUMBER(A9208)),VLOOKUP(A9208,Studies!A:BR,4,FALSE),"")</f>
        <v>Alfentanil IV Rifampin coadmin sequential</v>
      </c>
      <c r="E9208" s="250" t="str">
        <f>IF(AND(A9208&lt;&gt;"",ISNUMBER(A9208)),VLOOKUP(A9208,Studies!A:BR,5,FALSE),"")</f>
        <v>Alfentanil</v>
      </c>
      <c r="F9208" s="251" t="str">
        <f>IF(AND(A9208&lt;&gt;"",ISNUMBER(A9208)),VLOOKUP(A9208,Studies!A:BR,6,FALSE),"")</f>
        <v>Plasma</v>
      </c>
      <c r="G9208" s="194">
        <v>109.5</v>
      </c>
      <c r="H9208" s="50" t="s">
        <v>60</v>
      </c>
      <c r="I9208" s="187">
        <v>3.2153450000000001</v>
      </c>
      <c r="J9208" s="41" t="s">
        <v>941</v>
      </c>
      <c r="K9208" s="41" t="s">
        <v>116</v>
      </c>
      <c r="L9208" s="195">
        <v>1.274019</v>
      </c>
      <c r="M9208" s="52" t="s">
        <v>941</v>
      </c>
      <c r="N9208" s="52" t="s">
        <v>117</v>
      </c>
    </row>
    <row r="9209" spans="1:14" x14ac:dyDescent="0.2">
      <c r="A9209" s="30">
        <v>763</v>
      </c>
      <c r="B9209" s="249" t="str">
        <f>IF(AND(A9209&lt;&gt;"",ISNUMBER(A9209)),VLOOKUP(A9209,Studies!A:BR,2,FALSE),"")</f>
        <v>Kharasch 2011b</v>
      </c>
      <c r="C9209" s="250" t="str">
        <f>IF(AND(A9209&lt;&gt;"",ISNUMBER(A9209)),VLOOKUP(A9209,Studies!A:BR,3,FALSE),"")</f>
        <v>https://www.ncbi.nlm.nih.gov/pmc/articles/PMC3584707/</v>
      </c>
      <c r="D9209" s="250" t="str">
        <f>IF(AND(A9209&lt;&gt;"",ISNUMBER(A9209)),VLOOKUP(A9209,Studies!A:BR,4,FALSE),"")</f>
        <v>Alfentanil IV Rifampin coadmin sequential</v>
      </c>
      <c r="E9209" s="250" t="str">
        <f>IF(AND(A9209&lt;&gt;"",ISNUMBER(A9209)),VLOOKUP(A9209,Studies!A:BR,5,FALSE),"")</f>
        <v>Alfentanil</v>
      </c>
      <c r="F9209" s="251" t="str">
        <f>IF(AND(A9209&lt;&gt;"",ISNUMBER(A9209)),VLOOKUP(A9209,Studies!A:BR,6,FALSE),"")</f>
        <v>Plasma</v>
      </c>
      <c r="G9209" s="194">
        <v>110</v>
      </c>
      <c r="H9209" s="50" t="s">
        <v>60</v>
      </c>
      <c r="I9209" s="187">
        <v>2.0223849999999999</v>
      </c>
      <c r="J9209" s="41" t="s">
        <v>941</v>
      </c>
      <c r="K9209" s="41" t="s">
        <v>116</v>
      </c>
      <c r="L9209" s="195">
        <v>1.0582199999999999</v>
      </c>
      <c r="M9209" s="52" t="s">
        <v>941</v>
      </c>
      <c r="N9209" s="52" t="s">
        <v>117</v>
      </c>
    </row>
    <row r="9210" spans="1:14" x14ac:dyDescent="0.2">
      <c r="A9210" s="30">
        <v>763</v>
      </c>
      <c r="B9210" s="249" t="str">
        <f>IF(AND(A9210&lt;&gt;"",ISNUMBER(A9210)),VLOOKUP(A9210,Studies!A:BR,2,FALSE),"")</f>
        <v>Kharasch 2011b</v>
      </c>
      <c r="C9210" s="250" t="str">
        <f>IF(AND(A9210&lt;&gt;"",ISNUMBER(A9210)),VLOOKUP(A9210,Studies!A:BR,3,FALSE),"")</f>
        <v>https://www.ncbi.nlm.nih.gov/pmc/articles/PMC3584707/</v>
      </c>
      <c r="D9210" s="250" t="str">
        <f>IF(AND(A9210&lt;&gt;"",ISNUMBER(A9210)),VLOOKUP(A9210,Studies!A:BR,4,FALSE),"")</f>
        <v>Alfentanil IV Rifampin coadmin sequential</v>
      </c>
      <c r="E9210" s="250" t="str">
        <f>IF(AND(A9210&lt;&gt;"",ISNUMBER(A9210)),VLOOKUP(A9210,Studies!A:BR,5,FALSE),"")</f>
        <v>Alfentanil</v>
      </c>
      <c r="F9210" s="251" t="str">
        <f>IF(AND(A9210&lt;&gt;"",ISNUMBER(A9210)),VLOOKUP(A9210,Studies!A:BR,6,FALSE),"")</f>
        <v>Plasma</v>
      </c>
      <c r="G9210" s="194">
        <v>111</v>
      </c>
      <c r="H9210" s="50" t="s">
        <v>60</v>
      </c>
      <c r="I9210" s="187">
        <v>0.80019600000000002</v>
      </c>
      <c r="J9210" s="41" t="s">
        <v>941</v>
      </c>
      <c r="K9210" s="41" t="s">
        <v>116</v>
      </c>
      <c r="L9210" s="195">
        <v>0.31702370000000002</v>
      </c>
      <c r="M9210" s="52" t="s">
        <v>941</v>
      </c>
      <c r="N9210" s="52" t="s">
        <v>117</v>
      </c>
    </row>
    <row r="9211" spans="1:14" x14ac:dyDescent="0.2">
      <c r="A9211" s="30">
        <v>763</v>
      </c>
      <c r="B9211" s="249" t="str">
        <f>IF(AND(A9211&lt;&gt;"",ISNUMBER(A9211)),VLOOKUP(A9211,Studies!A:BR,2,FALSE),"")</f>
        <v>Kharasch 2011b</v>
      </c>
      <c r="C9211" s="250" t="str">
        <f>IF(AND(A9211&lt;&gt;"",ISNUMBER(A9211)),VLOOKUP(A9211,Studies!A:BR,3,FALSE),"")</f>
        <v>https://www.ncbi.nlm.nih.gov/pmc/articles/PMC3584707/</v>
      </c>
      <c r="D9211" s="250" t="str">
        <f>IF(AND(A9211&lt;&gt;"",ISNUMBER(A9211)),VLOOKUP(A9211,Studies!A:BR,4,FALSE),"")</f>
        <v>Alfentanil IV Rifampin coadmin sequential</v>
      </c>
      <c r="E9211" s="250" t="str">
        <f>IF(AND(A9211&lt;&gt;"",ISNUMBER(A9211)),VLOOKUP(A9211,Studies!A:BR,5,FALSE),"")</f>
        <v>Alfentanil</v>
      </c>
      <c r="F9211" s="251" t="str">
        <f>IF(AND(A9211&lt;&gt;"",ISNUMBER(A9211)),VLOOKUP(A9211,Studies!A:BR,6,FALSE),"")</f>
        <v>Plasma</v>
      </c>
      <c r="G9211" s="194">
        <v>111.08329999999999</v>
      </c>
      <c r="H9211" s="50" t="s">
        <v>60</v>
      </c>
      <c r="I9211" s="187">
        <v>0.76615920000000004</v>
      </c>
      <c r="J9211" s="41" t="s">
        <v>941</v>
      </c>
      <c r="K9211" s="41" t="s">
        <v>116</v>
      </c>
      <c r="L9211" s="195">
        <v>0.31921319999999997</v>
      </c>
      <c r="M9211" s="52" t="s">
        <v>941</v>
      </c>
      <c r="N9211" s="52" t="s">
        <v>117</v>
      </c>
    </row>
    <row r="9212" spans="1:14" x14ac:dyDescent="0.2">
      <c r="A9212" s="30">
        <v>763</v>
      </c>
      <c r="B9212" s="249" t="str">
        <f>IF(AND(A9212&lt;&gt;"",ISNUMBER(A9212)),VLOOKUP(A9212,Studies!A:BR,2,FALSE),"")</f>
        <v>Kharasch 2011b</v>
      </c>
      <c r="C9212" s="250" t="str">
        <f>IF(AND(A9212&lt;&gt;"",ISNUMBER(A9212)),VLOOKUP(A9212,Studies!A:BR,3,FALSE),"")</f>
        <v>https://www.ncbi.nlm.nih.gov/pmc/articles/PMC3584707/</v>
      </c>
      <c r="D9212" s="250" t="str">
        <f>IF(AND(A9212&lt;&gt;"",ISNUMBER(A9212)),VLOOKUP(A9212,Studies!A:BR,4,FALSE),"")</f>
        <v>Alfentanil IV Rifampin coadmin sequential</v>
      </c>
      <c r="E9212" s="250" t="str">
        <f>IF(AND(A9212&lt;&gt;"",ISNUMBER(A9212)),VLOOKUP(A9212,Studies!A:BR,5,FALSE),"")</f>
        <v>Alfentanil</v>
      </c>
      <c r="F9212" s="251" t="str">
        <f>IF(AND(A9212&lt;&gt;"",ISNUMBER(A9212)),VLOOKUP(A9212,Studies!A:BR,6,FALSE),"")</f>
        <v>Plasma</v>
      </c>
      <c r="G9212" s="194">
        <v>111.25</v>
      </c>
      <c r="H9212" s="50" t="s">
        <v>60</v>
      </c>
      <c r="I9212" s="187">
        <v>0.59015269999999997</v>
      </c>
      <c r="J9212" s="41" t="s">
        <v>941</v>
      </c>
      <c r="K9212" s="41" t="s">
        <v>116</v>
      </c>
      <c r="L9212" s="195">
        <v>0.1873137</v>
      </c>
      <c r="M9212" s="52" t="s">
        <v>941</v>
      </c>
      <c r="N9212" s="52" t="s">
        <v>117</v>
      </c>
    </row>
    <row r="9213" spans="1:14" x14ac:dyDescent="0.2">
      <c r="A9213" s="30">
        <v>763</v>
      </c>
      <c r="B9213" s="249" t="str">
        <f>IF(AND(A9213&lt;&gt;"",ISNUMBER(A9213)),VLOOKUP(A9213,Studies!A:BR,2,FALSE),"")</f>
        <v>Kharasch 2011b</v>
      </c>
      <c r="C9213" s="250" t="str">
        <f>IF(AND(A9213&lt;&gt;"",ISNUMBER(A9213)),VLOOKUP(A9213,Studies!A:BR,3,FALSE),"")</f>
        <v>https://www.ncbi.nlm.nih.gov/pmc/articles/PMC3584707/</v>
      </c>
      <c r="D9213" s="250" t="str">
        <f>IF(AND(A9213&lt;&gt;"",ISNUMBER(A9213)),VLOOKUP(A9213,Studies!A:BR,4,FALSE),"")</f>
        <v>Alfentanil IV Rifampin coadmin sequential</v>
      </c>
      <c r="E9213" s="250" t="str">
        <f>IF(AND(A9213&lt;&gt;"",ISNUMBER(A9213)),VLOOKUP(A9213,Studies!A:BR,5,FALSE),"")</f>
        <v>Alfentanil</v>
      </c>
      <c r="F9213" s="251" t="str">
        <f>IF(AND(A9213&lt;&gt;"",ISNUMBER(A9213)),VLOOKUP(A9213,Studies!A:BR,6,FALSE),"")</f>
        <v>Plasma</v>
      </c>
      <c r="G9213" s="194">
        <v>111.5</v>
      </c>
      <c r="H9213" s="50" t="s">
        <v>60</v>
      </c>
      <c r="I9213" s="187">
        <v>0.51059310000000002</v>
      </c>
      <c r="J9213" s="41" t="s">
        <v>941</v>
      </c>
      <c r="K9213" s="41" t="s">
        <v>116</v>
      </c>
      <c r="L9213" s="195">
        <v>0.1620848</v>
      </c>
      <c r="M9213" s="52" t="s">
        <v>941</v>
      </c>
      <c r="N9213" s="52" t="s">
        <v>117</v>
      </c>
    </row>
    <row r="9214" spans="1:14" x14ac:dyDescent="0.2">
      <c r="A9214" s="30">
        <v>763</v>
      </c>
      <c r="B9214" s="249" t="str">
        <f>IF(AND(A9214&lt;&gt;"",ISNUMBER(A9214)),VLOOKUP(A9214,Studies!A:BR,2,FALSE),"")</f>
        <v>Kharasch 2011b</v>
      </c>
      <c r="C9214" s="250" t="str">
        <f>IF(AND(A9214&lt;&gt;"",ISNUMBER(A9214)),VLOOKUP(A9214,Studies!A:BR,3,FALSE),"")</f>
        <v>https://www.ncbi.nlm.nih.gov/pmc/articles/PMC3584707/</v>
      </c>
      <c r="D9214" s="250" t="str">
        <f>IF(AND(A9214&lt;&gt;"",ISNUMBER(A9214)),VLOOKUP(A9214,Studies!A:BR,4,FALSE),"")</f>
        <v>Alfentanil IV Rifampin coadmin sequential</v>
      </c>
      <c r="E9214" s="250" t="str">
        <f>IF(AND(A9214&lt;&gt;"",ISNUMBER(A9214)),VLOOKUP(A9214,Studies!A:BR,5,FALSE),"")</f>
        <v>Alfentanil</v>
      </c>
      <c r="F9214" s="251" t="str">
        <f>IF(AND(A9214&lt;&gt;"",ISNUMBER(A9214)),VLOOKUP(A9214,Studies!A:BR,6,FALSE),"")</f>
        <v>Plasma</v>
      </c>
      <c r="G9214" s="194">
        <v>111.75</v>
      </c>
      <c r="H9214" s="50" t="s">
        <v>60</v>
      </c>
      <c r="I9214" s="187">
        <v>0.39335120000000001</v>
      </c>
      <c r="J9214" s="41" t="s">
        <v>941</v>
      </c>
      <c r="K9214" s="41" t="s">
        <v>116</v>
      </c>
      <c r="L9214" s="195">
        <v>0.13246060000000001</v>
      </c>
      <c r="M9214" s="52" t="s">
        <v>941</v>
      </c>
      <c r="N9214" s="52" t="s">
        <v>117</v>
      </c>
    </row>
    <row r="9215" spans="1:14" x14ac:dyDescent="0.2">
      <c r="A9215" s="30">
        <v>763</v>
      </c>
      <c r="B9215" s="249" t="str">
        <f>IF(AND(A9215&lt;&gt;"",ISNUMBER(A9215)),VLOOKUP(A9215,Studies!A:BR,2,FALSE),"")</f>
        <v>Kharasch 2011b</v>
      </c>
      <c r="C9215" s="250" t="str">
        <f>IF(AND(A9215&lt;&gt;"",ISNUMBER(A9215)),VLOOKUP(A9215,Studies!A:BR,3,FALSE),"")</f>
        <v>https://www.ncbi.nlm.nih.gov/pmc/articles/PMC3584707/</v>
      </c>
      <c r="D9215" s="250" t="str">
        <f>IF(AND(A9215&lt;&gt;"",ISNUMBER(A9215)),VLOOKUP(A9215,Studies!A:BR,4,FALSE),"")</f>
        <v>Alfentanil IV Rifampin coadmin sequential</v>
      </c>
      <c r="E9215" s="250" t="str">
        <f>IF(AND(A9215&lt;&gt;"",ISNUMBER(A9215)),VLOOKUP(A9215,Studies!A:BR,5,FALSE),"")</f>
        <v>Alfentanil</v>
      </c>
      <c r="F9215" s="251" t="str">
        <f>IF(AND(A9215&lt;&gt;"",ISNUMBER(A9215)),VLOOKUP(A9215,Studies!A:BR,6,FALSE),"")</f>
        <v>Plasma</v>
      </c>
      <c r="G9215" s="194">
        <v>112</v>
      </c>
      <c r="H9215" s="50" t="s">
        <v>60</v>
      </c>
      <c r="I9215" s="187">
        <v>0.33061010000000002</v>
      </c>
      <c r="J9215" s="41" t="s">
        <v>941</v>
      </c>
      <c r="K9215" s="41" t="s">
        <v>116</v>
      </c>
      <c r="L9215" s="195">
        <v>0.130998</v>
      </c>
      <c r="M9215" s="52" t="s">
        <v>941</v>
      </c>
      <c r="N9215" s="52" t="s">
        <v>117</v>
      </c>
    </row>
    <row r="9216" spans="1:14" x14ac:dyDescent="0.2">
      <c r="A9216" s="30">
        <v>763</v>
      </c>
      <c r="B9216" s="249" t="str">
        <f>IF(AND(A9216&lt;&gt;"",ISNUMBER(A9216)),VLOOKUP(A9216,Studies!A:BR,2,FALSE),"")</f>
        <v>Kharasch 2011b</v>
      </c>
      <c r="C9216" s="250" t="str">
        <f>IF(AND(A9216&lt;&gt;"",ISNUMBER(A9216)),VLOOKUP(A9216,Studies!A:BR,3,FALSE),"")</f>
        <v>https://www.ncbi.nlm.nih.gov/pmc/articles/PMC3584707/</v>
      </c>
      <c r="D9216" s="250" t="str">
        <f>IF(AND(A9216&lt;&gt;"",ISNUMBER(A9216)),VLOOKUP(A9216,Studies!A:BR,4,FALSE),"")</f>
        <v>Alfentanil IV Rifampin coadmin sequential</v>
      </c>
      <c r="E9216" s="250" t="str">
        <f>IF(AND(A9216&lt;&gt;"",ISNUMBER(A9216)),VLOOKUP(A9216,Studies!A:BR,5,FALSE),"")</f>
        <v>Alfentanil</v>
      </c>
      <c r="F9216" s="251" t="str">
        <f>IF(AND(A9216&lt;&gt;"",ISNUMBER(A9216)),VLOOKUP(A9216,Studies!A:BR,6,FALSE),"")</f>
        <v>Plasma</v>
      </c>
      <c r="G9216" s="194">
        <v>112.5</v>
      </c>
      <c r="H9216" s="50" t="s">
        <v>60</v>
      </c>
      <c r="I9216" s="187">
        <v>0.23696800000000001</v>
      </c>
      <c r="J9216" s="41" t="s">
        <v>941</v>
      </c>
      <c r="K9216" s="41" t="s">
        <v>116</v>
      </c>
      <c r="L9216" s="195">
        <v>9.3882640000000003E-2</v>
      </c>
      <c r="M9216" s="52" t="s">
        <v>941</v>
      </c>
      <c r="N9216" s="52" t="s">
        <v>117</v>
      </c>
    </row>
    <row r="9217" spans="1:14" x14ac:dyDescent="0.2">
      <c r="A9217" s="30">
        <v>763</v>
      </c>
      <c r="B9217" s="249" t="str">
        <f>IF(AND(A9217&lt;&gt;"",ISNUMBER(A9217)),VLOOKUP(A9217,Studies!A:BR,2,FALSE),"")</f>
        <v>Kharasch 2011b</v>
      </c>
      <c r="C9217" s="250" t="str">
        <f>IF(AND(A9217&lt;&gt;"",ISNUMBER(A9217)),VLOOKUP(A9217,Studies!A:BR,3,FALSE),"")</f>
        <v>https://www.ncbi.nlm.nih.gov/pmc/articles/PMC3584707/</v>
      </c>
      <c r="D9217" s="250" t="str">
        <f>IF(AND(A9217&lt;&gt;"",ISNUMBER(A9217)),VLOOKUP(A9217,Studies!A:BR,4,FALSE),"")</f>
        <v>Alfentanil IV Rifampin coadmin sequential</v>
      </c>
      <c r="E9217" s="250" t="str">
        <f>IF(AND(A9217&lt;&gt;"",ISNUMBER(A9217)),VLOOKUP(A9217,Studies!A:BR,5,FALSE),"")</f>
        <v>Alfentanil</v>
      </c>
      <c r="F9217" s="251" t="str">
        <f>IF(AND(A9217&lt;&gt;"",ISNUMBER(A9217)),VLOOKUP(A9217,Studies!A:BR,6,FALSE),"")</f>
        <v>Plasma</v>
      </c>
      <c r="G9217" s="194">
        <v>113</v>
      </c>
      <c r="H9217" s="50" t="s">
        <v>60</v>
      </c>
      <c r="I9217" s="187">
        <v>0.1556748</v>
      </c>
      <c r="J9217" s="41" t="s">
        <v>941</v>
      </c>
      <c r="K9217" s="41" t="s">
        <v>116</v>
      </c>
      <c r="L9217" s="195">
        <v>6.16757E-2</v>
      </c>
      <c r="M9217" s="52" t="s">
        <v>941</v>
      </c>
      <c r="N9217" s="52" t="s">
        <v>117</v>
      </c>
    </row>
    <row r="9218" spans="1:14" x14ac:dyDescent="0.2">
      <c r="A9218" s="30">
        <v>353</v>
      </c>
      <c r="B9218" s="249" t="str">
        <f>IF(AND(A9218&lt;&gt;"",ISNUMBER(A9218)),VLOOKUP(A9218,Studies!A:BR,2,FALSE),"")</f>
        <v>Markert 2013</v>
      </c>
      <c r="C9218" s="250" t="str">
        <f>IF(AND(A9218&lt;&gt;"",ISNUMBER(A9218)),VLOOKUP(A9218,Studies!A:BR,3,FALSE),"")</f>
        <v>https://www.ncbi.nlm.nih.gov/pubmed/23748747</v>
      </c>
      <c r="D9218" s="250" t="str">
        <f>IF(AND(A9218&lt;&gt;"",ISNUMBER(A9218)),VLOOKUP(A9218,Studies!A:BR,4,FALSE),"")</f>
        <v>Control (Perpetrator Placebo)</v>
      </c>
      <c r="E9218" s="250" t="str">
        <f>IF(AND(A9218&lt;&gt;"",ISNUMBER(A9218)),VLOOKUP(A9218,Studies!A:BR,5,FALSE),"")</f>
        <v>Midazolam</v>
      </c>
      <c r="F9218" s="251" t="str">
        <f>IF(AND(A9218&lt;&gt;"",ISNUMBER(A9218)),VLOOKUP(A9218,Studies!A:BR,6,FALSE),"")</f>
        <v>Plasma</v>
      </c>
      <c r="G9218" s="267">
        <v>2</v>
      </c>
      <c r="H9218" s="194" t="s">
        <v>60</v>
      </c>
      <c r="I9218" s="187">
        <v>5.0727017223834991</v>
      </c>
      <c r="J9218" s="41" t="s">
        <v>968</v>
      </c>
      <c r="K9218" s="187" t="s">
        <v>116</v>
      </c>
      <c r="L9218" s="195">
        <v>1.7026516143232584</v>
      </c>
      <c r="M9218" s="52" t="s">
        <v>968</v>
      </c>
      <c r="N9218" s="195" t="s">
        <v>117</v>
      </c>
    </row>
    <row r="9219" spans="1:14" x14ac:dyDescent="0.2">
      <c r="A9219" s="183">
        <v>353</v>
      </c>
      <c r="B9219" s="249" t="str">
        <f>IF(AND(A9219&lt;&gt;"",ISNUMBER(A9219)),VLOOKUP(A9219,Studies!A:BR,2,FALSE),"")</f>
        <v>Markert 2013</v>
      </c>
      <c r="C9219" s="250" t="str">
        <f>IF(AND(A9219&lt;&gt;"",ISNUMBER(A9219)),VLOOKUP(A9219,Studies!A:BR,3,FALSE),"")</f>
        <v>https://www.ncbi.nlm.nih.gov/pubmed/23748747</v>
      </c>
      <c r="D9219" s="250" t="str">
        <f>IF(AND(A9219&lt;&gt;"",ISNUMBER(A9219)),VLOOKUP(A9219,Studies!A:BR,4,FALSE),"")</f>
        <v>Control (Perpetrator Placebo)</v>
      </c>
      <c r="E9219" s="250" t="str">
        <f>IF(AND(A9219&lt;&gt;"",ISNUMBER(A9219)),VLOOKUP(A9219,Studies!A:BR,5,FALSE),"")</f>
        <v>Midazolam</v>
      </c>
      <c r="F9219" s="251" t="str">
        <f>IF(AND(A9219&lt;&gt;"",ISNUMBER(A9219)),VLOOKUP(A9219,Studies!A:BR,6,FALSE),"")</f>
        <v>Plasma</v>
      </c>
      <c r="G9219" s="267">
        <v>2.5</v>
      </c>
      <c r="H9219" s="194" t="s">
        <v>60</v>
      </c>
      <c r="I9219" s="187">
        <v>4.0738736279308796</v>
      </c>
      <c r="J9219" s="187" t="s">
        <v>968</v>
      </c>
      <c r="K9219" s="187" t="s">
        <v>116</v>
      </c>
      <c r="L9219" s="195">
        <v>1.4118554536253214</v>
      </c>
      <c r="M9219" s="195" t="s">
        <v>968</v>
      </c>
      <c r="N9219" s="195" t="s">
        <v>117</v>
      </c>
    </row>
    <row r="9220" spans="1:14" x14ac:dyDescent="0.2">
      <c r="A9220" s="183">
        <v>353</v>
      </c>
      <c r="B9220" s="249" t="str">
        <f>IF(AND(A9220&lt;&gt;"",ISNUMBER(A9220)),VLOOKUP(A9220,Studies!A:BR,2,FALSE),"")</f>
        <v>Markert 2013</v>
      </c>
      <c r="C9220" s="250" t="str">
        <f>IF(AND(A9220&lt;&gt;"",ISNUMBER(A9220)),VLOOKUP(A9220,Studies!A:BR,3,FALSE),"")</f>
        <v>https://www.ncbi.nlm.nih.gov/pubmed/23748747</v>
      </c>
      <c r="D9220" s="250" t="str">
        <f>IF(AND(A9220&lt;&gt;"",ISNUMBER(A9220)),VLOOKUP(A9220,Studies!A:BR,4,FALSE),"")</f>
        <v>Control (Perpetrator Placebo)</v>
      </c>
      <c r="E9220" s="250" t="str">
        <f>IF(AND(A9220&lt;&gt;"",ISNUMBER(A9220)),VLOOKUP(A9220,Studies!A:BR,5,FALSE),"")</f>
        <v>Midazolam</v>
      </c>
      <c r="F9220" s="251" t="str">
        <f>IF(AND(A9220&lt;&gt;"",ISNUMBER(A9220)),VLOOKUP(A9220,Studies!A:BR,6,FALSE),"")</f>
        <v>Plasma</v>
      </c>
      <c r="G9220" s="267">
        <v>3</v>
      </c>
      <c r="H9220" s="194" t="s">
        <v>60</v>
      </c>
      <c r="I9220" s="187">
        <v>3.3681727945804596</v>
      </c>
      <c r="J9220" s="187" t="s">
        <v>968</v>
      </c>
      <c r="K9220" s="187" t="s">
        <v>116</v>
      </c>
      <c r="L9220" s="195">
        <v>1.1790775461122394</v>
      </c>
      <c r="M9220" s="195" t="s">
        <v>968</v>
      </c>
      <c r="N9220" s="195" t="s">
        <v>117</v>
      </c>
    </row>
    <row r="9221" spans="1:14" x14ac:dyDescent="0.2">
      <c r="A9221" s="183">
        <v>353</v>
      </c>
      <c r="B9221" s="249" t="str">
        <f>IF(AND(A9221&lt;&gt;"",ISNUMBER(A9221)),VLOOKUP(A9221,Studies!A:BR,2,FALSE),"")</f>
        <v>Markert 2013</v>
      </c>
      <c r="C9221" s="250" t="str">
        <f>IF(AND(A9221&lt;&gt;"",ISNUMBER(A9221)),VLOOKUP(A9221,Studies!A:BR,3,FALSE),"")</f>
        <v>https://www.ncbi.nlm.nih.gov/pubmed/23748747</v>
      </c>
      <c r="D9221" s="250" t="str">
        <f>IF(AND(A9221&lt;&gt;"",ISNUMBER(A9221)),VLOOKUP(A9221,Studies!A:BR,4,FALSE),"")</f>
        <v>Control (Perpetrator Placebo)</v>
      </c>
      <c r="E9221" s="250" t="str">
        <f>IF(AND(A9221&lt;&gt;"",ISNUMBER(A9221)),VLOOKUP(A9221,Studies!A:BR,5,FALSE),"")</f>
        <v>Midazolam</v>
      </c>
      <c r="F9221" s="251" t="str">
        <f>IF(AND(A9221&lt;&gt;"",ISNUMBER(A9221)),VLOOKUP(A9221,Studies!A:BR,6,FALSE),"")</f>
        <v>Plasma</v>
      </c>
      <c r="G9221" s="267">
        <v>4</v>
      </c>
      <c r="H9221" s="194" t="s">
        <v>60</v>
      </c>
      <c r="I9221" s="187">
        <v>2.3922668769955635</v>
      </c>
      <c r="J9221" s="187" t="s">
        <v>968</v>
      </c>
      <c r="K9221" s="187" t="s">
        <v>116</v>
      </c>
      <c r="L9221" s="195">
        <v>0.90263853780925274</v>
      </c>
      <c r="M9221" s="195" t="s">
        <v>968</v>
      </c>
      <c r="N9221" s="195" t="s">
        <v>117</v>
      </c>
    </row>
    <row r="9222" spans="1:14" x14ac:dyDescent="0.2">
      <c r="A9222" s="183">
        <v>354</v>
      </c>
      <c r="B9222" s="249" t="str">
        <f>IF(AND(A9222&lt;&gt;"",ISNUMBER(A9222)),VLOOKUP(A9222,Studies!A:BR,2,FALSE),"")</f>
        <v>Markert 2013</v>
      </c>
      <c r="C9222" s="250" t="str">
        <f>IF(AND(A9222&lt;&gt;"",ISNUMBER(A9222)),VLOOKUP(A9222,Studies!A:BR,3,FALSE),"")</f>
        <v>https://www.ncbi.nlm.nih.gov/pubmed/23748747</v>
      </c>
      <c r="D9222" s="250" t="str">
        <f>IF(AND(A9222&lt;&gt;"",ISNUMBER(A9222)),VLOOKUP(A9222,Studies!A:BR,4,FALSE),"")</f>
        <v>with Perpetrator (Clarithromycin)</v>
      </c>
      <c r="E9222" s="250" t="str">
        <f>IF(AND(A9222&lt;&gt;"",ISNUMBER(A9222)),VLOOKUP(A9222,Studies!A:BR,5,FALSE),"")</f>
        <v>Midazolam</v>
      </c>
      <c r="F9222" s="251" t="str">
        <f>IF(AND(A9222&lt;&gt;"",ISNUMBER(A9222)),VLOOKUP(A9222,Studies!A:BR,6,FALSE),"")</f>
        <v>Plasma</v>
      </c>
      <c r="G9222" s="267">
        <v>74.25</v>
      </c>
      <c r="H9222" s="194" t="s">
        <v>60</v>
      </c>
      <c r="I9222" s="187">
        <v>22.906061261892319</v>
      </c>
      <c r="J9222" s="187" t="s">
        <v>968</v>
      </c>
      <c r="K9222" s="187" t="s">
        <v>116</v>
      </c>
      <c r="L9222" s="195">
        <v>4.210243932902813</v>
      </c>
      <c r="M9222" s="195" t="s">
        <v>968</v>
      </c>
      <c r="N9222" s="195" t="s">
        <v>117</v>
      </c>
    </row>
    <row r="9223" spans="1:14" x14ac:dyDescent="0.2">
      <c r="A9223" s="183">
        <v>354</v>
      </c>
      <c r="B9223" s="249" t="str">
        <f>IF(AND(A9223&lt;&gt;"",ISNUMBER(A9223)),VLOOKUP(A9223,Studies!A:BR,2,FALSE),"")</f>
        <v>Markert 2013</v>
      </c>
      <c r="C9223" s="250" t="str">
        <f>IF(AND(A9223&lt;&gt;"",ISNUMBER(A9223)),VLOOKUP(A9223,Studies!A:BR,3,FALSE),"")</f>
        <v>https://www.ncbi.nlm.nih.gov/pubmed/23748747</v>
      </c>
      <c r="D9223" s="250" t="str">
        <f>IF(AND(A9223&lt;&gt;"",ISNUMBER(A9223)),VLOOKUP(A9223,Studies!A:BR,4,FALSE),"")</f>
        <v>with Perpetrator (Clarithromycin)</v>
      </c>
      <c r="E9223" s="250" t="str">
        <f>IF(AND(A9223&lt;&gt;"",ISNUMBER(A9223)),VLOOKUP(A9223,Studies!A:BR,5,FALSE),"")</f>
        <v>Midazolam</v>
      </c>
      <c r="F9223" s="251" t="str">
        <f>IF(AND(A9223&lt;&gt;"",ISNUMBER(A9223)),VLOOKUP(A9223,Studies!A:BR,6,FALSE),"")</f>
        <v>Plasma</v>
      </c>
      <c r="G9223" s="267">
        <v>74.75</v>
      </c>
      <c r="H9223" s="194" t="s">
        <v>60</v>
      </c>
      <c r="I9223" s="187">
        <v>19.805725663900375</v>
      </c>
      <c r="J9223" s="187" t="s">
        <v>968</v>
      </c>
      <c r="K9223" s="187" t="s">
        <v>116</v>
      </c>
      <c r="L9223" s="195">
        <v>4.4776583090424538</v>
      </c>
      <c r="M9223" s="195" t="s">
        <v>968</v>
      </c>
      <c r="N9223" s="195" t="s">
        <v>117</v>
      </c>
    </row>
    <row r="9224" spans="1:14" x14ac:dyDescent="0.2">
      <c r="A9224" s="183">
        <v>354</v>
      </c>
      <c r="B9224" s="249" t="str">
        <f>IF(AND(A9224&lt;&gt;"",ISNUMBER(A9224)),VLOOKUP(A9224,Studies!A:BR,2,FALSE),"")</f>
        <v>Markert 2013</v>
      </c>
      <c r="C9224" s="250" t="str">
        <f>IF(AND(A9224&lt;&gt;"",ISNUMBER(A9224)),VLOOKUP(A9224,Studies!A:BR,3,FALSE),"")</f>
        <v>https://www.ncbi.nlm.nih.gov/pubmed/23748747</v>
      </c>
      <c r="D9224" s="250" t="str">
        <f>IF(AND(A9224&lt;&gt;"",ISNUMBER(A9224)),VLOOKUP(A9224,Studies!A:BR,4,FALSE),"")</f>
        <v>with Perpetrator (Clarithromycin)</v>
      </c>
      <c r="E9224" s="250" t="str">
        <f>IF(AND(A9224&lt;&gt;"",ISNUMBER(A9224)),VLOOKUP(A9224,Studies!A:BR,5,FALSE),"")</f>
        <v>Midazolam</v>
      </c>
      <c r="F9224" s="251" t="str">
        <f>IF(AND(A9224&lt;&gt;"",ISNUMBER(A9224)),VLOOKUP(A9224,Studies!A:BR,6,FALSE),"")</f>
        <v>Plasma</v>
      </c>
      <c r="G9224" s="267">
        <v>75.25</v>
      </c>
      <c r="H9224" s="194" t="s">
        <v>60</v>
      </c>
      <c r="I9224" s="187">
        <v>17.744725570082664</v>
      </c>
      <c r="J9224" s="187" t="s">
        <v>968</v>
      </c>
      <c r="K9224" s="187" t="s">
        <v>116</v>
      </c>
      <c r="L9224" s="195">
        <v>4.0705669671297073</v>
      </c>
      <c r="M9224" s="195" t="s">
        <v>968</v>
      </c>
      <c r="N9224" s="195" t="s">
        <v>117</v>
      </c>
    </row>
    <row r="9225" spans="1:14" x14ac:dyDescent="0.2">
      <c r="A9225" s="183">
        <v>354</v>
      </c>
      <c r="B9225" s="249" t="str">
        <f>IF(AND(A9225&lt;&gt;"",ISNUMBER(A9225)),VLOOKUP(A9225,Studies!A:BR,2,FALSE),"")</f>
        <v>Markert 2013</v>
      </c>
      <c r="C9225" s="250" t="str">
        <f>IF(AND(A9225&lt;&gt;"",ISNUMBER(A9225)),VLOOKUP(A9225,Studies!A:BR,3,FALSE),"")</f>
        <v>https://www.ncbi.nlm.nih.gov/pubmed/23748747</v>
      </c>
      <c r="D9225" s="250" t="str">
        <f>IF(AND(A9225&lt;&gt;"",ISNUMBER(A9225)),VLOOKUP(A9225,Studies!A:BR,4,FALSE),"")</f>
        <v>with Perpetrator (Clarithromycin)</v>
      </c>
      <c r="E9225" s="250" t="str">
        <f>IF(AND(A9225&lt;&gt;"",ISNUMBER(A9225)),VLOOKUP(A9225,Studies!A:BR,5,FALSE),"")</f>
        <v>Midazolam</v>
      </c>
      <c r="F9225" s="251" t="str">
        <f>IF(AND(A9225&lt;&gt;"",ISNUMBER(A9225)),VLOOKUP(A9225,Studies!A:BR,6,FALSE),"")</f>
        <v>Plasma</v>
      </c>
      <c r="G9225" s="267">
        <v>76.25</v>
      </c>
      <c r="H9225" s="194" t="s">
        <v>60</v>
      </c>
      <c r="I9225" s="187">
        <v>14.699805527925491</v>
      </c>
      <c r="J9225" s="187" t="s">
        <v>968</v>
      </c>
      <c r="K9225" s="187" t="s">
        <v>116</v>
      </c>
      <c r="L9225" s="195">
        <v>3.5934292245656252</v>
      </c>
      <c r="M9225" s="195" t="s">
        <v>968</v>
      </c>
      <c r="N9225" s="195" t="s">
        <v>117</v>
      </c>
    </row>
  </sheetData>
  <autoFilter ref="A1:Q9225" xr:uid="{68B027DC-BF9B-4CAB-AF74-A638615A9A31}"/>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66"/>
  <sheetViews>
    <sheetView tabSelected="1" zoomScale="85" zoomScaleNormal="85" workbookViewId="0">
      <pane xSplit="4" ySplit="1" topLeftCell="E2" activePane="bottomRight" state="frozen"/>
      <selection pane="topRight" activeCell="E1" sqref="E1"/>
      <selection pane="bottomLeft" activeCell="A2" sqref="A2"/>
      <selection pane="bottomRight" activeCell="F156" sqref="F15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1079</v>
      </c>
      <c r="C1" s="96" t="s">
        <v>13</v>
      </c>
      <c r="D1" s="95" t="s">
        <v>14</v>
      </c>
      <c r="E1" s="102" t="s">
        <v>1413</v>
      </c>
      <c r="F1" s="36" t="s">
        <v>1080</v>
      </c>
      <c r="G1" s="104" t="s">
        <v>1414</v>
      </c>
      <c r="H1" s="67" t="s">
        <v>1081</v>
      </c>
      <c r="I1" s="104" t="s">
        <v>16</v>
      </c>
      <c r="J1" s="31" t="s">
        <v>1082</v>
      </c>
      <c r="K1" s="31" t="s">
        <v>1083</v>
      </c>
      <c r="L1" s="203" t="s">
        <v>1084</v>
      </c>
      <c r="M1" s="203" t="s">
        <v>1085</v>
      </c>
      <c r="N1" s="51" t="s">
        <v>1086</v>
      </c>
      <c r="O1" s="51" t="s">
        <v>1087</v>
      </c>
      <c r="P1" s="63" t="s">
        <v>1088</v>
      </c>
      <c r="Q1" s="63" t="s">
        <v>1089</v>
      </c>
      <c r="R1" s="32" t="s">
        <v>1090</v>
      </c>
      <c r="S1" s="33" t="s">
        <v>1091</v>
      </c>
      <c r="T1" s="34" t="s">
        <v>1092</v>
      </c>
      <c r="U1" s="35" t="s">
        <v>1093</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9">
        <v>50</v>
      </c>
      <c r="B2" s="206" t="str">
        <f>IF(AND(A2&lt;&gt;"",ISNUMBER(A2)),VLOOKUP(A2,Studies!A:BR,2,FALSE),"")</f>
        <v>Ahonen 1995</v>
      </c>
      <c r="C2" s="206" t="str">
        <f>IF(AND(A2&lt;&gt;"",ISNUMBER(A2)),VLOOKUP(A2,Studies!A:BR,3,FALSE),"")</f>
        <v>http://www.ncbi.nlm.nih.gov/pubmed/8527290</v>
      </c>
      <c r="D2" s="206" t="str">
        <f>IF(AND(A2&lt;&gt;"",ISNUMBER(A2)),VLOOKUP(A2,Studies!A:BR,4,FALSE),"")</f>
        <v>with Perpetrator (Itraconazole)</v>
      </c>
      <c r="E2" s="141" t="str">
        <f>IF(AND(A2&lt;&gt;"",ISNUMBER(A2)),VLOOKUP(A2,Studies!A:BR,5,FALSE),"")</f>
        <v>Midazolam</v>
      </c>
      <c r="F2" s="188" t="s">
        <v>149</v>
      </c>
      <c r="G2" s="207" t="str">
        <f>IF(AND(A2&lt;&gt;"",ISNUMBER(A2)),VLOOKUP(A2,Studies!A:BR,13,FALSE),"")</f>
        <v>PO</v>
      </c>
      <c r="H2" s="140" t="str">
        <f t="shared" ref="H2:H26" si="0">AA2</f>
        <v>PO</v>
      </c>
      <c r="I2" s="207" t="str">
        <f>IF(AND(A2&lt;&gt;"",ISNUMBER(A2)),VLOOKUP(A2,Studies!A:BR,6,FALSE),"")</f>
        <v>Plasma</v>
      </c>
      <c r="J2" s="189">
        <v>5.7450980392156863</v>
      </c>
      <c r="K2" s="189" t="s">
        <v>1102</v>
      </c>
      <c r="L2" s="203"/>
      <c r="M2" s="203"/>
      <c r="N2" s="195">
        <v>2.5588235294117645</v>
      </c>
      <c r="O2" s="195" t="s">
        <v>1102</v>
      </c>
      <c r="P2" s="204"/>
      <c r="Q2" s="204"/>
      <c r="R2" s="184">
        <v>0</v>
      </c>
      <c r="S2" s="185" t="s">
        <v>938</v>
      </c>
      <c r="T2" s="186">
        <v>74</v>
      </c>
      <c r="U2" s="187" t="s">
        <v>938</v>
      </c>
      <c r="V2" s="188" t="s">
        <v>60</v>
      </c>
      <c r="W2" s="183"/>
      <c r="X2" s="178">
        <v>100</v>
      </c>
      <c r="Y2" s="182"/>
      <c r="Z2" s="182" t="s">
        <v>58</v>
      </c>
      <c r="AA2" s="178" t="s">
        <v>59</v>
      </c>
      <c r="AB2" s="178" t="s">
        <v>1332</v>
      </c>
      <c r="AC2" s="178" t="s">
        <v>60</v>
      </c>
      <c r="AD2" s="178" t="s">
        <v>167</v>
      </c>
      <c r="AE2" s="179"/>
      <c r="AF2" s="179" t="s">
        <v>362</v>
      </c>
      <c r="AG2" s="180"/>
      <c r="AH2" s="179"/>
      <c r="AI2" s="179" t="s">
        <v>1333</v>
      </c>
      <c r="AJ2" s="195"/>
      <c r="AK2" s="195"/>
      <c r="AL2" s="195"/>
      <c r="AM2" s="195"/>
      <c r="AN2" s="183">
        <f>IF(ISNUMBER(VLOOKUP(A2,NotghiID!A:A,1,FALSE)),1,0)</f>
        <v>1</v>
      </c>
    </row>
    <row r="3" spans="1:40" x14ac:dyDescent="0.2">
      <c r="A3" s="189">
        <v>54</v>
      </c>
      <c r="B3" s="206" t="str">
        <f>IF(AND(A3&lt;&gt;"",ISNUMBER(A3)),VLOOKUP(A3,Studies!A:BR,2,FALSE),"")</f>
        <v>Backman 1996</v>
      </c>
      <c r="C3" s="206" t="str">
        <f>IF(AND(A3&lt;&gt;"",ISNUMBER(A3)),VLOOKUP(A3,Studies!A:BR,3,FALSE),"")</f>
        <v>https://www.ncbi.nlm.nih.gov/pubmed/8549036</v>
      </c>
      <c r="D3" s="206" t="str">
        <f>IF(AND(A3&lt;&gt;"",ISNUMBER(A3)),VLOOKUP(A3,Studies!A:BR,4,FALSE),"")</f>
        <v>with Perpetrator (Rifampicin)</v>
      </c>
      <c r="E3" s="141" t="str">
        <f>IF(AND(A3&lt;&gt;"",ISNUMBER(A3)),VLOOKUP(A3,Studies!A:BR,5,FALSE),"")</f>
        <v>Midazolam</v>
      </c>
      <c r="F3" s="188" t="s">
        <v>54</v>
      </c>
      <c r="G3" s="207" t="str">
        <f>IF(AND(A3&lt;&gt;"",ISNUMBER(A3)),VLOOKUP(A3,Studies!A:BR,13,FALSE),"")</f>
        <v>PO</v>
      </c>
      <c r="H3" s="140" t="str">
        <f t="shared" si="0"/>
        <v>PO</v>
      </c>
      <c r="I3" s="207" t="str">
        <f>IF(AND(A3&lt;&gt;"",ISNUMBER(A3)),VLOOKUP(A3,Studies!A:BR,6,FALSE),"")</f>
        <v>Plasma</v>
      </c>
      <c r="J3" s="189">
        <v>4.1000000000000002E-2</v>
      </c>
      <c r="K3" s="189" t="s">
        <v>1122</v>
      </c>
      <c r="L3" s="203"/>
      <c r="M3" s="203"/>
      <c r="N3" s="195">
        <f>3.4/55</f>
        <v>6.1818181818181814E-2</v>
      </c>
      <c r="O3" s="195" t="s">
        <v>1103</v>
      </c>
      <c r="P3" s="204"/>
      <c r="Q3" s="204"/>
      <c r="R3" s="184">
        <v>0</v>
      </c>
      <c r="S3" s="185" t="s">
        <v>938</v>
      </c>
      <c r="T3" s="186">
        <v>113</v>
      </c>
      <c r="U3" s="187" t="s">
        <v>938</v>
      </c>
      <c r="V3" s="188" t="s">
        <v>60</v>
      </c>
      <c r="W3" s="183"/>
      <c r="X3" s="178">
        <v>600</v>
      </c>
      <c r="Y3" s="182"/>
      <c r="Z3" s="182" t="s">
        <v>58</v>
      </c>
      <c r="AA3" s="178" t="s">
        <v>59</v>
      </c>
      <c r="AB3" s="178" t="s">
        <v>183</v>
      </c>
      <c r="AC3" s="178" t="s">
        <v>60</v>
      </c>
      <c r="AD3" s="178"/>
      <c r="AE3" s="179"/>
      <c r="AF3" s="179" t="s">
        <v>1123</v>
      </c>
      <c r="AG3" s="180"/>
      <c r="AH3" s="179"/>
      <c r="AI3" s="179"/>
      <c r="AJ3" s="195"/>
      <c r="AK3" s="195"/>
      <c r="AL3" s="195"/>
      <c r="AM3" s="195"/>
      <c r="AN3" s="183">
        <f>IF(ISNUMBER(VLOOKUP(A3,NotghiID!A:A,1,FALSE)),1,0)</f>
        <v>1</v>
      </c>
    </row>
    <row r="4" spans="1:40" x14ac:dyDescent="0.2">
      <c r="A4" s="189">
        <v>56</v>
      </c>
      <c r="B4" s="206" t="str">
        <f>IF(AND(A4&lt;&gt;"",ISNUMBER(A4)),VLOOKUP(A4,Studies!A:BR,2,FALSE),"")</f>
        <v>Backman 1998</v>
      </c>
      <c r="C4" s="206" t="str">
        <f>IF(AND(A4&lt;&gt;"",ISNUMBER(A4)),VLOOKUP(A4,Studies!A:BR,3,FALSE),"")</f>
        <v>https://www.ncbi.nlm.nih.gov/pubmed/9591931</v>
      </c>
      <c r="D4" s="206" t="str">
        <f>IF(AND(A4&lt;&gt;"",ISNUMBER(A4)),VLOOKUP(A4,Studies!A:BR,4,FALSE),"")</f>
        <v>Phase IV (during Perpetrator (Rifampicin))</v>
      </c>
      <c r="E4" s="141" t="str">
        <f>IF(AND(A4&lt;&gt;"",ISNUMBER(A4)),VLOOKUP(A4,Studies!A:BR,5,FALSE),"")</f>
        <v>Midazolam</v>
      </c>
      <c r="F4" s="188" t="s">
        <v>54</v>
      </c>
      <c r="G4" s="207" t="str">
        <f>IF(AND(A4&lt;&gt;"",ISNUMBER(A4)),VLOOKUP(A4,Studies!A:BR,13,FALSE),"")</f>
        <v>PO</v>
      </c>
      <c r="H4" s="140" t="str">
        <f t="shared" si="0"/>
        <v>PO</v>
      </c>
      <c r="I4" s="207" t="str">
        <f>IF(AND(A4&lt;&gt;"",ISNUMBER(A4)),VLOOKUP(A4,Studies!A:BR,6,FALSE),"")</f>
        <v>Plasma</v>
      </c>
      <c r="J4" s="189">
        <v>2.3E-2</v>
      </c>
      <c r="K4" s="189" t="s">
        <v>116</v>
      </c>
      <c r="L4" s="203">
        <v>6.0000000000000001E-3</v>
      </c>
      <c r="M4" s="203" t="s">
        <v>1124</v>
      </c>
      <c r="N4" s="195">
        <v>5.3999999999999999E-2</v>
      </c>
      <c r="O4" s="195" t="s">
        <v>1125</v>
      </c>
      <c r="P4" s="204">
        <v>1.2E-2</v>
      </c>
      <c r="Q4" s="204" t="s">
        <v>1124</v>
      </c>
      <c r="R4" s="184">
        <v>0</v>
      </c>
      <c r="S4" s="185" t="s">
        <v>938</v>
      </c>
      <c r="T4" s="186">
        <v>113</v>
      </c>
      <c r="U4" s="187">
        <v>185</v>
      </c>
      <c r="V4" s="188" t="s">
        <v>60</v>
      </c>
      <c r="W4" s="183"/>
      <c r="X4" s="178">
        <v>600</v>
      </c>
      <c r="Y4" s="182"/>
      <c r="Z4" s="182" t="s">
        <v>58</v>
      </c>
      <c r="AA4" s="178" t="s">
        <v>59</v>
      </c>
      <c r="AB4" s="178" t="s">
        <v>183</v>
      </c>
      <c r="AC4" s="178" t="s">
        <v>60</v>
      </c>
      <c r="AD4" s="178"/>
      <c r="AE4" s="179"/>
      <c r="AF4" s="179" t="s">
        <v>1123</v>
      </c>
      <c r="AG4" s="180"/>
      <c r="AH4" s="179"/>
      <c r="AI4" s="179"/>
      <c r="AJ4" s="195" t="s">
        <v>62</v>
      </c>
      <c r="AK4" s="195"/>
      <c r="AL4" s="195"/>
      <c r="AM4" s="195"/>
      <c r="AN4" s="183">
        <f>IF(ISNUMBER(VLOOKUP(A4,NotghiID!A:A,1,FALSE)),1,0)</f>
        <v>1</v>
      </c>
    </row>
    <row r="5" spans="1:40" x14ac:dyDescent="0.2">
      <c r="A5" s="189">
        <v>57</v>
      </c>
      <c r="B5" s="206" t="str">
        <f>IF(AND(A5&lt;&gt;"",ISNUMBER(A5)),VLOOKUP(A5,Studies!A:BR,2,FALSE),"")</f>
        <v>Backman 1998</v>
      </c>
      <c r="C5" s="206" t="str">
        <f>IF(AND(A5&lt;&gt;"",ISNUMBER(A5)),VLOOKUP(A5,Studies!A:BR,3,FALSE),"")</f>
        <v>https://www.ncbi.nlm.nih.gov/pubmed/9591931</v>
      </c>
      <c r="D5" s="206" t="str">
        <f>IF(AND(A5&lt;&gt;"",ISNUMBER(A5)),VLOOKUP(A5,Studies!A:BR,4,FALSE),"")</f>
        <v>Phase V (4 days after Perpetrator (Rifampicin))</v>
      </c>
      <c r="E5" s="141" t="str">
        <f>IF(AND(A5&lt;&gt;"",ISNUMBER(A5)),VLOOKUP(A5,Studies!A:BR,5,FALSE),"")</f>
        <v>Midazolam</v>
      </c>
      <c r="F5" s="188" t="s">
        <v>54</v>
      </c>
      <c r="G5" s="207" t="str">
        <f>IF(AND(A5&lt;&gt;"",ISNUMBER(A5)),VLOOKUP(A5,Studies!A:BR,13,FALSE),"")</f>
        <v>PO</v>
      </c>
      <c r="H5" s="140" t="str">
        <f t="shared" si="0"/>
        <v>PO</v>
      </c>
      <c r="I5" s="207" t="str">
        <f>IF(AND(A5&lt;&gt;"",ISNUMBER(A5)),VLOOKUP(A5,Studies!A:BR,6,FALSE),"")</f>
        <v>Plasma</v>
      </c>
      <c r="J5" s="189">
        <v>0.13200000000000001</v>
      </c>
      <c r="K5" s="189" t="s">
        <v>116</v>
      </c>
      <c r="L5" s="203">
        <v>2.8000000000000001E-2</v>
      </c>
      <c r="M5" s="203" t="s">
        <v>1124</v>
      </c>
      <c r="N5" s="195">
        <v>0.20200000000000001</v>
      </c>
      <c r="O5" s="195" t="s">
        <v>1125</v>
      </c>
      <c r="P5" s="204">
        <v>4.2000000000000003E-2</v>
      </c>
      <c r="Q5" s="204" t="s">
        <v>1124</v>
      </c>
      <c r="R5" s="184">
        <v>0</v>
      </c>
      <c r="S5" s="185" t="s">
        <v>938</v>
      </c>
      <c r="T5" s="186">
        <v>185</v>
      </c>
      <c r="U5" s="187" t="s">
        <v>938</v>
      </c>
      <c r="V5" s="188" t="s">
        <v>60</v>
      </c>
      <c r="W5" s="183"/>
      <c r="X5" s="178">
        <v>600</v>
      </c>
      <c r="Y5" s="182"/>
      <c r="Z5" s="182" t="s">
        <v>58</v>
      </c>
      <c r="AA5" s="178" t="s">
        <v>59</v>
      </c>
      <c r="AB5" s="178" t="s">
        <v>183</v>
      </c>
      <c r="AC5" s="178" t="s">
        <v>60</v>
      </c>
      <c r="AD5" s="178"/>
      <c r="AE5" s="179"/>
      <c r="AF5" s="179" t="s">
        <v>1123</v>
      </c>
      <c r="AG5" s="180"/>
      <c r="AH5" s="179"/>
      <c r="AI5" s="179"/>
      <c r="AJ5" s="195" t="s">
        <v>62</v>
      </c>
      <c r="AK5" s="195"/>
      <c r="AL5" s="195"/>
      <c r="AM5" s="195"/>
      <c r="AN5" s="183">
        <f>IF(ISNUMBER(VLOOKUP(A5,NotghiID!A:A,1,FALSE)),1,0)</f>
        <v>1</v>
      </c>
    </row>
    <row r="6" spans="1:40" x14ac:dyDescent="0.2">
      <c r="A6" s="189">
        <v>58</v>
      </c>
      <c r="B6" s="206" t="str">
        <f>IF(AND(A6&lt;&gt;"",ISNUMBER(A6)),VLOOKUP(A6,Studies!A:BR,2,FALSE),"")</f>
        <v>Backman 1998</v>
      </c>
      <c r="C6" s="206" t="str">
        <f>IF(AND(A6&lt;&gt;"",ISNUMBER(A6)),VLOOKUP(A6,Studies!A:BR,3,FALSE),"")</f>
        <v>https://www.ncbi.nlm.nih.gov/pubmed/9591931</v>
      </c>
      <c r="D6" s="206" t="str">
        <f>IF(AND(A6&lt;&gt;"",ISNUMBER(A6)),VLOOKUP(A6,Studies!A:BR,4,FALSE),"")</f>
        <v>Phase II (during Perpetrator (Itraconazole))</v>
      </c>
      <c r="E6" s="141" t="str">
        <f>IF(AND(A6&lt;&gt;"",ISNUMBER(A6)),VLOOKUP(A6,Studies!A:BR,5,FALSE),"")</f>
        <v>Midazolam</v>
      </c>
      <c r="F6" s="188" t="s">
        <v>149</v>
      </c>
      <c r="G6" s="207" t="str">
        <f>IF(AND(A6&lt;&gt;"",ISNUMBER(A6)),VLOOKUP(A6,Studies!A:BR,13,FALSE),"")</f>
        <v>PO</v>
      </c>
      <c r="H6" s="140" t="str">
        <f t="shared" si="0"/>
        <v>PO</v>
      </c>
      <c r="I6" s="207" t="str">
        <f>IF(AND(A6&lt;&gt;"",ISNUMBER(A6)),VLOOKUP(A6,Studies!A:BR,6,FALSE),"")</f>
        <v>Plasma</v>
      </c>
      <c r="J6" s="189">
        <v>7.97</v>
      </c>
      <c r="K6" s="189" t="s">
        <v>116</v>
      </c>
      <c r="L6" s="203">
        <v>1.1399999999999999</v>
      </c>
      <c r="M6" s="203" t="s">
        <v>1124</v>
      </c>
      <c r="N6" s="195">
        <v>3.12</v>
      </c>
      <c r="O6" s="195" t="s">
        <v>1125</v>
      </c>
      <c r="P6" s="204">
        <v>0.37</v>
      </c>
      <c r="Q6" s="204" t="s">
        <v>1124</v>
      </c>
      <c r="R6" s="184">
        <v>0</v>
      </c>
      <c r="S6" s="185" t="s">
        <v>938</v>
      </c>
      <c r="T6" s="186">
        <v>74</v>
      </c>
      <c r="U6" s="187">
        <v>170</v>
      </c>
      <c r="V6" s="188" t="s">
        <v>60</v>
      </c>
      <c r="W6" s="183"/>
      <c r="X6" s="178">
        <v>200</v>
      </c>
      <c r="Y6" s="182"/>
      <c r="Z6" s="182" t="s">
        <v>58</v>
      </c>
      <c r="AA6" s="178" t="s">
        <v>59</v>
      </c>
      <c r="AB6" s="178" t="s">
        <v>833</v>
      </c>
      <c r="AC6" s="178" t="s">
        <v>60</v>
      </c>
      <c r="AD6" s="178"/>
      <c r="AE6" s="179"/>
      <c r="AF6" s="179" t="s">
        <v>1126</v>
      </c>
      <c r="AG6" s="180"/>
      <c r="AH6" s="179"/>
      <c r="AI6" s="179"/>
      <c r="AJ6" s="195" t="s">
        <v>62</v>
      </c>
      <c r="AK6" s="195"/>
      <c r="AL6" s="195"/>
      <c r="AM6" s="195"/>
      <c r="AN6" s="183">
        <f>IF(ISNUMBER(VLOOKUP(A6,NotghiID!A:A,1,FALSE)),1,0)</f>
        <v>1</v>
      </c>
    </row>
    <row r="7" spans="1:40" x14ac:dyDescent="0.2">
      <c r="A7" s="189">
        <v>59</v>
      </c>
      <c r="B7" s="206" t="str">
        <f>IF(AND(A7&lt;&gt;"",ISNUMBER(A7)),VLOOKUP(A7,Studies!A:BR,2,FALSE),"")</f>
        <v>Backman 1998</v>
      </c>
      <c r="C7" s="206" t="str">
        <f>IF(AND(A7&lt;&gt;"",ISNUMBER(A7)),VLOOKUP(A7,Studies!A:BR,3,FALSE),"")</f>
        <v>https://www.ncbi.nlm.nih.gov/pubmed/9591931</v>
      </c>
      <c r="D7" s="206" t="str">
        <f>IF(AND(A7&lt;&gt;"",ISNUMBER(A7)),VLOOKUP(A7,Studies!A:BR,4,FALSE),"")</f>
        <v>Phase III (4 days after Perpetrator (Itraconazole))</v>
      </c>
      <c r="E7" s="141" t="str">
        <f>IF(AND(A7&lt;&gt;"",ISNUMBER(A7)),VLOOKUP(A7,Studies!A:BR,5,FALSE),"")</f>
        <v>Midazolam</v>
      </c>
      <c r="F7" s="188" t="s">
        <v>149</v>
      </c>
      <c r="G7" s="207" t="str">
        <f>IF(AND(A7&lt;&gt;"",ISNUMBER(A7)),VLOOKUP(A7,Studies!A:BR,13,FALSE),"")</f>
        <v>PO</v>
      </c>
      <c r="H7" s="140" t="str">
        <f t="shared" si="0"/>
        <v>PO</v>
      </c>
      <c r="I7" s="207" t="str">
        <f>IF(AND(A7&lt;&gt;"",ISNUMBER(A7)),VLOOKUP(A7,Studies!A:BR,6,FALSE),"")</f>
        <v>Plasma</v>
      </c>
      <c r="J7" s="189">
        <v>2.63</v>
      </c>
      <c r="K7" s="189" t="s">
        <v>116</v>
      </c>
      <c r="L7" s="203">
        <v>0.4</v>
      </c>
      <c r="M7" s="203" t="s">
        <v>1124</v>
      </c>
      <c r="N7" s="195">
        <v>1.92</v>
      </c>
      <c r="O7" s="195" t="s">
        <v>1125</v>
      </c>
      <c r="P7" s="204">
        <v>0.31</v>
      </c>
      <c r="Q7" s="204" t="s">
        <v>1124</v>
      </c>
      <c r="R7" s="184">
        <v>0</v>
      </c>
      <c r="S7" s="185" t="s">
        <v>938</v>
      </c>
      <c r="T7" s="186">
        <v>170</v>
      </c>
      <c r="U7" s="187" t="s">
        <v>938</v>
      </c>
      <c r="V7" s="188" t="s">
        <v>60</v>
      </c>
      <c r="W7" s="183"/>
      <c r="X7" s="178">
        <v>200</v>
      </c>
      <c r="Y7" s="182"/>
      <c r="Z7" s="182" t="s">
        <v>58</v>
      </c>
      <c r="AA7" s="178" t="s">
        <v>59</v>
      </c>
      <c r="AB7" s="178" t="s">
        <v>833</v>
      </c>
      <c r="AC7" s="178" t="s">
        <v>60</v>
      </c>
      <c r="AD7" s="178"/>
      <c r="AE7" s="179"/>
      <c r="AF7" s="179" t="s">
        <v>1126</v>
      </c>
      <c r="AG7" s="180"/>
      <c r="AH7" s="179"/>
      <c r="AI7" s="179"/>
      <c r="AJ7" s="195" t="s">
        <v>62</v>
      </c>
      <c r="AK7" s="195"/>
      <c r="AL7" s="195"/>
      <c r="AM7" s="195"/>
      <c r="AN7" s="183">
        <f>IF(ISNUMBER(VLOOKUP(A7,NotghiID!A:A,1,FALSE)),1,0)</f>
        <v>1</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1102</v>
      </c>
      <c r="L8" s="203"/>
      <c r="M8" s="203"/>
      <c r="N8" s="195">
        <f>3.9/23</f>
        <v>0.16956521739130434</v>
      </c>
      <c r="O8" s="195" t="s">
        <v>1103</v>
      </c>
      <c r="P8" s="204"/>
      <c r="Q8" s="204"/>
      <c r="R8" s="184">
        <v>0</v>
      </c>
      <c r="S8" s="185" t="s">
        <v>938</v>
      </c>
      <c r="T8" s="186">
        <v>166</v>
      </c>
      <c r="U8" s="187" t="s">
        <v>938</v>
      </c>
      <c r="V8" s="188" t="s">
        <v>60</v>
      </c>
      <c r="W8" s="183"/>
      <c r="X8" s="178">
        <v>600</v>
      </c>
      <c r="Y8" s="182"/>
      <c r="Z8" s="182" t="s">
        <v>58</v>
      </c>
      <c r="AA8" s="178" t="s">
        <v>59</v>
      </c>
      <c r="AB8" s="178" t="s">
        <v>1104</v>
      </c>
      <c r="AC8" s="178" t="s">
        <v>60</v>
      </c>
      <c r="AD8" s="178"/>
      <c r="AE8" s="179" t="s">
        <v>1105</v>
      </c>
      <c r="AF8" s="179"/>
      <c r="AG8" s="180"/>
      <c r="AH8" s="179"/>
      <c r="AI8" s="179" t="s">
        <v>1106</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1102</v>
      </c>
      <c r="L9" s="203"/>
      <c r="M9" s="203"/>
      <c r="N9" s="195">
        <f>55/23</f>
        <v>2.3913043478260869</v>
      </c>
      <c r="O9" s="195" t="s">
        <v>1103</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1107</v>
      </c>
      <c r="AF9" s="179"/>
      <c r="AG9" s="180"/>
      <c r="AH9" s="179"/>
      <c r="AI9" s="179" t="s">
        <v>1108</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1102</v>
      </c>
      <c r="L10" s="203"/>
      <c r="M10" s="203"/>
      <c r="N10" s="195">
        <f>1.1/7.4</f>
        <v>0.14864864864864866</v>
      </c>
      <c r="O10" s="195" t="s">
        <v>1103</v>
      </c>
      <c r="P10" s="204"/>
      <c r="Q10" s="204"/>
      <c r="R10" s="184">
        <v>0</v>
      </c>
      <c r="S10" s="185" t="s">
        <v>938</v>
      </c>
      <c r="T10" s="186">
        <v>190</v>
      </c>
      <c r="U10" s="187" t="s">
        <v>938</v>
      </c>
      <c r="V10" s="188" t="s">
        <v>60</v>
      </c>
      <c r="W10" s="183"/>
      <c r="X10" s="178">
        <v>600</v>
      </c>
      <c r="Y10" s="182"/>
      <c r="Z10" s="182" t="s">
        <v>58</v>
      </c>
      <c r="AA10" s="178" t="s">
        <v>59</v>
      </c>
      <c r="AB10" s="178" t="s">
        <v>1104</v>
      </c>
      <c r="AC10" s="178" t="s">
        <v>60</v>
      </c>
      <c r="AD10" s="178"/>
      <c r="AE10" s="179" t="s">
        <v>1105</v>
      </c>
      <c r="AF10" s="179"/>
      <c r="AG10" s="180"/>
      <c r="AH10" s="179"/>
      <c r="AI10" s="179" t="s">
        <v>1106</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1102</v>
      </c>
      <c r="L11" s="203"/>
      <c r="M11" s="203"/>
      <c r="N11" s="195">
        <f>55/7.4</f>
        <v>7.4324324324324325</v>
      </c>
      <c r="O11" s="195" t="s">
        <v>1103</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1107</v>
      </c>
      <c r="AF11" s="179"/>
      <c r="AG11" s="180"/>
      <c r="AH11" s="179"/>
      <c r="AI11" s="179" t="s">
        <v>1108</v>
      </c>
      <c r="AJ11" s="195"/>
      <c r="AK11" s="195"/>
      <c r="AL11" s="195"/>
      <c r="AM11" s="195"/>
      <c r="AN11" s="183">
        <f>IF(ISNUMBER(VLOOKUP(A11,NotghiID!A:A,1,FALSE)),1,0)</f>
        <v>0</v>
      </c>
    </row>
    <row r="12" spans="1:40" x14ac:dyDescent="0.2">
      <c r="A12" s="189">
        <v>129</v>
      </c>
      <c r="B12" s="206" t="str">
        <f>IF(AND(A12&lt;&gt;"",ISNUMBER(A12)),VLOOKUP(A12,Studies!A:BR,2,FALSE),"")</f>
        <v>Eap 2004</v>
      </c>
      <c r="C12" s="206" t="str">
        <f>IF(AND(A12&lt;&gt;"",ISNUMBER(A12)),VLOOKUP(A12,Studies!A:BR,3,FALSE),"")</f>
        <v>https://www.ncbi.nlm.nih.gov/pubmed/15114429</v>
      </c>
      <c r="D12" s="206" t="str">
        <f>IF(AND(A12&lt;&gt;"",ISNUMBER(A12)),VLOOKUP(A12,Studies!A:BR,4,FALSE),"")</f>
        <v>0.075 mg with Perpetrator (Rifampicin)</v>
      </c>
      <c r="E12" s="141" t="str">
        <f>IF(AND(A12&lt;&gt;"",ISNUMBER(A12)),VLOOKUP(A12,Studies!A:BR,5,FALSE),"")</f>
        <v>Midazolam</v>
      </c>
      <c r="F12" s="188" t="s">
        <v>54</v>
      </c>
      <c r="G12" s="207" t="str">
        <f>IF(AND(A12&lt;&gt;"",ISNUMBER(A12)),VLOOKUP(A12,Studies!A:BR,13,FALSE),"")</f>
        <v>PO</v>
      </c>
      <c r="H12" s="140" t="str">
        <f t="shared" si="0"/>
        <v>PO</v>
      </c>
      <c r="I12" s="207" t="str">
        <f>IF(AND(A12&lt;&gt;"",ISNUMBER(A12)),VLOOKUP(A12,Studies!A:BR,6,FALSE),"")</f>
        <v>Plasma</v>
      </c>
      <c r="J12" s="189">
        <v>0.44117647058823523</v>
      </c>
      <c r="K12" s="189" t="s">
        <v>1102</v>
      </c>
      <c r="L12" s="203"/>
      <c r="M12" s="203"/>
      <c r="N12" s="195">
        <v>0.22580645161290325</v>
      </c>
      <c r="O12" s="195" t="s">
        <v>1102</v>
      </c>
      <c r="P12" s="204"/>
      <c r="Q12" s="204"/>
      <c r="R12" s="184">
        <v>0</v>
      </c>
      <c r="S12" s="185" t="s">
        <v>938</v>
      </c>
      <c r="T12" s="186">
        <v>90</v>
      </c>
      <c r="U12" s="187" t="s">
        <v>938</v>
      </c>
      <c r="V12" s="188" t="s">
        <v>60</v>
      </c>
      <c r="W12" s="183"/>
      <c r="X12" s="178">
        <v>450</v>
      </c>
      <c r="Y12" s="182"/>
      <c r="Z12" s="182" t="s">
        <v>58</v>
      </c>
      <c r="AA12" s="178" t="s">
        <v>59</v>
      </c>
      <c r="AB12" s="178" t="s">
        <v>1329</v>
      </c>
      <c r="AC12" s="178" t="s">
        <v>60</v>
      </c>
      <c r="AD12" s="178" t="s">
        <v>1330</v>
      </c>
      <c r="AE12" s="179"/>
      <c r="AF12" s="179"/>
      <c r="AG12" s="180"/>
      <c r="AH12" s="179"/>
      <c r="AI12" s="179"/>
      <c r="AJ12" s="195"/>
      <c r="AK12" s="195"/>
      <c r="AL12" s="195"/>
      <c r="AM12" s="195"/>
      <c r="AN12" s="183">
        <f>IF(ISNUMBER(VLOOKUP(A12,NotghiID!A:A,1,FALSE)),1,0)</f>
        <v>1</v>
      </c>
    </row>
    <row r="13" spans="1:40" x14ac:dyDescent="0.2">
      <c r="A13" s="189">
        <v>130</v>
      </c>
      <c r="B13" s="206" t="str">
        <f>IF(AND(A13&lt;&gt;"",ISNUMBER(A13)),VLOOKUP(A13,Studies!A:BR,2,FALSE),"")</f>
        <v>Eap 2004</v>
      </c>
      <c r="C13" s="206" t="str">
        <f>IF(AND(A13&lt;&gt;"",ISNUMBER(A13)),VLOOKUP(A13,Studies!A:BR,3,FALSE),"")</f>
        <v>https://www.ncbi.nlm.nih.gov/pubmed/15114429</v>
      </c>
      <c r="D13" s="206" t="str">
        <f>IF(AND(A13&lt;&gt;"",ISNUMBER(A13)),VLOOKUP(A13,Studies!A:BR,4,FALSE),"")</f>
        <v>0.075 mg with Perpetrator (Ketoconazole)</v>
      </c>
      <c r="E13" s="141" t="str">
        <f>IF(AND(A13&lt;&gt;"",ISNUMBER(A13)),VLOOKUP(A13,Studies!A:BR,5,FALSE),"")</f>
        <v>Midazolam</v>
      </c>
      <c r="F13" s="188" t="s">
        <v>836</v>
      </c>
      <c r="G13" s="207" t="str">
        <f>IF(AND(A13&lt;&gt;"",ISNUMBER(A13)),VLOOKUP(A13,Studies!A:BR,13,FALSE),"")</f>
        <v>PO</v>
      </c>
      <c r="H13" s="140" t="str">
        <f t="shared" si="0"/>
        <v>PO</v>
      </c>
      <c r="I13" s="207" t="str">
        <f>IF(AND(A13&lt;&gt;"",ISNUMBER(A13)),VLOOKUP(A13,Studies!A:BR,6,FALSE),"")</f>
        <v>Plasma</v>
      </c>
      <c r="J13" s="189">
        <v>6.4705882352941178</v>
      </c>
      <c r="K13" s="189" t="s">
        <v>1102</v>
      </c>
      <c r="L13" s="203"/>
      <c r="M13" s="203"/>
      <c r="N13" s="195">
        <v>3.7419354838709675</v>
      </c>
      <c r="O13" s="195" t="s">
        <v>1102</v>
      </c>
      <c r="P13" s="204"/>
      <c r="Q13" s="204"/>
      <c r="R13" s="184">
        <v>0</v>
      </c>
      <c r="S13" s="185" t="s">
        <v>938</v>
      </c>
      <c r="T13" s="186">
        <v>48</v>
      </c>
      <c r="U13" s="187" t="s">
        <v>938</v>
      </c>
      <c r="V13" s="188" t="s">
        <v>60</v>
      </c>
      <c r="W13" s="183"/>
      <c r="X13" s="178">
        <v>200</v>
      </c>
      <c r="Y13" s="182"/>
      <c r="Z13" s="182" t="s">
        <v>58</v>
      </c>
      <c r="AA13" s="178" t="s">
        <v>59</v>
      </c>
      <c r="AB13" s="178" t="s">
        <v>1331</v>
      </c>
      <c r="AC13" s="178" t="s">
        <v>60</v>
      </c>
      <c r="AD13" s="178" t="s">
        <v>112</v>
      </c>
      <c r="AE13" s="179"/>
      <c r="AF13" s="179"/>
      <c r="AG13" s="180"/>
      <c r="AH13" s="179"/>
      <c r="AI13" s="179"/>
      <c r="AJ13" s="195"/>
      <c r="AK13" s="195"/>
      <c r="AL13" s="195"/>
      <c r="AM13" s="195"/>
      <c r="AN13" s="183">
        <f>IF(ISNUMBER(VLOOKUP(A13,NotghiID!A:A,1,FALSE)),1,0)</f>
        <v>1</v>
      </c>
    </row>
    <row r="14" spans="1:40" x14ac:dyDescent="0.2">
      <c r="A14" s="189">
        <v>132</v>
      </c>
      <c r="B14" s="206" t="str">
        <f>IF(AND(A14&lt;&gt;"",ISNUMBER(A14)),VLOOKUP(A14,Studies!A:BR,2,FALSE),"")</f>
        <v>Eap 2004</v>
      </c>
      <c r="C14" s="206" t="str">
        <f>IF(AND(A14&lt;&gt;"",ISNUMBER(A14)),VLOOKUP(A14,Studies!A:BR,3,FALSE),"")</f>
        <v>https://www.ncbi.nlm.nih.gov/pubmed/15114429</v>
      </c>
      <c r="D14" s="206" t="str">
        <f>IF(AND(A14&lt;&gt;"",ISNUMBER(A14)),VLOOKUP(A14,Studies!A:BR,4,FALSE),"")</f>
        <v>7.5 mg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v>5.2238805970149252E-2</v>
      </c>
      <c r="K14" s="189" t="s">
        <v>1102</v>
      </c>
      <c r="L14" s="203"/>
      <c r="M14" s="203"/>
      <c r="N14" s="195">
        <v>0.11153846153846153</v>
      </c>
      <c r="O14" s="195" t="s">
        <v>1102</v>
      </c>
      <c r="P14" s="204"/>
      <c r="Q14" s="204"/>
      <c r="R14" s="184">
        <v>0</v>
      </c>
      <c r="S14" s="185" t="s">
        <v>938</v>
      </c>
      <c r="T14" s="186">
        <v>114</v>
      </c>
      <c r="U14" s="187" t="s">
        <v>938</v>
      </c>
      <c r="V14" s="188" t="s">
        <v>60</v>
      </c>
      <c r="W14" s="183"/>
      <c r="X14" s="178">
        <v>450</v>
      </c>
      <c r="Y14" s="182"/>
      <c r="Z14" s="182" t="s">
        <v>58</v>
      </c>
      <c r="AA14" s="178" t="s">
        <v>59</v>
      </c>
      <c r="AB14" s="178" t="s">
        <v>1329</v>
      </c>
      <c r="AC14" s="178" t="s">
        <v>60</v>
      </c>
      <c r="AD14" s="178" t="s">
        <v>1330</v>
      </c>
      <c r="AE14" s="179"/>
      <c r="AF14" s="179"/>
      <c r="AG14" s="180"/>
      <c r="AH14" s="179"/>
      <c r="AI14" s="179"/>
      <c r="AJ14" s="195"/>
      <c r="AK14" s="195"/>
      <c r="AL14" s="195"/>
      <c r="AM14" s="195"/>
      <c r="AN14" s="183">
        <f>IF(ISNUMBER(VLOOKUP(A14,NotghiID!A:A,1,FALSE)),1,0)</f>
        <v>1</v>
      </c>
    </row>
    <row r="15" spans="1:40" x14ac:dyDescent="0.2">
      <c r="A15" s="189">
        <v>173</v>
      </c>
      <c r="B15" s="206" t="str">
        <f>IF(AND(A15&lt;&gt;"",ISNUMBER(A15)),VLOOKUP(A15,Studies!A:BR,2,FALSE),"")</f>
        <v>Gorski 1998</v>
      </c>
      <c r="C15" s="206" t="str">
        <f>IF(AND(A15&lt;&gt;"",ISNUMBER(A15)),VLOOKUP(A15,Studies!A:BR,3,FALSE),"")</f>
        <v>https://www.ncbi.nlm.nih.gov/pubmed/9728893</v>
      </c>
      <c r="D15" s="206" t="str">
        <f>IF(AND(A15&lt;&gt;"",ISNUMBER(A15)),VLOOKUP(A15,Studies!A:BR,4,FALSE),"")</f>
        <v>po with Perpetrator (Clarithromycin)</v>
      </c>
      <c r="E15" s="141" t="str">
        <f>IF(AND(A15&lt;&gt;"",ISNUMBER(A15)),VLOOKUP(A15,Studies!A:BR,5,FALSE),"")</f>
        <v>Midazolam</v>
      </c>
      <c r="F15" s="188" t="s">
        <v>1113</v>
      </c>
      <c r="G15" s="207" t="str">
        <f>IF(AND(A15&lt;&gt;"",ISNUMBER(A15)),VLOOKUP(A15,Studies!A:BR,13,FALSE),"")</f>
        <v>PO</v>
      </c>
      <c r="H15" s="140" t="str">
        <f t="shared" si="0"/>
        <v>PO</v>
      </c>
      <c r="I15" s="207" t="str">
        <f>IF(AND(A15&lt;&gt;"",ISNUMBER(A15)),VLOOKUP(A15,Studies!A:BR,6,FALSE),"")</f>
        <v>Whole Blood</v>
      </c>
      <c r="J15" s="189">
        <f>1.5/0.21</f>
        <v>7.1428571428571432</v>
      </c>
      <c r="K15" s="189" t="s">
        <v>1102</v>
      </c>
      <c r="L15" s="203"/>
      <c r="M15" s="203"/>
      <c r="N15" s="195"/>
      <c r="O15" s="195"/>
      <c r="P15" s="204"/>
      <c r="Q15" s="204"/>
      <c r="R15" s="184">
        <v>0</v>
      </c>
      <c r="S15" s="185" t="s">
        <v>938</v>
      </c>
      <c r="T15" s="186">
        <v>146</v>
      </c>
      <c r="U15" s="187" t="s">
        <v>938</v>
      </c>
      <c r="V15" s="188" t="s">
        <v>60</v>
      </c>
      <c r="W15" s="183" t="s">
        <v>1130</v>
      </c>
      <c r="X15" s="160">
        <v>500</v>
      </c>
      <c r="Y15" s="161"/>
      <c r="Z15" s="161" t="s">
        <v>58</v>
      </c>
      <c r="AA15" s="160" t="s">
        <v>59</v>
      </c>
      <c r="AB15" s="178" t="s">
        <v>1153</v>
      </c>
      <c r="AC15" s="160" t="s">
        <v>60</v>
      </c>
      <c r="AD15" s="160" t="s">
        <v>92</v>
      </c>
      <c r="AE15" s="162"/>
      <c r="AF15" s="162" t="s">
        <v>1154</v>
      </c>
      <c r="AG15" s="176"/>
      <c r="AH15" s="177"/>
      <c r="AI15" s="177"/>
      <c r="AJ15" s="195"/>
      <c r="AK15" s="195"/>
      <c r="AL15" s="195"/>
      <c r="AM15" s="195"/>
      <c r="AN15" s="183">
        <f>IF(ISNUMBER(VLOOKUP(A15,NotghiID!A:A,1,FALSE)),1,0)</f>
        <v>1</v>
      </c>
    </row>
    <row r="16" spans="1:40" x14ac:dyDescent="0.2">
      <c r="A16" s="189">
        <v>175</v>
      </c>
      <c r="B16" s="206" t="str">
        <f>IF(AND(A16&lt;&gt;"",ISNUMBER(A16)),VLOOKUP(A16,Studies!A:BR,2,FALSE),"")</f>
        <v>Gorski 1998</v>
      </c>
      <c r="C16" s="206" t="str">
        <f>IF(AND(A16&lt;&gt;"",ISNUMBER(A16)),VLOOKUP(A16,Studies!A:BR,3,FALSE),"")</f>
        <v>https://www.ncbi.nlm.nih.gov/pubmed/9728893</v>
      </c>
      <c r="D16" s="206" t="str">
        <f>IF(AND(A16&lt;&gt;"",ISNUMBER(A16)),VLOOKUP(A16,Studies!A:BR,4,FALSE),"")</f>
        <v>iv with Perpetrator (Clarithromycin)</v>
      </c>
      <c r="E16" s="141" t="str">
        <f>IF(AND(A16&lt;&gt;"",ISNUMBER(A16)),VLOOKUP(A16,Studies!A:BR,5,FALSE),"")</f>
        <v>Midazolam</v>
      </c>
      <c r="F16" s="188" t="s">
        <v>1113</v>
      </c>
      <c r="G16" s="207" t="str">
        <f>IF(AND(A16&lt;&gt;"",ISNUMBER(A16)),VLOOKUP(A16,Studies!A:BR,13,FALSE),"")</f>
        <v>IV</v>
      </c>
      <c r="H16" s="140" t="str">
        <f t="shared" si="0"/>
        <v>PO</v>
      </c>
      <c r="I16" s="207" t="str">
        <f>IF(AND(A16&lt;&gt;"",ISNUMBER(A16)),VLOOKUP(A16,Studies!A:BR,6,FALSE),"")</f>
        <v>Whole Blood</v>
      </c>
      <c r="J16" s="189">
        <f>0.4/0.15</f>
        <v>2.666666666666667</v>
      </c>
      <c r="K16" s="189" t="s">
        <v>1102</v>
      </c>
      <c r="L16" s="203"/>
      <c r="M16" s="203"/>
      <c r="N16" s="195"/>
      <c r="O16" s="195"/>
      <c r="P16" s="204"/>
      <c r="Q16" s="204"/>
      <c r="R16" s="184">
        <v>0</v>
      </c>
      <c r="S16" s="185" t="s">
        <v>938</v>
      </c>
      <c r="T16" s="186">
        <v>146</v>
      </c>
      <c r="U16" s="187" t="s">
        <v>938</v>
      </c>
      <c r="V16" s="188" t="s">
        <v>60</v>
      </c>
      <c r="W16" s="183" t="s">
        <v>1130</v>
      </c>
      <c r="X16" s="160">
        <v>500</v>
      </c>
      <c r="Y16" s="161"/>
      <c r="Z16" s="161" t="s">
        <v>58</v>
      </c>
      <c r="AA16" s="160" t="s">
        <v>59</v>
      </c>
      <c r="AB16" s="178" t="s">
        <v>1153</v>
      </c>
      <c r="AC16" s="160" t="s">
        <v>60</v>
      </c>
      <c r="AD16" s="160" t="s">
        <v>92</v>
      </c>
      <c r="AE16" s="162"/>
      <c r="AF16" s="162" t="s">
        <v>1154</v>
      </c>
      <c r="AG16" s="176"/>
      <c r="AH16" s="177"/>
      <c r="AI16" s="177"/>
      <c r="AJ16" s="195"/>
      <c r="AK16" s="195"/>
      <c r="AL16" s="195"/>
      <c r="AM16" s="195"/>
      <c r="AN16" s="183">
        <f>IF(ISNUMBER(VLOOKUP(A16,NotghiID!A:A,1,FALSE)),1,0)</f>
        <v>1</v>
      </c>
    </row>
    <row r="17" spans="1:40" x14ac:dyDescent="0.2">
      <c r="A17" s="189">
        <v>177</v>
      </c>
      <c r="B17" s="206" t="str">
        <f>IF(AND(A17&lt;&gt;"",ISNUMBER(A17)),VLOOKUP(A17,Studies!A:BR,2,FALSE),"")</f>
        <v>Gorski 2003</v>
      </c>
      <c r="C17" s="206" t="str">
        <f>IF(AND(A17&lt;&gt;"",ISNUMBER(A17)),VLOOKUP(A17,Studies!A:BR,3,FALSE),"")</f>
        <v>https://www.ncbi.nlm.nih.gov/pubmed/12966371</v>
      </c>
      <c r="D17" s="206" t="str">
        <f>IF(AND(A17&lt;&gt;"",ISNUMBER(A17)),VLOOKUP(A17,Studies!A:BR,4,FALSE),"")</f>
        <v>po with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Whole Blood</v>
      </c>
      <c r="J17" s="189">
        <f>1.56/34.4</f>
        <v>4.5348837209302328E-2</v>
      </c>
      <c r="K17" s="189" t="s">
        <v>1102</v>
      </c>
      <c r="L17" s="203"/>
      <c r="M17" s="203"/>
      <c r="N17" s="195">
        <f>(1.8*4/6)/17.9</f>
        <v>6.7039106145251395E-2</v>
      </c>
      <c r="O17" s="195" t="s">
        <v>335</v>
      </c>
      <c r="P17" s="204"/>
      <c r="Q17" s="204"/>
      <c r="R17" s="184">
        <v>0</v>
      </c>
      <c r="S17" s="185" t="s">
        <v>938</v>
      </c>
      <c r="T17" s="186">
        <v>132</v>
      </c>
      <c r="U17" s="187" t="s">
        <v>938</v>
      </c>
      <c r="V17" s="188" t="s">
        <v>60</v>
      </c>
      <c r="W17" s="183" t="s">
        <v>1127</v>
      </c>
      <c r="X17" s="178">
        <v>600</v>
      </c>
      <c r="Y17" s="182"/>
      <c r="Z17" s="182" t="s">
        <v>58</v>
      </c>
      <c r="AA17" s="178" t="s">
        <v>59</v>
      </c>
      <c r="AB17" s="178" t="s">
        <v>1128</v>
      </c>
      <c r="AC17" s="178" t="s">
        <v>60</v>
      </c>
      <c r="AD17" s="178" t="s">
        <v>92</v>
      </c>
      <c r="AE17" s="179"/>
      <c r="AF17" s="162" t="s">
        <v>1129</v>
      </c>
      <c r="AG17" s="180"/>
      <c r="AH17" s="179"/>
      <c r="AI17" s="179"/>
      <c r="AJ17" s="195"/>
      <c r="AK17" s="195"/>
      <c r="AL17" s="195"/>
      <c r="AM17" s="195"/>
      <c r="AN17" s="183">
        <f>IF(ISNUMBER(VLOOKUP(A17,NotghiID!A:A,1,FALSE)),1,0)</f>
        <v>1</v>
      </c>
    </row>
    <row r="18" spans="1:40" x14ac:dyDescent="0.2">
      <c r="A18" s="189">
        <v>179</v>
      </c>
      <c r="B18" s="206" t="str">
        <f>IF(AND(A18&lt;&gt;"",ISNUMBER(A18)),VLOOKUP(A18,Studies!A:BR,2,FALSE),"")</f>
        <v>Gorski 2003</v>
      </c>
      <c r="C18" s="206" t="str">
        <f>IF(AND(A18&lt;&gt;"",ISNUMBER(A18)),VLOOKUP(A18,Studies!A:BR,3,FALSE),"")</f>
        <v>https://www.ncbi.nlm.nih.gov/pubmed/12966371</v>
      </c>
      <c r="D18" s="206" t="str">
        <f>IF(AND(A18&lt;&gt;"",ISNUMBER(A18)),VLOOKUP(A18,Studies!A:BR,4,FALSE),"")</f>
        <v>iv with Perpetrator (Rifampicin)</v>
      </c>
      <c r="E18" s="141" t="str">
        <f>IF(AND(A18&lt;&gt;"",ISNUMBER(A18)),VLOOKUP(A18,Studies!A:BR,5,FALSE),"")</f>
        <v>Midazolam</v>
      </c>
      <c r="F18" s="188" t="s">
        <v>54</v>
      </c>
      <c r="G18" s="207" t="str">
        <f>IF(AND(A18&lt;&gt;"",ISNUMBER(A18)),VLOOKUP(A18,Studies!A:BR,13,FALSE),"")</f>
        <v>IV</v>
      </c>
      <c r="H18" s="140" t="str">
        <f t="shared" si="0"/>
        <v>PO</v>
      </c>
      <c r="I18" s="207" t="str">
        <f>IF(AND(A18&lt;&gt;"",ISNUMBER(A18)),VLOOKUP(A18,Studies!A:BR,6,FALSE),"")</f>
        <v>Whole Blood</v>
      </c>
      <c r="J18" s="189">
        <f>0.44/0.96</f>
        <v>0.45833333333333337</v>
      </c>
      <c r="K18" s="189" t="s">
        <v>1102</v>
      </c>
      <c r="L18" s="203"/>
      <c r="M18" s="203"/>
      <c r="N18" s="195"/>
      <c r="O18" s="195"/>
      <c r="P18" s="204"/>
      <c r="Q18" s="204"/>
      <c r="R18" s="184">
        <v>0</v>
      </c>
      <c r="S18" s="185" t="s">
        <v>938</v>
      </c>
      <c r="T18" s="186">
        <v>132</v>
      </c>
      <c r="U18" s="187" t="s">
        <v>938</v>
      </c>
      <c r="V18" s="188" t="s">
        <v>60</v>
      </c>
      <c r="W18" s="183" t="s">
        <v>1130</v>
      </c>
      <c r="X18" s="178">
        <v>600</v>
      </c>
      <c r="Y18" s="182"/>
      <c r="Z18" s="182" t="s">
        <v>58</v>
      </c>
      <c r="AA18" s="178" t="s">
        <v>59</v>
      </c>
      <c r="AB18" s="178" t="s">
        <v>1128</v>
      </c>
      <c r="AC18" s="178" t="s">
        <v>60</v>
      </c>
      <c r="AD18" s="178" t="s">
        <v>92</v>
      </c>
      <c r="AE18" s="179"/>
      <c r="AF18" s="162" t="s">
        <v>1129</v>
      </c>
      <c r="AG18" s="180"/>
      <c r="AH18" s="179"/>
      <c r="AI18" s="179"/>
      <c r="AJ18" s="195"/>
      <c r="AK18" s="195"/>
      <c r="AL18" s="195"/>
      <c r="AM18" s="195"/>
      <c r="AN18" s="183">
        <f>IF(ISNUMBER(VLOOKUP(A18,NotghiID!A:A,1,FALSE)),1,0)</f>
        <v>1</v>
      </c>
    </row>
    <row r="19" spans="1:40" x14ac:dyDescent="0.2">
      <c r="A19" s="189">
        <v>191</v>
      </c>
      <c r="B19" s="206" t="str">
        <f>IF(AND(A19&lt;&gt;"",ISNUMBER(A19)),VLOOKUP(A19,Studies!A:BR,2,FALSE),"")</f>
        <v>Greiner 1999</v>
      </c>
      <c r="C19" s="206" t="str">
        <f>IF(AND(A19&lt;&gt;"",ISNUMBER(A19)),VLOOKUP(A19,Studies!A:BR,3,FALSE),"")</f>
        <v>https://www.ncbi.nlm.nih.gov/pubmed/10411543</v>
      </c>
      <c r="D19" s="206" t="str">
        <f>IF(AND(A19&lt;&gt;"",ISNUMBER(A19)),VLOOKUP(A19,Studies!A:BR,4,FALSE),"")</f>
        <v>po with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0.69708029197080301</v>
      </c>
      <c r="K19" s="189" t="s">
        <v>1102</v>
      </c>
      <c r="L19" s="203"/>
      <c r="M19" s="203"/>
      <c r="N19" s="195">
        <v>0.48148148148148145</v>
      </c>
      <c r="O19" s="195" t="s">
        <v>1102</v>
      </c>
      <c r="P19" s="204"/>
      <c r="Q19" s="204"/>
      <c r="R19" s="184">
        <v>0</v>
      </c>
      <c r="S19" s="185" t="s">
        <v>938</v>
      </c>
      <c r="T19" s="186">
        <v>240</v>
      </c>
      <c r="U19" s="187" t="s">
        <v>938</v>
      </c>
      <c r="V19" s="188" t="s">
        <v>60</v>
      </c>
      <c r="W19" s="183"/>
      <c r="X19" s="178">
        <v>600</v>
      </c>
      <c r="Y19" s="182"/>
      <c r="Z19" s="139" t="s">
        <v>58</v>
      </c>
      <c r="AA19" s="178" t="s">
        <v>59</v>
      </c>
      <c r="AB19" s="178" t="s">
        <v>1151</v>
      </c>
      <c r="AC19" s="178" t="s">
        <v>60</v>
      </c>
      <c r="AD19" s="178" t="s">
        <v>92</v>
      </c>
      <c r="AE19" s="179" t="s">
        <v>1141</v>
      </c>
      <c r="AF19" s="179" t="s">
        <v>1152</v>
      </c>
      <c r="AG19" s="180"/>
      <c r="AH19" s="179"/>
      <c r="AI19" s="179"/>
      <c r="AJ19" s="195"/>
      <c r="AK19" s="195"/>
      <c r="AL19" s="195"/>
      <c r="AM19" s="195"/>
      <c r="AN19" s="183">
        <f>IF(ISNUMBER(VLOOKUP(A19,NotghiID!A:A,1,FALSE)),1,0)</f>
        <v>1</v>
      </c>
    </row>
    <row r="20" spans="1:40" x14ac:dyDescent="0.2">
      <c r="A20" s="189">
        <v>193</v>
      </c>
      <c r="B20" s="206" t="str">
        <f>IF(AND(A20&lt;&gt;"",ISNUMBER(A20)),VLOOKUP(A20,Studies!A:BR,2,FALSE),"")</f>
        <v>Greiner 1999</v>
      </c>
      <c r="C20" s="206" t="str">
        <f>IF(AND(A20&lt;&gt;"",ISNUMBER(A20)),VLOOKUP(A20,Studies!A:BR,3,FALSE),"")</f>
        <v>https://www.ncbi.nlm.nih.gov/pubmed/10411543</v>
      </c>
      <c r="D20" s="206" t="str">
        <f>IF(AND(A20&lt;&gt;"",ISNUMBER(A20)),VLOOKUP(A20,Studies!A:BR,4,FALSE),"")</f>
        <v>iv with Perpetrator (Rifampicin)</v>
      </c>
      <c r="E20" s="141" t="str">
        <f>IF(AND(A20&lt;&gt;"",ISNUMBER(A20)),VLOOKUP(A20,Studies!A:BR,5,FALSE),"")</f>
        <v>Digoxin</v>
      </c>
      <c r="F20" s="188" t="s">
        <v>54</v>
      </c>
      <c r="G20" s="207" t="str">
        <f>IF(AND(A20&lt;&gt;"",ISNUMBER(A20)),VLOOKUP(A20,Studies!A:BR,13,FALSE),"")</f>
        <v>IV</v>
      </c>
      <c r="H20" s="140" t="str">
        <f t="shared" si="0"/>
        <v>PO</v>
      </c>
      <c r="I20" s="207" t="str">
        <f>IF(AND(A20&lt;&gt;"",ISNUMBER(A20)),VLOOKUP(A20,Studies!A:BR,6,FALSE),"")</f>
        <v>Plasma</v>
      </c>
      <c r="J20" s="189">
        <v>0.85337915234822459</v>
      </c>
      <c r="K20" s="189" t="s">
        <v>1102</v>
      </c>
      <c r="L20" s="203"/>
      <c r="M20" s="203"/>
      <c r="N20" s="195">
        <v>0.834008097165992</v>
      </c>
      <c r="O20" s="195" t="s">
        <v>1102</v>
      </c>
      <c r="P20" s="204"/>
      <c r="Q20" s="204"/>
      <c r="R20" s="184">
        <v>0</v>
      </c>
      <c r="S20" s="185" t="s">
        <v>938</v>
      </c>
      <c r="T20" s="186">
        <v>240</v>
      </c>
      <c r="U20" s="187" t="s">
        <v>938</v>
      </c>
      <c r="V20" s="188" t="s">
        <v>60</v>
      </c>
      <c r="W20" s="183"/>
      <c r="X20" s="138">
        <v>600</v>
      </c>
      <c r="Y20" s="139"/>
      <c r="Z20" s="139" t="s">
        <v>58</v>
      </c>
      <c r="AA20" s="178" t="s">
        <v>59</v>
      </c>
      <c r="AB20" s="178" t="s">
        <v>1151</v>
      </c>
      <c r="AC20" s="178" t="s">
        <v>60</v>
      </c>
      <c r="AD20" s="138" t="s">
        <v>92</v>
      </c>
      <c r="AE20" s="179" t="s">
        <v>1141</v>
      </c>
      <c r="AF20" s="179" t="s">
        <v>1152</v>
      </c>
      <c r="AG20" s="176"/>
      <c r="AH20" s="177"/>
      <c r="AI20" s="177"/>
      <c r="AJ20" s="195"/>
      <c r="AK20" s="195"/>
      <c r="AL20" s="195"/>
      <c r="AM20" s="195"/>
      <c r="AN20" s="183">
        <f>IF(ISNUMBER(VLOOKUP(A20,NotghiID!A:A,1,FALSE)),1,0)</f>
        <v>1</v>
      </c>
    </row>
    <row r="21" spans="1:40" x14ac:dyDescent="0.2">
      <c r="A21" s="189">
        <v>215</v>
      </c>
      <c r="B21" s="206" t="str">
        <f>IF(AND(A21&lt;&gt;"",ISNUMBER(A21)),VLOOKUP(A21,Studies!A:BR,2,FALSE),"")</f>
        <v>Gurley 2006</v>
      </c>
      <c r="C21" s="206" t="str">
        <f>IF(AND(A21&lt;&gt;"",ISNUMBER(A21)),VLOOKUP(A21,Studies!A:BR,3,FALSE),"")</f>
        <v>https://www.ncbi.nlm.nih.gov/pubmed/16432272</v>
      </c>
      <c r="D21" s="206" t="str">
        <f>IF(AND(A21&lt;&gt;"",ISNUMBER(A21)),VLOOKUP(A21,Studies!A:BR,4,FALSE),"")</f>
        <v>with Perpetrator (Rifampicin)</v>
      </c>
      <c r="E21" s="141" t="str">
        <f>IF(AND(A21&lt;&gt;"",ISNUMBER(A21)),VLOOKUP(A21,Studies!A:BR,5,FALSE),"")</f>
        <v>Midazolam</v>
      </c>
      <c r="F21" s="188" t="s">
        <v>54</v>
      </c>
      <c r="G21" s="207" t="str">
        <f>IF(AND(A21&lt;&gt;"",ISNUMBER(A21)),VLOOKUP(A21,Studies!A:BR,13,FALSE),"")</f>
        <v>PO</v>
      </c>
      <c r="H21" s="140" t="str">
        <f t="shared" si="0"/>
        <v>PO</v>
      </c>
      <c r="I21" s="207" t="str">
        <f>IF(AND(A21&lt;&gt;"",ISNUMBER(A21)),VLOOKUP(A21,Studies!A:BR,6,FALSE),"")</f>
        <v>Plasma</v>
      </c>
      <c r="J21" s="213">
        <v>5.7160804000000003E-2</v>
      </c>
      <c r="K21" s="213" t="s">
        <v>1102</v>
      </c>
      <c r="L21" s="203"/>
      <c r="M21" s="203"/>
      <c r="N21" s="215">
        <v>0.1209150326797</v>
      </c>
      <c r="O21" s="215" t="s">
        <v>335</v>
      </c>
      <c r="P21" s="204"/>
      <c r="Q21" s="204"/>
      <c r="R21" s="184">
        <v>0</v>
      </c>
      <c r="S21" s="185" t="s">
        <v>938</v>
      </c>
      <c r="T21" s="186">
        <v>146</v>
      </c>
      <c r="U21" s="187" t="s">
        <v>938</v>
      </c>
      <c r="V21" s="221" t="s">
        <v>60</v>
      </c>
      <c r="W21" s="222"/>
      <c r="X21" s="208">
        <v>300</v>
      </c>
      <c r="Y21" s="209"/>
      <c r="Z21" s="209" t="s">
        <v>58</v>
      </c>
      <c r="AA21" s="208" t="s">
        <v>59</v>
      </c>
      <c r="AB21" s="178" t="s">
        <v>1131</v>
      </c>
      <c r="AC21" s="208" t="s">
        <v>60</v>
      </c>
      <c r="AD21" s="208" t="s">
        <v>92</v>
      </c>
      <c r="AE21" s="210" t="s">
        <v>1132</v>
      </c>
      <c r="AF21" s="210" t="s">
        <v>1133</v>
      </c>
      <c r="AG21" s="211"/>
      <c r="AH21" s="210"/>
      <c r="AI21" s="210" t="s">
        <v>1134</v>
      </c>
      <c r="AJ21" s="195"/>
      <c r="AK21" s="195"/>
      <c r="AL21" s="195"/>
      <c r="AM21" s="195"/>
      <c r="AN21" s="183">
        <f>IF(ISNUMBER(VLOOKUP(A21,NotghiID!A:A,1,FALSE)),1,0)</f>
        <v>1</v>
      </c>
    </row>
    <row r="22" spans="1:40" x14ac:dyDescent="0.2">
      <c r="A22" s="189">
        <v>217</v>
      </c>
      <c r="B22" s="206" t="str">
        <f>IF(AND(A22&lt;&gt;"",ISNUMBER(A22)),VLOOKUP(A22,Studies!A:BR,2,FALSE),"")</f>
        <v>Gurley 2006</v>
      </c>
      <c r="C22" s="206" t="str">
        <f>IF(AND(A22&lt;&gt;"",ISNUMBER(A22)),VLOOKUP(A22,Studies!A:BR,3,FALSE),"")</f>
        <v>https://www.ncbi.nlm.nih.gov/pubmed/16432272</v>
      </c>
      <c r="D22" s="206" t="str">
        <f>IF(AND(A22&lt;&gt;"",ISNUMBER(A22)),VLOOKUP(A22,Studies!A:BR,4,FALSE),"")</f>
        <v>with Perpetrator (Clarithomycin)</v>
      </c>
      <c r="E22" s="141" t="str">
        <f>IF(AND(A22&lt;&gt;"",ISNUMBER(A22)),VLOOKUP(A22,Studies!A:BR,5,FALSE),"")</f>
        <v>Midazolam</v>
      </c>
      <c r="F22" s="188" t="s">
        <v>1113</v>
      </c>
      <c r="G22" s="207" t="str">
        <f>IF(AND(A22&lt;&gt;"",ISNUMBER(A22)),VLOOKUP(A22,Studies!A:BR,13,FALSE),"")</f>
        <v>PO</v>
      </c>
      <c r="H22" s="140" t="str">
        <f t="shared" si="0"/>
        <v>PO</v>
      </c>
      <c r="I22" s="207" t="str">
        <f>IF(AND(A22&lt;&gt;"",ISNUMBER(A22)),VLOOKUP(A22,Studies!A:BR,6,FALSE),"")</f>
        <v>Plasma</v>
      </c>
      <c r="J22" s="213">
        <v>8.3928571400000003</v>
      </c>
      <c r="K22" s="213" t="s">
        <v>1102</v>
      </c>
      <c r="L22" s="203"/>
      <c r="M22" s="203"/>
      <c r="N22" s="215">
        <v>3.795597484</v>
      </c>
      <c r="O22" s="215" t="s">
        <v>335</v>
      </c>
      <c r="P22" s="204"/>
      <c r="Q22" s="204"/>
      <c r="R22" s="184">
        <v>0</v>
      </c>
      <c r="S22" s="185" t="s">
        <v>938</v>
      </c>
      <c r="T22" s="186">
        <v>146</v>
      </c>
      <c r="U22" s="187" t="s">
        <v>938</v>
      </c>
      <c r="V22" s="221" t="s">
        <v>60</v>
      </c>
      <c r="W22" s="222"/>
      <c r="X22" s="208">
        <v>500</v>
      </c>
      <c r="Y22" s="209"/>
      <c r="Z22" s="209" t="s">
        <v>58</v>
      </c>
      <c r="AA22" s="208" t="s">
        <v>59</v>
      </c>
      <c r="AB22" s="178" t="s">
        <v>1131</v>
      </c>
      <c r="AC22" s="208" t="s">
        <v>60</v>
      </c>
      <c r="AD22" s="208" t="s">
        <v>92</v>
      </c>
      <c r="AE22" s="210" t="s">
        <v>1135</v>
      </c>
      <c r="AF22" s="210" t="s">
        <v>1136</v>
      </c>
      <c r="AG22" s="211"/>
      <c r="AH22" s="210"/>
      <c r="AI22" s="210" t="s">
        <v>1134</v>
      </c>
      <c r="AJ22" s="195"/>
      <c r="AK22" s="195"/>
      <c r="AL22" s="195"/>
      <c r="AM22" s="195"/>
      <c r="AN22" s="183">
        <f>IF(ISNUMBER(VLOOKUP(A22,NotghiID!A:A,1,FALSE)),1,0)</f>
        <v>1</v>
      </c>
    </row>
    <row r="23" spans="1:40" x14ac:dyDescent="0.2">
      <c r="A23" s="189">
        <v>221</v>
      </c>
      <c r="B23" s="206" t="str">
        <f>IF(AND(A23&lt;&gt;"",ISNUMBER(A23)),VLOOKUP(A23,Studies!A:BR,2,FALSE),"")</f>
        <v>Gurley 2008a</v>
      </c>
      <c r="C23" s="206" t="str">
        <f>IF(AND(A23&lt;&gt;"",ISNUMBER(A23)),VLOOKUP(A23,Studies!A:BR,3,FALSE),"")</f>
        <v>https://www.ncbi.nlm.nih.gov/pubmed/17495878</v>
      </c>
      <c r="D23" s="206" t="str">
        <f>IF(AND(A23&lt;&gt;"",ISNUMBER(A23)),VLOOKUP(A23,Studies!A:BR,4,FALSE),"")</f>
        <v>with Perpetrator (Rifampicin)</v>
      </c>
      <c r="E23" s="141" t="str">
        <f>IF(AND(A23&lt;&gt;"",ISNUMBER(A23)),VLOOKUP(A23,Studies!A:BR,5,FALSE),"")</f>
        <v>Midazolam</v>
      </c>
      <c r="F23" s="188" t="s">
        <v>54</v>
      </c>
      <c r="G23" s="207" t="str">
        <f>IF(AND(A23&lt;&gt;"",ISNUMBER(A23)),VLOOKUP(A23,Studies!A:BR,13,FALSE),"")</f>
        <v>PO</v>
      </c>
      <c r="H23" s="140" t="str">
        <f t="shared" si="0"/>
        <v>PO</v>
      </c>
      <c r="I23" s="207" t="str">
        <f>IF(AND(A23&lt;&gt;"",ISNUMBER(A23)),VLOOKUP(A23,Studies!A:BR,6,FALSE),"")</f>
        <v>Plasma</v>
      </c>
      <c r="J23" s="213">
        <v>6.0317460316999999E-2</v>
      </c>
      <c r="K23" s="213" t="s">
        <v>1102</v>
      </c>
      <c r="L23" s="203"/>
      <c r="M23" s="203"/>
      <c r="N23" s="215">
        <v>0.107623318</v>
      </c>
      <c r="O23" s="215" t="s">
        <v>335</v>
      </c>
      <c r="P23" s="204"/>
      <c r="Q23" s="204"/>
      <c r="R23" s="184">
        <v>0</v>
      </c>
      <c r="S23" s="185" t="s">
        <v>938</v>
      </c>
      <c r="T23" s="186">
        <v>146</v>
      </c>
      <c r="U23" s="187" t="s">
        <v>938</v>
      </c>
      <c r="V23" s="221" t="s">
        <v>60</v>
      </c>
      <c r="W23" s="222"/>
      <c r="X23" s="208">
        <v>300</v>
      </c>
      <c r="Y23" s="209"/>
      <c r="Z23" s="209" t="s">
        <v>58</v>
      </c>
      <c r="AA23" s="208" t="s">
        <v>59</v>
      </c>
      <c r="AB23" s="178" t="s">
        <v>1131</v>
      </c>
      <c r="AC23" s="208" t="s">
        <v>60</v>
      </c>
      <c r="AD23" s="208" t="s">
        <v>92</v>
      </c>
      <c r="AE23" s="210" t="s">
        <v>1132</v>
      </c>
      <c r="AF23" s="210" t="s">
        <v>1133</v>
      </c>
      <c r="AG23" s="211"/>
      <c r="AH23" s="210"/>
      <c r="AI23" s="210" t="s">
        <v>1134</v>
      </c>
      <c r="AJ23" s="195"/>
      <c r="AK23" s="195"/>
      <c r="AL23" s="195"/>
      <c r="AM23" s="195"/>
      <c r="AN23" s="183">
        <f>IF(ISNUMBER(VLOOKUP(A23,NotghiID!A:A,1,FALSE)),1,0)</f>
        <v>1</v>
      </c>
    </row>
    <row r="24" spans="1:40" x14ac:dyDescent="0.2">
      <c r="A24" s="189">
        <v>223</v>
      </c>
      <c r="B24" s="206" t="str">
        <f>IF(AND(A24&lt;&gt;"",ISNUMBER(A24)),VLOOKUP(A24,Studies!A:BR,2,FALSE),"")</f>
        <v>Gurley 2008a</v>
      </c>
      <c r="C24" s="206" t="str">
        <f>IF(AND(A24&lt;&gt;"",ISNUMBER(A24)),VLOOKUP(A24,Studies!A:BR,3,FALSE),"")</f>
        <v>https://www.ncbi.nlm.nih.gov/pubmed/17495878</v>
      </c>
      <c r="D24" s="206" t="str">
        <f>IF(AND(A24&lt;&gt;"",ISNUMBER(A24)),VLOOKUP(A24,Studies!A:BR,4,FALSE),"")</f>
        <v>with Perpetrator (Clarithomycin)</v>
      </c>
      <c r="E24" s="141" t="str">
        <f>IF(AND(A24&lt;&gt;"",ISNUMBER(A24)),VLOOKUP(A24,Studies!A:BR,5,FALSE),"")</f>
        <v>Midazolam</v>
      </c>
      <c r="F24" s="188" t="s">
        <v>1113</v>
      </c>
      <c r="G24" s="207" t="str">
        <f>IF(AND(A24&lt;&gt;"",ISNUMBER(A24)),VLOOKUP(A24,Studies!A:BR,13,FALSE),"")</f>
        <v>PO</v>
      </c>
      <c r="H24" s="140" t="str">
        <f t="shared" si="0"/>
        <v>PO</v>
      </c>
      <c r="I24" s="207" t="str">
        <f>IF(AND(A24&lt;&gt;"",ISNUMBER(A24)),VLOOKUP(A24,Studies!A:BR,6,FALSE),"")</f>
        <v>Plasma</v>
      </c>
      <c r="J24" s="213">
        <v>5.4833983999999996</v>
      </c>
      <c r="K24" s="213" t="s">
        <v>1102</v>
      </c>
      <c r="L24" s="203"/>
      <c r="M24" s="203"/>
      <c r="N24" s="215">
        <v>2.1743295019</v>
      </c>
      <c r="O24" s="215" t="s">
        <v>335</v>
      </c>
      <c r="P24" s="204"/>
      <c r="Q24" s="204"/>
      <c r="R24" s="184">
        <v>0</v>
      </c>
      <c r="S24" s="185" t="s">
        <v>938</v>
      </c>
      <c r="T24" s="186">
        <v>146</v>
      </c>
      <c r="U24" s="187" t="s">
        <v>938</v>
      </c>
      <c r="V24" s="221" t="s">
        <v>60</v>
      </c>
      <c r="W24" s="222"/>
      <c r="X24" s="208">
        <v>500</v>
      </c>
      <c r="Y24" s="209"/>
      <c r="Z24" s="209" t="s">
        <v>58</v>
      </c>
      <c r="AA24" s="208" t="s">
        <v>59</v>
      </c>
      <c r="AB24" s="178" t="s">
        <v>1131</v>
      </c>
      <c r="AC24" s="208" t="s">
        <v>60</v>
      </c>
      <c r="AD24" s="208" t="s">
        <v>92</v>
      </c>
      <c r="AE24" s="210" t="s">
        <v>1135</v>
      </c>
      <c r="AF24" s="210" t="s">
        <v>1136</v>
      </c>
      <c r="AG24" s="211"/>
      <c r="AH24" s="210"/>
      <c r="AI24" s="210" t="s">
        <v>1134</v>
      </c>
      <c r="AJ24" s="195"/>
      <c r="AK24" s="195"/>
      <c r="AL24" s="195"/>
      <c r="AM24" s="195"/>
      <c r="AN24" s="183">
        <f>IF(ISNUMBER(VLOOKUP(A24,NotghiID!A:A,1,FALSE)),1,0)</f>
        <v>1</v>
      </c>
    </row>
    <row r="25" spans="1:40" s="137" customFormat="1" ht="14.25" x14ac:dyDescent="0.2">
      <c r="A25" s="189">
        <v>227</v>
      </c>
      <c r="B25" s="206" t="str">
        <f>IF(AND(A25&lt;&gt;"",ISNUMBER(A25)),VLOOKUP(A25,Studies!A:BR,2,FALSE),"")</f>
        <v>Gurley 2008b</v>
      </c>
      <c r="C25" s="206" t="str">
        <f>IF(AND(A25&lt;&gt;"",ISNUMBER(A25)),VLOOKUP(A25,Studies!A:BR,3,FALSE),"")</f>
        <v>https://www.ncbi.nlm.nih.gov/pubmed/18214850</v>
      </c>
      <c r="D25" s="206" t="str">
        <f>IF(AND(A25&lt;&gt;"",ISNUMBER(A25)),VLOOKUP(A25,Studies!A:BR,4,FALSE),"")</f>
        <v>with Perpetrator (Rifampicin)</v>
      </c>
      <c r="E25" s="141" t="str">
        <f>IF(AND(A25&lt;&gt;"",ISNUMBER(A25)),VLOOKUP(A25,Studies!A:BR,5,FALSE),"")</f>
        <v>Digoxin</v>
      </c>
      <c r="F25" s="188" t="s">
        <v>54</v>
      </c>
      <c r="G25" s="207" t="str">
        <f>IF(AND(A25&lt;&gt;"",ISNUMBER(A25)),VLOOKUP(A25,Studies!A:BR,13,FALSE),"")</f>
        <v>PO</v>
      </c>
      <c r="H25" s="140" t="str">
        <f t="shared" si="0"/>
        <v>PO</v>
      </c>
      <c r="I25" s="207" t="str">
        <f>IF(AND(A25&lt;&gt;"",ISNUMBER(A25)),VLOOKUP(A25,Studies!A:BR,6,FALSE),"")</f>
        <v>Serum</v>
      </c>
      <c r="J25" s="189">
        <v>0.69565217000000001</v>
      </c>
      <c r="K25" s="213" t="s">
        <v>1102</v>
      </c>
      <c r="L25" s="203"/>
      <c r="M25" s="203"/>
      <c r="N25" s="195">
        <v>0.61538461499999997</v>
      </c>
      <c r="O25" s="195" t="s">
        <v>335</v>
      </c>
      <c r="P25" s="204"/>
      <c r="Q25" s="204"/>
      <c r="R25" s="184">
        <v>0</v>
      </c>
      <c r="S25" s="185" t="s">
        <v>938</v>
      </c>
      <c r="T25" s="186">
        <v>146</v>
      </c>
      <c r="U25" s="187" t="s">
        <v>938</v>
      </c>
      <c r="V25" s="188" t="s">
        <v>60</v>
      </c>
      <c r="W25" s="183"/>
      <c r="X25" s="178">
        <v>300</v>
      </c>
      <c r="Y25" s="182"/>
      <c r="Z25" s="182" t="s">
        <v>58</v>
      </c>
      <c r="AA25" s="208" t="s">
        <v>59</v>
      </c>
      <c r="AB25" s="178" t="s">
        <v>1131</v>
      </c>
      <c r="AC25" s="178" t="s">
        <v>60</v>
      </c>
      <c r="AD25" s="178" t="s">
        <v>92</v>
      </c>
      <c r="AE25" s="179" t="s">
        <v>1132</v>
      </c>
      <c r="AF25" s="179" t="s">
        <v>1137</v>
      </c>
      <c r="AG25" s="180"/>
      <c r="AH25" s="179"/>
      <c r="AI25" s="179" t="s">
        <v>1134</v>
      </c>
      <c r="AJ25" s="195"/>
      <c r="AK25" s="195"/>
      <c r="AL25" s="195"/>
      <c r="AM25" s="195"/>
      <c r="AN25" s="183">
        <f>IF(ISNUMBER(VLOOKUP(A25,NotghiID!A:A,1,FALSE)),1,0)</f>
        <v>1</v>
      </c>
    </row>
    <row r="26" spans="1:40" s="137" customFormat="1" ht="14.25" x14ac:dyDescent="0.2">
      <c r="A26" s="189">
        <v>229</v>
      </c>
      <c r="B26" s="206" t="str">
        <f>IF(AND(A26&lt;&gt;"",ISNUMBER(A26)),VLOOKUP(A26,Studies!A:BR,2,FALSE),"")</f>
        <v>Gurley 2008b</v>
      </c>
      <c r="C26" s="206" t="str">
        <f>IF(AND(A26&lt;&gt;"",ISNUMBER(A26)),VLOOKUP(A26,Studies!A:BR,3,FALSE),"")</f>
        <v>https://www.ncbi.nlm.nih.gov/pubmed/18214850</v>
      </c>
      <c r="D26" s="206" t="str">
        <f>IF(AND(A26&lt;&gt;"",ISNUMBER(A26)),VLOOKUP(A26,Studies!A:BR,4,FALSE),"")</f>
        <v>with Perpetrator (Clarithomycin)</v>
      </c>
      <c r="E26" s="141" t="str">
        <f>IF(AND(A26&lt;&gt;"",ISNUMBER(A26)),VLOOKUP(A26,Studies!A:BR,5,FALSE),"")</f>
        <v>Digoxin</v>
      </c>
      <c r="F26" s="188" t="s">
        <v>1113</v>
      </c>
      <c r="G26" s="207" t="str">
        <f>IF(AND(A26&lt;&gt;"",ISNUMBER(A26)),VLOOKUP(A26,Studies!A:BR,13,FALSE),"")</f>
        <v>PO</v>
      </c>
      <c r="H26" s="140" t="str">
        <f t="shared" si="0"/>
        <v>PO</v>
      </c>
      <c r="I26" s="207" t="str">
        <f>IF(AND(A26&lt;&gt;"",ISNUMBER(A26)),VLOOKUP(A26,Studies!A:BR,6,FALSE),"")</f>
        <v>Serum</v>
      </c>
      <c r="J26" s="189">
        <v>1.46575342</v>
      </c>
      <c r="K26" s="213" t="s">
        <v>1102</v>
      </c>
      <c r="L26" s="203"/>
      <c r="M26" s="203"/>
      <c r="N26" s="195">
        <v>1.75</v>
      </c>
      <c r="O26" s="195" t="s">
        <v>335</v>
      </c>
      <c r="P26" s="204"/>
      <c r="Q26" s="204"/>
      <c r="R26" s="184">
        <v>0</v>
      </c>
      <c r="S26" s="185" t="s">
        <v>938</v>
      </c>
      <c r="T26" s="186">
        <v>144</v>
      </c>
      <c r="U26" s="187" t="s">
        <v>938</v>
      </c>
      <c r="V26" s="188" t="s">
        <v>60</v>
      </c>
      <c r="W26" s="183"/>
      <c r="X26" s="178">
        <v>500</v>
      </c>
      <c r="Y26" s="182"/>
      <c r="Z26" s="182" t="s">
        <v>58</v>
      </c>
      <c r="AA26" s="208" t="s">
        <v>59</v>
      </c>
      <c r="AB26" s="178" t="s">
        <v>1131</v>
      </c>
      <c r="AC26" s="178" t="s">
        <v>60</v>
      </c>
      <c r="AD26" s="178" t="s">
        <v>92</v>
      </c>
      <c r="AE26" s="179" t="s">
        <v>1135</v>
      </c>
      <c r="AF26" s="179" t="s">
        <v>1138</v>
      </c>
      <c r="AG26" s="180"/>
      <c r="AH26" s="179"/>
      <c r="AI26" s="179" t="s">
        <v>1134</v>
      </c>
      <c r="AJ26" s="195"/>
      <c r="AK26" s="195"/>
      <c r="AL26" s="195"/>
      <c r="AM26" s="195"/>
      <c r="AN26" s="183">
        <f>IF(ISNUMBER(VLOOKUP(A26,NotghiID!A:A,1,FALSE)),1,0)</f>
        <v>1</v>
      </c>
    </row>
    <row r="27" spans="1:40" s="137" customFormat="1" ht="14.25" x14ac:dyDescent="0.2">
      <c r="A27" s="189">
        <v>271</v>
      </c>
      <c r="B27" s="206" t="str">
        <f>IF(AND(A27&lt;&gt;"",ISNUMBER(A27)),VLOOKUP(A27,Studies!A:BR,2,FALSE),"")</f>
        <v>Jalava 1997</v>
      </c>
      <c r="C27" s="206" t="str">
        <f>IF(AND(A27&lt;&gt;"",ISNUMBER(A27)),VLOOKUP(A27,Studies!A:BR,3,FALSE),"")</f>
        <v>https://www.ncbi.nlm.nih.gov/pubmed/9421099</v>
      </c>
      <c r="D27" s="206" t="str">
        <f>IF(AND(A27&lt;&gt;"",ISNUMBER(A27)),VLOOKUP(A27,Studies!A:BR,4,FALSE),"")</f>
        <v>po with Perpetrator (Itraconazole)</v>
      </c>
      <c r="E27" s="141" t="str">
        <f>IF(AND(A27&lt;&gt;"",ISNUMBER(A27)),VLOOKUP(A27,Studies!A:BR,5,FALSE),"")</f>
        <v>Digoxin</v>
      </c>
      <c r="F27" s="188" t="s">
        <v>149</v>
      </c>
      <c r="G27" s="207" t="str">
        <f>IF(AND(A27&lt;&gt;"",ISNUMBER(A27)),VLOOKUP(A27,Studies!A:BR,13,FALSE),"")</f>
        <v>PO</v>
      </c>
      <c r="H27" s="140" t="s">
        <v>59</v>
      </c>
      <c r="I27" s="207" t="str">
        <f>IF(AND(A27&lt;&gt;"",ISNUMBER(A27)),VLOOKUP(A27,Studies!A:BR,6,FALSE),"")</f>
        <v>Serum</v>
      </c>
      <c r="J27" s="189">
        <v>168</v>
      </c>
      <c r="K27" s="189" t="s">
        <v>335</v>
      </c>
      <c r="L27" s="203"/>
      <c r="M27" s="203"/>
      <c r="N27" s="195">
        <v>134</v>
      </c>
      <c r="O27" s="195" t="s">
        <v>335</v>
      </c>
      <c r="P27" s="204"/>
      <c r="Q27" s="204"/>
      <c r="R27" s="184">
        <v>0</v>
      </c>
      <c r="S27" s="185" t="s">
        <v>938</v>
      </c>
      <c r="T27" s="186">
        <v>49</v>
      </c>
      <c r="U27" s="187" t="s">
        <v>938</v>
      </c>
      <c r="V27" s="188" t="s">
        <v>60</v>
      </c>
      <c r="W27" s="183"/>
      <c r="X27" s="138">
        <v>200</v>
      </c>
      <c r="Y27" s="139"/>
      <c r="Z27" s="139" t="s">
        <v>58</v>
      </c>
      <c r="AA27" s="138"/>
      <c r="AB27" s="138" t="s">
        <v>183</v>
      </c>
      <c r="AC27" s="138"/>
      <c r="AD27" s="138"/>
      <c r="AE27" s="176"/>
      <c r="AF27" s="176" t="s">
        <v>1408</v>
      </c>
      <c r="AG27" s="176"/>
      <c r="AH27" s="177">
        <v>120</v>
      </c>
      <c r="AI27" s="177"/>
      <c r="AJ27" s="195"/>
      <c r="AK27" s="195"/>
      <c r="AL27" s="195"/>
      <c r="AM27" s="195"/>
      <c r="AN27" s="183"/>
    </row>
    <row r="28" spans="1:40" s="137" customFormat="1" ht="14.25" x14ac:dyDescent="0.2">
      <c r="A28" s="189">
        <v>276</v>
      </c>
      <c r="B28" s="206" t="str">
        <f>IF(AND(A28&lt;&gt;"",ISNUMBER(A28)),VLOOKUP(A28,Studies!A:BR,2,FALSE),"")</f>
        <v>Kharasch 1997</v>
      </c>
      <c r="C28" s="206" t="str">
        <f>IF(AND(A28&lt;&gt;"",ISNUMBER(A28)),VLOOKUP(A28,Studies!A:BR,3,FALSE),"")</f>
        <v>https://www.ncbi.nlm.nih.gov/pubmed/9232132</v>
      </c>
      <c r="D28" s="206" t="str">
        <f>IF(AND(A28&lt;&gt;"",ISNUMBER(A28)),VLOOKUP(A28,Studies!A:BR,4,FALSE),"")</f>
        <v>with Perpetrator (Rifampicin)</v>
      </c>
      <c r="E28" s="141" t="str">
        <f>IF(AND(A28&lt;&gt;"",ISNUMBER(A28)),VLOOKUP(A28,Studies!A:BR,5,FALSE),"")</f>
        <v>Midazolam</v>
      </c>
      <c r="F28" s="188" t="s">
        <v>54</v>
      </c>
      <c r="G28" s="207" t="str">
        <f>IF(AND(A28&lt;&gt;"",ISNUMBER(A28)),VLOOKUP(A28,Studies!A:BR,13,FALSE),"")</f>
        <v>IV</v>
      </c>
      <c r="H28" s="140" t="str">
        <f t="shared" ref="H28:H59" si="1">AA28</f>
        <v>PO</v>
      </c>
      <c r="I28" s="207" t="str">
        <f>IF(AND(A28&lt;&gt;"",ISNUMBER(A28)),VLOOKUP(A28,Studies!A:BR,6,FALSE),"")</f>
        <v>Plasma</v>
      </c>
      <c r="J28" s="189">
        <f>3.3/8.7</f>
        <v>0.37931034482758624</v>
      </c>
      <c r="K28" s="189" t="s">
        <v>1102</v>
      </c>
      <c r="L28" s="203"/>
      <c r="M28" s="203"/>
      <c r="N28" s="195"/>
      <c r="O28" s="195"/>
      <c r="P28" s="204"/>
      <c r="Q28" s="204"/>
      <c r="R28" s="184">
        <v>0</v>
      </c>
      <c r="S28" s="185" t="s">
        <v>938</v>
      </c>
      <c r="T28" s="186">
        <f>4*24+24</f>
        <v>120</v>
      </c>
      <c r="U28" s="187" t="s">
        <v>938</v>
      </c>
      <c r="V28" s="188" t="s">
        <v>60</v>
      </c>
      <c r="W28" s="122" t="s">
        <v>1155</v>
      </c>
      <c r="X28" s="160">
        <v>600</v>
      </c>
      <c r="Y28" s="161"/>
      <c r="Z28" s="161" t="s">
        <v>58</v>
      </c>
      <c r="AA28" s="160" t="s">
        <v>59</v>
      </c>
      <c r="AB28" s="178" t="s">
        <v>183</v>
      </c>
      <c r="AC28" s="160" t="s">
        <v>60</v>
      </c>
      <c r="AD28" s="160" t="s">
        <v>92</v>
      </c>
      <c r="AE28" s="176"/>
      <c r="AF28" s="176"/>
      <c r="AG28" s="176"/>
      <c r="AH28" s="177"/>
      <c r="AI28" s="177"/>
      <c r="AJ28" s="195"/>
      <c r="AK28" s="195"/>
      <c r="AL28" s="195"/>
      <c r="AM28" s="195"/>
      <c r="AN28" s="183">
        <f>IF(ISNUMBER(VLOOKUP(A28,NotghiID!A:A,1,FALSE)),1,0)</f>
        <v>1</v>
      </c>
    </row>
    <row r="29" spans="1:40" s="137" customFormat="1" ht="14.25" x14ac:dyDescent="0.2">
      <c r="A29" s="189">
        <v>278</v>
      </c>
      <c r="B29" s="206" t="str">
        <f>IF(AND(A29&lt;&gt;"",ISNUMBER(A29)),VLOOKUP(A29,Studies!A:BR,2,FALSE),"")</f>
        <v>Kharasch 1997</v>
      </c>
      <c r="C29" s="206" t="str">
        <f>IF(AND(A29&lt;&gt;"",ISNUMBER(A29)),VLOOKUP(A29,Studies!A:BR,3,FALSE),"")</f>
        <v>https://www.ncbi.nlm.nih.gov/pubmed/9232132</v>
      </c>
      <c r="D29" s="206" t="str">
        <f>IF(AND(A29&lt;&gt;"",ISNUMBER(A29)),VLOOKUP(A29,Studies!A:BR,4,FALSE),"")</f>
        <v>with Perpetrator (Rifampicin)</v>
      </c>
      <c r="E29" s="141" t="str">
        <f>IF(AND(A29&lt;&gt;"",ISNUMBER(A29)),VLOOKUP(A29,Studies!A:BR,5,FALSE),"")</f>
        <v>Alfentanil</v>
      </c>
      <c r="F29" s="188" t="s">
        <v>54</v>
      </c>
      <c r="G29" s="207" t="str">
        <f>IF(AND(A29&lt;&gt;"",ISNUMBER(A29)),VLOOKUP(A29,Studies!A:BR,13,FALSE),"")</f>
        <v>IV</v>
      </c>
      <c r="H29" s="140" t="str">
        <f t="shared" si="1"/>
        <v>PO</v>
      </c>
      <c r="I29" s="207" t="str">
        <f>IF(AND(A29&lt;&gt;"",ISNUMBER(A29)),VLOOKUP(A29,Studies!A:BR,6,FALSE),"")</f>
        <v>Plasma</v>
      </c>
      <c r="J29" s="189">
        <f>5.3/14.6</f>
        <v>0.36301369863013699</v>
      </c>
      <c r="K29" s="189" t="s">
        <v>1102</v>
      </c>
      <c r="L29" s="203"/>
      <c r="M29" s="203"/>
      <c r="N29" s="195"/>
      <c r="O29" s="195"/>
      <c r="P29" s="204"/>
      <c r="Q29" s="204"/>
      <c r="R29" s="184">
        <v>0</v>
      </c>
      <c r="S29" s="185" t="s">
        <v>938</v>
      </c>
      <c r="T29" s="186">
        <v>120.5</v>
      </c>
      <c r="U29" s="187" t="s">
        <v>938</v>
      </c>
      <c r="V29" s="188" t="s">
        <v>60</v>
      </c>
      <c r="W29" s="122" t="s">
        <v>1155</v>
      </c>
      <c r="X29" s="160">
        <v>600</v>
      </c>
      <c r="Y29" s="161"/>
      <c r="Z29" s="161" t="s">
        <v>58</v>
      </c>
      <c r="AA29" s="160" t="s">
        <v>59</v>
      </c>
      <c r="AB29" s="178" t="s">
        <v>183</v>
      </c>
      <c r="AC29" s="160" t="s">
        <v>60</v>
      </c>
      <c r="AD29" s="160" t="s">
        <v>92</v>
      </c>
      <c r="AE29" s="176"/>
      <c r="AF29" s="176"/>
      <c r="AG29" s="176"/>
      <c r="AH29" s="177"/>
      <c r="AI29" s="177"/>
      <c r="AJ29" s="195"/>
      <c r="AK29" s="195"/>
      <c r="AL29" s="195"/>
      <c r="AM29" s="195"/>
      <c r="AN29" s="183">
        <f>IF(ISNUMBER(VLOOKUP(A29,NotghiID!A:A,1,FALSE)),1,0)</f>
        <v>1</v>
      </c>
    </row>
    <row r="30" spans="1:40" s="137" customFormat="1" ht="14.25" x14ac:dyDescent="0.2">
      <c r="A30" s="183">
        <v>280</v>
      </c>
      <c r="B30" s="206" t="str">
        <f>IF(AND(A30&lt;&gt;"",ISNUMBER(A30)),VLOOKUP(A30,Studies!A:BR,2,FALSE),"")</f>
        <v>Kharasch 2004</v>
      </c>
      <c r="C30" s="206" t="str">
        <f>IF(AND(A30&lt;&gt;"",ISNUMBER(A30)),VLOOKUP(A30,Studies!A:BR,3,FALSE),"")</f>
        <v>https://www.ncbi.nlm.nih.gov/pubmed/15536460</v>
      </c>
      <c r="D30" s="206" t="str">
        <f>IF(AND(A30&lt;&gt;"",ISNUMBER(A30)),VLOOKUP(A30,Studies!A:BR,4,FALSE),"")</f>
        <v>iv with Perpetrator (Rifampicin)</v>
      </c>
      <c r="E30" s="141" t="str">
        <f>IF(AND(A30&lt;&gt;"",ISNUMBER(A30)),VLOOKUP(A30,Studies!A:BR,5,FALSE),"")</f>
        <v>Midazolam</v>
      </c>
      <c r="F30" s="188" t="s">
        <v>54</v>
      </c>
      <c r="G30" s="207" t="str">
        <f>IF(AND(A30&lt;&gt;"",ISNUMBER(A30)),VLOOKUP(A30,Studies!A:BR,13,FALSE),"")</f>
        <v>IV</v>
      </c>
      <c r="H30" s="140" t="str">
        <f t="shared" si="1"/>
        <v>PO</v>
      </c>
      <c r="I30" s="207" t="str">
        <f>IF(AND(A30&lt;&gt;"",ISNUMBER(A30)),VLOOKUP(A30,Studies!A:BR,6,FALSE),"")</f>
        <v>Plasma</v>
      </c>
      <c r="J30" s="189">
        <f>14.8/28.4</f>
        <v>0.52112676056338036</v>
      </c>
      <c r="K30" s="189" t="s">
        <v>1102</v>
      </c>
      <c r="L30" s="203"/>
      <c r="M30" s="203"/>
      <c r="N30" s="195">
        <f>50.7/50.2</f>
        <v>1.0099601593625498</v>
      </c>
      <c r="O30" s="195" t="s">
        <v>1103</v>
      </c>
      <c r="P30" s="204"/>
      <c r="Q30" s="204"/>
      <c r="R30" s="184">
        <v>0</v>
      </c>
      <c r="S30" s="185" t="s">
        <v>938</v>
      </c>
      <c r="T30" s="186">
        <v>104</v>
      </c>
      <c r="U30" s="187">
        <v>128</v>
      </c>
      <c r="V30" s="188" t="s">
        <v>60</v>
      </c>
      <c r="W30" s="183"/>
      <c r="X30" s="178">
        <v>600</v>
      </c>
      <c r="Y30" s="182"/>
      <c r="Z30" s="182" t="s">
        <v>58</v>
      </c>
      <c r="AA30" s="178" t="s">
        <v>59</v>
      </c>
      <c r="AB30" s="178" t="s">
        <v>531</v>
      </c>
      <c r="AC30" s="178" t="s">
        <v>60</v>
      </c>
      <c r="AD30" s="178" t="s">
        <v>461</v>
      </c>
      <c r="AE30" s="179"/>
      <c r="AF30" s="179"/>
      <c r="AG30" s="180"/>
      <c r="AH30" s="179"/>
      <c r="AI30" s="179"/>
      <c r="AJ30" s="195"/>
      <c r="AK30" s="195"/>
      <c r="AL30" s="195"/>
      <c r="AM30" s="195"/>
      <c r="AN30" s="183">
        <f>IF(ISNUMBER(VLOOKUP(A30,NotghiID!A:A,1,FALSE)),1,0)</f>
        <v>0</v>
      </c>
    </row>
    <row r="31" spans="1:40" s="137" customFormat="1" ht="14.25" x14ac:dyDescent="0.2">
      <c r="A31" s="183">
        <v>283</v>
      </c>
      <c r="B31" s="206" t="str">
        <f>IF(AND(A31&lt;&gt;"",ISNUMBER(A31)),VLOOKUP(A31,Studies!A:BR,2,FALSE),"")</f>
        <v>Kharasch 2004</v>
      </c>
      <c r="C31" s="206" t="str">
        <f>IF(AND(A31&lt;&gt;"",ISNUMBER(A31)),VLOOKUP(A31,Studies!A:BR,3,FALSE),"")</f>
        <v>https://www.ncbi.nlm.nih.gov/pubmed/15536460</v>
      </c>
      <c r="D31" s="206" t="str">
        <f>IF(AND(A31&lt;&gt;"",ISNUMBER(A31)),VLOOKUP(A31,Studies!A:BR,4,FALSE),"")</f>
        <v>iv with Perpetrator (Rifampicin)</v>
      </c>
      <c r="E31" s="141" t="str">
        <f>IF(AND(A31&lt;&gt;"",ISNUMBER(A31)),VLOOKUP(A31,Studies!A:BR,5,FALSE),"")</f>
        <v>Alfentanil</v>
      </c>
      <c r="F31" s="188" t="s">
        <v>54</v>
      </c>
      <c r="G31" s="207" t="str">
        <f>IF(AND(A31&lt;&gt;"",ISNUMBER(A31)),VLOOKUP(A31,Studies!A:BR,13,FALSE),"")</f>
        <v>IV</v>
      </c>
      <c r="H31" s="140" t="str">
        <f t="shared" si="1"/>
        <v>PO</v>
      </c>
      <c r="I31" s="207" t="str">
        <f>IF(AND(A31&lt;&gt;"",ISNUMBER(A31)),VLOOKUP(A31,Studies!A:BR,6,FALSE),"")</f>
        <v>Plasma</v>
      </c>
      <c r="J31" s="189">
        <f>24.3/64.8</f>
        <v>0.375</v>
      </c>
      <c r="K31" s="189" t="s">
        <v>1102</v>
      </c>
      <c r="L31" s="203"/>
      <c r="M31" s="203"/>
      <c r="N31" s="195">
        <f>90.5/90.2</f>
        <v>1.0033259423503325</v>
      </c>
      <c r="O31" s="195" t="s">
        <v>1103</v>
      </c>
      <c r="P31" s="204"/>
      <c r="Q31" s="204"/>
      <c r="R31" s="184">
        <v>0</v>
      </c>
      <c r="S31" s="185" t="s">
        <v>938</v>
      </c>
      <c r="T31" s="186">
        <v>105</v>
      </c>
      <c r="U31" s="187">
        <v>129</v>
      </c>
      <c r="V31" s="188" t="s">
        <v>60</v>
      </c>
      <c r="W31" s="183"/>
      <c r="X31" s="178">
        <v>600</v>
      </c>
      <c r="Y31" s="182"/>
      <c r="Z31" s="182" t="s">
        <v>58</v>
      </c>
      <c r="AA31" s="178" t="s">
        <v>59</v>
      </c>
      <c r="AB31" s="178" t="s">
        <v>531</v>
      </c>
      <c r="AC31" s="178" t="s">
        <v>60</v>
      </c>
      <c r="AD31" s="178" t="s">
        <v>461</v>
      </c>
      <c r="AE31" s="179"/>
      <c r="AF31" s="179"/>
      <c r="AG31" s="180"/>
      <c r="AH31" s="179"/>
      <c r="AI31" s="179"/>
      <c r="AJ31" s="195"/>
      <c r="AK31" s="195"/>
      <c r="AL31" s="195"/>
      <c r="AM31" s="195"/>
      <c r="AN31" s="183">
        <f>IF(ISNUMBER(VLOOKUP(A31,NotghiID!A:A,1,FALSE)),1,0)</f>
        <v>0</v>
      </c>
    </row>
    <row r="32" spans="1:40" s="137" customFormat="1" ht="14.25" x14ac:dyDescent="0.2">
      <c r="A32" s="183">
        <v>286</v>
      </c>
      <c r="B32" s="206" t="str">
        <f>IF(AND(A32&lt;&gt;"",ISNUMBER(A32)),VLOOKUP(A32,Studies!A:BR,2,FALSE),"")</f>
        <v>Kharasch 2004</v>
      </c>
      <c r="C32" s="206" t="str">
        <f>IF(AND(A32&lt;&gt;"",ISNUMBER(A32)),VLOOKUP(A32,Studies!A:BR,3,FALSE),"")</f>
        <v>https://www.ncbi.nlm.nih.gov/pubmed/15536460</v>
      </c>
      <c r="D32" s="206" t="str">
        <f>IF(AND(A32&lt;&gt;"",ISNUMBER(A32)),VLOOKUP(A32,Studies!A:BR,4,FALSE),"")</f>
        <v>po #1 with Perpetrator (Rifampicin)</v>
      </c>
      <c r="E32" s="141" t="str">
        <f>IF(AND(A32&lt;&gt;"",ISNUMBER(A32)),VLOOKUP(A32,Studies!A:BR,5,FALSE),"")</f>
        <v>Midazolam</v>
      </c>
      <c r="F32" s="188" t="s">
        <v>54</v>
      </c>
      <c r="G32" s="207" t="str">
        <f>IF(AND(A32&lt;&gt;"",ISNUMBER(A32)),VLOOKUP(A32,Studies!A:BR,13,FALSE),"")</f>
        <v>PO</v>
      </c>
      <c r="H32" s="140" t="str">
        <f t="shared" si="1"/>
        <v>PO</v>
      </c>
      <c r="I32" s="207" t="str">
        <f>IF(AND(A32&lt;&gt;"",ISNUMBER(A32)),VLOOKUP(A32,Studies!A:BR,6,FALSE),"")</f>
        <v>Plasma</v>
      </c>
      <c r="J32" s="189">
        <f>1.1/20.9</f>
        <v>5.2631578947368432E-2</v>
      </c>
      <c r="K32" s="189" t="s">
        <v>1102</v>
      </c>
      <c r="L32" s="203"/>
      <c r="M32" s="203"/>
      <c r="N32" s="195">
        <f>1/9.1</f>
        <v>0.10989010989010989</v>
      </c>
      <c r="O32" s="195" t="s">
        <v>1103</v>
      </c>
      <c r="P32" s="204"/>
      <c r="Q32" s="204"/>
      <c r="R32" s="184">
        <v>0</v>
      </c>
      <c r="S32" s="185" t="s">
        <v>938</v>
      </c>
      <c r="T32" s="186">
        <v>128</v>
      </c>
      <c r="U32" s="187" t="s">
        <v>938</v>
      </c>
      <c r="V32" s="188" t="s">
        <v>60</v>
      </c>
      <c r="W32" s="183"/>
      <c r="X32" s="178">
        <v>600</v>
      </c>
      <c r="Y32" s="182"/>
      <c r="Z32" s="182" t="s">
        <v>58</v>
      </c>
      <c r="AA32" s="178" t="s">
        <v>59</v>
      </c>
      <c r="AB32" s="178" t="s">
        <v>531</v>
      </c>
      <c r="AC32" s="178" t="s">
        <v>60</v>
      </c>
      <c r="AD32" s="178" t="s">
        <v>461</v>
      </c>
      <c r="AE32" s="179"/>
      <c r="AF32" s="179"/>
      <c r="AG32" s="180"/>
      <c r="AH32" s="179"/>
      <c r="AI32" s="179"/>
      <c r="AJ32" s="195"/>
      <c r="AK32" s="195"/>
      <c r="AL32" s="195"/>
      <c r="AM32" s="195"/>
      <c r="AN32" s="183">
        <f>IF(ISNUMBER(VLOOKUP(A32,NotghiID!A:A,1,FALSE)),1,0)</f>
        <v>0</v>
      </c>
    </row>
    <row r="33" spans="1:40" s="137" customFormat="1" ht="14.25" x14ac:dyDescent="0.2">
      <c r="A33" s="183">
        <v>288</v>
      </c>
      <c r="B33" s="206" t="str">
        <f>IF(AND(A33&lt;&gt;"",ISNUMBER(A33)),VLOOKUP(A33,Studies!A:BR,2,FALSE),"")</f>
        <v>Kharasch 2004</v>
      </c>
      <c r="C33" s="206" t="str">
        <f>IF(AND(A33&lt;&gt;"",ISNUMBER(A33)),VLOOKUP(A33,Studies!A:BR,3,FALSE),"")</f>
        <v>https://www.ncbi.nlm.nih.gov/pubmed/15536460</v>
      </c>
      <c r="D33" s="206" t="str">
        <f>IF(AND(A33&lt;&gt;"",ISNUMBER(A33)),VLOOKUP(A33,Studies!A:BR,4,FALSE),"")</f>
        <v>po #1 (60 µg/kg) with Perpetrator (Rifampicin)</v>
      </c>
      <c r="E33" s="141" t="str">
        <f>IF(AND(A33&lt;&gt;"",ISNUMBER(A33)),VLOOKUP(A33,Studies!A:BR,5,FALSE),"")</f>
        <v>Alfentanil</v>
      </c>
      <c r="F33" s="188" t="s">
        <v>54</v>
      </c>
      <c r="G33" s="207" t="str">
        <f>IF(AND(A33&lt;&gt;"",ISNUMBER(A33)),VLOOKUP(A33,Studies!A:BR,13,FALSE),"")</f>
        <v>PO</v>
      </c>
      <c r="H33" s="140" t="str">
        <f t="shared" si="1"/>
        <v>PO</v>
      </c>
      <c r="I33" s="207" t="str">
        <f>IF(AND(A33&lt;&gt;"",ISNUMBER(A33)),VLOOKUP(A33,Studies!A:BR,6,FALSE),"")</f>
        <v>Plasma</v>
      </c>
      <c r="J33" s="189">
        <f>4.7/103</f>
        <v>4.5631067961165048E-2</v>
      </c>
      <c r="K33" s="189" t="s">
        <v>1102</v>
      </c>
      <c r="L33" s="203"/>
      <c r="M33" s="203"/>
      <c r="N33" s="195">
        <f>5/45</f>
        <v>0.1111111111111111</v>
      </c>
      <c r="O33" s="195" t="s">
        <v>1103</v>
      </c>
      <c r="P33" s="204"/>
      <c r="Q33" s="204"/>
      <c r="R33" s="184">
        <v>0</v>
      </c>
      <c r="S33" s="185" t="s">
        <v>938</v>
      </c>
      <c r="T33" s="186">
        <v>129</v>
      </c>
      <c r="U33" s="187" t="s">
        <v>938</v>
      </c>
      <c r="V33" s="188" t="s">
        <v>60</v>
      </c>
      <c r="W33" s="183"/>
      <c r="X33" s="178">
        <v>600</v>
      </c>
      <c r="Y33" s="182"/>
      <c r="Z33" s="182" t="s">
        <v>58</v>
      </c>
      <c r="AA33" s="178" t="s">
        <v>59</v>
      </c>
      <c r="AB33" s="178" t="s">
        <v>531</v>
      </c>
      <c r="AC33" s="178" t="s">
        <v>60</v>
      </c>
      <c r="AD33" s="178" t="s">
        <v>461</v>
      </c>
      <c r="AE33" s="179"/>
      <c r="AF33" s="179"/>
      <c r="AG33" s="180"/>
      <c r="AH33" s="179"/>
      <c r="AI33" s="179"/>
      <c r="AJ33" s="195"/>
      <c r="AK33" s="195"/>
      <c r="AL33" s="195"/>
      <c r="AM33" s="195"/>
      <c r="AN33" s="183">
        <f>IF(ISNUMBER(VLOOKUP(A33,NotghiID!A:A,1,FALSE)),1,0)</f>
        <v>0</v>
      </c>
    </row>
    <row r="34" spans="1:40" s="137" customFormat="1" ht="14.25" x14ac:dyDescent="0.2">
      <c r="A34" s="189">
        <v>294</v>
      </c>
      <c r="B34" s="206" t="str">
        <f>IF(AND(A34&lt;&gt;"",ISNUMBER(A34)),VLOOKUP(A34,Studies!A:BR,2,FALSE),"")</f>
        <v>Kharasch 2011</v>
      </c>
      <c r="C34" s="206" t="str">
        <f>IF(AND(A34&lt;&gt;"",ISNUMBER(A34)),VLOOKUP(A34,Studies!A:BR,3,FALSE),"")</f>
        <v>https://www.ncbi.nlm.nih.gov/pubmed/21562488</v>
      </c>
      <c r="D34" s="206" t="str">
        <f>IF(AND(A34&lt;&gt;"",ISNUMBER(A34)),VLOOKUP(A34,Studies!A:BR,4,FALSE),"")</f>
        <v>iv with Perpetrator (Rifampicin @ 5 mg)</v>
      </c>
      <c r="E34" s="141" t="str">
        <f>IF(AND(A34&lt;&gt;"",ISNUMBER(A34)),VLOOKUP(A34,Studies!A:BR,5,FALSE),"")</f>
        <v>Midazolam</v>
      </c>
      <c r="F34" s="188" t="s">
        <v>54</v>
      </c>
      <c r="G34" s="207" t="str">
        <f>IF(AND(A34&lt;&gt;"",ISNUMBER(A34)),VLOOKUP(A34,Studies!A:BR,13,FALSE),"")</f>
        <v>IV</v>
      </c>
      <c r="H34" s="140" t="str">
        <f t="shared" si="1"/>
        <v>PO</v>
      </c>
      <c r="I34" s="207" t="str">
        <f>IF(AND(A34&lt;&gt;"",ISNUMBER(A34)),VLOOKUP(A34,Studies!A:BR,6,FALSE),"")</f>
        <v>Plasma</v>
      </c>
      <c r="J34" s="189">
        <v>0.84</v>
      </c>
      <c r="K34" s="189" t="s">
        <v>1003</v>
      </c>
      <c r="L34" s="203">
        <v>0.13</v>
      </c>
      <c r="M34" s="123" t="s">
        <v>1139</v>
      </c>
      <c r="N34" s="195">
        <v>1.03225806</v>
      </c>
      <c r="O34" s="195" t="s">
        <v>335</v>
      </c>
      <c r="P34" s="204"/>
      <c r="Q34" s="204"/>
      <c r="R34" s="184">
        <v>0</v>
      </c>
      <c r="S34" s="185" t="s">
        <v>938</v>
      </c>
      <c r="T34" s="186">
        <v>108</v>
      </c>
      <c r="U34" s="187" t="s">
        <v>938</v>
      </c>
      <c r="V34" s="188" t="s">
        <v>60</v>
      </c>
      <c r="W34" s="183"/>
      <c r="X34" s="178">
        <v>5</v>
      </c>
      <c r="Y34" s="182"/>
      <c r="Z34" s="182" t="s">
        <v>58</v>
      </c>
      <c r="AA34" s="178" t="s">
        <v>59</v>
      </c>
      <c r="AB34" s="178" t="s">
        <v>1140</v>
      </c>
      <c r="AC34" s="178" t="s">
        <v>60</v>
      </c>
      <c r="AD34" s="178" t="s">
        <v>92</v>
      </c>
      <c r="AE34" s="179" t="s">
        <v>1141</v>
      </c>
      <c r="AF34" s="179" t="s">
        <v>1142</v>
      </c>
      <c r="AG34" s="180"/>
      <c r="AH34" s="179"/>
      <c r="AI34" s="179" t="s">
        <v>1143</v>
      </c>
      <c r="AJ34" s="195"/>
      <c r="AK34" s="195"/>
      <c r="AL34" s="195"/>
      <c r="AM34" s="195"/>
      <c r="AN34" s="183">
        <f>IF(ISNUMBER(VLOOKUP(A34,NotghiID!A:A,1,FALSE)),1,0)</f>
        <v>1</v>
      </c>
    </row>
    <row r="35" spans="1:40" s="137" customFormat="1" ht="14.25" x14ac:dyDescent="0.2">
      <c r="A35" s="189">
        <v>295</v>
      </c>
      <c r="B35" s="206" t="str">
        <f>IF(AND(A35&lt;&gt;"",ISNUMBER(A35)),VLOOKUP(A35,Studies!A:BR,2,FALSE),"")</f>
        <v>Kharasch 2011</v>
      </c>
      <c r="C35" s="206" t="str">
        <f>IF(AND(A35&lt;&gt;"",ISNUMBER(A35)),VLOOKUP(A35,Studies!A:BR,3,FALSE),"")</f>
        <v>https://www.ncbi.nlm.nih.gov/pubmed/21562488</v>
      </c>
      <c r="D35" s="206" t="str">
        <f>IF(AND(A35&lt;&gt;"",ISNUMBER(A35)),VLOOKUP(A35,Studies!A:BR,4,FALSE),"")</f>
        <v>iv with Perpetrator (Rifampicin @ 10 mg)</v>
      </c>
      <c r="E35" s="141" t="str">
        <f>IF(AND(A35&lt;&gt;"",ISNUMBER(A35)),VLOOKUP(A35,Studies!A:BR,5,FALSE),"")</f>
        <v>Midazolam</v>
      </c>
      <c r="F35" s="188" t="s">
        <v>54</v>
      </c>
      <c r="G35" s="207" t="str">
        <f>IF(AND(A35&lt;&gt;"",ISNUMBER(A35)),VLOOKUP(A35,Studies!A:BR,13,FALSE),"")</f>
        <v>IV</v>
      </c>
      <c r="H35" s="140" t="str">
        <f t="shared" si="1"/>
        <v>PO</v>
      </c>
      <c r="I35" s="207" t="str">
        <f>IF(AND(A35&lt;&gt;"",ISNUMBER(A35)),VLOOKUP(A35,Studies!A:BR,6,FALSE),"")</f>
        <v>Plasma</v>
      </c>
      <c r="J35" s="189">
        <v>0.77</v>
      </c>
      <c r="K35" s="189" t="s">
        <v>1003</v>
      </c>
      <c r="L35" s="203">
        <v>0.12</v>
      </c>
      <c r="M35" s="123" t="s">
        <v>1139</v>
      </c>
      <c r="N35" s="195">
        <v>1.064516129</v>
      </c>
      <c r="O35" s="195" t="s">
        <v>335</v>
      </c>
      <c r="P35" s="204"/>
      <c r="Q35" s="204"/>
      <c r="R35" s="184">
        <v>0</v>
      </c>
      <c r="S35" s="185" t="s">
        <v>938</v>
      </c>
      <c r="T35" s="186">
        <v>108</v>
      </c>
      <c r="U35" s="187" t="s">
        <v>938</v>
      </c>
      <c r="V35" s="188" t="s">
        <v>60</v>
      </c>
      <c r="W35" s="183"/>
      <c r="X35" s="178">
        <v>10</v>
      </c>
      <c r="Y35" s="182"/>
      <c r="Z35" s="182" t="s">
        <v>58</v>
      </c>
      <c r="AA35" s="178" t="s">
        <v>59</v>
      </c>
      <c r="AB35" s="178" t="s">
        <v>1140</v>
      </c>
      <c r="AC35" s="178" t="s">
        <v>60</v>
      </c>
      <c r="AD35" s="178" t="s">
        <v>92</v>
      </c>
      <c r="AE35" s="179" t="s">
        <v>1141</v>
      </c>
      <c r="AF35" s="179" t="s">
        <v>1142</v>
      </c>
      <c r="AG35" s="180"/>
      <c r="AH35" s="179"/>
      <c r="AI35" s="179" t="s">
        <v>1143</v>
      </c>
      <c r="AJ35" s="195"/>
      <c r="AK35" s="195"/>
      <c r="AL35" s="195"/>
      <c r="AM35" s="195"/>
      <c r="AN35" s="183">
        <f>IF(ISNUMBER(VLOOKUP(A35,NotghiID!A:A,1,FALSE)),1,0)</f>
        <v>1</v>
      </c>
    </row>
    <row r="36" spans="1:40" s="137" customFormat="1" ht="14.25" x14ac:dyDescent="0.2">
      <c r="A36" s="189">
        <v>296</v>
      </c>
      <c r="B36" s="206" t="str">
        <f>IF(AND(A36&lt;&gt;"",ISNUMBER(A36)),VLOOKUP(A36,Studies!A:BR,2,FALSE),"")</f>
        <v>Kharasch 2011</v>
      </c>
      <c r="C36" s="206" t="str">
        <f>IF(AND(A36&lt;&gt;"",ISNUMBER(A36)),VLOOKUP(A36,Studies!A:BR,3,FALSE),"")</f>
        <v>https://www.ncbi.nlm.nih.gov/pubmed/21562488</v>
      </c>
      <c r="D36" s="206" t="str">
        <f>IF(AND(A36&lt;&gt;"",ISNUMBER(A36)),VLOOKUP(A36,Studies!A:BR,4,FALSE),"")</f>
        <v>iv with Perpetrator (Rifampicin @ 25 mg)</v>
      </c>
      <c r="E36" s="141" t="str">
        <f>IF(AND(A36&lt;&gt;"",ISNUMBER(A36)),VLOOKUP(A36,Studies!A:BR,5,FALSE),"")</f>
        <v>Midazolam</v>
      </c>
      <c r="F36" s="188" t="s">
        <v>54</v>
      </c>
      <c r="G36" s="207" t="str">
        <f>IF(AND(A36&lt;&gt;"",ISNUMBER(A36)),VLOOKUP(A36,Studies!A:BR,13,FALSE),"")</f>
        <v>IV</v>
      </c>
      <c r="H36" s="140" t="str">
        <f t="shared" si="1"/>
        <v>PO</v>
      </c>
      <c r="I36" s="207" t="str">
        <f>IF(AND(A36&lt;&gt;"",ISNUMBER(A36)),VLOOKUP(A36,Studies!A:BR,6,FALSE),"")</f>
        <v>Plasma</v>
      </c>
      <c r="J36" s="189">
        <v>0.63</v>
      </c>
      <c r="K36" s="189" t="s">
        <v>1003</v>
      </c>
      <c r="L36" s="203">
        <v>0.11</v>
      </c>
      <c r="M36" s="123" t="s">
        <v>1139</v>
      </c>
      <c r="N36" s="195">
        <v>0.83870967699999999</v>
      </c>
      <c r="O36" s="195" t="s">
        <v>335</v>
      </c>
      <c r="P36" s="204"/>
      <c r="Q36" s="204"/>
      <c r="R36" s="184">
        <v>0</v>
      </c>
      <c r="S36" s="185" t="s">
        <v>938</v>
      </c>
      <c r="T36" s="186">
        <v>108</v>
      </c>
      <c r="U36" s="187" t="s">
        <v>938</v>
      </c>
      <c r="V36" s="188" t="s">
        <v>60</v>
      </c>
      <c r="W36" s="183"/>
      <c r="X36" s="178">
        <v>25</v>
      </c>
      <c r="Y36" s="182"/>
      <c r="Z36" s="182" t="s">
        <v>58</v>
      </c>
      <c r="AA36" s="178" t="s">
        <v>59</v>
      </c>
      <c r="AB36" s="178" t="s">
        <v>1140</v>
      </c>
      <c r="AC36" s="178" t="s">
        <v>60</v>
      </c>
      <c r="AD36" s="178" t="s">
        <v>92</v>
      </c>
      <c r="AE36" s="179" t="s">
        <v>1141</v>
      </c>
      <c r="AF36" s="179" t="s">
        <v>1142</v>
      </c>
      <c r="AG36" s="180"/>
      <c r="AH36" s="179"/>
      <c r="AI36" s="179" t="s">
        <v>1143</v>
      </c>
      <c r="AJ36" s="195"/>
      <c r="AK36" s="195"/>
      <c r="AL36" s="195"/>
      <c r="AM36" s="195"/>
      <c r="AN36" s="183">
        <f>IF(ISNUMBER(VLOOKUP(A36,NotghiID!A:A,1,FALSE)),1,0)</f>
        <v>1</v>
      </c>
    </row>
    <row r="37" spans="1:40" s="137" customFormat="1" ht="14.25" x14ac:dyDescent="0.2">
      <c r="A37" s="189">
        <v>297</v>
      </c>
      <c r="B37" s="206" t="str">
        <f>IF(AND(A37&lt;&gt;"",ISNUMBER(A37)),VLOOKUP(A37,Studies!A:BR,2,FALSE),"")</f>
        <v>Kharasch 2011</v>
      </c>
      <c r="C37" s="206" t="str">
        <f>IF(AND(A37&lt;&gt;"",ISNUMBER(A37)),VLOOKUP(A37,Studies!A:BR,3,FALSE),"")</f>
        <v>https://www.ncbi.nlm.nih.gov/pubmed/21562488</v>
      </c>
      <c r="D37" s="206" t="str">
        <f>IF(AND(A37&lt;&gt;"",ISNUMBER(A37)),VLOOKUP(A37,Studies!A:BR,4,FALSE),"")</f>
        <v>iv with Perpetrator (Rifampicin @ 75 mg)</v>
      </c>
      <c r="E37" s="141" t="str">
        <f>IF(AND(A37&lt;&gt;"",ISNUMBER(A37)),VLOOKUP(A37,Studies!A:BR,5,FALSE),"")</f>
        <v>Midazolam</v>
      </c>
      <c r="F37" s="188" t="s">
        <v>54</v>
      </c>
      <c r="G37" s="207" t="str">
        <f>IF(AND(A37&lt;&gt;"",ISNUMBER(A37)),VLOOKUP(A37,Studies!A:BR,13,FALSE),"")</f>
        <v>IV</v>
      </c>
      <c r="H37" s="140" t="str">
        <f t="shared" si="1"/>
        <v>PO</v>
      </c>
      <c r="I37" s="207" t="str">
        <f>IF(AND(A37&lt;&gt;"",ISNUMBER(A37)),VLOOKUP(A37,Studies!A:BR,6,FALSE),"")</f>
        <v>Plasma</v>
      </c>
      <c r="J37" s="189">
        <v>0.6</v>
      </c>
      <c r="K37" s="189" t="s">
        <v>1003</v>
      </c>
      <c r="L37" s="203">
        <v>0.12</v>
      </c>
      <c r="M37" s="123" t="s">
        <v>1139</v>
      </c>
      <c r="N37" s="195">
        <v>1.3225806449999999</v>
      </c>
      <c r="O37" s="195" t="s">
        <v>335</v>
      </c>
      <c r="P37" s="204"/>
      <c r="Q37" s="204"/>
      <c r="R37" s="184">
        <v>0</v>
      </c>
      <c r="S37" s="185" t="s">
        <v>938</v>
      </c>
      <c r="T37" s="186">
        <v>108</v>
      </c>
      <c r="U37" s="187" t="s">
        <v>938</v>
      </c>
      <c r="V37" s="188" t="s">
        <v>60</v>
      </c>
      <c r="W37" s="183"/>
      <c r="X37" s="178">
        <v>75</v>
      </c>
      <c r="Y37" s="182"/>
      <c r="Z37" s="182" t="s">
        <v>58</v>
      </c>
      <c r="AA37" s="178" t="s">
        <v>59</v>
      </c>
      <c r="AB37" s="178" t="s">
        <v>1140</v>
      </c>
      <c r="AC37" s="178" t="s">
        <v>60</v>
      </c>
      <c r="AD37" s="178" t="s">
        <v>92</v>
      </c>
      <c r="AE37" s="179" t="s">
        <v>1141</v>
      </c>
      <c r="AF37" s="179" t="s">
        <v>1142</v>
      </c>
      <c r="AG37" s="180"/>
      <c r="AH37" s="179"/>
      <c r="AI37" s="179" t="s">
        <v>1143</v>
      </c>
      <c r="AJ37" s="195"/>
      <c r="AK37" s="195"/>
      <c r="AL37" s="195"/>
      <c r="AM37" s="195"/>
      <c r="AN37" s="183">
        <f>IF(ISNUMBER(VLOOKUP(A37,NotghiID!A:A,1,FALSE)),1,0)</f>
        <v>1</v>
      </c>
    </row>
    <row r="38" spans="1:40" s="137" customFormat="1" ht="14.25" x14ac:dyDescent="0.2">
      <c r="A38" s="189">
        <v>299</v>
      </c>
      <c r="B38" s="206" t="str">
        <f>IF(AND(A38&lt;&gt;"",ISNUMBER(A38)),VLOOKUP(A38,Studies!A:BR,2,FALSE),"")</f>
        <v>Kharasch 2011</v>
      </c>
      <c r="C38" s="206" t="str">
        <f>IF(AND(A38&lt;&gt;"",ISNUMBER(A38)),VLOOKUP(A38,Studies!A:BR,3,FALSE),"")</f>
        <v>https://www.ncbi.nlm.nih.gov/pubmed/21562488</v>
      </c>
      <c r="D38" s="206" t="str">
        <f>IF(AND(A38&lt;&gt;"",ISNUMBER(A38)),VLOOKUP(A38,Studies!A:BR,4,FALSE),"")</f>
        <v>iv with Perpetrator (Rifampicin @ 5 mg)</v>
      </c>
      <c r="E38" s="141" t="str">
        <f>IF(AND(A38&lt;&gt;"",ISNUMBER(A38)),VLOOKUP(A38,Studies!A:BR,5,FALSE),"")</f>
        <v>Alfentanil</v>
      </c>
      <c r="F38" s="188" t="s">
        <v>54</v>
      </c>
      <c r="G38" s="207" t="str">
        <f>IF(AND(A38&lt;&gt;"",ISNUMBER(A38)),VLOOKUP(A38,Studies!A:BR,13,FALSE),"")</f>
        <v>IV</v>
      </c>
      <c r="H38" s="140" t="str">
        <f t="shared" si="1"/>
        <v>PO</v>
      </c>
      <c r="I38" s="207" t="str">
        <f>IF(AND(A38&lt;&gt;"",ISNUMBER(A38)),VLOOKUP(A38,Studies!A:BR,6,FALSE),"")</f>
        <v>Plasma</v>
      </c>
      <c r="J38" s="189">
        <v>0.83</v>
      </c>
      <c r="K38" s="189" t="s">
        <v>1003</v>
      </c>
      <c r="L38" s="203">
        <v>0.16</v>
      </c>
      <c r="M38" s="123" t="s">
        <v>1139</v>
      </c>
      <c r="N38" s="195">
        <v>1.0392156859999999</v>
      </c>
      <c r="O38" s="195" t="s">
        <v>335</v>
      </c>
      <c r="P38" s="204"/>
      <c r="Q38" s="204"/>
      <c r="R38" s="184">
        <v>0</v>
      </c>
      <c r="S38" s="185" t="s">
        <v>938</v>
      </c>
      <c r="T38" s="186">
        <v>109</v>
      </c>
      <c r="U38" s="187" t="s">
        <v>938</v>
      </c>
      <c r="V38" s="188" t="s">
        <v>60</v>
      </c>
      <c r="W38" s="183"/>
      <c r="X38" s="178">
        <v>5</v>
      </c>
      <c r="Y38" s="182"/>
      <c r="Z38" s="182" t="s">
        <v>58</v>
      </c>
      <c r="AA38" s="178" t="s">
        <v>59</v>
      </c>
      <c r="AB38" s="178" t="s">
        <v>1140</v>
      </c>
      <c r="AC38" s="178" t="s">
        <v>60</v>
      </c>
      <c r="AD38" s="178" t="s">
        <v>92</v>
      </c>
      <c r="AE38" s="179" t="s">
        <v>1141</v>
      </c>
      <c r="AF38" s="179" t="s">
        <v>1142</v>
      </c>
      <c r="AG38" s="180"/>
      <c r="AH38" s="179"/>
      <c r="AI38" s="179" t="s">
        <v>1143</v>
      </c>
      <c r="AJ38" s="195"/>
      <c r="AK38" s="195"/>
      <c r="AL38" s="195"/>
      <c r="AM38" s="195"/>
      <c r="AN38" s="183">
        <f>IF(ISNUMBER(VLOOKUP(A38,NotghiID!A:A,1,FALSE)),1,0)</f>
        <v>1</v>
      </c>
    </row>
    <row r="39" spans="1:40" s="137" customFormat="1" ht="14.25" x14ac:dyDescent="0.2">
      <c r="A39" s="189">
        <v>300</v>
      </c>
      <c r="B39" s="206" t="str">
        <f>IF(AND(A39&lt;&gt;"",ISNUMBER(A39)),VLOOKUP(A39,Studies!A:BR,2,FALSE),"")</f>
        <v>Kharasch 2011</v>
      </c>
      <c r="C39" s="206" t="str">
        <f>IF(AND(A39&lt;&gt;"",ISNUMBER(A39)),VLOOKUP(A39,Studies!A:BR,3,FALSE),"")</f>
        <v>https://www.ncbi.nlm.nih.gov/pubmed/21562488</v>
      </c>
      <c r="D39" s="206" t="str">
        <f>IF(AND(A39&lt;&gt;"",ISNUMBER(A39)),VLOOKUP(A39,Studies!A:BR,4,FALSE),"")</f>
        <v>iv with Perpetrator (Rifampicin @ 10 mg)</v>
      </c>
      <c r="E39" s="141" t="str">
        <f>IF(AND(A39&lt;&gt;"",ISNUMBER(A39)),VLOOKUP(A39,Studies!A:BR,5,FALSE),"")</f>
        <v>Alfentanil</v>
      </c>
      <c r="F39" s="188" t="s">
        <v>54</v>
      </c>
      <c r="G39" s="207" t="str">
        <f>IF(AND(A39&lt;&gt;"",ISNUMBER(A39)),VLOOKUP(A39,Studies!A:BR,13,FALSE),"")</f>
        <v>IV</v>
      </c>
      <c r="H39" s="140" t="str">
        <f t="shared" si="1"/>
        <v>PO</v>
      </c>
      <c r="I39" s="207" t="str">
        <f>IF(AND(A39&lt;&gt;"",ISNUMBER(A39)),VLOOKUP(A39,Studies!A:BR,6,FALSE),"")</f>
        <v>Plasma</v>
      </c>
      <c r="J39" s="189">
        <v>0.75</v>
      </c>
      <c r="K39" s="189" t="s">
        <v>1003</v>
      </c>
      <c r="L39" s="203">
        <v>0.15</v>
      </c>
      <c r="M39" s="123" t="s">
        <v>1139</v>
      </c>
      <c r="N39" s="195">
        <v>1.0490196078</v>
      </c>
      <c r="O39" s="195" t="s">
        <v>335</v>
      </c>
      <c r="P39" s="204"/>
      <c r="Q39" s="204"/>
      <c r="R39" s="184">
        <v>0</v>
      </c>
      <c r="S39" s="185" t="s">
        <v>938</v>
      </c>
      <c r="T39" s="186">
        <v>109</v>
      </c>
      <c r="U39" s="187" t="s">
        <v>938</v>
      </c>
      <c r="V39" s="188" t="s">
        <v>60</v>
      </c>
      <c r="W39" s="183"/>
      <c r="X39" s="178">
        <v>10</v>
      </c>
      <c r="Y39" s="182"/>
      <c r="Z39" s="182" t="s">
        <v>58</v>
      </c>
      <c r="AA39" s="178" t="s">
        <v>59</v>
      </c>
      <c r="AB39" s="178" t="s">
        <v>1140</v>
      </c>
      <c r="AC39" s="178" t="s">
        <v>60</v>
      </c>
      <c r="AD39" s="178" t="s">
        <v>92</v>
      </c>
      <c r="AE39" s="179" t="s">
        <v>1141</v>
      </c>
      <c r="AF39" s="179" t="s">
        <v>1142</v>
      </c>
      <c r="AG39" s="180"/>
      <c r="AH39" s="179"/>
      <c r="AI39" s="179" t="s">
        <v>1143</v>
      </c>
      <c r="AJ39" s="195"/>
      <c r="AK39" s="195"/>
      <c r="AL39" s="195"/>
      <c r="AM39" s="195"/>
      <c r="AN39" s="183">
        <f>IF(ISNUMBER(VLOOKUP(A39,NotghiID!A:A,1,FALSE)),1,0)</f>
        <v>1</v>
      </c>
    </row>
    <row r="40" spans="1:40" s="137" customFormat="1" ht="14.25" x14ac:dyDescent="0.2">
      <c r="A40" s="189">
        <v>301</v>
      </c>
      <c r="B40" s="206" t="str">
        <f>IF(AND(A40&lt;&gt;"",ISNUMBER(A40)),VLOOKUP(A40,Studies!A:BR,2,FALSE),"")</f>
        <v>Kharasch 2011</v>
      </c>
      <c r="C40" s="206" t="str">
        <f>IF(AND(A40&lt;&gt;"",ISNUMBER(A40)),VLOOKUP(A40,Studies!A:BR,3,FALSE),"")</f>
        <v>https://www.ncbi.nlm.nih.gov/pubmed/21562488</v>
      </c>
      <c r="D40" s="206" t="str">
        <f>IF(AND(A40&lt;&gt;"",ISNUMBER(A40)),VLOOKUP(A40,Studies!A:BR,4,FALSE),"")</f>
        <v>iv with Perpetrator (Rifampicin @ 25 mg)</v>
      </c>
      <c r="E40" s="141" t="str">
        <f>IF(AND(A40&lt;&gt;"",ISNUMBER(A40)),VLOOKUP(A40,Studies!A:BR,5,FALSE),"")</f>
        <v>Alfentanil</v>
      </c>
      <c r="F40" s="188" t="s">
        <v>54</v>
      </c>
      <c r="G40" s="207" t="str">
        <f>IF(AND(A40&lt;&gt;"",ISNUMBER(A40)),VLOOKUP(A40,Studies!A:BR,13,FALSE),"")</f>
        <v>IV</v>
      </c>
      <c r="H40" s="140" t="str">
        <f t="shared" si="1"/>
        <v>PO</v>
      </c>
      <c r="I40" s="207" t="str">
        <f>IF(AND(A40&lt;&gt;"",ISNUMBER(A40)),VLOOKUP(A40,Studies!A:BR,6,FALSE),"")</f>
        <v>Plasma</v>
      </c>
      <c r="J40" s="189">
        <v>0.59</v>
      </c>
      <c r="K40" s="189" t="s">
        <v>1003</v>
      </c>
      <c r="L40" s="203">
        <v>0.12</v>
      </c>
      <c r="M40" s="123" t="s">
        <v>1139</v>
      </c>
      <c r="N40" s="195">
        <v>1</v>
      </c>
      <c r="O40" s="195" t="s">
        <v>335</v>
      </c>
      <c r="P40" s="204"/>
      <c r="Q40" s="204"/>
      <c r="R40" s="184">
        <v>0</v>
      </c>
      <c r="S40" s="185" t="s">
        <v>938</v>
      </c>
      <c r="T40" s="186">
        <v>109</v>
      </c>
      <c r="U40" s="187" t="s">
        <v>938</v>
      </c>
      <c r="V40" s="188" t="s">
        <v>60</v>
      </c>
      <c r="W40" s="183"/>
      <c r="X40" s="178">
        <v>25</v>
      </c>
      <c r="Y40" s="182"/>
      <c r="Z40" s="182" t="s">
        <v>58</v>
      </c>
      <c r="AA40" s="178" t="s">
        <v>59</v>
      </c>
      <c r="AB40" s="178" t="s">
        <v>1140</v>
      </c>
      <c r="AC40" s="178" t="s">
        <v>60</v>
      </c>
      <c r="AD40" s="178" t="s">
        <v>92</v>
      </c>
      <c r="AE40" s="179" t="s">
        <v>1141</v>
      </c>
      <c r="AF40" s="179" t="s">
        <v>1142</v>
      </c>
      <c r="AG40" s="180"/>
      <c r="AH40" s="179"/>
      <c r="AI40" s="179" t="s">
        <v>1143</v>
      </c>
      <c r="AJ40" s="195"/>
      <c r="AK40" s="195"/>
      <c r="AL40" s="195"/>
      <c r="AM40" s="195"/>
      <c r="AN40" s="183">
        <f>IF(ISNUMBER(VLOOKUP(A40,NotghiID!A:A,1,FALSE)),1,0)</f>
        <v>1</v>
      </c>
    </row>
    <row r="41" spans="1:40" s="137" customFormat="1" ht="14.25" x14ac:dyDescent="0.2">
      <c r="A41" s="189">
        <v>302</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75 mg)</v>
      </c>
      <c r="E41" s="141" t="str">
        <f>IF(AND(A41&lt;&gt;"",ISNUMBER(A41)),VLOOKUP(A41,Studies!A:BR,5,FALSE),"")</f>
        <v>Alfentanil</v>
      </c>
      <c r="F41" s="188" t="s">
        <v>54</v>
      </c>
      <c r="G41" s="207" t="str">
        <f>IF(AND(A41&lt;&gt;"",ISNUMBER(A41)),VLOOKUP(A41,Studies!A:BR,13,FALSE),"")</f>
        <v>IV</v>
      </c>
      <c r="H41" s="140" t="str">
        <f t="shared" si="1"/>
        <v>PO</v>
      </c>
      <c r="I41" s="207" t="str">
        <f>IF(AND(A41&lt;&gt;"",ISNUMBER(A41)),VLOOKUP(A41,Studies!A:BR,6,FALSE),"")</f>
        <v>Plasma</v>
      </c>
      <c r="J41" s="189">
        <v>0.51</v>
      </c>
      <c r="K41" s="189" t="s">
        <v>1003</v>
      </c>
      <c r="L41" s="203">
        <v>0.12</v>
      </c>
      <c r="M41" s="123" t="s">
        <v>1139</v>
      </c>
      <c r="N41" s="195">
        <v>1.0294117647000001</v>
      </c>
      <c r="O41" s="195" t="s">
        <v>335</v>
      </c>
      <c r="P41" s="204"/>
      <c r="Q41" s="204"/>
      <c r="R41" s="184">
        <v>0</v>
      </c>
      <c r="S41" s="185" t="s">
        <v>938</v>
      </c>
      <c r="T41" s="186">
        <v>109</v>
      </c>
      <c r="U41" s="187" t="s">
        <v>938</v>
      </c>
      <c r="V41" s="188" t="s">
        <v>60</v>
      </c>
      <c r="W41" s="183"/>
      <c r="X41" s="178">
        <v>75</v>
      </c>
      <c r="Y41" s="182"/>
      <c r="Z41" s="182" t="s">
        <v>58</v>
      </c>
      <c r="AA41" s="178" t="s">
        <v>59</v>
      </c>
      <c r="AB41" s="178" t="s">
        <v>1140</v>
      </c>
      <c r="AC41" s="178" t="s">
        <v>60</v>
      </c>
      <c r="AD41" s="178" t="s">
        <v>92</v>
      </c>
      <c r="AE41" s="179" t="s">
        <v>1141</v>
      </c>
      <c r="AF41" s="179" t="s">
        <v>1142</v>
      </c>
      <c r="AG41" s="180"/>
      <c r="AH41" s="179"/>
      <c r="AI41" s="179" t="s">
        <v>1143</v>
      </c>
      <c r="AJ41" s="195"/>
      <c r="AK41" s="195"/>
      <c r="AL41" s="195"/>
      <c r="AM41" s="195"/>
      <c r="AN41" s="183">
        <f>IF(ISNUMBER(VLOOKUP(A41,NotghiID!A:A,1,FALSE)),1,0)</f>
        <v>1</v>
      </c>
    </row>
    <row r="42" spans="1:40" s="137" customFormat="1" ht="14.25" x14ac:dyDescent="0.2">
      <c r="A42" s="189">
        <v>304</v>
      </c>
      <c r="B42" s="206" t="str">
        <f>IF(AND(A42&lt;&gt;"",ISNUMBER(A42)),VLOOKUP(A42,Studies!A:BR,2,FALSE),"")</f>
        <v>Kharasch 2011</v>
      </c>
      <c r="C42" s="206" t="str">
        <f>IF(AND(A42&lt;&gt;"",ISNUMBER(A42)),VLOOKUP(A42,Studies!A:BR,3,FALSE),"")</f>
        <v>https://www.ncbi.nlm.nih.gov/pubmed/21562488</v>
      </c>
      <c r="D42" s="206" t="str">
        <f>IF(AND(A42&lt;&gt;"",ISNUMBER(A42)),VLOOKUP(A42,Studies!A:BR,4,FALSE),"")</f>
        <v>po with Perpetrator (Rifampicin @ 5 mg)</v>
      </c>
      <c r="E42" s="141" t="str">
        <f>IF(AND(A42&lt;&gt;"",ISNUMBER(A42)),VLOOKUP(A42,Studies!A:BR,5,FALSE),"")</f>
        <v>Midazolam</v>
      </c>
      <c r="F42" s="188" t="s">
        <v>54</v>
      </c>
      <c r="G42" s="207" t="str">
        <f>IF(AND(A42&lt;&gt;"",ISNUMBER(A42)),VLOOKUP(A42,Studies!A:BR,13,FALSE),"")</f>
        <v>PO</v>
      </c>
      <c r="H42" s="140" t="str">
        <f t="shared" si="1"/>
        <v>PO</v>
      </c>
      <c r="I42" s="207" t="str">
        <f>IF(AND(A42&lt;&gt;"",ISNUMBER(A42)),VLOOKUP(A42,Studies!A:BR,6,FALSE),"")</f>
        <v>Plasma</v>
      </c>
      <c r="J42" s="189">
        <v>0.8</v>
      </c>
      <c r="K42" s="189" t="s">
        <v>1003</v>
      </c>
      <c r="L42" s="203">
        <v>0.19</v>
      </c>
      <c r="M42" s="123" t="s">
        <v>1139</v>
      </c>
      <c r="N42" s="195">
        <v>0.8</v>
      </c>
      <c r="O42" s="195" t="s">
        <v>335</v>
      </c>
      <c r="P42" s="204"/>
      <c r="Q42" s="204"/>
      <c r="R42" s="184">
        <v>0</v>
      </c>
      <c r="S42" s="185" t="s">
        <v>938</v>
      </c>
      <c r="T42" s="186">
        <v>132</v>
      </c>
      <c r="U42" s="187" t="s">
        <v>938</v>
      </c>
      <c r="V42" s="188" t="s">
        <v>60</v>
      </c>
      <c r="W42" s="183"/>
      <c r="X42" s="178">
        <v>5</v>
      </c>
      <c r="Y42" s="182"/>
      <c r="Z42" s="182" t="s">
        <v>58</v>
      </c>
      <c r="AA42" s="178" t="s">
        <v>59</v>
      </c>
      <c r="AB42" s="178" t="s">
        <v>1140</v>
      </c>
      <c r="AC42" s="178" t="s">
        <v>60</v>
      </c>
      <c r="AD42" s="178" t="s">
        <v>92</v>
      </c>
      <c r="AE42" s="179" t="s">
        <v>1141</v>
      </c>
      <c r="AF42" s="179" t="s">
        <v>1142</v>
      </c>
      <c r="AG42" s="180"/>
      <c r="AH42" s="179"/>
      <c r="AI42" s="179" t="s">
        <v>1143</v>
      </c>
      <c r="AJ42" s="195"/>
      <c r="AK42" s="195"/>
      <c r="AL42" s="195"/>
      <c r="AM42" s="195"/>
      <c r="AN42" s="183">
        <f>IF(ISNUMBER(VLOOKUP(A42,NotghiID!A:A,1,FALSE)),1,0)</f>
        <v>1</v>
      </c>
    </row>
    <row r="43" spans="1:40" s="137" customFormat="1" ht="14.25" x14ac:dyDescent="0.2">
      <c r="A43" s="189">
        <v>305</v>
      </c>
      <c r="B43" s="206" t="str">
        <f>IF(AND(A43&lt;&gt;"",ISNUMBER(A43)),VLOOKUP(A43,Studies!A:BR,2,FALSE),"")</f>
        <v>Kharasch 2011</v>
      </c>
      <c r="C43" s="206" t="str">
        <f>IF(AND(A43&lt;&gt;"",ISNUMBER(A43)),VLOOKUP(A43,Studies!A:BR,3,FALSE),"")</f>
        <v>https://www.ncbi.nlm.nih.gov/pubmed/21562488</v>
      </c>
      <c r="D43" s="206" t="str">
        <f>IF(AND(A43&lt;&gt;"",ISNUMBER(A43)),VLOOKUP(A43,Studies!A:BR,4,FALSE),"")</f>
        <v>po with Perpetrator (Rifampicin @ 10 mg)</v>
      </c>
      <c r="E43" s="141" t="str">
        <f>IF(AND(A43&lt;&gt;"",ISNUMBER(A43)),VLOOKUP(A43,Studies!A:BR,5,FALSE),"")</f>
        <v>Midazolam</v>
      </c>
      <c r="F43" s="188" t="s">
        <v>54</v>
      </c>
      <c r="G43" s="207" t="str">
        <f>IF(AND(A43&lt;&gt;"",ISNUMBER(A43)),VLOOKUP(A43,Studies!A:BR,13,FALSE),"")</f>
        <v>PO</v>
      </c>
      <c r="H43" s="140" t="str">
        <f t="shared" si="1"/>
        <v>PO</v>
      </c>
      <c r="I43" s="207" t="str">
        <f>IF(AND(A43&lt;&gt;"",ISNUMBER(A43)),VLOOKUP(A43,Studies!A:BR,6,FALSE),"")</f>
        <v>Plasma</v>
      </c>
      <c r="J43" s="189">
        <v>0.68</v>
      </c>
      <c r="K43" s="189" t="s">
        <v>1003</v>
      </c>
      <c r="L43" s="203">
        <v>0.17</v>
      </c>
      <c r="M43" s="123" t="s">
        <v>1139</v>
      </c>
      <c r="N43" s="195">
        <v>0.93333332999999996</v>
      </c>
      <c r="O43" s="195" t="s">
        <v>335</v>
      </c>
      <c r="P43" s="204"/>
      <c r="Q43" s="204"/>
      <c r="R43" s="184">
        <v>0</v>
      </c>
      <c r="S43" s="185" t="s">
        <v>938</v>
      </c>
      <c r="T43" s="186">
        <v>132</v>
      </c>
      <c r="U43" s="187" t="s">
        <v>938</v>
      </c>
      <c r="V43" s="188" t="s">
        <v>60</v>
      </c>
      <c r="W43" s="183"/>
      <c r="X43" s="178">
        <v>10</v>
      </c>
      <c r="Y43" s="182"/>
      <c r="Z43" s="182" t="s">
        <v>58</v>
      </c>
      <c r="AA43" s="178" t="s">
        <v>59</v>
      </c>
      <c r="AB43" s="178" t="s">
        <v>1140</v>
      </c>
      <c r="AC43" s="178" t="s">
        <v>60</v>
      </c>
      <c r="AD43" s="178" t="s">
        <v>92</v>
      </c>
      <c r="AE43" s="179" t="s">
        <v>1141</v>
      </c>
      <c r="AF43" s="179" t="s">
        <v>1142</v>
      </c>
      <c r="AG43" s="180"/>
      <c r="AH43" s="179"/>
      <c r="AI43" s="179" t="s">
        <v>1143</v>
      </c>
      <c r="AJ43" s="195"/>
      <c r="AK43" s="195"/>
      <c r="AL43" s="195"/>
      <c r="AM43" s="195"/>
      <c r="AN43" s="183">
        <f>IF(ISNUMBER(VLOOKUP(A43,NotghiID!A:A,1,FALSE)),1,0)</f>
        <v>1</v>
      </c>
    </row>
    <row r="44" spans="1:40" s="137" customFormat="1" ht="14.25" x14ac:dyDescent="0.2">
      <c r="A44" s="189">
        <v>306</v>
      </c>
      <c r="B44" s="206" t="str">
        <f>IF(AND(A44&lt;&gt;"",ISNUMBER(A44)),VLOOKUP(A44,Studies!A:BR,2,FALSE),"")</f>
        <v>Kharasch 2011</v>
      </c>
      <c r="C44" s="206" t="str">
        <f>IF(AND(A44&lt;&gt;"",ISNUMBER(A44)),VLOOKUP(A44,Studies!A:BR,3,FALSE),"")</f>
        <v>https://www.ncbi.nlm.nih.gov/pubmed/21562488</v>
      </c>
      <c r="D44" s="206" t="str">
        <f>IF(AND(A44&lt;&gt;"",ISNUMBER(A44)),VLOOKUP(A44,Studies!A:BR,4,FALSE),"")</f>
        <v>po with Perpetrator (Rifampicin @ 25 mg)</v>
      </c>
      <c r="E44" s="141" t="str">
        <f>IF(AND(A44&lt;&gt;"",ISNUMBER(A44)),VLOOKUP(A44,Studies!A:BR,5,FALSE),"")</f>
        <v>Midazolam</v>
      </c>
      <c r="F44" s="188" t="s">
        <v>54</v>
      </c>
      <c r="G44" s="207" t="str">
        <f>IF(AND(A44&lt;&gt;"",ISNUMBER(A44)),VLOOKUP(A44,Studies!A:BR,13,FALSE),"")</f>
        <v>PO</v>
      </c>
      <c r="H44" s="140" t="str">
        <f t="shared" si="1"/>
        <v>PO</v>
      </c>
      <c r="I44" s="207" t="str">
        <f>IF(AND(A44&lt;&gt;"",ISNUMBER(A44)),VLOOKUP(A44,Studies!A:BR,6,FALSE),"")</f>
        <v>Plasma</v>
      </c>
      <c r="J44" s="189">
        <v>0.4</v>
      </c>
      <c r="K44" s="189" t="s">
        <v>1003</v>
      </c>
      <c r="L44" s="203">
        <v>0.1</v>
      </c>
      <c r="M44" s="123" t="s">
        <v>1139</v>
      </c>
      <c r="N44" s="195">
        <v>0.50666666660000004</v>
      </c>
      <c r="O44" s="195" t="s">
        <v>335</v>
      </c>
      <c r="P44" s="204"/>
      <c r="Q44" s="204"/>
      <c r="R44" s="184">
        <v>0</v>
      </c>
      <c r="S44" s="185" t="s">
        <v>938</v>
      </c>
      <c r="T44" s="186">
        <v>132</v>
      </c>
      <c r="U44" s="187" t="s">
        <v>938</v>
      </c>
      <c r="V44" s="188" t="s">
        <v>60</v>
      </c>
      <c r="W44" s="183"/>
      <c r="X44" s="178">
        <v>25</v>
      </c>
      <c r="Y44" s="182"/>
      <c r="Z44" s="182" t="s">
        <v>58</v>
      </c>
      <c r="AA44" s="178" t="s">
        <v>59</v>
      </c>
      <c r="AB44" s="178" t="s">
        <v>1140</v>
      </c>
      <c r="AC44" s="178" t="s">
        <v>60</v>
      </c>
      <c r="AD44" s="178" t="s">
        <v>92</v>
      </c>
      <c r="AE44" s="179" t="s">
        <v>1141</v>
      </c>
      <c r="AF44" s="179" t="s">
        <v>1142</v>
      </c>
      <c r="AG44" s="180"/>
      <c r="AH44" s="179"/>
      <c r="AI44" s="179" t="s">
        <v>1143</v>
      </c>
      <c r="AJ44" s="195"/>
      <c r="AK44" s="195"/>
      <c r="AL44" s="195"/>
      <c r="AM44" s="195"/>
      <c r="AN44" s="183">
        <f>IF(ISNUMBER(VLOOKUP(A44,NotghiID!A:A,1,FALSE)),1,0)</f>
        <v>1</v>
      </c>
    </row>
    <row r="45" spans="1:40" s="137" customFormat="1" ht="14.25" x14ac:dyDescent="0.2">
      <c r="A45" s="189">
        <v>307</v>
      </c>
      <c r="B45" s="206" t="str">
        <f>IF(AND(A45&lt;&gt;"",ISNUMBER(A45)),VLOOKUP(A45,Studies!A:BR,2,FALSE),"")</f>
        <v>Kharasch 2011</v>
      </c>
      <c r="C45" s="206" t="str">
        <f>IF(AND(A45&lt;&gt;"",ISNUMBER(A45)),VLOOKUP(A45,Studies!A:BR,3,FALSE),"")</f>
        <v>https://www.ncbi.nlm.nih.gov/pubmed/21562488</v>
      </c>
      <c r="D45" s="206" t="str">
        <f>IF(AND(A45&lt;&gt;"",ISNUMBER(A45)),VLOOKUP(A45,Studies!A:BR,4,FALSE),"")</f>
        <v>po with Perpetrator (Rifampicin @ 75 mg)</v>
      </c>
      <c r="E45" s="141" t="str">
        <f>IF(AND(A45&lt;&gt;"",ISNUMBER(A45)),VLOOKUP(A45,Studies!A:BR,5,FALSE),"")</f>
        <v>Midazolam</v>
      </c>
      <c r="F45" s="188" t="s">
        <v>54</v>
      </c>
      <c r="G45" s="207" t="str">
        <f>IF(AND(A45&lt;&gt;"",ISNUMBER(A45)),VLOOKUP(A45,Studies!A:BR,13,FALSE),"")</f>
        <v>PO</v>
      </c>
      <c r="H45" s="140" t="str">
        <f t="shared" si="1"/>
        <v>PO</v>
      </c>
      <c r="I45" s="207" t="str">
        <f>IF(AND(A45&lt;&gt;"",ISNUMBER(A45)),VLOOKUP(A45,Studies!A:BR,6,FALSE),"")</f>
        <v>Plasma</v>
      </c>
      <c r="J45" s="189">
        <v>0.25</v>
      </c>
      <c r="K45" s="189" t="s">
        <v>1003</v>
      </c>
      <c r="L45" s="203">
        <v>0.09</v>
      </c>
      <c r="M45" s="123" t="s">
        <v>1139</v>
      </c>
      <c r="N45" s="195">
        <v>0.34</v>
      </c>
      <c r="O45" s="195" t="s">
        <v>335</v>
      </c>
      <c r="P45" s="204"/>
      <c r="Q45" s="204"/>
      <c r="R45" s="184">
        <v>0</v>
      </c>
      <c r="S45" s="185" t="s">
        <v>938</v>
      </c>
      <c r="T45" s="186">
        <v>132</v>
      </c>
      <c r="U45" s="187" t="s">
        <v>938</v>
      </c>
      <c r="V45" s="188" t="s">
        <v>60</v>
      </c>
      <c r="W45" s="183"/>
      <c r="X45" s="178">
        <v>75</v>
      </c>
      <c r="Y45" s="182"/>
      <c r="Z45" s="182" t="s">
        <v>58</v>
      </c>
      <c r="AA45" s="178" t="s">
        <v>59</v>
      </c>
      <c r="AB45" s="178" t="s">
        <v>1140</v>
      </c>
      <c r="AC45" s="178" t="s">
        <v>60</v>
      </c>
      <c r="AD45" s="178" t="s">
        <v>92</v>
      </c>
      <c r="AE45" s="179" t="s">
        <v>1141</v>
      </c>
      <c r="AF45" s="179" t="s">
        <v>1142</v>
      </c>
      <c r="AG45" s="180"/>
      <c r="AH45" s="179"/>
      <c r="AI45" s="179" t="s">
        <v>1143</v>
      </c>
      <c r="AJ45" s="195"/>
      <c r="AK45" s="195"/>
      <c r="AL45" s="195"/>
      <c r="AM45" s="195"/>
      <c r="AN45" s="183">
        <f>IF(ISNUMBER(VLOOKUP(A45,NotghiID!A:A,1,FALSE)),1,0)</f>
        <v>1</v>
      </c>
    </row>
    <row r="46" spans="1:40" s="137" customFormat="1" ht="14.25" x14ac:dyDescent="0.2">
      <c r="A46" s="189">
        <v>309</v>
      </c>
      <c r="B46" s="206" t="str">
        <f>IF(AND(A46&lt;&gt;"",ISNUMBER(A46)),VLOOKUP(A46,Studies!A:BR,2,FALSE),"")</f>
        <v>Kharasch 2011</v>
      </c>
      <c r="C46" s="206" t="str">
        <f>IF(AND(A46&lt;&gt;"",ISNUMBER(A46)),VLOOKUP(A46,Studies!A:BR,3,FALSE),"")</f>
        <v>https://www.ncbi.nlm.nih.gov/pubmed/21562488</v>
      </c>
      <c r="D46" s="206" t="str">
        <f>IF(AND(A46&lt;&gt;"",ISNUMBER(A46)),VLOOKUP(A46,Studies!A:BR,4,FALSE),"")</f>
        <v>po with Perpetrator (Rifampicin @ 5 mg)</v>
      </c>
      <c r="E46" s="141" t="str">
        <f>IF(AND(A46&lt;&gt;"",ISNUMBER(A46)),VLOOKUP(A46,Studies!A:BR,5,FALSE),"")</f>
        <v>Alfentanil</v>
      </c>
      <c r="F46" s="188" t="s">
        <v>54</v>
      </c>
      <c r="G46" s="207" t="str">
        <f>IF(AND(A46&lt;&gt;"",ISNUMBER(A46)),VLOOKUP(A46,Studies!A:BR,13,FALSE),"")</f>
        <v>PO</v>
      </c>
      <c r="H46" s="140" t="str">
        <f t="shared" si="1"/>
        <v>PO</v>
      </c>
      <c r="I46" s="207" t="str">
        <f>IF(AND(A46&lt;&gt;"",ISNUMBER(A46)),VLOOKUP(A46,Studies!A:BR,6,FALSE),"")</f>
        <v>Plasma</v>
      </c>
      <c r="J46" s="189">
        <v>0.74</v>
      </c>
      <c r="K46" s="189" t="s">
        <v>1003</v>
      </c>
      <c r="L46" s="203">
        <v>0.16</v>
      </c>
      <c r="M46" s="123" t="s">
        <v>1139</v>
      </c>
      <c r="N46" s="195">
        <v>0.86274509799999999</v>
      </c>
      <c r="O46" s="195" t="s">
        <v>335</v>
      </c>
      <c r="P46" s="204"/>
      <c r="Q46" s="204"/>
      <c r="R46" s="184">
        <v>0</v>
      </c>
      <c r="S46" s="185" t="s">
        <v>938</v>
      </c>
      <c r="T46" s="186">
        <v>133</v>
      </c>
      <c r="U46" s="187" t="s">
        <v>938</v>
      </c>
      <c r="V46" s="188" t="s">
        <v>60</v>
      </c>
      <c r="W46" s="183"/>
      <c r="X46" s="178">
        <v>5</v>
      </c>
      <c r="Y46" s="182"/>
      <c r="Z46" s="182" t="s">
        <v>58</v>
      </c>
      <c r="AA46" s="178" t="s">
        <v>59</v>
      </c>
      <c r="AB46" s="178" t="s">
        <v>1140</v>
      </c>
      <c r="AC46" s="178" t="s">
        <v>60</v>
      </c>
      <c r="AD46" s="178" t="s">
        <v>92</v>
      </c>
      <c r="AE46" s="179" t="s">
        <v>1141</v>
      </c>
      <c r="AF46" s="179" t="s">
        <v>1142</v>
      </c>
      <c r="AG46" s="180"/>
      <c r="AH46" s="179"/>
      <c r="AI46" s="179" t="s">
        <v>1143</v>
      </c>
      <c r="AJ46" s="195"/>
      <c r="AK46" s="195"/>
      <c r="AL46" s="195"/>
      <c r="AM46" s="195"/>
      <c r="AN46" s="183">
        <f>IF(ISNUMBER(VLOOKUP(A46,NotghiID!A:A,1,FALSE)),1,0)</f>
        <v>1</v>
      </c>
    </row>
    <row r="47" spans="1:40" s="137" customFormat="1" ht="14.25" x14ac:dyDescent="0.2">
      <c r="A47" s="189">
        <v>310</v>
      </c>
      <c r="B47" s="206" t="str">
        <f>IF(AND(A47&lt;&gt;"",ISNUMBER(A47)),VLOOKUP(A47,Studies!A:BR,2,FALSE),"")</f>
        <v>Kharasch 2011</v>
      </c>
      <c r="C47" s="206" t="str">
        <f>IF(AND(A47&lt;&gt;"",ISNUMBER(A47)),VLOOKUP(A47,Studies!A:BR,3,FALSE),"")</f>
        <v>https://www.ncbi.nlm.nih.gov/pubmed/21562488</v>
      </c>
      <c r="D47" s="206" t="str">
        <f>IF(AND(A47&lt;&gt;"",ISNUMBER(A47)),VLOOKUP(A47,Studies!A:BR,4,FALSE),"")</f>
        <v>po with Perpetrator (Rifampicin @ 10 mg)</v>
      </c>
      <c r="E47" s="141" t="str">
        <f>IF(AND(A47&lt;&gt;"",ISNUMBER(A47)),VLOOKUP(A47,Studies!A:BR,5,FALSE),"")</f>
        <v>Alfentanil</v>
      </c>
      <c r="F47" s="188" t="s">
        <v>54</v>
      </c>
      <c r="G47" s="207" t="str">
        <f>IF(AND(A47&lt;&gt;"",ISNUMBER(A47)),VLOOKUP(A47,Studies!A:BR,13,FALSE),"")</f>
        <v>PO</v>
      </c>
      <c r="H47" s="140" t="str">
        <f t="shared" si="1"/>
        <v>PO</v>
      </c>
      <c r="I47" s="207" t="str">
        <f>IF(AND(A47&lt;&gt;"",ISNUMBER(A47)),VLOOKUP(A47,Studies!A:BR,6,FALSE),"")</f>
        <v>Plasma</v>
      </c>
      <c r="J47" s="189">
        <v>0.61</v>
      </c>
      <c r="K47" s="189" t="s">
        <v>1003</v>
      </c>
      <c r="L47" s="203">
        <v>0.23</v>
      </c>
      <c r="M47" s="123" t="s">
        <v>1139</v>
      </c>
      <c r="N47" s="195">
        <v>0.86274509799999999</v>
      </c>
      <c r="O47" s="195" t="s">
        <v>335</v>
      </c>
      <c r="P47" s="204"/>
      <c r="Q47" s="204"/>
      <c r="R47" s="184">
        <v>0</v>
      </c>
      <c r="S47" s="185" t="s">
        <v>938</v>
      </c>
      <c r="T47" s="186">
        <v>133</v>
      </c>
      <c r="U47" s="187" t="s">
        <v>938</v>
      </c>
      <c r="V47" s="188" t="s">
        <v>60</v>
      </c>
      <c r="W47" s="183"/>
      <c r="X47" s="178">
        <v>10</v>
      </c>
      <c r="Y47" s="182"/>
      <c r="Z47" s="182" t="s">
        <v>58</v>
      </c>
      <c r="AA47" s="178" t="s">
        <v>59</v>
      </c>
      <c r="AB47" s="178" t="s">
        <v>1140</v>
      </c>
      <c r="AC47" s="178" t="s">
        <v>60</v>
      </c>
      <c r="AD47" s="178" t="s">
        <v>92</v>
      </c>
      <c r="AE47" s="179" t="s">
        <v>1141</v>
      </c>
      <c r="AF47" s="179" t="s">
        <v>1142</v>
      </c>
      <c r="AG47" s="180"/>
      <c r="AH47" s="179"/>
      <c r="AI47" s="179" t="s">
        <v>1143</v>
      </c>
      <c r="AJ47" s="195"/>
      <c r="AK47" s="195"/>
      <c r="AL47" s="195"/>
      <c r="AM47" s="195"/>
      <c r="AN47" s="183">
        <f>IF(ISNUMBER(VLOOKUP(A47,NotghiID!A:A,1,FALSE)),1,0)</f>
        <v>1</v>
      </c>
    </row>
    <row r="48" spans="1:40" s="137" customFormat="1" ht="14.25" x14ac:dyDescent="0.2">
      <c r="A48" s="189">
        <v>311</v>
      </c>
      <c r="B48" s="206" t="str">
        <f>IF(AND(A48&lt;&gt;"",ISNUMBER(A48)),VLOOKUP(A48,Studies!A:BR,2,FALSE),"")</f>
        <v>Kharasch 2011</v>
      </c>
      <c r="C48" s="206" t="str">
        <f>IF(AND(A48&lt;&gt;"",ISNUMBER(A48)),VLOOKUP(A48,Studies!A:BR,3,FALSE),"")</f>
        <v>https://www.ncbi.nlm.nih.gov/pubmed/21562488</v>
      </c>
      <c r="D48" s="206" t="str">
        <f>IF(AND(A48&lt;&gt;"",ISNUMBER(A48)),VLOOKUP(A48,Studies!A:BR,4,FALSE),"")</f>
        <v>po with Perpetrator (Rifampicin @ 25 mg)</v>
      </c>
      <c r="E48" s="141" t="str">
        <f>IF(AND(A48&lt;&gt;"",ISNUMBER(A48)),VLOOKUP(A48,Studies!A:BR,5,FALSE),"")</f>
        <v>Alfentanil</v>
      </c>
      <c r="F48" s="188" t="s">
        <v>54</v>
      </c>
      <c r="G48" s="207" t="str">
        <f>IF(AND(A48&lt;&gt;"",ISNUMBER(A48)),VLOOKUP(A48,Studies!A:BR,13,FALSE),"")</f>
        <v>PO</v>
      </c>
      <c r="H48" s="140" t="str">
        <f t="shared" si="1"/>
        <v>PO</v>
      </c>
      <c r="I48" s="207" t="str">
        <f>IF(AND(A48&lt;&gt;"",ISNUMBER(A48)),VLOOKUP(A48,Studies!A:BR,6,FALSE),"")</f>
        <v>Plasma</v>
      </c>
      <c r="J48" s="189">
        <v>0.3</v>
      </c>
      <c r="K48" s="189" t="s">
        <v>1003</v>
      </c>
      <c r="L48" s="203">
        <v>0.1</v>
      </c>
      <c r="M48" s="123" t="s">
        <v>1139</v>
      </c>
      <c r="N48" s="195">
        <v>0.49019607840000001</v>
      </c>
      <c r="O48" s="195" t="s">
        <v>335</v>
      </c>
      <c r="P48" s="204"/>
      <c r="Q48" s="204"/>
      <c r="R48" s="184">
        <v>0</v>
      </c>
      <c r="S48" s="185" t="s">
        <v>938</v>
      </c>
      <c r="T48" s="186">
        <v>133</v>
      </c>
      <c r="U48" s="187" t="s">
        <v>938</v>
      </c>
      <c r="V48" s="188" t="s">
        <v>60</v>
      </c>
      <c r="W48" s="183"/>
      <c r="X48" s="178">
        <v>25</v>
      </c>
      <c r="Y48" s="182"/>
      <c r="Z48" s="182" t="s">
        <v>58</v>
      </c>
      <c r="AA48" s="178" t="s">
        <v>59</v>
      </c>
      <c r="AB48" s="178" t="s">
        <v>1140</v>
      </c>
      <c r="AC48" s="178" t="s">
        <v>60</v>
      </c>
      <c r="AD48" s="178" t="s">
        <v>92</v>
      </c>
      <c r="AE48" s="179" t="s">
        <v>1141</v>
      </c>
      <c r="AF48" s="179" t="s">
        <v>1142</v>
      </c>
      <c r="AG48" s="180"/>
      <c r="AH48" s="179"/>
      <c r="AI48" s="179" t="s">
        <v>1143</v>
      </c>
      <c r="AJ48" s="195"/>
      <c r="AK48" s="195"/>
      <c r="AL48" s="195"/>
      <c r="AM48" s="195"/>
      <c r="AN48" s="183">
        <f>IF(ISNUMBER(VLOOKUP(A48,NotghiID!A:A,1,FALSE)),1,0)</f>
        <v>1</v>
      </c>
    </row>
    <row r="49" spans="1:40" s="137" customFormat="1" ht="14.25" x14ac:dyDescent="0.2">
      <c r="A49" s="189">
        <v>312</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75 mg)</v>
      </c>
      <c r="E49" s="141" t="str">
        <f>IF(AND(A49&lt;&gt;"",ISNUMBER(A49)),VLOOKUP(A49,Studies!A:BR,5,FALSE),"")</f>
        <v>Alfentanil</v>
      </c>
      <c r="F49" s="188" t="s">
        <v>54</v>
      </c>
      <c r="G49" s="207" t="str">
        <f>IF(AND(A49&lt;&gt;"",ISNUMBER(A49)),VLOOKUP(A49,Studies!A:BR,13,FALSE),"")</f>
        <v>PO</v>
      </c>
      <c r="H49" s="140" t="str">
        <f t="shared" si="1"/>
        <v>PO</v>
      </c>
      <c r="I49" s="207" t="str">
        <f>IF(AND(A49&lt;&gt;"",ISNUMBER(A49)),VLOOKUP(A49,Studies!A:BR,6,FALSE),"")</f>
        <v>Plasma</v>
      </c>
      <c r="J49" s="189">
        <v>0.13</v>
      </c>
      <c r="K49" s="189" t="s">
        <v>1003</v>
      </c>
      <c r="L49" s="203">
        <v>0.06</v>
      </c>
      <c r="M49" s="123" t="s">
        <v>1139</v>
      </c>
      <c r="N49" s="195">
        <v>0.25490196078400001</v>
      </c>
      <c r="O49" s="195" t="s">
        <v>335</v>
      </c>
      <c r="P49" s="204"/>
      <c r="Q49" s="204"/>
      <c r="R49" s="184">
        <v>0</v>
      </c>
      <c r="S49" s="185" t="s">
        <v>938</v>
      </c>
      <c r="T49" s="186">
        <v>133</v>
      </c>
      <c r="U49" s="187" t="s">
        <v>938</v>
      </c>
      <c r="V49" s="188" t="s">
        <v>60</v>
      </c>
      <c r="W49" s="183"/>
      <c r="X49" s="178">
        <v>75</v>
      </c>
      <c r="Y49" s="182"/>
      <c r="Z49" s="182" t="s">
        <v>58</v>
      </c>
      <c r="AA49" s="178" t="s">
        <v>59</v>
      </c>
      <c r="AB49" s="178" t="s">
        <v>1140</v>
      </c>
      <c r="AC49" s="178" t="s">
        <v>60</v>
      </c>
      <c r="AD49" s="178" t="s">
        <v>92</v>
      </c>
      <c r="AE49" s="179" t="s">
        <v>1141</v>
      </c>
      <c r="AF49" s="179" t="s">
        <v>1142</v>
      </c>
      <c r="AG49" s="180"/>
      <c r="AH49" s="179"/>
      <c r="AI49" s="179" t="s">
        <v>1143</v>
      </c>
      <c r="AJ49" s="195"/>
      <c r="AK49" s="195"/>
      <c r="AL49" s="195"/>
      <c r="AM49" s="195"/>
      <c r="AN49" s="183">
        <f>IF(ISNUMBER(VLOOKUP(A49,NotghiID!A:A,1,FALSE)),1,0)</f>
        <v>1</v>
      </c>
    </row>
    <row r="50" spans="1:40" s="137" customFormat="1" ht="14.25" x14ac:dyDescent="0.2">
      <c r="A50" s="189">
        <v>314</v>
      </c>
      <c r="B50" s="206" t="str">
        <f>IF(AND(A50&lt;&gt;"",ISNUMBER(A50)),VLOOKUP(A50,Studies!A:BR,2,FALSE),"")</f>
        <v>Kirby 2012</v>
      </c>
      <c r="C50" s="206" t="str">
        <f>IF(AND(A50&lt;&gt;"",ISNUMBER(A50)),VLOOKUP(A50,Studies!A:BR,3,FALSE),"")</f>
        <v>https://www.ncbi.nlm.nih.gov/pubmed/22190694</v>
      </c>
      <c r="D50" s="206" t="str">
        <f>IF(AND(A50&lt;&gt;"",ISNUMBER(A50)),VLOOKUP(A50,Studies!A:BR,4,FALSE),"")</f>
        <v>Study 1 - Staggered Administration with RIF</v>
      </c>
      <c r="E50" s="141" t="str">
        <f>IF(AND(A50&lt;&gt;"",ISNUMBER(A50)),VLOOKUP(A50,Studies!A:BR,5,FALSE),"")</f>
        <v>Digoxin</v>
      </c>
      <c r="F50" s="188" t="s">
        <v>54</v>
      </c>
      <c r="G50" s="207" t="str">
        <f>IF(AND(A50&lt;&gt;"",ISNUMBER(A50)),VLOOKUP(A50,Studies!A:BR,13,FALSE),"")</f>
        <v>PO</v>
      </c>
      <c r="H50" s="140" t="str">
        <f t="shared" si="1"/>
        <v>PO</v>
      </c>
      <c r="I50" s="207" t="str">
        <f>IF(AND(A50&lt;&gt;"",ISNUMBER(A50)),VLOOKUP(A50,Studies!A:BR,6,FALSE),"")</f>
        <v>Plasma</v>
      </c>
      <c r="J50" s="189">
        <v>0.81</v>
      </c>
      <c r="K50" s="189" t="s">
        <v>1003</v>
      </c>
      <c r="L50" s="203"/>
      <c r="M50" s="203"/>
      <c r="N50" s="195">
        <v>0.78</v>
      </c>
      <c r="O50" s="195" t="s">
        <v>1003</v>
      </c>
      <c r="P50" s="204"/>
      <c r="Q50" s="204"/>
      <c r="R50" s="184">
        <v>0</v>
      </c>
      <c r="S50" s="185" t="s">
        <v>938</v>
      </c>
      <c r="T50" s="186">
        <v>324</v>
      </c>
      <c r="U50" s="187" t="s">
        <v>938</v>
      </c>
      <c r="V50" s="188" t="s">
        <v>60</v>
      </c>
      <c r="W50" s="183"/>
      <c r="X50" s="138">
        <v>600</v>
      </c>
      <c r="Y50" s="139"/>
      <c r="Z50" s="139" t="s">
        <v>58</v>
      </c>
      <c r="AA50" s="138" t="s">
        <v>59</v>
      </c>
      <c r="AB50" s="138" t="s">
        <v>435</v>
      </c>
      <c r="AC50" s="138" t="s">
        <v>60</v>
      </c>
      <c r="AD50" s="138" t="s">
        <v>1330</v>
      </c>
      <c r="AE50" s="176" t="s">
        <v>1141</v>
      </c>
      <c r="AF50" s="176" t="s">
        <v>1391</v>
      </c>
      <c r="AG50" s="176"/>
      <c r="AH50" s="177"/>
      <c r="AI50" s="177"/>
      <c r="AJ50" s="195"/>
      <c r="AK50" s="195"/>
      <c r="AL50" s="195"/>
      <c r="AM50" s="195"/>
      <c r="AN50" s="183">
        <f>IF(ISNUMBER(VLOOKUP(A50,NotghiID!A:A,1,FALSE)),1,0)</f>
        <v>1</v>
      </c>
    </row>
    <row r="51" spans="1:40" s="137" customFormat="1" ht="14.25" x14ac:dyDescent="0.2">
      <c r="A51" s="189">
        <v>316</v>
      </c>
      <c r="B51" s="206" t="str">
        <f>IF(AND(A51&lt;&gt;"",ISNUMBER(A51)),VLOOKUP(A51,Studies!A:BR,2,FALSE),"")</f>
        <v>Kirby 2012</v>
      </c>
      <c r="C51" s="206" t="str">
        <f>IF(AND(A51&lt;&gt;"",ISNUMBER(A51)),VLOOKUP(A51,Studies!A:BR,3,FALSE),"")</f>
        <v>https://www.ncbi.nlm.nih.gov/pubmed/22190694</v>
      </c>
      <c r="D51" s="206" t="str">
        <f>IF(AND(A51&lt;&gt;"",ISNUMBER(A51)),VLOOKUP(A51,Studies!A:BR,4,FALSE),"")</f>
        <v>Study 2 - Simultaneous Administration with RIF</v>
      </c>
      <c r="E51" s="141" t="str">
        <f>IF(AND(A51&lt;&gt;"",ISNUMBER(A51)),VLOOKUP(A51,Studies!A:BR,5,FALSE),"")</f>
        <v>Digoxin</v>
      </c>
      <c r="F51" s="188" t="s">
        <v>54</v>
      </c>
      <c r="G51" s="207" t="str">
        <f>IF(AND(A51&lt;&gt;"",ISNUMBER(A51)),VLOOKUP(A51,Studies!A:BR,13,FALSE),"")</f>
        <v>PO</v>
      </c>
      <c r="H51" s="140" t="str">
        <f t="shared" si="1"/>
        <v>PO</v>
      </c>
      <c r="I51" s="207" t="str">
        <f>IF(AND(A51&lt;&gt;"",ISNUMBER(A51)),VLOOKUP(A51,Studies!A:BR,6,FALSE),"")</f>
        <v>Plasma</v>
      </c>
      <c r="J51" s="189">
        <v>1.25</v>
      </c>
      <c r="K51" s="189" t="s">
        <v>1003</v>
      </c>
      <c r="L51" s="203"/>
      <c r="M51" s="203"/>
      <c r="N51" s="195">
        <v>1.55</v>
      </c>
      <c r="O51" s="195" t="s">
        <v>1003</v>
      </c>
      <c r="P51" s="204"/>
      <c r="Q51" s="204"/>
      <c r="R51" s="184">
        <v>0</v>
      </c>
      <c r="S51" s="185" t="s">
        <v>938</v>
      </c>
      <c r="T51" s="186">
        <v>360</v>
      </c>
      <c r="U51" s="187" t="s">
        <v>938</v>
      </c>
      <c r="V51" s="188" t="s">
        <v>60</v>
      </c>
      <c r="W51" s="183"/>
      <c r="X51" s="138">
        <v>600</v>
      </c>
      <c r="Y51" s="139"/>
      <c r="Z51" s="139" t="s">
        <v>58</v>
      </c>
      <c r="AA51" s="138" t="s">
        <v>59</v>
      </c>
      <c r="AB51" s="138" t="s">
        <v>435</v>
      </c>
      <c r="AC51" s="138" t="s">
        <v>60</v>
      </c>
      <c r="AD51" s="138" t="s">
        <v>1330</v>
      </c>
      <c r="AE51" s="176" t="s">
        <v>1141</v>
      </c>
      <c r="AF51" s="176" t="s">
        <v>1391</v>
      </c>
      <c r="AG51" s="176"/>
      <c r="AH51" s="177"/>
      <c r="AI51" s="177"/>
      <c r="AJ51" s="195"/>
      <c r="AK51" s="195"/>
      <c r="AL51" s="195"/>
      <c r="AM51" s="195"/>
      <c r="AN51" s="183">
        <f>IF(ISNUMBER(VLOOKUP(A51,NotghiID!A:A,1,FALSE)),1,0)</f>
        <v>1</v>
      </c>
    </row>
    <row r="52" spans="1:40" s="137" customFormat="1" ht="14.25" x14ac:dyDescent="0.2">
      <c r="A52" s="183">
        <v>318</v>
      </c>
      <c r="B52" s="206" t="str">
        <f>IF(AND(A52&lt;&gt;"",ISNUMBER(A52)),VLOOKUP(A52,Studies!A:BR,2,FALSE),"")</f>
        <v>Kivistö 1997</v>
      </c>
      <c r="C52" s="206" t="str">
        <f>IF(AND(A52&lt;&gt;"",ISNUMBER(A52)),VLOOKUP(A52,Studies!A:BR,3,FALSE),"")</f>
        <v>https://www.ncbi.nlm.nih.gov/pubmed/9333111</v>
      </c>
      <c r="D52" s="206" t="str">
        <f>IF(AND(A52&lt;&gt;"",ISNUMBER(A52)),VLOOKUP(A52,Studies!A:BR,4,FALSE),"")</f>
        <v>with Perpetrator (Erythromycin)</v>
      </c>
      <c r="E52" s="141" t="str">
        <f>IF(AND(A52&lt;&gt;"",ISNUMBER(A52)),VLOOKUP(A52,Studies!A:BR,5,FALSE),"")</f>
        <v>Buspirone</v>
      </c>
      <c r="F52" s="188" t="s">
        <v>356</v>
      </c>
      <c r="G52" s="207" t="str">
        <f>IF(AND(A52&lt;&gt;"",ISNUMBER(A52)),VLOOKUP(A52,Studies!A:BR,13,FALSE),"")</f>
        <v>PO</v>
      </c>
      <c r="H52" s="140" t="str">
        <f t="shared" si="1"/>
        <v>PO</v>
      </c>
      <c r="I52" s="207" t="str">
        <f>IF(AND(A52&lt;&gt;"",ISNUMBER(A52)),VLOOKUP(A52,Studies!A:BR,6,FALSE),"")</f>
        <v>Plasma</v>
      </c>
      <c r="J52" s="189">
        <v>5.9</v>
      </c>
      <c r="K52" s="189"/>
      <c r="L52" s="203"/>
      <c r="M52" s="203"/>
      <c r="N52" s="168">
        <v>5</v>
      </c>
      <c r="O52" s="168"/>
      <c r="P52" s="180"/>
      <c r="Q52" s="180"/>
      <c r="R52" s="184">
        <v>0</v>
      </c>
      <c r="S52" s="185" t="s">
        <v>938</v>
      </c>
      <c r="T52" s="186">
        <v>79</v>
      </c>
      <c r="U52" s="187" t="s">
        <v>938</v>
      </c>
      <c r="V52" s="188" t="s">
        <v>60</v>
      </c>
      <c r="W52" s="183"/>
      <c r="X52" s="178">
        <v>500</v>
      </c>
      <c r="Y52" s="139"/>
      <c r="Z52" s="139" t="s">
        <v>58</v>
      </c>
      <c r="AA52" s="178" t="s">
        <v>59</v>
      </c>
      <c r="AB52" s="178" t="s">
        <v>357</v>
      </c>
      <c r="AC52" s="138" t="s">
        <v>60</v>
      </c>
      <c r="AD52" s="178" t="s">
        <v>92</v>
      </c>
      <c r="AE52" s="176" t="s">
        <v>358</v>
      </c>
      <c r="AF52" s="179" t="s">
        <v>359</v>
      </c>
      <c r="AG52" s="180"/>
      <c r="AH52" s="180">
        <v>150</v>
      </c>
      <c r="AI52" s="180"/>
      <c r="AJ52" s="19" t="s">
        <v>62</v>
      </c>
      <c r="AK52" s="168">
        <v>2</v>
      </c>
      <c r="AL52" s="168">
        <v>3</v>
      </c>
      <c r="AM52" s="167" t="s">
        <v>353</v>
      </c>
      <c r="AN52" s="183">
        <f>IF(ISNUMBER(VLOOKUP(A52,NotghiID!A:A,1,FALSE)),1,0)</f>
        <v>0</v>
      </c>
    </row>
    <row r="53" spans="1:40" s="137" customFormat="1" ht="14.25" x14ac:dyDescent="0.2">
      <c r="A53" s="183">
        <v>320</v>
      </c>
      <c r="B53" s="206" t="str">
        <f>IF(AND(A53&lt;&gt;"",ISNUMBER(A53)),VLOOKUP(A53,Studies!A:BR,2,FALSE),"")</f>
        <v>Kivistö 1997</v>
      </c>
      <c r="C53" s="206" t="str">
        <f>IF(AND(A53&lt;&gt;"",ISNUMBER(A53)),VLOOKUP(A53,Studies!A:BR,3,FALSE),"")</f>
        <v>https://www.ncbi.nlm.nih.gov/pubmed/9333111</v>
      </c>
      <c r="D53" s="206" t="str">
        <f>IF(AND(A53&lt;&gt;"",ISNUMBER(A53)),VLOOKUP(A53,Studies!A:BR,4,FALSE),"")</f>
        <v>with Perpetrator (Itraconazole)</v>
      </c>
      <c r="E53" s="141" t="str">
        <f>IF(AND(A53&lt;&gt;"",ISNUMBER(A53)),VLOOKUP(A53,Studies!A:BR,5,FALSE),"")</f>
        <v>Buspirone</v>
      </c>
      <c r="F53" s="188" t="s">
        <v>149</v>
      </c>
      <c r="G53" s="207" t="str">
        <f>IF(AND(A53&lt;&gt;"",ISNUMBER(A53)),VLOOKUP(A53,Studies!A:BR,13,FALSE),"")</f>
        <v>PO</v>
      </c>
      <c r="H53" s="140" t="str">
        <f t="shared" si="1"/>
        <v>PO</v>
      </c>
      <c r="I53" s="207" t="str">
        <f>IF(AND(A53&lt;&gt;"",ISNUMBER(A53)),VLOOKUP(A53,Studies!A:BR,6,FALSE),"")</f>
        <v>Plasma</v>
      </c>
      <c r="J53" s="37">
        <v>19.2</v>
      </c>
      <c r="K53" s="37"/>
      <c r="L53" s="203"/>
      <c r="M53" s="203"/>
      <c r="N53" s="64">
        <v>13.4</v>
      </c>
      <c r="O53" s="64"/>
      <c r="P53" s="66"/>
      <c r="Q53" s="66"/>
      <c r="R53" s="184">
        <v>0</v>
      </c>
      <c r="S53" s="185" t="s">
        <v>938</v>
      </c>
      <c r="T53" s="186">
        <v>79</v>
      </c>
      <c r="U53" s="187" t="s">
        <v>938</v>
      </c>
      <c r="V53" s="188" t="s">
        <v>60</v>
      </c>
      <c r="W53" s="183"/>
      <c r="X53" s="178">
        <v>100</v>
      </c>
      <c r="Y53" s="139"/>
      <c r="Z53" s="139" t="s">
        <v>58</v>
      </c>
      <c r="AA53" s="178" t="s">
        <v>59</v>
      </c>
      <c r="AB53" s="27" t="s">
        <v>361</v>
      </c>
      <c r="AC53" s="138" t="s">
        <v>60</v>
      </c>
      <c r="AD53" s="178" t="s">
        <v>92</v>
      </c>
      <c r="AE53" s="176"/>
      <c r="AF53" s="179" t="s">
        <v>362</v>
      </c>
      <c r="AG53" s="180"/>
      <c r="AH53" s="180">
        <v>150</v>
      </c>
      <c r="AI53" s="180"/>
      <c r="AJ53" s="19" t="s">
        <v>62</v>
      </c>
      <c r="AK53" s="168">
        <v>2</v>
      </c>
      <c r="AL53" s="168">
        <v>3</v>
      </c>
      <c r="AM53" s="167" t="s">
        <v>353</v>
      </c>
      <c r="AN53" s="183">
        <f>IF(ISNUMBER(VLOOKUP(A53,NotghiID!A:A,1,FALSE)),1,0)</f>
        <v>0</v>
      </c>
    </row>
    <row r="54" spans="1:40" s="137" customFormat="1" ht="14.25" x14ac:dyDescent="0.2">
      <c r="A54" s="183">
        <v>327</v>
      </c>
      <c r="B54" s="206" t="str">
        <f>IF(AND(A54&lt;&gt;"",ISNUMBER(A54)),VLOOKUP(A54,Studies!A:BR,2,FALSE),"")</f>
        <v>Lamberg 1998a</v>
      </c>
      <c r="C54" s="206" t="str">
        <f>IF(AND(A54&lt;&gt;"",ISNUMBER(A54)),VLOOKUP(A54,Studies!A:BR,3,FALSE),"")</f>
        <v>https://www.ncbi.nlm.nih.gov/pubmed/9923581</v>
      </c>
      <c r="D54" s="206" t="str">
        <f>IF(AND(A54&lt;&gt;"",ISNUMBER(A54)),VLOOKUP(A54,Studies!A:BR,4,FALSE),"")</f>
        <v>with Perpetrator (Fluvoxamine)</v>
      </c>
      <c r="E54" s="141" t="str">
        <f>IF(AND(A54&lt;&gt;"",ISNUMBER(A54)),VLOOKUP(A54,Studies!A:BR,5,FALSE),"")</f>
        <v>Buspirone</v>
      </c>
      <c r="F54" s="188" t="s">
        <v>1094</v>
      </c>
      <c r="G54" s="207" t="str">
        <f>IF(AND(A54&lt;&gt;"",ISNUMBER(A54)),VLOOKUP(A54,Studies!A:BR,13,FALSE),"")</f>
        <v>PO</v>
      </c>
      <c r="H54" s="140" t="str">
        <f t="shared" si="1"/>
        <v>PO</v>
      </c>
      <c r="I54" s="207" t="str">
        <f>IF(AND(A54&lt;&gt;"",ISNUMBER(A54)),VLOOKUP(A54,Studies!A:BR,6,FALSE),"")</f>
        <v>Plasma</v>
      </c>
      <c r="J54" s="189">
        <v>2.35</v>
      </c>
      <c r="K54" s="189"/>
      <c r="L54" s="203" t="s">
        <v>1095</v>
      </c>
      <c r="M54" s="203" t="s">
        <v>974</v>
      </c>
      <c r="N54" s="168">
        <v>2.0099999999999998</v>
      </c>
      <c r="O54" s="168"/>
      <c r="P54" s="180" t="s">
        <v>1096</v>
      </c>
      <c r="Q54" s="180" t="s">
        <v>974</v>
      </c>
      <c r="R54" s="184">
        <v>0</v>
      </c>
      <c r="S54" s="185" t="s">
        <v>938</v>
      </c>
      <c r="T54" s="186">
        <v>114</v>
      </c>
      <c r="U54" s="187" t="s">
        <v>938</v>
      </c>
      <c r="V54" s="188" t="s">
        <v>60</v>
      </c>
      <c r="W54" s="183"/>
      <c r="X54" s="178">
        <v>100</v>
      </c>
      <c r="Y54" s="139"/>
      <c r="Z54" s="139" t="s">
        <v>58</v>
      </c>
      <c r="AA54" s="178" t="s">
        <v>59</v>
      </c>
      <c r="AB54" s="178" t="s">
        <v>183</v>
      </c>
      <c r="AC54" s="138" t="s">
        <v>60</v>
      </c>
      <c r="AD54" s="178" t="s">
        <v>79</v>
      </c>
      <c r="AE54" s="176"/>
      <c r="AF54" s="179" t="s">
        <v>1097</v>
      </c>
      <c r="AG54" s="180"/>
      <c r="AH54" s="180">
        <v>150</v>
      </c>
      <c r="AI54" s="180"/>
      <c r="AJ54" s="19" t="s">
        <v>62</v>
      </c>
      <c r="AK54" s="168">
        <v>2</v>
      </c>
      <c r="AL54" s="168">
        <v>3</v>
      </c>
      <c r="AM54" s="167" t="s">
        <v>353</v>
      </c>
      <c r="AN54" s="183">
        <f>IF(ISNUMBER(VLOOKUP(A54,NotghiID!A:A,1,FALSE)),1,0)</f>
        <v>0</v>
      </c>
    </row>
    <row r="55" spans="1:40" s="137" customFormat="1" ht="14.25" x14ac:dyDescent="0.2">
      <c r="A55" s="183">
        <v>329</v>
      </c>
      <c r="B55" s="206" t="str">
        <f>IF(AND(A55&lt;&gt;"",ISNUMBER(A55)),VLOOKUP(A55,Studies!A:BR,2,FALSE),"")</f>
        <v>Lamberg 1998b</v>
      </c>
      <c r="C55" s="206" t="str">
        <f>IF(AND(A55&lt;&gt;"",ISNUMBER(A55)),VLOOKUP(A55,Studies!A:BR,3,FALSE),"")</f>
        <v>https://www.ncbi.nlm.nih.gov/pubmed/9578186</v>
      </c>
      <c r="D55" s="206" t="str">
        <f>IF(AND(A55&lt;&gt;"",ISNUMBER(A55)),VLOOKUP(A55,Studies!A:BR,4,FALSE),"")</f>
        <v>with Perpetrator (Rifampicin)</v>
      </c>
      <c r="E55" s="141" t="str">
        <f>IF(AND(A55&lt;&gt;"",ISNUMBER(A55)),VLOOKUP(A55,Studies!A:BR,5,FALSE),"")</f>
        <v>Buspirone</v>
      </c>
      <c r="F55" s="188" t="s">
        <v>54</v>
      </c>
      <c r="G55" s="207" t="str">
        <f>IF(AND(A55&lt;&gt;"",ISNUMBER(A55)),VLOOKUP(A55,Studies!A:BR,13,FALSE),"")</f>
        <v>PO</v>
      </c>
      <c r="H55" s="140" t="str">
        <f t="shared" si="1"/>
        <v>PO</v>
      </c>
      <c r="I55" s="207" t="str">
        <f>IF(AND(A55&lt;&gt;"",ISNUMBER(A55)),VLOOKUP(A55,Studies!A:BR,6,FALSE),"")</f>
        <v>Plasma</v>
      </c>
      <c r="J55" s="189">
        <v>0.104</v>
      </c>
      <c r="K55" s="189"/>
      <c r="L55" s="203" t="s">
        <v>1098</v>
      </c>
      <c r="M55" s="203" t="s">
        <v>1099</v>
      </c>
      <c r="N55" s="168">
        <v>0.16300000000000001</v>
      </c>
      <c r="O55" s="168"/>
      <c r="P55" s="180" t="s">
        <v>1100</v>
      </c>
      <c r="Q55" s="180" t="s">
        <v>1099</v>
      </c>
      <c r="R55" s="184">
        <v>0</v>
      </c>
      <c r="S55" s="185" t="s">
        <v>938</v>
      </c>
      <c r="T55" s="186">
        <v>113</v>
      </c>
      <c r="U55" s="187" t="s">
        <v>938</v>
      </c>
      <c r="V55" s="188" t="s">
        <v>60</v>
      </c>
      <c r="W55" s="183"/>
      <c r="X55" s="178">
        <v>30</v>
      </c>
      <c r="Y55" s="139"/>
      <c r="Z55" s="139" t="s">
        <v>58</v>
      </c>
      <c r="AA55" s="178" t="s">
        <v>59</v>
      </c>
      <c r="AB55" s="178" t="s">
        <v>183</v>
      </c>
      <c r="AC55" s="138" t="s">
        <v>60</v>
      </c>
      <c r="AD55" s="178" t="s">
        <v>79</v>
      </c>
      <c r="AE55" s="176"/>
      <c r="AF55" s="179" t="s">
        <v>1101</v>
      </c>
      <c r="AG55" s="180"/>
      <c r="AH55" s="180">
        <v>150</v>
      </c>
      <c r="AI55" s="180"/>
      <c r="AJ55" s="167" t="s">
        <v>62</v>
      </c>
      <c r="AK55" s="168">
        <v>2</v>
      </c>
      <c r="AL55" s="168">
        <v>3</v>
      </c>
      <c r="AM55" s="167" t="s">
        <v>353</v>
      </c>
      <c r="AN55" s="183">
        <f>IF(ISNUMBER(VLOOKUP(A55,NotghiID!A:A,1,FALSE)),1,0)</f>
        <v>0</v>
      </c>
    </row>
    <row r="56" spans="1:40" s="137" customFormat="1" ht="14.25" x14ac:dyDescent="0.2">
      <c r="A56" s="183">
        <v>331</v>
      </c>
      <c r="B56" s="206" t="str">
        <f>IF(AND(A56&lt;&gt;"",ISNUMBER(A56)),VLOOKUP(A56,Studies!A:BR,2,FALSE),"")</f>
        <v>Lamberg 1998c</v>
      </c>
      <c r="C56" s="206" t="str">
        <f>IF(AND(A56&lt;&gt;"",ISNUMBER(A56)),VLOOKUP(A56,Studies!A:BR,3,FALSE),"")</f>
        <v>https://www.ncbi.nlm.nih.gov/pubmed/9663178</v>
      </c>
      <c r="D56" s="206" t="str">
        <f>IF(AND(A56&lt;&gt;"",ISNUMBER(A56)),VLOOKUP(A56,Studies!A:BR,4,FALSE),"")</f>
        <v>with Perpetrator (Verapamil)</v>
      </c>
      <c r="E56" s="141" t="str">
        <f>IF(AND(A56&lt;&gt;"",ISNUMBER(A56)),VLOOKUP(A56,Studies!A:BR,5,FALSE),"")</f>
        <v>Buspirone</v>
      </c>
      <c r="F56" s="188" t="s">
        <v>383</v>
      </c>
      <c r="G56" s="207" t="str">
        <f>IF(AND(A56&lt;&gt;"",ISNUMBER(A56)),VLOOKUP(A56,Studies!A:BR,13,FALSE),"")</f>
        <v>PO</v>
      </c>
      <c r="H56" s="140" t="str">
        <f t="shared" si="1"/>
        <v>PO</v>
      </c>
      <c r="I56" s="207" t="str">
        <f>IF(AND(A56&lt;&gt;"",ISNUMBER(A56)),VLOOKUP(A56,Studies!A:BR,6,FALSE),"")</f>
        <v>Plasma</v>
      </c>
      <c r="J56" s="189">
        <v>3.4</v>
      </c>
      <c r="K56" s="189"/>
      <c r="L56" s="203"/>
      <c r="M56" s="203"/>
      <c r="N56" s="168">
        <v>3.4</v>
      </c>
      <c r="O56" s="168"/>
      <c r="P56" s="180"/>
      <c r="Q56" s="180"/>
      <c r="R56" s="184">
        <v>0</v>
      </c>
      <c r="S56" s="185" t="s">
        <v>938</v>
      </c>
      <c r="T56" s="186">
        <v>30</v>
      </c>
      <c r="U56" s="187" t="s">
        <v>938</v>
      </c>
      <c r="V56" s="188" t="s">
        <v>60</v>
      </c>
      <c r="W56" s="183"/>
      <c r="X56" s="178">
        <v>80</v>
      </c>
      <c r="Y56" s="139"/>
      <c r="Z56" s="139" t="s">
        <v>58</v>
      </c>
      <c r="AA56" s="178" t="s">
        <v>59</v>
      </c>
      <c r="AB56" s="178" t="s">
        <v>384</v>
      </c>
      <c r="AC56" s="138" t="s">
        <v>60</v>
      </c>
      <c r="AD56" s="178" t="s">
        <v>79</v>
      </c>
      <c r="AE56" s="176"/>
      <c r="AF56" s="179" t="s">
        <v>385</v>
      </c>
      <c r="AG56" s="180"/>
      <c r="AH56" s="180">
        <v>150</v>
      </c>
      <c r="AI56" s="180"/>
      <c r="AJ56" s="167" t="s">
        <v>62</v>
      </c>
      <c r="AK56" s="168">
        <v>2</v>
      </c>
      <c r="AL56" s="168">
        <v>3</v>
      </c>
      <c r="AM56" s="167" t="s">
        <v>353</v>
      </c>
      <c r="AN56" s="183">
        <f>IF(ISNUMBER(VLOOKUP(A56,NotghiID!A:A,1,FALSE)),1,0)</f>
        <v>0</v>
      </c>
    </row>
    <row r="57" spans="1:40" s="137" customFormat="1" ht="14.25" x14ac:dyDescent="0.2">
      <c r="A57" s="183">
        <v>333</v>
      </c>
      <c r="B57" s="206" t="str">
        <f>IF(AND(A57&lt;&gt;"",ISNUMBER(A57)),VLOOKUP(A57,Studies!A:BR,2,FALSE),"")</f>
        <v>Lamberg 1998c</v>
      </c>
      <c r="C57" s="206" t="str">
        <f>IF(AND(A57&lt;&gt;"",ISNUMBER(A57)),VLOOKUP(A57,Studies!A:BR,3,FALSE),"")</f>
        <v>https://www.ncbi.nlm.nih.gov/pubmed/9663178</v>
      </c>
      <c r="D57" s="206" t="str">
        <f>IF(AND(A57&lt;&gt;"",ISNUMBER(A57)),VLOOKUP(A57,Studies!A:BR,4,FALSE),"")</f>
        <v>with Perpetrator (Diltiazem)</v>
      </c>
      <c r="E57" s="141" t="str">
        <f>IF(AND(A57&lt;&gt;"",ISNUMBER(A57)),VLOOKUP(A57,Studies!A:BR,5,FALSE),"")</f>
        <v>Buspirone</v>
      </c>
      <c r="F57" s="188" t="s">
        <v>387</v>
      </c>
      <c r="G57" s="207" t="str">
        <f>IF(AND(A57&lt;&gt;"",ISNUMBER(A57)),VLOOKUP(A57,Studies!A:BR,13,FALSE),"")</f>
        <v>PO</v>
      </c>
      <c r="H57" s="140" t="str">
        <f t="shared" si="1"/>
        <v>PO</v>
      </c>
      <c r="I57" s="207" t="str">
        <f>IF(AND(A57&lt;&gt;"",ISNUMBER(A57)),VLOOKUP(A57,Studies!A:BR,6,FALSE),"")</f>
        <v>Plasma</v>
      </c>
      <c r="J57" s="189">
        <v>5.5</v>
      </c>
      <c r="K57" s="189"/>
      <c r="L57" s="203"/>
      <c r="M57" s="203"/>
      <c r="N57" s="168">
        <v>4.0999999999999996</v>
      </c>
      <c r="O57" s="168"/>
      <c r="P57" s="180"/>
      <c r="Q57" s="180"/>
      <c r="R57" s="184">
        <v>0</v>
      </c>
      <c r="S57" s="185" t="s">
        <v>938</v>
      </c>
      <c r="T57" s="186">
        <v>30</v>
      </c>
      <c r="U57" s="187" t="s">
        <v>938</v>
      </c>
      <c r="V57" s="188" t="s">
        <v>60</v>
      </c>
      <c r="W57" s="183"/>
      <c r="X57" s="178">
        <v>60</v>
      </c>
      <c r="Y57" s="139"/>
      <c r="Z57" s="139" t="s">
        <v>58</v>
      </c>
      <c r="AA57" s="178" t="s">
        <v>59</v>
      </c>
      <c r="AB57" s="178" t="s">
        <v>384</v>
      </c>
      <c r="AC57" s="138" t="s">
        <v>60</v>
      </c>
      <c r="AD57" s="178" t="s">
        <v>79</v>
      </c>
      <c r="AE57" s="176"/>
      <c r="AF57" s="179" t="s">
        <v>388</v>
      </c>
      <c r="AG57" s="180"/>
      <c r="AH57" s="180">
        <v>150</v>
      </c>
      <c r="AI57" s="180"/>
      <c r="AJ57" s="167" t="s">
        <v>62</v>
      </c>
      <c r="AK57" s="168">
        <v>2</v>
      </c>
      <c r="AL57" s="168">
        <v>3</v>
      </c>
      <c r="AM57" s="167" t="s">
        <v>353</v>
      </c>
      <c r="AN57" s="183">
        <f>IF(ISNUMBER(VLOOKUP(A57,NotghiID!A:A,1,FALSE)),1,0)</f>
        <v>0</v>
      </c>
    </row>
    <row r="58" spans="1:40" s="137" customFormat="1" ht="14.25" x14ac:dyDescent="0.2">
      <c r="A58" s="189">
        <v>337</v>
      </c>
      <c r="B58" s="206" t="str">
        <f>IF(AND(A58&lt;&gt;"",ISNUMBER(A58)),VLOOKUP(A58,Studies!A:BR,2,FALSE),"")</f>
        <v>Larsen 2007</v>
      </c>
      <c r="C58" s="206" t="str">
        <f>IF(AND(A58&lt;&gt;"",ISNUMBER(A58)),VLOOKUP(A58,Studies!A:BR,3,FALSE),"")</f>
        <v>https://www.ncbi.nlm.nih.gov/pubmed/17365992</v>
      </c>
      <c r="D58" s="206" t="str">
        <f>IF(AND(A58&lt;&gt;"",ISNUMBER(A58)),VLOOKUP(A58,Studies!A:BR,4,FALSE),"")</f>
        <v>with Perpetrator (Rifampicin)</v>
      </c>
      <c r="E58" s="141" t="str">
        <f>IF(AND(A58&lt;&gt;"",ISNUMBER(A58)),VLOOKUP(A58,Studies!A:BR,5,FALSE),"")</f>
        <v>Digoxin</v>
      </c>
      <c r="F58" s="188" t="s">
        <v>54</v>
      </c>
      <c r="G58" s="207" t="str">
        <f>IF(AND(A58&lt;&gt;"",ISNUMBER(A58)),VLOOKUP(A58,Studies!A:BR,13,FALSE),"")</f>
        <v>PO</v>
      </c>
      <c r="H58" s="140">
        <f t="shared" si="1"/>
        <v>0</v>
      </c>
      <c r="I58" s="207" t="str">
        <f>IF(AND(A58&lt;&gt;"",ISNUMBER(A58)),VLOOKUP(A58,Studies!A:BR,6,FALSE),"")</f>
        <v>Serum</v>
      </c>
      <c r="J58" s="189">
        <v>0.81734693877551023</v>
      </c>
      <c r="K58" s="189" t="s">
        <v>1102</v>
      </c>
      <c r="L58" s="203"/>
      <c r="M58" s="203"/>
      <c r="N58" s="195"/>
      <c r="O58" s="195"/>
      <c r="P58" s="204"/>
      <c r="Q58" s="204"/>
      <c r="R58" s="184">
        <v>0</v>
      </c>
      <c r="S58" s="185" t="s">
        <v>938</v>
      </c>
      <c r="T58" s="186">
        <v>144</v>
      </c>
      <c r="U58" s="187" t="s">
        <v>938</v>
      </c>
      <c r="V58" s="188" t="s">
        <v>60</v>
      </c>
      <c r="W58" s="183"/>
      <c r="X58" s="138">
        <v>600</v>
      </c>
      <c r="Y58" s="139"/>
      <c r="Z58" s="139" t="s">
        <v>58</v>
      </c>
      <c r="AA58" s="138"/>
      <c r="AB58" s="138" t="s">
        <v>1140</v>
      </c>
      <c r="AC58" s="138" t="s">
        <v>60</v>
      </c>
      <c r="AD58" s="138" t="s">
        <v>92</v>
      </c>
      <c r="AE58" s="176"/>
      <c r="AF58" s="176"/>
      <c r="AG58" s="176"/>
      <c r="AH58" s="177"/>
      <c r="AI58" s="177"/>
      <c r="AJ58" s="195"/>
      <c r="AK58" s="195"/>
      <c r="AL58" s="195"/>
      <c r="AM58" s="195"/>
      <c r="AN58" s="183">
        <f>IF(ISNUMBER(VLOOKUP(A58,NotghiID!A:A,1,FALSE)),1,0)</f>
        <v>1</v>
      </c>
    </row>
    <row r="59" spans="1:40" s="137" customFormat="1" ht="14.25" x14ac:dyDescent="0.2">
      <c r="A59" s="189">
        <v>338</v>
      </c>
      <c r="B59" s="206" t="str">
        <f>IF(AND(A59&lt;&gt;"",ISNUMBER(A59)),VLOOKUP(A59,Studies!A:BR,2,FALSE),"")</f>
        <v>Larsen 2007</v>
      </c>
      <c r="C59" s="206" t="str">
        <f>IF(AND(A59&lt;&gt;"",ISNUMBER(A59)),VLOOKUP(A59,Studies!A:BR,3,FALSE),"")</f>
        <v>https://www.ncbi.nlm.nih.gov/pubmed/17365992</v>
      </c>
      <c r="D59" s="206" t="str">
        <f>IF(AND(A59&lt;&gt;"",ISNUMBER(A59)),VLOOKUP(A59,Studies!A:BR,4,FALSE),"")</f>
        <v>with Perpetrator (Ketoconazole)</v>
      </c>
      <c r="E59" s="141" t="str">
        <f>IF(AND(A59&lt;&gt;"",ISNUMBER(A59)),VLOOKUP(A59,Studies!A:BR,5,FALSE),"")</f>
        <v>Digoxin</v>
      </c>
      <c r="F59" s="188" t="s">
        <v>836</v>
      </c>
      <c r="G59" s="207" t="str">
        <f>IF(AND(A59&lt;&gt;"",ISNUMBER(A59)),VLOOKUP(A59,Studies!A:BR,13,FALSE),"")</f>
        <v>PO</v>
      </c>
      <c r="H59" s="140">
        <f t="shared" si="1"/>
        <v>0</v>
      </c>
      <c r="I59" s="207" t="str">
        <f>IF(AND(A59&lt;&gt;"",ISNUMBER(A59)),VLOOKUP(A59,Studies!A:BR,6,FALSE),"")</f>
        <v>Serum</v>
      </c>
      <c r="J59" s="189">
        <v>1.0918367346938775</v>
      </c>
      <c r="K59" s="189" t="s">
        <v>1102</v>
      </c>
      <c r="L59" s="203"/>
      <c r="M59" s="203"/>
      <c r="N59" s="195"/>
      <c r="O59" s="195"/>
      <c r="P59" s="204"/>
      <c r="Q59" s="204"/>
      <c r="R59" s="184">
        <v>0</v>
      </c>
      <c r="S59" s="185" t="s">
        <v>938</v>
      </c>
      <c r="T59" s="186">
        <v>96</v>
      </c>
      <c r="U59" s="187" t="s">
        <v>938</v>
      </c>
      <c r="V59" s="188" t="s">
        <v>60</v>
      </c>
      <c r="W59" s="183"/>
      <c r="X59" s="138">
        <v>200</v>
      </c>
      <c r="Y59" s="139"/>
      <c r="Z59" s="139" t="s">
        <v>58</v>
      </c>
      <c r="AA59" s="138"/>
      <c r="AB59" s="138" t="s">
        <v>833</v>
      </c>
      <c r="AC59" s="138" t="s">
        <v>60</v>
      </c>
      <c r="AD59" s="138" t="s">
        <v>92</v>
      </c>
      <c r="AE59" s="176"/>
      <c r="AF59" s="176"/>
      <c r="AG59" s="176"/>
      <c r="AH59" s="177"/>
      <c r="AI59" s="177"/>
      <c r="AJ59" s="195"/>
      <c r="AK59" s="195"/>
      <c r="AL59" s="195"/>
      <c r="AM59" s="195"/>
      <c r="AN59" s="183">
        <f>IF(ISNUMBER(VLOOKUP(A59,NotghiID!A:A,1,FALSE)),1,0)</f>
        <v>1</v>
      </c>
    </row>
    <row r="60" spans="1:40" s="137" customFormat="1" ht="14.25" x14ac:dyDescent="0.2">
      <c r="A60" s="189">
        <v>342</v>
      </c>
      <c r="B60" s="206" t="str">
        <f>IF(AND(A60&lt;&gt;"",ISNUMBER(A60)),VLOOKUP(A60,Studies!A:BR,2,FALSE),"")</f>
        <v>Link 2008</v>
      </c>
      <c r="C60" s="206" t="str">
        <f>IF(AND(A60&lt;&gt;"",ISNUMBER(A60)),VLOOKUP(A60,Studies!A:BR,3,FALSE),"")</f>
        <v>https://www.ncbi.nlm.nih.gov/pubmed/18537963</v>
      </c>
      <c r="D60" s="206" t="str">
        <f>IF(AND(A60&lt;&gt;"",ISNUMBER(A60)),VLOOKUP(A60,Studies!A:BR,4,FALSE),"")</f>
        <v>iv with Perpetrator (Rifampicin)</v>
      </c>
      <c r="E60" s="141" t="str">
        <f>IF(AND(A60&lt;&gt;"",ISNUMBER(A60)),VLOOKUP(A60,Studies!A:BR,5,FALSE),"")</f>
        <v>Midazolam</v>
      </c>
      <c r="F60" s="188" t="s">
        <v>54</v>
      </c>
      <c r="G60" s="207" t="str">
        <f>IF(AND(A60&lt;&gt;"",ISNUMBER(A60)),VLOOKUP(A60,Studies!A:BR,13,FALSE),"")</f>
        <v>IV</v>
      </c>
      <c r="H60" s="140" t="str">
        <f t="shared" ref="H60:H93" si="2">AA60</f>
        <v>PO</v>
      </c>
      <c r="I60" s="207" t="str">
        <f>IF(AND(A60&lt;&gt;"",ISNUMBER(A60)),VLOOKUP(A60,Studies!A:BR,6,FALSE),"")</f>
        <v>Plasma</v>
      </c>
      <c r="J60" s="189">
        <v>0.65500794910000004</v>
      </c>
      <c r="K60" s="189" t="s">
        <v>1144</v>
      </c>
      <c r="L60" s="203"/>
      <c r="M60" s="203"/>
      <c r="N60" s="195">
        <v>1.1059602649</v>
      </c>
      <c r="O60" s="195" t="s">
        <v>1144</v>
      </c>
      <c r="P60" s="204"/>
      <c r="Q60" s="204"/>
      <c r="R60" s="184">
        <v>0</v>
      </c>
      <c r="S60" s="185" t="s">
        <v>938</v>
      </c>
      <c r="T60" s="186">
        <v>144</v>
      </c>
      <c r="U60" s="187" t="s">
        <v>938</v>
      </c>
      <c r="V60" s="188" t="s">
        <v>60</v>
      </c>
      <c r="W60" s="183"/>
      <c r="X60" s="178">
        <v>600</v>
      </c>
      <c r="Y60" s="182"/>
      <c r="Z60" s="182" t="s">
        <v>58</v>
      </c>
      <c r="AA60" s="178" t="s">
        <v>59</v>
      </c>
      <c r="AB60" s="178" t="s">
        <v>1140</v>
      </c>
      <c r="AC60" s="178" t="s">
        <v>60</v>
      </c>
      <c r="AD60" s="178" t="s">
        <v>92</v>
      </c>
      <c r="AE60" s="179" t="s">
        <v>1145</v>
      </c>
      <c r="AF60" s="179" t="s">
        <v>1146</v>
      </c>
      <c r="AG60" s="180"/>
      <c r="AH60" s="179"/>
      <c r="AI60" s="179" t="s">
        <v>1147</v>
      </c>
      <c r="AJ60" s="195"/>
      <c r="AK60" s="195"/>
      <c r="AL60" s="195"/>
      <c r="AM60" s="195"/>
      <c r="AN60" s="183">
        <f>IF(ISNUMBER(VLOOKUP(A60,NotghiID!A:A,1,FALSE)),1,0)</f>
        <v>1</v>
      </c>
    </row>
    <row r="61" spans="1:40" s="137" customFormat="1" ht="14.25" x14ac:dyDescent="0.2">
      <c r="A61" s="189">
        <v>344</v>
      </c>
      <c r="B61" s="206" t="str">
        <f>IF(AND(A61&lt;&gt;"",ISNUMBER(A61)),VLOOKUP(A61,Studies!A:BR,2,FALSE),"")</f>
        <v>Link 2008</v>
      </c>
      <c r="C61" s="206" t="str">
        <f>IF(AND(A61&lt;&gt;"",ISNUMBER(A61)),VLOOKUP(A61,Studies!A:BR,3,FALSE),"")</f>
        <v>https://www.ncbi.nlm.nih.gov/pubmed/18537963</v>
      </c>
      <c r="D61" s="206" t="str">
        <f>IF(AND(A61&lt;&gt;"",ISNUMBER(A61)),VLOOKUP(A61,Studies!A:BR,4,FALSE),"")</f>
        <v>po with Perpetrator (Rifampicin)</v>
      </c>
      <c r="E61" s="141" t="str">
        <f>IF(AND(A61&lt;&gt;"",ISNUMBER(A61)),VLOOKUP(A61,Studies!A:BR,5,FALSE),"")</f>
        <v>Midazolam</v>
      </c>
      <c r="F61" s="188" t="s">
        <v>54</v>
      </c>
      <c r="G61" s="207" t="str">
        <f>IF(AND(A61&lt;&gt;"",ISNUMBER(A61)),VLOOKUP(A61,Studies!A:BR,13,FALSE),"")</f>
        <v>PO</v>
      </c>
      <c r="H61" s="140" t="str">
        <f t="shared" si="2"/>
        <v>PO</v>
      </c>
      <c r="I61" s="207" t="str">
        <f>IF(AND(A61&lt;&gt;"",ISNUMBER(A61)),VLOOKUP(A61,Studies!A:BR,6,FALSE),"")</f>
        <v>Plasma</v>
      </c>
      <c r="J61" s="189">
        <v>1.554907677E-2</v>
      </c>
      <c r="K61" s="189" t="s">
        <v>1144</v>
      </c>
      <c r="L61" s="203"/>
      <c r="M61" s="203"/>
      <c r="N61" s="195">
        <v>3.4865292999999999E-2</v>
      </c>
      <c r="O61" s="195" t="s">
        <v>1144</v>
      </c>
      <c r="P61" s="204"/>
      <c r="Q61" s="204"/>
      <c r="R61" s="184">
        <v>0</v>
      </c>
      <c r="S61" s="185" t="s">
        <v>938</v>
      </c>
      <c r="T61" s="186">
        <v>144</v>
      </c>
      <c r="U61" s="187" t="s">
        <v>938</v>
      </c>
      <c r="V61" s="188" t="s">
        <v>60</v>
      </c>
      <c r="W61" s="183"/>
      <c r="X61" s="178">
        <v>600</v>
      </c>
      <c r="Y61" s="182"/>
      <c r="Z61" s="182" t="s">
        <v>58</v>
      </c>
      <c r="AA61" s="178" t="s">
        <v>59</v>
      </c>
      <c r="AB61" s="178" t="s">
        <v>1140</v>
      </c>
      <c r="AC61" s="178" t="s">
        <v>60</v>
      </c>
      <c r="AD61" s="178" t="s">
        <v>92</v>
      </c>
      <c r="AE61" s="179" t="s">
        <v>1145</v>
      </c>
      <c r="AF61" s="179" t="s">
        <v>1146</v>
      </c>
      <c r="AG61" s="180"/>
      <c r="AH61" s="179"/>
      <c r="AI61" s="179" t="s">
        <v>1147</v>
      </c>
      <c r="AJ61" s="195"/>
      <c r="AK61" s="195"/>
      <c r="AL61" s="195"/>
      <c r="AM61" s="195"/>
      <c r="AN61" s="183">
        <f>IF(ISNUMBER(VLOOKUP(A61,NotghiID!A:A,1,FALSE)),1,0)</f>
        <v>1</v>
      </c>
    </row>
    <row r="62" spans="1:40" s="137" customFormat="1" ht="14.25" x14ac:dyDescent="0.2">
      <c r="A62" s="183">
        <v>354</v>
      </c>
      <c r="B62" s="206" t="str">
        <f>IF(AND(A62&lt;&gt;"",ISNUMBER(A62)),VLOOKUP(A62,Studies!A:BR,2,FALSE),"")</f>
        <v>Markert 2013</v>
      </c>
      <c r="C62" s="206" t="str">
        <f>IF(AND(A62&lt;&gt;"",ISNUMBER(A62)),VLOOKUP(A62,Studies!A:BR,3,FALSE),"")</f>
        <v>https://www.ncbi.nlm.nih.gov/pubmed/23748747</v>
      </c>
      <c r="D62" s="206" t="str">
        <f>IF(AND(A62&lt;&gt;"",ISNUMBER(A62)),VLOOKUP(A62,Studies!A:BR,4,FALSE),"")</f>
        <v>with Perpetrator (Clarithromycin)</v>
      </c>
      <c r="E62" s="141" t="str">
        <f>IF(AND(A62&lt;&gt;"",ISNUMBER(A62)),VLOOKUP(A62,Studies!A:BR,5,FALSE),"")</f>
        <v>Midazolam</v>
      </c>
      <c r="F62" s="188" t="s">
        <v>1113</v>
      </c>
      <c r="G62" s="207" t="str">
        <f>IF(AND(A62&lt;&gt;"",ISNUMBER(A62)),VLOOKUP(A62,Studies!A:BR,13,FALSE),"")</f>
        <v>PO</v>
      </c>
      <c r="H62" s="140" t="s">
        <v>59</v>
      </c>
      <c r="I62" s="207" t="str">
        <f>IF(AND(A62&lt;&gt;"",ISNUMBER(A62)),VLOOKUP(A62,Studies!A:BR,6,FALSE),"")</f>
        <v>Plasma</v>
      </c>
      <c r="J62" s="189">
        <f>1/0.18</f>
        <v>5.5555555555555554</v>
      </c>
      <c r="K62" s="189" t="s">
        <v>2938</v>
      </c>
      <c r="L62" s="203" t="str">
        <f>1/0.21&amp;"-"&amp;1/0.15</f>
        <v>4.76190476190476-6.66666666666667</v>
      </c>
      <c r="M62" s="203"/>
      <c r="N62" s="195"/>
      <c r="O62" s="195"/>
      <c r="P62" s="204"/>
      <c r="Q62" s="204"/>
      <c r="R62" s="184">
        <v>0</v>
      </c>
      <c r="S62" s="185" t="s">
        <v>938</v>
      </c>
      <c r="T62" s="186">
        <f>3*24+15/60</f>
        <v>72.25</v>
      </c>
      <c r="U62" s="187" t="s">
        <v>938</v>
      </c>
      <c r="V62" s="188" t="s">
        <v>60</v>
      </c>
      <c r="W62" s="183" t="s">
        <v>2937</v>
      </c>
      <c r="X62" s="178">
        <v>500</v>
      </c>
      <c r="Y62" s="182"/>
      <c r="Z62" s="182" t="s">
        <v>58</v>
      </c>
      <c r="AA62" s="178" t="s">
        <v>59</v>
      </c>
      <c r="AB62" s="138" t="s">
        <v>2935</v>
      </c>
      <c r="AC62" s="178" t="s">
        <v>60</v>
      </c>
      <c r="AD62" s="178" t="s">
        <v>92</v>
      </c>
      <c r="AE62" s="179"/>
      <c r="AF62" s="179" t="s">
        <v>2936</v>
      </c>
      <c r="AG62" s="180"/>
      <c r="AH62" s="179"/>
      <c r="AI62" s="179"/>
      <c r="AJ62" s="195"/>
      <c r="AK62" s="195"/>
      <c r="AL62" s="195"/>
      <c r="AM62" s="195"/>
      <c r="AN62" s="183">
        <f>IF(ISNUMBER(VLOOKUP(A62,NotghiID!A:A,1,FALSE)),1,0)</f>
        <v>0</v>
      </c>
    </row>
    <row r="63" spans="1:40" s="137" customFormat="1" ht="14.25" x14ac:dyDescent="0.2">
      <c r="A63" s="189">
        <v>362</v>
      </c>
      <c r="B63" s="206" t="str">
        <f>IF(AND(A63&lt;&gt;"",ISNUMBER(A63)),VLOOKUP(A63,Studies!A:BR,2,FALSE),"")</f>
        <v>Okudaira 2007</v>
      </c>
      <c r="C63" s="206" t="str">
        <f>IF(AND(A63&lt;&gt;"",ISNUMBER(A63)),VLOOKUP(A63,Studies!A:BR,3,FALSE),"")</f>
        <v>https://www.ncbi.nlm.nih.gov/pubmed/17585116</v>
      </c>
      <c r="D63" s="206" t="str">
        <f>IF(AND(A63&lt;&gt;"",ISNUMBER(A63)),VLOOKUP(A63,Studies!A:BR,4,FALSE),"")</f>
        <v>EM 2 with Perpetrator (Erythromycin)</v>
      </c>
      <c r="E63" s="141" t="str">
        <f>IF(AND(A63&lt;&gt;"",ISNUMBER(A63)),VLOOKUP(A63,Studies!A:BR,5,FALSE),"")</f>
        <v>Midazolam</v>
      </c>
      <c r="F63" s="188" t="s">
        <v>356</v>
      </c>
      <c r="G63" s="207" t="str">
        <f>IF(AND(A63&lt;&gt;"",ISNUMBER(A63)),VLOOKUP(A63,Studies!A:BR,13,FALSE),"")</f>
        <v>PO</v>
      </c>
      <c r="H63" s="140" t="str">
        <f t="shared" si="2"/>
        <v>PO</v>
      </c>
      <c r="I63" s="207" t="str">
        <f>IF(AND(A63&lt;&gt;"",ISNUMBER(A63)),VLOOKUP(A63,Studies!A:BR,6,FALSE),"")</f>
        <v>Plasma</v>
      </c>
      <c r="J63" s="189">
        <v>2.3199999999999998</v>
      </c>
      <c r="K63" s="189" t="s">
        <v>116</v>
      </c>
      <c r="L63" s="203">
        <v>0.9</v>
      </c>
      <c r="M63" s="203" t="s">
        <v>117</v>
      </c>
      <c r="N63" s="195">
        <f>20/11</f>
        <v>1.8181818181818181</v>
      </c>
      <c r="O63" s="195" t="s">
        <v>1102</v>
      </c>
      <c r="P63" s="204"/>
      <c r="Q63" s="204"/>
      <c r="R63" s="184">
        <v>0</v>
      </c>
      <c r="S63" s="185" t="s">
        <v>938</v>
      </c>
      <c r="T63" s="186">
        <v>25</v>
      </c>
      <c r="U63" s="187">
        <v>73</v>
      </c>
      <c r="V63" s="188" t="s">
        <v>60</v>
      </c>
      <c r="W63" s="183"/>
      <c r="X63" s="178">
        <v>200</v>
      </c>
      <c r="Y63" s="182"/>
      <c r="Z63" s="182" t="s">
        <v>58</v>
      </c>
      <c r="AA63" s="178" t="s">
        <v>59</v>
      </c>
      <c r="AB63" s="178" t="s">
        <v>1166</v>
      </c>
      <c r="AC63" s="178" t="s">
        <v>60</v>
      </c>
      <c r="AD63" s="178" t="s">
        <v>92</v>
      </c>
      <c r="AE63" s="179" t="s">
        <v>1167</v>
      </c>
      <c r="AF63" s="179" t="s">
        <v>1168</v>
      </c>
      <c r="AG63" s="180"/>
      <c r="AH63" s="179">
        <v>150</v>
      </c>
      <c r="AI63" s="179"/>
      <c r="AJ63" s="195" t="s">
        <v>436</v>
      </c>
      <c r="AK63" s="195"/>
      <c r="AL63" s="195"/>
      <c r="AM63" s="195" t="s">
        <v>1169</v>
      </c>
      <c r="AN63" s="183">
        <f>IF(ISNUMBER(VLOOKUP(A63,NotghiID!A:A,1,FALSE)),1,0)</f>
        <v>1</v>
      </c>
    </row>
    <row r="64" spans="1:40" s="137" customFormat="1" ht="14.25" x14ac:dyDescent="0.2">
      <c r="A64" s="189">
        <v>363</v>
      </c>
      <c r="B64" s="206" t="str">
        <f>IF(AND(A64&lt;&gt;"",ISNUMBER(A64)),VLOOKUP(A64,Studies!A:BR,2,FALSE),"")</f>
        <v>Okudaira 2007</v>
      </c>
      <c r="C64" s="206" t="str">
        <f>IF(AND(A64&lt;&gt;"",ISNUMBER(A64)),VLOOKUP(A64,Studies!A:BR,3,FALSE),"")</f>
        <v>https://www.ncbi.nlm.nih.gov/pubmed/17585116</v>
      </c>
      <c r="D64" s="206" t="str">
        <f>IF(AND(A64&lt;&gt;"",ISNUMBER(A64)),VLOOKUP(A64,Studies!A:BR,4,FALSE),"")</f>
        <v>EM 4 with Perpetrator (Erythromycin)</v>
      </c>
      <c r="E64" s="141" t="str">
        <f>IF(AND(A64&lt;&gt;"",ISNUMBER(A64)),VLOOKUP(A64,Studies!A:BR,5,FALSE),"")</f>
        <v>Midazolam</v>
      </c>
      <c r="F64" s="188" t="s">
        <v>356</v>
      </c>
      <c r="G64" s="207" t="str">
        <f>IF(AND(A64&lt;&gt;"",ISNUMBER(A64)),VLOOKUP(A64,Studies!A:BR,13,FALSE),"")</f>
        <v>PO</v>
      </c>
      <c r="H64" s="140" t="str">
        <f t="shared" si="2"/>
        <v>PO</v>
      </c>
      <c r="I64" s="207" t="str">
        <f>IF(AND(A64&lt;&gt;"",ISNUMBER(A64)),VLOOKUP(A64,Studies!A:BR,6,FALSE),"")</f>
        <v>Plasma</v>
      </c>
      <c r="J64" s="189">
        <v>3.38</v>
      </c>
      <c r="K64" s="189" t="s">
        <v>116</v>
      </c>
      <c r="L64" s="203">
        <v>1.6</v>
      </c>
      <c r="M64" s="203" t="s">
        <v>117</v>
      </c>
      <c r="N64" s="195">
        <f>26.4/11</f>
        <v>2.4</v>
      </c>
      <c r="O64" s="195" t="s">
        <v>1102</v>
      </c>
      <c r="P64" s="204"/>
      <c r="Q64" s="204"/>
      <c r="R64" s="184">
        <v>0</v>
      </c>
      <c r="S64" s="185" t="s">
        <v>938</v>
      </c>
      <c r="T64" s="186">
        <v>73</v>
      </c>
      <c r="U64" s="187">
        <v>145</v>
      </c>
      <c r="V64" s="188" t="s">
        <v>60</v>
      </c>
      <c r="W64" s="183"/>
      <c r="X64" s="178">
        <v>200</v>
      </c>
      <c r="Y64" s="182"/>
      <c r="Z64" s="182" t="s">
        <v>58</v>
      </c>
      <c r="AA64" s="178" t="s">
        <v>59</v>
      </c>
      <c r="AB64" s="178" t="s">
        <v>1170</v>
      </c>
      <c r="AC64" s="178" t="s">
        <v>60</v>
      </c>
      <c r="AD64" s="178" t="s">
        <v>92</v>
      </c>
      <c r="AE64" s="179" t="s">
        <v>1167</v>
      </c>
      <c r="AF64" s="179" t="s">
        <v>1168</v>
      </c>
      <c r="AG64" s="180"/>
      <c r="AH64" s="179">
        <v>150</v>
      </c>
      <c r="AI64" s="179"/>
      <c r="AJ64" s="195" t="s">
        <v>436</v>
      </c>
      <c r="AK64" s="195"/>
      <c r="AL64" s="195"/>
      <c r="AM64" s="195" t="s">
        <v>1169</v>
      </c>
      <c r="AN64" s="183">
        <f>IF(ISNUMBER(VLOOKUP(A64,NotghiID!A:A,1,FALSE)),1,0)</f>
        <v>1</v>
      </c>
    </row>
    <row r="65" spans="1:40" s="137" customFormat="1" ht="14.25" x14ac:dyDescent="0.2">
      <c r="A65" s="189">
        <v>364</v>
      </c>
      <c r="B65" s="206" t="str">
        <f>IF(AND(A65&lt;&gt;"",ISNUMBER(A65)),VLOOKUP(A65,Studies!A:BR,2,FALSE),"")</f>
        <v>Okudaira 2007</v>
      </c>
      <c r="C65" s="206" t="str">
        <f>IF(AND(A65&lt;&gt;"",ISNUMBER(A65)),VLOOKUP(A65,Studies!A:BR,3,FALSE),"")</f>
        <v>https://www.ncbi.nlm.nih.gov/pubmed/17585116</v>
      </c>
      <c r="D65" s="206" t="str">
        <f>IF(AND(A65&lt;&gt;"",ISNUMBER(A65)),VLOOKUP(A65,Studies!A:BR,4,FALSE),"")</f>
        <v>EM 7 with Perpetrator (Erythromycin)</v>
      </c>
      <c r="E65" s="141" t="str">
        <f>IF(AND(A65&lt;&gt;"",ISNUMBER(A65)),VLOOKUP(A65,Studies!A:BR,5,FALSE),"")</f>
        <v>Midazolam</v>
      </c>
      <c r="F65" s="188" t="s">
        <v>356</v>
      </c>
      <c r="G65" s="207" t="str">
        <f>IF(AND(A65&lt;&gt;"",ISNUMBER(A65)),VLOOKUP(A65,Studies!A:BR,13,FALSE),"")</f>
        <v>PO</v>
      </c>
      <c r="H65" s="140" t="str">
        <f t="shared" si="2"/>
        <v>PO</v>
      </c>
      <c r="I65" s="207" t="str">
        <f>IF(AND(A65&lt;&gt;"",ISNUMBER(A65)),VLOOKUP(A65,Studies!A:BR,6,FALSE),"")</f>
        <v>Plasma</v>
      </c>
      <c r="J65" s="189">
        <v>3.38</v>
      </c>
      <c r="K65" s="189" t="s">
        <v>116</v>
      </c>
      <c r="L65" s="203">
        <v>1.4</v>
      </c>
      <c r="M65" s="203" t="s">
        <v>117</v>
      </c>
      <c r="N65" s="195">
        <f>25.8/11</f>
        <v>2.3454545454545457</v>
      </c>
      <c r="O65" s="195" t="s">
        <v>1102</v>
      </c>
      <c r="P65" s="204"/>
      <c r="Q65" s="204"/>
      <c r="R65" s="184">
        <v>0</v>
      </c>
      <c r="S65" s="185" t="s">
        <v>938</v>
      </c>
      <c r="T65" s="186">
        <v>145</v>
      </c>
      <c r="U65" s="187" t="s">
        <v>938</v>
      </c>
      <c r="V65" s="188" t="s">
        <v>60</v>
      </c>
      <c r="W65" s="183"/>
      <c r="X65" s="178">
        <v>200</v>
      </c>
      <c r="Y65" s="182"/>
      <c r="Z65" s="182" t="s">
        <v>58</v>
      </c>
      <c r="AA65" s="178" t="s">
        <v>59</v>
      </c>
      <c r="AB65" s="178" t="s">
        <v>1171</v>
      </c>
      <c r="AC65" s="178" t="s">
        <v>60</v>
      </c>
      <c r="AD65" s="178" t="s">
        <v>92</v>
      </c>
      <c r="AE65" s="179" t="s">
        <v>1167</v>
      </c>
      <c r="AF65" s="179" t="s">
        <v>1168</v>
      </c>
      <c r="AG65" s="180"/>
      <c r="AH65" s="179">
        <v>150</v>
      </c>
      <c r="AI65" s="179"/>
      <c r="AJ65" s="195" t="s">
        <v>436</v>
      </c>
      <c r="AK65" s="195"/>
      <c r="AL65" s="195"/>
      <c r="AM65" s="195" t="s">
        <v>1169</v>
      </c>
      <c r="AN65" s="183">
        <f>IF(ISNUMBER(VLOOKUP(A65,NotghiID!A:A,1,FALSE)),1,0)</f>
        <v>1</v>
      </c>
    </row>
    <row r="66" spans="1:40" s="137" customFormat="1" ht="14.25" x14ac:dyDescent="0.2">
      <c r="A66" s="189">
        <v>366</v>
      </c>
      <c r="B66" s="206" t="str">
        <f>IF(AND(A66&lt;&gt;"",ISNUMBER(A66)),VLOOKUP(A66,Studies!A:BR,2,FALSE),"")</f>
        <v>Olkkola 1993</v>
      </c>
      <c r="C66" s="206" t="str">
        <f>IF(AND(A66&lt;&gt;"",ISNUMBER(A66)),VLOOKUP(A66,Studies!A:BR,3,FALSE),"")</f>
        <v>https://www.ncbi.nlm.nih.gov/pubmed/8453848</v>
      </c>
      <c r="D66" s="206" t="str">
        <f>IF(AND(A66&lt;&gt;"",ISNUMBER(A66)),VLOOKUP(A66,Studies!A:BR,4,FALSE),"")</f>
        <v>po with Perpetrator (Erythromycin)</v>
      </c>
      <c r="E66" s="141" t="str">
        <f>IF(AND(A66&lt;&gt;"",ISNUMBER(A66)),VLOOKUP(A66,Studies!A:BR,5,FALSE),"")</f>
        <v>Midazolam</v>
      </c>
      <c r="F66" s="188" t="s">
        <v>356</v>
      </c>
      <c r="G66" s="207" t="str">
        <f>IF(AND(A66&lt;&gt;"",ISNUMBER(A66)),VLOOKUP(A66,Studies!A:BR,13,FALSE),"")</f>
        <v>PO</v>
      </c>
      <c r="H66" s="140" t="str">
        <f t="shared" si="2"/>
        <v>PO</v>
      </c>
      <c r="I66" s="207" t="str">
        <f>IF(AND(A66&lt;&gt;"",ISNUMBER(A66)),VLOOKUP(A66,Studies!A:BR,6,FALSE),"")</f>
        <v>Plasma</v>
      </c>
      <c r="J66" s="189">
        <v>4.0674020000000004</v>
      </c>
      <c r="K66" s="189" t="s">
        <v>1003</v>
      </c>
      <c r="L66" s="203" t="s">
        <v>2921</v>
      </c>
      <c r="M66" s="203" t="s">
        <v>974</v>
      </c>
      <c r="N66" s="195">
        <v>2.7</v>
      </c>
      <c r="O66" s="195" t="s">
        <v>1102</v>
      </c>
      <c r="P66" s="204"/>
      <c r="Q66" s="204"/>
      <c r="R66" s="184">
        <v>0</v>
      </c>
      <c r="S66" s="185" t="s">
        <v>938</v>
      </c>
      <c r="T66" s="186">
        <v>128</v>
      </c>
      <c r="U66" s="187" t="s">
        <v>938</v>
      </c>
      <c r="V66" s="188" t="s">
        <v>60</v>
      </c>
      <c r="W66" s="183" t="s">
        <v>2923</v>
      </c>
      <c r="X66" s="178">
        <v>500</v>
      </c>
      <c r="Y66" s="182"/>
      <c r="Z66" s="182" t="s">
        <v>58</v>
      </c>
      <c r="AA66" s="178" t="s">
        <v>59</v>
      </c>
      <c r="AB66" s="178" t="s">
        <v>1159</v>
      </c>
      <c r="AC66" s="178" t="s">
        <v>60</v>
      </c>
      <c r="AD66" s="178" t="s">
        <v>1160</v>
      </c>
      <c r="AE66" s="179" t="s">
        <v>358</v>
      </c>
      <c r="AF66" s="179" t="s">
        <v>1161</v>
      </c>
      <c r="AG66" s="180"/>
      <c r="AH66" s="179">
        <v>200</v>
      </c>
      <c r="AI66" s="179"/>
      <c r="AJ66" s="195"/>
      <c r="AK66" s="195"/>
      <c r="AL66" s="195"/>
      <c r="AM66" s="195"/>
      <c r="AN66" s="183">
        <f>IF(ISNUMBER(VLOOKUP(A66,NotghiID!A:A,1,FALSE)),1,0)</f>
        <v>1</v>
      </c>
    </row>
    <row r="67" spans="1:40" s="137" customFormat="1" ht="14.25" x14ac:dyDescent="0.2">
      <c r="A67" s="189">
        <v>368</v>
      </c>
      <c r="B67" s="206" t="str">
        <f>IF(AND(A67&lt;&gt;"",ISNUMBER(A67)),VLOOKUP(A67,Studies!A:BR,2,FALSE),"")</f>
        <v>Olkkola 1993</v>
      </c>
      <c r="C67" s="206" t="str">
        <f>IF(AND(A67&lt;&gt;"",ISNUMBER(A67)),VLOOKUP(A67,Studies!A:BR,3,FALSE),"")</f>
        <v>https://www.ncbi.nlm.nih.gov/pubmed/8453848</v>
      </c>
      <c r="D67" s="206" t="str">
        <f>IF(AND(A67&lt;&gt;"",ISNUMBER(A67)),VLOOKUP(A67,Studies!A:BR,4,FALSE),"")</f>
        <v>iv with Perpetrator (Erythromycin)</v>
      </c>
      <c r="E67" s="141" t="str">
        <f>IF(AND(A67&lt;&gt;"",ISNUMBER(A67)),VLOOKUP(A67,Studies!A:BR,5,FALSE),"")</f>
        <v>Midazolam</v>
      </c>
      <c r="F67" s="188" t="s">
        <v>356</v>
      </c>
      <c r="G67" s="207" t="str">
        <f>IF(AND(A67&lt;&gt;"",ISNUMBER(A67)),VLOOKUP(A67,Studies!A:BR,13,FALSE),"")</f>
        <v>IV</v>
      </c>
      <c r="H67" s="140" t="str">
        <f t="shared" si="2"/>
        <v>PO</v>
      </c>
      <c r="I67" s="207" t="str">
        <f>IF(AND(A67&lt;&gt;"",ISNUMBER(A67)),VLOOKUP(A67,Studies!A:BR,6,FALSE),"")</f>
        <v>Plasma</v>
      </c>
      <c r="J67" s="189">
        <v>1.9619340000000001</v>
      </c>
      <c r="K67" s="189" t="s">
        <v>1003</v>
      </c>
      <c r="L67" s="203" t="s">
        <v>2922</v>
      </c>
      <c r="M67" s="203" t="s">
        <v>974</v>
      </c>
      <c r="N67" s="195"/>
      <c r="O67" s="195"/>
      <c r="P67" s="204"/>
      <c r="Q67" s="204"/>
      <c r="R67" s="184">
        <v>0</v>
      </c>
      <c r="S67" s="185" t="s">
        <v>938</v>
      </c>
      <c r="T67" s="186">
        <v>128</v>
      </c>
      <c r="U67" s="187" t="s">
        <v>938</v>
      </c>
      <c r="V67" s="188" t="s">
        <v>60</v>
      </c>
      <c r="W67" s="183" t="s">
        <v>2923</v>
      </c>
      <c r="X67" s="178">
        <v>500</v>
      </c>
      <c r="Y67" s="182"/>
      <c r="Z67" s="182" t="s">
        <v>58</v>
      </c>
      <c r="AA67" s="178" t="s">
        <v>59</v>
      </c>
      <c r="AB67" s="178" t="s">
        <v>1159</v>
      </c>
      <c r="AC67" s="178" t="s">
        <v>60</v>
      </c>
      <c r="AD67" s="178" t="s">
        <v>1160</v>
      </c>
      <c r="AE67" s="179" t="s">
        <v>358</v>
      </c>
      <c r="AF67" s="179" t="s">
        <v>1161</v>
      </c>
      <c r="AG67" s="180"/>
      <c r="AH67" s="179">
        <v>200</v>
      </c>
      <c r="AI67" s="179"/>
      <c r="AJ67" s="195"/>
      <c r="AK67" s="195"/>
      <c r="AL67" s="195"/>
      <c r="AM67" s="195"/>
      <c r="AN67" s="183">
        <f>IF(ISNUMBER(VLOOKUP(A67,NotghiID!A:A,1,FALSE)),1,0)</f>
        <v>1</v>
      </c>
    </row>
    <row r="68" spans="1:40" s="137" customFormat="1" ht="14.25" x14ac:dyDescent="0.2">
      <c r="A68" s="189">
        <v>370</v>
      </c>
      <c r="B68" s="206" t="str">
        <f>IF(AND(A68&lt;&gt;"",ISNUMBER(A68)),VLOOKUP(A68,Studies!A:BR,2,FALSE),"")</f>
        <v>Olkkola 1994</v>
      </c>
      <c r="C68" s="206" t="str">
        <f>IF(AND(A68&lt;&gt;"",ISNUMBER(A68)),VLOOKUP(A68,Studies!A:BR,3,FALSE),"")</f>
        <v>https://www.ncbi.nlm.nih.gov/pubmed/8181191</v>
      </c>
      <c r="D68" s="206" t="str">
        <f>IF(AND(A68&lt;&gt;"",ISNUMBER(A68)),VLOOKUP(A68,Studies!A:BR,4,FALSE),"")</f>
        <v>po with Perpetrator (Itraconazole)</v>
      </c>
      <c r="E68" s="141" t="str">
        <f>IF(AND(A68&lt;&gt;"",ISNUMBER(A68)),VLOOKUP(A68,Studies!A:BR,5,FALSE),"")</f>
        <v>Midazolam</v>
      </c>
      <c r="F68" s="188" t="s">
        <v>149</v>
      </c>
      <c r="G68" s="207" t="str">
        <f>IF(AND(A68&lt;&gt;"",ISNUMBER(A68)),VLOOKUP(A68,Studies!A:BR,13,FALSE),"")</f>
        <v>PO</v>
      </c>
      <c r="H68" s="140" t="str">
        <f t="shared" si="2"/>
        <v>PO</v>
      </c>
      <c r="I68" s="207" t="str">
        <f>IF(AND(A68&lt;&gt;"",ISNUMBER(A68)),VLOOKUP(A68,Studies!A:BR,6,FALSE),"")</f>
        <v>Plasma</v>
      </c>
      <c r="J68" s="213">
        <v>10.8</v>
      </c>
      <c r="K68" s="213" t="s">
        <v>116</v>
      </c>
      <c r="L68" s="214"/>
      <c r="M68" s="214"/>
      <c r="N68" s="215">
        <v>3.4</v>
      </c>
      <c r="O68" s="215" t="s">
        <v>335</v>
      </c>
      <c r="P68" s="216"/>
      <c r="Q68" s="216"/>
      <c r="R68" s="217">
        <v>0</v>
      </c>
      <c r="S68" s="218" t="s">
        <v>938</v>
      </c>
      <c r="T68" s="219">
        <v>73</v>
      </c>
      <c r="U68" s="220" t="s">
        <v>938</v>
      </c>
      <c r="V68" s="221" t="s">
        <v>60</v>
      </c>
      <c r="W68" s="222"/>
      <c r="X68" s="208">
        <v>200</v>
      </c>
      <c r="Y68" s="209"/>
      <c r="Z68" s="209" t="s">
        <v>58</v>
      </c>
      <c r="AA68" s="208" t="s">
        <v>59</v>
      </c>
      <c r="AB68" s="208" t="s">
        <v>833</v>
      </c>
      <c r="AC68" s="208" t="s">
        <v>60</v>
      </c>
      <c r="AD68" s="208" t="s">
        <v>92</v>
      </c>
      <c r="AE68" s="210" t="s">
        <v>834</v>
      </c>
      <c r="AF68" s="210" t="s">
        <v>835</v>
      </c>
      <c r="AG68" s="211"/>
      <c r="AH68" s="225"/>
      <c r="AI68" s="225"/>
      <c r="AJ68" s="195" t="s">
        <v>62</v>
      </c>
      <c r="AK68" s="195">
        <v>2</v>
      </c>
      <c r="AL68" s="195">
        <v>5</v>
      </c>
      <c r="AM68" s="195"/>
      <c r="AN68" s="183">
        <f>IF(ISNUMBER(VLOOKUP(A68,NotghiID!A:A,1,FALSE)),1,0)</f>
        <v>1</v>
      </c>
    </row>
    <row r="69" spans="1:40" s="137" customFormat="1" ht="14.25" x14ac:dyDescent="0.2">
      <c r="A69" s="189">
        <v>371</v>
      </c>
      <c r="B69" s="206" t="str">
        <f>IF(AND(A69&lt;&gt;"",ISNUMBER(A69)),VLOOKUP(A69,Studies!A:BR,2,FALSE),"")</f>
        <v>Olkkola 1994</v>
      </c>
      <c r="C69" s="206" t="str">
        <f>IF(AND(A69&lt;&gt;"",ISNUMBER(A69)),VLOOKUP(A69,Studies!A:BR,3,FALSE),"")</f>
        <v>https://www.ncbi.nlm.nih.gov/pubmed/8181191</v>
      </c>
      <c r="D69" s="206" t="str">
        <f>IF(AND(A69&lt;&gt;"",ISNUMBER(A69)),VLOOKUP(A69,Studies!A:BR,4,FALSE),"")</f>
        <v>po with Perpetrator (Ketoconazole</v>
      </c>
      <c r="E69" s="141" t="str">
        <f>IF(AND(A69&lt;&gt;"",ISNUMBER(A69)),VLOOKUP(A69,Studies!A:BR,5,FALSE),"")</f>
        <v>Midazolam</v>
      </c>
      <c r="F69" s="188" t="s">
        <v>836</v>
      </c>
      <c r="G69" s="207" t="str">
        <f>IF(AND(A69&lt;&gt;"",ISNUMBER(A69)),VLOOKUP(A69,Studies!A:BR,13,FALSE),"")</f>
        <v>PO</v>
      </c>
      <c r="H69" s="140" t="str">
        <f t="shared" si="2"/>
        <v>PO</v>
      </c>
      <c r="I69" s="207" t="str">
        <f>IF(AND(A69&lt;&gt;"",ISNUMBER(A69)),VLOOKUP(A69,Studies!A:BR,6,FALSE),"")</f>
        <v>Plasma</v>
      </c>
      <c r="J69" s="213">
        <v>15.9</v>
      </c>
      <c r="K69" s="213" t="s">
        <v>116</v>
      </c>
      <c r="L69" s="214"/>
      <c r="M69" s="214"/>
      <c r="N69" s="215">
        <v>4.0999999999999996</v>
      </c>
      <c r="O69" s="215" t="s">
        <v>335</v>
      </c>
      <c r="P69" s="216"/>
      <c r="Q69" s="216"/>
      <c r="R69" s="217">
        <v>0</v>
      </c>
      <c r="S69" s="218" t="s">
        <v>938</v>
      </c>
      <c r="T69" s="219">
        <v>73</v>
      </c>
      <c r="U69" s="220" t="s">
        <v>938</v>
      </c>
      <c r="V69" s="221" t="s">
        <v>60</v>
      </c>
      <c r="W69" s="222"/>
      <c r="X69" s="208">
        <v>400</v>
      </c>
      <c r="Y69" s="209"/>
      <c r="Z69" s="209" t="s">
        <v>58</v>
      </c>
      <c r="AA69" s="208" t="s">
        <v>59</v>
      </c>
      <c r="AB69" s="208" t="s">
        <v>833</v>
      </c>
      <c r="AC69" s="208" t="s">
        <v>60</v>
      </c>
      <c r="AD69" s="208" t="s">
        <v>92</v>
      </c>
      <c r="AE69" s="210" t="s">
        <v>837</v>
      </c>
      <c r="AF69" s="210" t="s">
        <v>838</v>
      </c>
      <c r="AG69" s="211"/>
      <c r="AH69" s="225"/>
      <c r="AI69" s="225"/>
      <c r="AJ69" s="195" t="s">
        <v>62</v>
      </c>
      <c r="AK69" s="195">
        <v>2</v>
      </c>
      <c r="AL69" s="195">
        <v>5</v>
      </c>
      <c r="AM69" s="195"/>
      <c r="AN69" s="183">
        <f>IF(ISNUMBER(VLOOKUP(A69,NotghiID!A:A,1,FALSE)),1,0)</f>
        <v>1</v>
      </c>
    </row>
    <row r="70" spans="1:40" s="137" customFormat="1" ht="14.25" x14ac:dyDescent="0.2">
      <c r="A70" s="189">
        <v>377</v>
      </c>
      <c r="B70" s="206" t="str">
        <f>IF(AND(A70&lt;&gt;"",ISNUMBER(A70)),VLOOKUP(A70,Studies!A:BR,2,FALSE),"")</f>
        <v>Olkkola 1996</v>
      </c>
      <c r="C70" s="206" t="str">
        <f>IF(AND(A70&lt;&gt;"",ISNUMBER(A70)),VLOOKUP(A70,Studies!A:BR,3,FALSE),"")</f>
        <v>https://www.ncbi.nlm.nih.gov/pubmed/8623953</v>
      </c>
      <c r="D70" s="206" t="str">
        <f>IF(AND(A70&lt;&gt;"",ISNUMBER(A70)),VLOOKUP(A70,Studies!A:BR,4,FALSE),"")</f>
        <v>day 1 (po) with Perpetrator (Itraconazole)</v>
      </c>
      <c r="E70" s="141" t="str">
        <f>IF(AND(A70&lt;&gt;"",ISNUMBER(A70)),VLOOKUP(A70,Studies!A:BR,5,FALSE),"")</f>
        <v>Midazolam</v>
      </c>
      <c r="F70" s="188" t="s">
        <v>149</v>
      </c>
      <c r="G70" s="207" t="str">
        <f>IF(AND(A70&lt;&gt;"",ISNUMBER(A70)),VLOOKUP(A70,Studies!A:BR,13,FALSE),"")</f>
        <v>PO</v>
      </c>
      <c r="H70" s="140" t="str">
        <f t="shared" si="2"/>
        <v>PO</v>
      </c>
      <c r="I70" s="207" t="str">
        <f>IF(AND(A70&lt;&gt;"",ISNUMBER(A70)),VLOOKUP(A70,Studies!A:BR,6,FALSE),"")</f>
        <v>Plasma</v>
      </c>
      <c r="J70" s="213">
        <v>3.4</v>
      </c>
      <c r="K70" s="213" t="s">
        <v>116</v>
      </c>
      <c r="L70" s="214"/>
      <c r="M70" s="214"/>
      <c r="N70" s="215">
        <v>1.8</v>
      </c>
      <c r="O70" s="215" t="s">
        <v>335</v>
      </c>
      <c r="P70" s="216"/>
      <c r="Q70" s="216"/>
      <c r="R70" s="217">
        <v>0</v>
      </c>
      <c r="S70" s="218" t="s">
        <v>938</v>
      </c>
      <c r="T70" s="219">
        <v>2</v>
      </c>
      <c r="U70" s="220" t="s">
        <v>938</v>
      </c>
      <c r="V70" s="221" t="s">
        <v>60</v>
      </c>
      <c r="W70" s="222"/>
      <c r="X70" s="223">
        <v>200</v>
      </c>
      <c r="Y70" s="224"/>
      <c r="Z70" s="224" t="s">
        <v>58</v>
      </c>
      <c r="AA70" s="223" t="s">
        <v>59</v>
      </c>
      <c r="AB70" s="208">
        <v>0</v>
      </c>
      <c r="AC70" s="223" t="s">
        <v>60</v>
      </c>
      <c r="AD70" s="223" t="s">
        <v>79</v>
      </c>
      <c r="AE70" s="176"/>
      <c r="AF70" s="176"/>
      <c r="AG70" s="176"/>
      <c r="AH70" s="177"/>
      <c r="AI70" s="177"/>
      <c r="AJ70" s="195"/>
      <c r="AK70" s="195"/>
      <c r="AL70" s="195"/>
      <c r="AM70" s="195"/>
      <c r="AN70" s="183">
        <f>IF(ISNUMBER(VLOOKUP(A70,NotghiID!A:A,1,FALSE)),1,0)</f>
        <v>1</v>
      </c>
    </row>
    <row r="71" spans="1:40" s="137" customFormat="1" ht="14.25" x14ac:dyDescent="0.2">
      <c r="A71" s="189">
        <v>378</v>
      </c>
      <c r="B71" s="206" t="str">
        <f>IF(AND(A71&lt;&gt;"",ISNUMBER(A71)),VLOOKUP(A71,Studies!A:BR,2,FALSE),"")</f>
        <v>Olkkola 1996</v>
      </c>
      <c r="C71" s="206" t="str">
        <f>IF(AND(A71&lt;&gt;"",ISNUMBER(A71)),VLOOKUP(A71,Studies!A:BR,3,FALSE),"")</f>
        <v>https://www.ncbi.nlm.nih.gov/pubmed/8623953</v>
      </c>
      <c r="D71" s="206" t="str">
        <f>IF(AND(A71&lt;&gt;"",ISNUMBER(A71)),VLOOKUP(A71,Studies!A:BR,4,FALSE),"")</f>
        <v>day 4 (iv) with Perpetrator (Itraconazole)</v>
      </c>
      <c r="E71" s="141" t="str">
        <f>IF(AND(A71&lt;&gt;"",ISNUMBER(A71)),VLOOKUP(A71,Studies!A:BR,5,FALSE),"")</f>
        <v>Midazolam</v>
      </c>
      <c r="F71" s="188" t="s">
        <v>149</v>
      </c>
      <c r="G71" s="207" t="str">
        <f>IF(AND(A71&lt;&gt;"",ISNUMBER(A71)),VLOOKUP(A71,Studies!A:BR,13,FALSE),"")</f>
        <v>IV</v>
      </c>
      <c r="H71" s="140" t="str">
        <f t="shared" si="2"/>
        <v>PO</v>
      </c>
      <c r="I71" s="207" t="str">
        <f>IF(AND(A71&lt;&gt;"",ISNUMBER(A71)),VLOOKUP(A71,Studies!A:BR,6,FALSE),"")</f>
        <v>Plasma</v>
      </c>
      <c r="J71" s="213">
        <f>1/0.31</f>
        <v>3.2258064516129035</v>
      </c>
      <c r="K71" s="213" t="s">
        <v>1102</v>
      </c>
      <c r="L71" s="214"/>
      <c r="M71" s="214"/>
      <c r="N71" s="215"/>
      <c r="O71" s="215"/>
      <c r="P71" s="216"/>
      <c r="Q71" s="216"/>
      <c r="R71" s="217">
        <v>0</v>
      </c>
      <c r="S71" s="218" t="s">
        <v>938</v>
      </c>
      <c r="T71" s="219">
        <v>74</v>
      </c>
      <c r="U71" s="220" t="s">
        <v>938</v>
      </c>
      <c r="V71" s="221" t="s">
        <v>60</v>
      </c>
      <c r="W71" s="222"/>
      <c r="X71" s="223">
        <v>200</v>
      </c>
      <c r="Y71" s="224"/>
      <c r="Z71" s="224" t="s">
        <v>58</v>
      </c>
      <c r="AA71" s="223" t="s">
        <v>59</v>
      </c>
      <c r="AB71" s="208" t="s">
        <v>833</v>
      </c>
      <c r="AC71" s="223" t="s">
        <v>60</v>
      </c>
      <c r="AD71" s="223" t="s">
        <v>92</v>
      </c>
      <c r="AE71" s="176"/>
      <c r="AF71" s="176"/>
      <c r="AG71" s="176"/>
      <c r="AH71" s="177"/>
      <c r="AI71" s="177"/>
      <c r="AJ71" s="195"/>
      <c r="AK71" s="195"/>
      <c r="AL71" s="195"/>
      <c r="AM71" s="195"/>
      <c r="AN71" s="183">
        <f>IF(ISNUMBER(VLOOKUP(A71,NotghiID!A:A,1,FALSE)),1,0)</f>
        <v>1</v>
      </c>
    </row>
    <row r="72" spans="1:40" s="137" customFormat="1" ht="14.25" x14ac:dyDescent="0.2">
      <c r="A72" s="189">
        <v>379</v>
      </c>
      <c r="B72" s="206" t="str">
        <f>IF(AND(A72&lt;&gt;"",ISNUMBER(A72)),VLOOKUP(A72,Studies!A:BR,2,FALSE),"")</f>
        <v>Olkkola 1996</v>
      </c>
      <c r="C72" s="206" t="str">
        <f>IF(AND(A72&lt;&gt;"",ISNUMBER(A72)),VLOOKUP(A72,Studies!A:BR,3,FALSE),"")</f>
        <v>https://www.ncbi.nlm.nih.gov/pubmed/8623953</v>
      </c>
      <c r="D72" s="206" t="str">
        <f>IF(AND(A72&lt;&gt;"",ISNUMBER(A72)),VLOOKUP(A72,Studies!A:BR,4,FALSE),"")</f>
        <v>day 6 (po) with Perpetrator (Itraconazole)</v>
      </c>
      <c r="E72" s="141" t="str">
        <f>IF(AND(A72&lt;&gt;"",ISNUMBER(A72)),VLOOKUP(A72,Studies!A:BR,5,FALSE),"")</f>
        <v>Midazolam</v>
      </c>
      <c r="F72" s="188" t="s">
        <v>149</v>
      </c>
      <c r="G72" s="207" t="str">
        <f>IF(AND(A72&lt;&gt;"",ISNUMBER(A72)),VLOOKUP(A72,Studies!A:BR,13,FALSE),"")</f>
        <v>PO</v>
      </c>
      <c r="H72" s="140" t="str">
        <f t="shared" si="2"/>
        <v>PO</v>
      </c>
      <c r="I72" s="207" t="str">
        <f>IF(AND(A72&lt;&gt;"",ISNUMBER(A72)),VLOOKUP(A72,Studies!A:BR,6,FALSE),"")</f>
        <v>Plasma</v>
      </c>
      <c r="J72" s="213">
        <v>6.6</v>
      </c>
      <c r="K72" s="213" t="s">
        <v>116</v>
      </c>
      <c r="L72" s="214"/>
      <c r="M72" s="214"/>
      <c r="N72" s="215">
        <v>2.5</v>
      </c>
      <c r="O72" s="215" t="s">
        <v>335</v>
      </c>
      <c r="P72" s="216"/>
      <c r="Q72" s="216"/>
      <c r="R72" s="217">
        <v>0</v>
      </c>
      <c r="S72" s="218" t="s">
        <v>938</v>
      </c>
      <c r="T72" s="219">
        <v>122</v>
      </c>
      <c r="U72" s="220" t="s">
        <v>938</v>
      </c>
      <c r="V72" s="221" t="s">
        <v>60</v>
      </c>
      <c r="W72" s="222"/>
      <c r="X72" s="223">
        <v>200</v>
      </c>
      <c r="Y72" s="224"/>
      <c r="Z72" s="224" t="s">
        <v>58</v>
      </c>
      <c r="AA72" s="223" t="s">
        <v>59</v>
      </c>
      <c r="AB72" s="208" t="s">
        <v>1140</v>
      </c>
      <c r="AC72" s="223" t="s">
        <v>60</v>
      </c>
      <c r="AD72" s="223" t="s">
        <v>92</v>
      </c>
      <c r="AE72" s="176"/>
      <c r="AF72" s="176"/>
      <c r="AG72" s="176"/>
      <c r="AH72" s="177"/>
      <c r="AI72" s="177"/>
      <c r="AJ72" s="195"/>
      <c r="AK72" s="195"/>
      <c r="AL72" s="195"/>
      <c r="AM72" s="195"/>
      <c r="AN72" s="183">
        <f>IF(ISNUMBER(VLOOKUP(A72,NotghiID!A:A,1,FALSE)),1,0)</f>
        <v>1</v>
      </c>
    </row>
    <row r="73" spans="1:40" s="137" customFormat="1" ht="14.25" x14ac:dyDescent="0.2">
      <c r="A73" s="189">
        <v>380</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(Fluconazole)</v>
      </c>
      <c r="E73" s="141" t="str">
        <f>IF(AND(A73&lt;&gt;"",ISNUMBER(A73)),VLOOKUP(A73,Studies!A:BR,5,FALSE),"")</f>
        <v>Midazolam</v>
      </c>
      <c r="F73" s="188" t="s">
        <v>1156</v>
      </c>
      <c r="G73" s="207" t="str">
        <f>IF(AND(A73&lt;&gt;"",ISNUMBER(A73)),VLOOKUP(A73,Studies!A:BR,13,FALSE),"")</f>
        <v>PO</v>
      </c>
      <c r="H73" s="140" t="str">
        <f t="shared" si="2"/>
        <v>PO</v>
      </c>
      <c r="I73" s="207" t="str">
        <f>IF(AND(A73&lt;&gt;"",ISNUMBER(A73)),VLOOKUP(A73,Studies!A:BR,6,FALSE),"")</f>
        <v>Plasma</v>
      </c>
      <c r="J73" s="213">
        <v>2.5</v>
      </c>
      <c r="K73" s="213" t="s">
        <v>116</v>
      </c>
      <c r="L73" s="214"/>
      <c r="M73" s="214"/>
      <c r="N73" s="215">
        <v>2.5</v>
      </c>
      <c r="O73" s="215" t="s">
        <v>335</v>
      </c>
      <c r="P73" s="216"/>
      <c r="Q73" s="216"/>
      <c r="R73" s="217">
        <v>0</v>
      </c>
      <c r="S73" s="218" t="s">
        <v>938</v>
      </c>
      <c r="T73" s="219">
        <v>2</v>
      </c>
      <c r="U73" s="220" t="s">
        <v>938</v>
      </c>
      <c r="V73" s="221" t="s">
        <v>60</v>
      </c>
      <c r="W73" s="222"/>
      <c r="X73" s="223">
        <v>400</v>
      </c>
      <c r="Y73" s="224"/>
      <c r="Z73" s="224" t="s">
        <v>58</v>
      </c>
      <c r="AA73" s="223" t="s">
        <v>59</v>
      </c>
      <c r="AB73" s="208">
        <v>0</v>
      </c>
      <c r="AC73" s="223" t="s">
        <v>60</v>
      </c>
      <c r="AD73" s="223" t="s">
        <v>92</v>
      </c>
      <c r="AE73" s="176"/>
      <c r="AF73" s="176"/>
      <c r="AG73" s="176"/>
      <c r="AH73" s="177"/>
      <c r="AI73" s="177"/>
      <c r="AJ73" s="195"/>
      <c r="AK73" s="195"/>
      <c r="AL73" s="195"/>
      <c r="AM73" s="195"/>
      <c r="AN73" s="183">
        <f>IF(ISNUMBER(VLOOKUP(A73,NotghiID!A:A,1,FALSE)),1,0)</f>
        <v>1</v>
      </c>
    </row>
    <row r="74" spans="1:40" s="137" customFormat="1" ht="14.25" x14ac:dyDescent="0.2">
      <c r="A74" s="189">
        <v>381</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(Fluconazole)</v>
      </c>
      <c r="E74" s="141" t="str">
        <f>IF(AND(A74&lt;&gt;"",ISNUMBER(A74)),VLOOKUP(A74,Studies!A:BR,5,FALSE),"")</f>
        <v>Midazolam</v>
      </c>
      <c r="F74" s="188" t="s">
        <v>1156</v>
      </c>
      <c r="G74" s="207" t="str">
        <f>IF(AND(A74&lt;&gt;"",ISNUMBER(A74)),VLOOKUP(A74,Studies!A:BR,13,FALSE),"")</f>
        <v>IV</v>
      </c>
      <c r="H74" s="140" t="str">
        <f t="shared" si="2"/>
        <v>PO</v>
      </c>
      <c r="I74" s="207" t="str">
        <f>IF(AND(A74&lt;&gt;"",ISNUMBER(A74)),VLOOKUP(A74,Studies!A:BR,6,FALSE),"")</f>
        <v>Plasma</v>
      </c>
      <c r="J74" s="213">
        <f>1/0.49</f>
        <v>2.0408163265306123</v>
      </c>
      <c r="K74" s="213" t="s">
        <v>1102</v>
      </c>
      <c r="L74" s="214"/>
      <c r="M74" s="214"/>
      <c r="N74" s="215"/>
      <c r="O74" s="215"/>
      <c r="P74" s="216"/>
      <c r="Q74" s="216"/>
      <c r="R74" s="217">
        <v>0</v>
      </c>
      <c r="S74" s="218" t="s">
        <v>938</v>
      </c>
      <c r="T74" s="219">
        <v>74</v>
      </c>
      <c r="U74" s="220" t="s">
        <v>938</v>
      </c>
      <c r="V74" s="221" t="s">
        <v>60</v>
      </c>
      <c r="W74" s="222"/>
      <c r="X74" s="223" t="s">
        <v>876</v>
      </c>
      <c r="Y74" s="224"/>
      <c r="Z74" s="224" t="s">
        <v>58</v>
      </c>
      <c r="AA74" s="223" t="s">
        <v>59</v>
      </c>
      <c r="AB74" s="208" t="s">
        <v>1157</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382</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(Fluconazole)</v>
      </c>
      <c r="E75" s="141" t="str">
        <f>IF(AND(A75&lt;&gt;"",ISNUMBER(A75)),VLOOKUP(A75,Studies!A:BR,5,FALSE),"")</f>
        <v>Midazolam</v>
      </c>
      <c r="F75" s="188" t="s">
        <v>1156</v>
      </c>
      <c r="G75" s="207" t="str">
        <f>IF(AND(A75&lt;&gt;"",ISNUMBER(A75)),VLOOKUP(A75,Studies!A:BR,13,FALSE),"")</f>
        <v>PO</v>
      </c>
      <c r="H75" s="140" t="str">
        <f t="shared" si="2"/>
        <v>PO</v>
      </c>
      <c r="I75" s="207" t="str">
        <f>IF(AND(A75&lt;&gt;"",ISNUMBER(A75)),VLOOKUP(A75,Studies!A:BR,6,FALSE),"")</f>
        <v>Plasma</v>
      </c>
      <c r="J75" s="213">
        <v>3.6</v>
      </c>
      <c r="K75" s="213" t="s">
        <v>116</v>
      </c>
      <c r="L75" s="214"/>
      <c r="M75" s="214"/>
      <c r="N75" s="215">
        <v>1.7</v>
      </c>
      <c r="O75" s="215" t="s">
        <v>335</v>
      </c>
      <c r="P75" s="216"/>
      <c r="Q75" s="216"/>
      <c r="R75" s="217">
        <v>0</v>
      </c>
      <c r="S75" s="218" t="s">
        <v>938</v>
      </c>
      <c r="T75" s="219">
        <v>122</v>
      </c>
      <c r="U75" s="220" t="s">
        <v>938</v>
      </c>
      <c r="V75" s="221" t="s">
        <v>60</v>
      </c>
      <c r="W75" s="222"/>
      <c r="X75" s="223" t="s">
        <v>876</v>
      </c>
      <c r="Y75" s="224"/>
      <c r="Z75" s="224" t="s">
        <v>58</v>
      </c>
      <c r="AA75" s="223" t="s">
        <v>59</v>
      </c>
      <c r="AB75" s="208" t="s">
        <v>1158</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389</v>
      </c>
      <c r="B76" s="206" t="str">
        <f>IF(AND(A76&lt;&gt;"",ISNUMBER(A76)),VLOOKUP(A76,Studies!A:BR,2,FALSE),"")</f>
        <v>Phimmasone 2001</v>
      </c>
      <c r="C76" s="206" t="str">
        <f>IF(AND(A76&lt;&gt;"",ISNUMBER(A76)),VLOOKUP(A76,Studies!A:BR,3,FALSE),"")</f>
        <v>https://www.ncbi.nlm.nih.gov/pubmed/11753266</v>
      </c>
      <c r="D76" s="206" t="str">
        <f>IF(AND(A76&lt;&gt;"",ISNUMBER(A76)),VLOOKUP(A76,Studies!A:BR,4,FALSE),"")</f>
        <v>with Perpetrator (Rifampicin)</v>
      </c>
      <c r="E76" s="141" t="str">
        <f>IF(AND(A76&lt;&gt;"",ISNUMBER(A76)),VLOOKUP(A76,Studies!A:BR,5,FALSE),"")</f>
        <v>Midazolam</v>
      </c>
      <c r="F76" s="188" t="s">
        <v>54</v>
      </c>
      <c r="G76" s="207" t="str">
        <f>IF(AND(A76&lt;&gt;"",ISNUMBER(A76)),VLOOKUP(A76,Studies!A:BR,13,FALSE),"")</f>
        <v>IV</v>
      </c>
      <c r="H76" s="140" t="str">
        <f t="shared" si="2"/>
        <v>PO</v>
      </c>
      <c r="I76" s="207" t="str">
        <f>IF(AND(A76&lt;&gt;"",ISNUMBER(A76)),VLOOKUP(A76,Studies!A:BR,6,FALSE),"")</f>
        <v>Plasma</v>
      </c>
      <c r="J76" s="213">
        <v>0.51</v>
      </c>
      <c r="K76" s="213" t="s">
        <v>116</v>
      </c>
      <c r="L76" s="203"/>
      <c r="M76" s="203"/>
      <c r="N76" s="215"/>
      <c r="O76" s="215"/>
      <c r="P76" s="204"/>
      <c r="Q76" s="204"/>
      <c r="R76" s="184">
        <v>0</v>
      </c>
      <c r="S76" s="185" t="s">
        <v>938</v>
      </c>
      <c r="T76" s="186">
        <v>106</v>
      </c>
      <c r="U76" s="187" t="s">
        <v>938</v>
      </c>
      <c r="V76" s="221" t="s">
        <v>60</v>
      </c>
      <c r="W76" s="222"/>
      <c r="X76" s="208">
        <v>600</v>
      </c>
      <c r="Y76" s="209"/>
      <c r="Z76" s="209" t="s">
        <v>58</v>
      </c>
      <c r="AA76" s="208" t="s">
        <v>59</v>
      </c>
      <c r="AB76" s="178" t="s">
        <v>183</v>
      </c>
      <c r="AC76" s="208" t="s">
        <v>60</v>
      </c>
      <c r="AD76" s="208" t="s">
        <v>92</v>
      </c>
      <c r="AE76" s="210" t="s">
        <v>1141</v>
      </c>
      <c r="AF76" s="210"/>
      <c r="AG76" s="211"/>
      <c r="AH76" s="210"/>
      <c r="AI76" s="210" t="s">
        <v>1148</v>
      </c>
      <c r="AJ76" s="195"/>
      <c r="AK76" s="195"/>
      <c r="AL76" s="195"/>
      <c r="AM76" s="195"/>
      <c r="AN76" s="183">
        <f>IF(ISNUMBER(VLOOKUP(A76,NotghiID!A:A,1,FALSE)),1,0)</f>
        <v>1</v>
      </c>
    </row>
    <row r="77" spans="1:40" s="137" customFormat="1" ht="14.25" x14ac:dyDescent="0.2">
      <c r="A77" s="189">
        <v>391</v>
      </c>
      <c r="B77" s="206" t="str">
        <f>IF(AND(A77&lt;&gt;"",ISNUMBER(A77)),VLOOKUP(A77,Studies!A:BR,2,FALSE),"")</f>
        <v>Phimmasone 2001</v>
      </c>
      <c r="C77" s="206" t="str">
        <f>IF(AND(A77&lt;&gt;"",ISNUMBER(A77)),VLOOKUP(A77,Studies!A:BR,3,FALSE),"")</f>
        <v>https://www.ncbi.nlm.nih.gov/pubmed/11753266</v>
      </c>
      <c r="D77" s="206" t="str">
        <f>IF(AND(A77&lt;&gt;"",ISNUMBER(A77)),VLOOKUP(A77,Studies!A:BR,4,FALSE),"")</f>
        <v>with Perpetrator (Rifampicin)</v>
      </c>
      <c r="E77" s="141" t="str">
        <f>IF(AND(A77&lt;&gt;"",ISNUMBER(A77)),VLOOKUP(A77,Studies!A:BR,5,FALSE),"")</f>
        <v>Alfentanil</v>
      </c>
      <c r="F77" s="188" t="s">
        <v>54</v>
      </c>
      <c r="G77" s="207" t="str">
        <f>IF(AND(A77&lt;&gt;"",ISNUMBER(A77)),VLOOKUP(A77,Studies!A:BR,13,FALSE),"")</f>
        <v>IV</v>
      </c>
      <c r="H77" s="140" t="str">
        <f t="shared" si="2"/>
        <v>PO</v>
      </c>
      <c r="I77" s="207" t="str">
        <f>IF(AND(A77&lt;&gt;"",ISNUMBER(A77)),VLOOKUP(A77,Studies!A:BR,6,FALSE),"")</f>
        <v>Plasma</v>
      </c>
      <c r="J77" s="213">
        <v>0.55000000000000004</v>
      </c>
      <c r="K77" s="213" t="s">
        <v>116</v>
      </c>
      <c r="L77" s="203"/>
      <c r="M77" s="203"/>
      <c r="N77" s="215"/>
      <c r="O77" s="215"/>
      <c r="P77" s="204"/>
      <c r="Q77" s="204"/>
      <c r="R77" s="184">
        <v>0</v>
      </c>
      <c r="S77" s="185" t="s">
        <v>938</v>
      </c>
      <c r="T77" s="186">
        <v>107</v>
      </c>
      <c r="U77" s="187" t="s">
        <v>938</v>
      </c>
      <c r="V77" s="221" t="s">
        <v>60</v>
      </c>
      <c r="W77" s="222"/>
      <c r="X77" s="208">
        <v>600</v>
      </c>
      <c r="Y77" s="209"/>
      <c r="Z77" s="209" t="s">
        <v>58</v>
      </c>
      <c r="AA77" s="208" t="s">
        <v>59</v>
      </c>
      <c r="AB77" s="178" t="s">
        <v>183</v>
      </c>
      <c r="AC77" s="208" t="s">
        <v>60</v>
      </c>
      <c r="AD77" s="208" t="s">
        <v>92</v>
      </c>
      <c r="AE77" s="210" t="s">
        <v>1141</v>
      </c>
      <c r="AF77" s="210"/>
      <c r="AG77" s="211"/>
      <c r="AH77" s="210"/>
      <c r="AI77" s="210" t="s">
        <v>1148</v>
      </c>
      <c r="AJ77" s="195"/>
      <c r="AK77" s="195"/>
      <c r="AL77" s="195"/>
      <c r="AM77" s="195"/>
      <c r="AN77" s="183">
        <f>IF(ISNUMBER(VLOOKUP(A77,NotghiID!A:A,1,FALSE)),1,0)</f>
        <v>1</v>
      </c>
    </row>
    <row r="78" spans="1:40" s="137" customFormat="1" ht="14.25" x14ac:dyDescent="0.2">
      <c r="A78" s="183">
        <v>392</v>
      </c>
      <c r="B78" s="206" t="str">
        <f>IF(AND(A78&lt;&gt;"",ISNUMBER(A78)),VLOOKUP(A78,Studies!A:BR,2,FALSE),"")</f>
        <v>Reitman 2011</v>
      </c>
      <c r="C78" s="206" t="str">
        <f>IF(AND(A78&lt;&gt;"",ISNUMBER(A78)),VLOOKUP(A78,Studies!A:BR,3,FALSE),"")</f>
        <v>https://www.ncbi.nlm.nih.gov/pubmed/21191377</v>
      </c>
      <c r="D78" s="206" t="str">
        <f>IF(AND(A78&lt;&gt;"",ISNUMBER(A78)),VLOOKUP(A78,Studies!A:BR,4,FALSE),"")</f>
        <v>Week 0 after Perpetrator (Rifampicin)</v>
      </c>
      <c r="E78" s="141" t="str">
        <f>IF(AND(A78&lt;&gt;"",ISNUMBER(A78)),VLOOKUP(A78,Studies!A:BR,5,FALSE),"")</f>
        <v>Midazolam</v>
      </c>
      <c r="F78" s="188" t="s">
        <v>54</v>
      </c>
      <c r="G78" s="207" t="str">
        <f>IF(AND(A78&lt;&gt;"",ISNUMBER(A78)),VLOOKUP(A78,Studies!A:BR,13,FALSE),"")</f>
        <v>PO</v>
      </c>
      <c r="H78" s="140" t="str">
        <f t="shared" si="2"/>
        <v>PO</v>
      </c>
      <c r="I78" s="207" t="str">
        <f>IF(AND(A78&lt;&gt;"",ISNUMBER(A78)),VLOOKUP(A78,Studies!A:BR,6,FALSE),"")</f>
        <v>Plasma</v>
      </c>
      <c r="J78" s="189">
        <v>0.123</v>
      </c>
      <c r="K78" s="189" t="s">
        <v>116</v>
      </c>
      <c r="L78" s="203"/>
      <c r="M78" s="203"/>
      <c r="N78" s="195">
        <v>0.16200000000000001</v>
      </c>
      <c r="O78" s="195" t="s">
        <v>116</v>
      </c>
      <c r="P78" s="204"/>
      <c r="Q78" s="204"/>
      <c r="R78" s="184">
        <v>1320</v>
      </c>
      <c r="S78" s="185" t="s">
        <v>938</v>
      </c>
      <c r="T78" s="186">
        <v>648</v>
      </c>
      <c r="U78" s="187">
        <v>816</v>
      </c>
      <c r="V78" s="188" t="s">
        <v>60</v>
      </c>
      <c r="W78" s="183" t="s">
        <v>1109</v>
      </c>
      <c r="X78" s="178">
        <v>600</v>
      </c>
      <c r="Y78" s="182"/>
      <c r="Z78" s="182" t="s">
        <v>58</v>
      </c>
      <c r="AA78" s="178" t="s">
        <v>59</v>
      </c>
      <c r="AB78" s="178" t="s">
        <v>1110</v>
      </c>
      <c r="AC78" s="178" t="s">
        <v>60</v>
      </c>
      <c r="AD78" s="178"/>
      <c r="AE78" s="179"/>
      <c r="AF78" s="179" t="s">
        <v>1111</v>
      </c>
      <c r="AG78" s="180"/>
      <c r="AH78" s="179"/>
      <c r="AI78" s="179" t="s">
        <v>1112</v>
      </c>
      <c r="AJ78" s="195" t="s">
        <v>62</v>
      </c>
      <c r="AK78" s="195"/>
      <c r="AL78" s="195"/>
      <c r="AM78" s="195"/>
      <c r="AN78" s="183">
        <f>IF(ISNUMBER(VLOOKUP(A78,NotghiID!A:A,1,FALSE)),1,0)</f>
        <v>0</v>
      </c>
    </row>
    <row r="79" spans="1:40" s="137" customFormat="1" ht="14.25" x14ac:dyDescent="0.2">
      <c r="A79" s="183">
        <v>393</v>
      </c>
      <c r="B79" s="206" t="str">
        <f>IF(AND(A79&lt;&gt;"",ISNUMBER(A79)),VLOOKUP(A79,Studies!A:BR,2,FALSE),"")</f>
        <v>Reitman 2011</v>
      </c>
      <c r="C79" s="206" t="str">
        <f>IF(AND(A79&lt;&gt;"",ISNUMBER(A79)),VLOOKUP(A79,Studies!A:BR,3,FALSE),"")</f>
        <v>https://www.ncbi.nlm.nih.gov/pubmed/21191377</v>
      </c>
      <c r="D79" s="206" t="str">
        <f>IF(AND(A79&lt;&gt;"",ISNUMBER(A79)),VLOOKUP(A79,Studies!A:BR,4,FALSE),"")</f>
        <v>Week 1 after Perpetrator (Rifampicin)</v>
      </c>
      <c r="E79" s="141" t="str">
        <f>IF(AND(A79&lt;&gt;"",ISNUMBER(A79)),VLOOKUP(A79,Studies!A:BR,5,FALSE),"")</f>
        <v>Midazolam</v>
      </c>
      <c r="F79" s="188" t="s">
        <v>54</v>
      </c>
      <c r="G79" s="207" t="str">
        <f>IF(AND(A79&lt;&gt;"",ISNUMBER(A79)),VLOOKUP(A79,Studies!A:BR,13,FALSE),"")</f>
        <v>PO</v>
      </c>
      <c r="H79" s="140" t="str">
        <f t="shared" si="2"/>
        <v>PO</v>
      </c>
      <c r="I79" s="207" t="str">
        <f>IF(AND(A79&lt;&gt;"",ISNUMBER(A79)),VLOOKUP(A79,Studies!A:BR,6,FALSE),"")</f>
        <v>Plasma</v>
      </c>
      <c r="J79" s="189">
        <v>0.38300000000000001</v>
      </c>
      <c r="K79" s="189" t="s">
        <v>116</v>
      </c>
      <c r="L79" s="203"/>
      <c r="M79" s="203"/>
      <c r="N79" s="195">
        <v>0.40300000000000002</v>
      </c>
      <c r="O79" s="195" t="s">
        <v>116</v>
      </c>
      <c r="P79" s="204"/>
      <c r="Q79" s="204"/>
      <c r="R79" s="184">
        <v>1320</v>
      </c>
      <c r="S79" s="185" t="s">
        <v>938</v>
      </c>
      <c r="T79" s="186">
        <v>816</v>
      </c>
      <c r="U79" s="187">
        <v>984</v>
      </c>
      <c r="V79" s="188" t="s">
        <v>60</v>
      </c>
      <c r="W79" s="183" t="s">
        <v>1109</v>
      </c>
      <c r="X79" s="178">
        <v>600</v>
      </c>
      <c r="Y79" s="182"/>
      <c r="Z79" s="182" t="s">
        <v>58</v>
      </c>
      <c r="AA79" s="178" t="s">
        <v>59</v>
      </c>
      <c r="AB79" s="178" t="s">
        <v>1110</v>
      </c>
      <c r="AC79" s="178" t="s">
        <v>60</v>
      </c>
      <c r="AD79" s="178"/>
      <c r="AE79" s="179"/>
      <c r="AF79" s="179" t="s">
        <v>1111</v>
      </c>
      <c r="AG79" s="180"/>
      <c r="AH79" s="179"/>
      <c r="AI79" s="179" t="s">
        <v>1112</v>
      </c>
      <c r="AJ79" s="195" t="s">
        <v>62</v>
      </c>
      <c r="AK79" s="195"/>
      <c r="AL79" s="195"/>
      <c r="AM79" s="195"/>
      <c r="AN79" s="183">
        <f>IF(ISNUMBER(VLOOKUP(A79,NotghiID!A:A,1,FALSE)),1,0)</f>
        <v>0</v>
      </c>
    </row>
    <row r="80" spans="1:40" s="137" customFormat="1" ht="14.25" x14ac:dyDescent="0.2">
      <c r="A80" s="183">
        <v>394</v>
      </c>
      <c r="B80" s="206" t="str">
        <f>IF(AND(A80&lt;&gt;"",ISNUMBER(A80)),VLOOKUP(A80,Studies!A:BR,2,FALSE),"")</f>
        <v>Reitman 2011</v>
      </c>
      <c r="C80" s="206" t="str">
        <f>IF(AND(A80&lt;&gt;"",ISNUMBER(A80)),VLOOKUP(A80,Studies!A:BR,3,FALSE),"")</f>
        <v>https://www.ncbi.nlm.nih.gov/pubmed/21191377</v>
      </c>
      <c r="D80" s="206" t="str">
        <f>IF(AND(A80&lt;&gt;"",ISNUMBER(A80)),VLOOKUP(A80,Studies!A:BR,4,FALSE),"")</f>
        <v>Week 2 after Perpetrator (Rifampicin)</v>
      </c>
      <c r="E80" s="141" t="str">
        <f>IF(AND(A80&lt;&gt;"",ISNUMBER(A80)),VLOOKUP(A80,Studies!A:BR,5,FALSE),"")</f>
        <v>Midazolam</v>
      </c>
      <c r="F80" s="188" t="s">
        <v>54</v>
      </c>
      <c r="G80" s="207" t="str">
        <f>IF(AND(A80&lt;&gt;"",ISNUMBER(A80)),VLOOKUP(A80,Studies!A:BR,13,FALSE),"")</f>
        <v>PO</v>
      </c>
      <c r="H80" s="140" t="str">
        <f t="shared" si="2"/>
        <v>PO</v>
      </c>
      <c r="I80" s="207" t="str">
        <f>IF(AND(A80&lt;&gt;"",ISNUMBER(A80)),VLOOKUP(A80,Studies!A:BR,6,FALSE),"")</f>
        <v>Plasma</v>
      </c>
      <c r="J80" s="189">
        <v>0.81499999999999995</v>
      </c>
      <c r="K80" s="189" t="s">
        <v>116</v>
      </c>
      <c r="L80" s="203"/>
      <c r="M80" s="203"/>
      <c r="N80" s="195">
        <v>0.73099999999999998</v>
      </c>
      <c r="O80" s="195" t="s">
        <v>116</v>
      </c>
      <c r="P80" s="204"/>
      <c r="Q80" s="204"/>
      <c r="R80" s="184">
        <v>1320</v>
      </c>
      <c r="S80" s="185" t="s">
        <v>938</v>
      </c>
      <c r="T80" s="186">
        <v>984</v>
      </c>
      <c r="U80" s="187">
        <v>1320</v>
      </c>
      <c r="V80" s="188" t="s">
        <v>60</v>
      </c>
      <c r="W80" s="183" t="s">
        <v>1109</v>
      </c>
      <c r="X80" s="178">
        <v>600</v>
      </c>
      <c r="Y80" s="182"/>
      <c r="Z80" s="182" t="s">
        <v>58</v>
      </c>
      <c r="AA80" s="178" t="s">
        <v>59</v>
      </c>
      <c r="AB80" s="178" t="s">
        <v>1110</v>
      </c>
      <c r="AC80" s="178" t="s">
        <v>60</v>
      </c>
      <c r="AD80" s="178"/>
      <c r="AE80" s="179"/>
      <c r="AF80" s="179" t="s">
        <v>1111</v>
      </c>
      <c r="AG80" s="180"/>
      <c r="AH80" s="179"/>
      <c r="AI80" s="179" t="s">
        <v>1112</v>
      </c>
      <c r="AJ80" s="195" t="s">
        <v>62</v>
      </c>
      <c r="AK80" s="195"/>
      <c r="AL80" s="195"/>
      <c r="AM80" s="195"/>
      <c r="AN80" s="183">
        <f>IF(ISNUMBER(VLOOKUP(A80,NotghiID!A:A,1,FALSE)),1,0)</f>
        <v>0</v>
      </c>
    </row>
    <row r="81" spans="1:40" s="137" customFormat="1" ht="14.25" x14ac:dyDescent="0.2">
      <c r="A81" s="183">
        <v>396</v>
      </c>
      <c r="B81" s="206" t="str">
        <f>IF(AND(A81&lt;&gt;"",ISNUMBER(A81)),VLOOKUP(A81,Studies!A:BR,2,FALSE),"")</f>
        <v>Reitman 2011</v>
      </c>
      <c r="C81" s="206" t="str">
        <f>IF(AND(A81&lt;&gt;"",ISNUMBER(A81)),VLOOKUP(A81,Studies!A:BR,3,FALSE),"")</f>
        <v>https://www.ncbi.nlm.nih.gov/pubmed/21191377</v>
      </c>
      <c r="D81" s="206" t="str">
        <f>IF(AND(A81&lt;&gt;"",ISNUMBER(A81)),VLOOKUP(A81,Studies!A:BR,4,FALSE),"")</f>
        <v>Week 0 after Perpetrator (Rifampicin)</v>
      </c>
      <c r="E81" s="141" t="str">
        <f>IF(AND(A81&lt;&gt;"",ISNUMBER(A81)),VLOOKUP(A81,Studies!A:BR,5,FALSE),"")</f>
        <v>Digoxin</v>
      </c>
      <c r="F81" s="188" t="s">
        <v>54</v>
      </c>
      <c r="G81" s="207" t="str">
        <f>IF(AND(A81&lt;&gt;"",ISNUMBER(A81)),VLOOKUP(A81,Studies!A:BR,13,FALSE),"")</f>
        <v>PO</v>
      </c>
      <c r="H81" s="140" t="str">
        <f t="shared" si="2"/>
        <v>PO</v>
      </c>
      <c r="I81" s="207" t="str">
        <f>IF(AND(A81&lt;&gt;"",ISNUMBER(A81)),VLOOKUP(A81,Studies!A:BR,6,FALSE),"")</f>
        <v>Plasma</v>
      </c>
      <c r="J81" s="189">
        <v>1.462</v>
      </c>
      <c r="K81" s="189" t="s">
        <v>116</v>
      </c>
      <c r="L81" s="203"/>
      <c r="M81" s="203"/>
      <c r="N81" s="195">
        <v>1.49</v>
      </c>
      <c r="O81" s="195" t="s">
        <v>116</v>
      </c>
      <c r="P81" s="204"/>
      <c r="Q81" s="204"/>
      <c r="R81" s="184">
        <v>1321</v>
      </c>
      <c r="S81" s="185" t="s">
        <v>938</v>
      </c>
      <c r="T81" s="186">
        <v>649</v>
      </c>
      <c r="U81" s="187">
        <v>817</v>
      </c>
      <c r="V81" s="188" t="s">
        <v>60</v>
      </c>
      <c r="W81" s="183" t="s">
        <v>1109</v>
      </c>
      <c r="X81" s="178">
        <v>600</v>
      </c>
      <c r="Y81" s="182"/>
      <c r="Z81" s="182" t="s">
        <v>58</v>
      </c>
      <c r="AA81" s="178" t="s">
        <v>59</v>
      </c>
      <c r="AB81" s="178" t="s">
        <v>1110</v>
      </c>
      <c r="AC81" s="178" t="s">
        <v>60</v>
      </c>
      <c r="AD81" s="178"/>
      <c r="AE81" s="179"/>
      <c r="AF81" s="179" t="s">
        <v>1111</v>
      </c>
      <c r="AG81" s="180"/>
      <c r="AH81" s="179"/>
      <c r="AI81" s="179" t="s">
        <v>1112</v>
      </c>
      <c r="AJ81" s="195" t="s">
        <v>62</v>
      </c>
      <c r="AK81" s="195"/>
      <c r="AL81" s="195"/>
      <c r="AM81" s="195"/>
      <c r="AN81" s="183">
        <f>IF(ISNUMBER(VLOOKUP(A81,NotghiID!A:A,1,FALSE)),1,0)</f>
        <v>0</v>
      </c>
    </row>
    <row r="82" spans="1:40" s="137" customFormat="1" ht="14.25" x14ac:dyDescent="0.2">
      <c r="A82" s="183">
        <v>397</v>
      </c>
      <c r="B82" s="206" t="str">
        <f>IF(AND(A82&lt;&gt;"",ISNUMBER(A82)),VLOOKUP(A82,Studies!A:BR,2,FALSE),"")</f>
        <v>Reitman 2011</v>
      </c>
      <c r="C82" s="206" t="str">
        <f>IF(AND(A82&lt;&gt;"",ISNUMBER(A82)),VLOOKUP(A82,Studies!A:BR,3,FALSE),"")</f>
        <v>https://www.ncbi.nlm.nih.gov/pubmed/21191377</v>
      </c>
      <c r="D82" s="206" t="str">
        <f>IF(AND(A82&lt;&gt;"",ISNUMBER(A82)),VLOOKUP(A82,Studies!A:BR,4,FALSE),"")</f>
        <v>Week 1 after Perpetrator (Rifampicin)</v>
      </c>
      <c r="E82" s="141" t="str">
        <f>IF(AND(A82&lt;&gt;"",ISNUMBER(A82)),VLOOKUP(A82,Studies!A:BR,5,FALSE),"")</f>
        <v>Digoxin</v>
      </c>
      <c r="F82" s="188" t="s">
        <v>54</v>
      </c>
      <c r="G82" s="207" t="str">
        <f>IF(AND(A82&lt;&gt;"",ISNUMBER(A82)),VLOOKUP(A82,Studies!A:BR,13,FALSE),"")</f>
        <v>PO</v>
      </c>
      <c r="H82" s="140" t="str">
        <f t="shared" si="2"/>
        <v>PO</v>
      </c>
      <c r="I82" s="207" t="str">
        <f>IF(AND(A82&lt;&gt;"",ISNUMBER(A82)),VLOOKUP(A82,Studies!A:BR,6,FALSE),"")</f>
        <v>Plasma</v>
      </c>
      <c r="J82" s="189">
        <v>0.68300000000000005</v>
      </c>
      <c r="K82" s="189" t="s">
        <v>116</v>
      </c>
      <c r="L82" s="203"/>
      <c r="M82" s="203"/>
      <c r="N82" s="195">
        <v>69.3</v>
      </c>
      <c r="O82" s="195" t="s">
        <v>116</v>
      </c>
      <c r="P82" s="204"/>
      <c r="Q82" s="204"/>
      <c r="R82" s="184">
        <v>1321</v>
      </c>
      <c r="S82" s="185" t="s">
        <v>938</v>
      </c>
      <c r="T82" s="186">
        <v>817</v>
      </c>
      <c r="U82" s="187">
        <v>985</v>
      </c>
      <c r="V82" s="188" t="s">
        <v>60</v>
      </c>
      <c r="W82" s="183" t="s">
        <v>1109</v>
      </c>
      <c r="X82" s="178">
        <v>600</v>
      </c>
      <c r="Y82" s="182"/>
      <c r="Z82" s="182" t="s">
        <v>58</v>
      </c>
      <c r="AA82" s="178" t="s">
        <v>59</v>
      </c>
      <c r="AB82" s="178" t="s">
        <v>1110</v>
      </c>
      <c r="AC82" s="178" t="s">
        <v>60</v>
      </c>
      <c r="AD82" s="178"/>
      <c r="AE82" s="179"/>
      <c r="AF82" s="179" t="s">
        <v>1111</v>
      </c>
      <c r="AG82" s="180"/>
      <c r="AH82" s="179"/>
      <c r="AI82" s="179" t="s">
        <v>1112</v>
      </c>
      <c r="AJ82" s="195" t="s">
        <v>62</v>
      </c>
      <c r="AK82" s="195"/>
      <c r="AL82" s="195"/>
      <c r="AM82" s="195"/>
      <c r="AN82" s="183">
        <f>IF(ISNUMBER(VLOOKUP(A82,NotghiID!A:A,1,FALSE)),1,0)</f>
        <v>0</v>
      </c>
    </row>
    <row r="83" spans="1:40" s="137" customFormat="1" ht="14.25" x14ac:dyDescent="0.2">
      <c r="A83" s="183">
        <v>398</v>
      </c>
      <c r="B83" s="206" t="str">
        <f>IF(AND(A83&lt;&gt;"",ISNUMBER(A83)),VLOOKUP(A83,Studies!A:BR,2,FALSE),"")</f>
        <v>Reitman 2011</v>
      </c>
      <c r="C83" s="206" t="str">
        <f>IF(AND(A83&lt;&gt;"",ISNUMBER(A83)),VLOOKUP(A83,Studies!A:BR,3,FALSE),"")</f>
        <v>https://www.ncbi.nlm.nih.gov/pubmed/21191377</v>
      </c>
      <c r="D83" s="206" t="str">
        <f>IF(AND(A83&lt;&gt;"",ISNUMBER(A83)),VLOOKUP(A83,Studies!A:BR,4,FALSE),"")</f>
        <v>Week 2 after Perpetrator (Rifampicin)</v>
      </c>
      <c r="E83" s="141" t="str">
        <f>IF(AND(A83&lt;&gt;"",ISNUMBER(A83)),VLOOKUP(A83,Studies!A:BR,5,FALSE),"")</f>
        <v>Digoxin</v>
      </c>
      <c r="F83" s="188" t="s">
        <v>54</v>
      </c>
      <c r="G83" s="207" t="str">
        <f>IF(AND(A83&lt;&gt;"",ISNUMBER(A83)),VLOOKUP(A83,Studies!A:BR,13,FALSE),"")</f>
        <v>PO</v>
      </c>
      <c r="H83" s="140" t="str">
        <f t="shared" si="2"/>
        <v>PO</v>
      </c>
      <c r="I83" s="207" t="str">
        <f>IF(AND(A83&lt;&gt;"",ISNUMBER(A83)),VLOOKUP(A83,Studies!A:BR,6,FALSE),"")</f>
        <v>Plasma</v>
      </c>
      <c r="J83" s="189">
        <v>0.97699999999999998</v>
      </c>
      <c r="K83" s="189" t="s">
        <v>116</v>
      </c>
      <c r="L83" s="203"/>
      <c r="M83" s="203"/>
      <c r="N83" s="195">
        <v>87.6</v>
      </c>
      <c r="O83" s="195" t="s">
        <v>116</v>
      </c>
      <c r="P83" s="204"/>
      <c r="Q83" s="204"/>
      <c r="R83" s="184">
        <v>1321</v>
      </c>
      <c r="S83" s="185" t="s">
        <v>938</v>
      </c>
      <c r="T83" s="186">
        <v>985</v>
      </c>
      <c r="U83" s="187">
        <v>1321</v>
      </c>
      <c r="V83" s="188" t="s">
        <v>60</v>
      </c>
      <c r="W83" s="183" t="s">
        <v>1109</v>
      </c>
      <c r="X83" s="178">
        <v>600</v>
      </c>
      <c r="Y83" s="182"/>
      <c r="Z83" s="182" t="s">
        <v>58</v>
      </c>
      <c r="AA83" s="178" t="s">
        <v>59</v>
      </c>
      <c r="AB83" s="178" t="s">
        <v>1110</v>
      </c>
      <c r="AC83" s="178" t="s">
        <v>60</v>
      </c>
      <c r="AD83" s="178"/>
      <c r="AE83" s="179"/>
      <c r="AF83" s="179" t="s">
        <v>1111</v>
      </c>
      <c r="AG83" s="180"/>
      <c r="AH83" s="179"/>
      <c r="AI83" s="179" t="s">
        <v>1112</v>
      </c>
      <c r="AJ83" s="195" t="s">
        <v>62</v>
      </c>
      <c r="AK83" s="195"/>
      <c r="AL83" s="195"/>
      <c r="AM83" s="195"/>
      <c r="AN83" s="183">
        <f>IF(ISNUMBER(VLOOKUP(A83,NotghiID!A:A,1,FALSE)),1,0)</f>
        <v>0</v>
      </c>
    </row>
    <row r="84" spans="1:40" s="137" customFormat="1" ht="14.25" x14ac:dyDescent="0.2">
      <c r="A84" s="189">
        <v>401</v>
      </c>
      <c r="B84" s="206" t="str">
        <f>IF(AND(A84&lt;&gt;"",ISNUMBER(A84)),VLOOKUP(A84,Studies!A:BR,2,FALSE),"")</f>
        <v>Saari 2006</v>
      </c>
      <c r="C84" s="206" t="str">
        <f>IF(AND(A84&lt;&gt;"",ISNUMBER(A84)),VLOOKUP(A84,Studies!A:BR,3,FALSE),"")</f>
        <v>https://www.ncbi.nlm.nih.gov/pubmed/16580904</v>
      </c>
      <c r="D84" s="206" t="str">
        <f>IF(AND(A84&lt;&gt;"",ISNUMBER(A84)),VLOOKUP(A84,Studies!A:BR,4,FALSE),"")</f>
        <v>po with Perpetrator (Voriconazole)</v>
      </c>
      <c r="E84" s="141" t="str">
        <f>IF(AND(A84&lt;&gt;"",ISNUMBER(A84)),VLOOKUP(A84,Studies!A:BR,5,FALSE),"")</f>
        <v>Midazolam</v>
      </c>
      <c r="F84" s="188" t="s">
        <v>875</v>
      </c>
      <c r="G84" s="207" t="str">
        <f>IF(AND(A84&lt;&gt;"",ISNUMBER(A84)),VLOOKUP(A84,Studies!A:BR,13,FALSE),"")</f>
        <v>PO</v>
      </c>
      <c r="H84" s="140" t="str">
        <f t="shared" si="2"/>
        <v>PO</v>
      </c>
      <c r="I84" s="207" t="str">
        <f>IF(AND(A84&lt;&gt;"",ISNUMBER(A84)),VLOOKUP(A84,Studies!A:BR,6,FALSE),"")</f>
        <v>Plasma</v>
      </c>
      <c r="J84" s="189">
        <v>9.85</v>
      </c>
      <c r="K84" s="189" t="s">
        <v>1003</v>
      </c>
      <c r="L84" s="203" t="s">
        <v>1162</v>
      </c>
      <c r="M84" s="203" t="s">
        <v>1163</v>
      </c>
      <c r="N84" s="215">
        <v>3.56</v>
      </c>
      <c r="O84" s="215" t="s">
        <v>1003</v>
      </c>
      <c r="P84" s="204" t="s">
        <v>1164</v>
      </c>
      <c r="Q84" s="204" t="s">
        <v>1163</v>
      </c>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404</v>
      </c>
      <c r="B85" s="206" t="str">
        <f>IF(AND(A85&lt;&gt;"",ISNUMBER(A85)),VLOOKUP(A85,Studies!A:BR,2,FALSE),"")</f>
        <v>Saari 2006</v>
      </c>
      <c r="C85" s="206" t="str">
        <f>IF(AND(A85&lt;&gt;"",ISNUMBER(A85)),VLOOKUP(A85,Studies!A:BR,3,FALSE),"")</f>
        <v>https://www.ncbi.nlm.nih.gov/pubmed/16580904</v>
      </c>
      <c r="D85" s="206" t="str">
        <f>IF(AND(A85&lt;&gt;"",ISNUMBER(A85)),VLOOKUP(A85,Studies!A:BR,4,FALSE),"")</f>
        <v>iv with Perpetrator (Voriconazole)</v>
      </c>
      <c r="E85" s="141" t="str">
        <f>IF(AND(A85&lt;&gt;"",ISNUMBER(A85)),VLOOKUP(A85,Studies!A:BR,5,FALSE),"")</f>
        <v>Midazolam</v>
      </c>
      <c r="F85" s="188" t="s">
        <v>875</v>
      </c>
      <c r="G85" s="207" t="str">
        <f>IF(AND(A85&lt;&gt;"",ISNUMBER(A85)),VLOOKUP(A85,Studies!A:BR,13,FALSE),"")</f>
        <v>IV</v>
      </c>
      <c r="H85" s="140" t="str">
        <f t="shared" si="2"/>
        <v>PO</v>
      </c>
      <c r="I85" s="207" t="str">
        <f>IF(AND(A85&lt;&gt;"",ISNUMBER(A85)),VLOOKUP(A85,Studies!A:BR,6,FALSE),"")</f>
        <v>Plasma</v>
      </c>
      <c r="J85" s="189">
        <v>3.61</v>
      </c>
      <c r="K85" s="189" t="s">
        <v>1003</v>
      </c>
      <c r="L85" s="203" t="s">
        <v>1165</v>
      </c>
      <c r="M85" s="203" t="s">
        <v>1163</v>
      </c>
      <c r="N85" s="215"/>
      <c r="O85" s="215"/>
      <c r="P85" s="204"/>
      <c r="Q85" s="204"/>
      <c r="R85" s="184">
        <v>0</v>
      </c>
      <c r="S85" s="185" t="s">
        <v>938</v>
      </c>
      <c r="T85" s="186">
        <v>37</v>
      </c>
      <c r="U85" s="187" t="s">
        <v>938</v>
      </c>
      <c r="V85" s="221" t="s">
        <v>60</v>
      </c>
      <c r="W85" s="222"/>
      <c r="X85" s="208" t="s">
        <v>876</v>
      </c>
      <c r="Y85" s="209"/>
      <c r="Z85" s="178" t="s">
        <v>58</v>
      </c>
      <c r="AA85" s="178" t="s">
        <v>59</v>
      </c>
      <c r="AB85" s="178" t="s">
        <v>877</v>
      </c>
      <c r="AC85" s="178" t="s">
        <v>60</v>
      </c>
      <c r="AD85" s="178" t="s">
        <v>92</v>
      </c>
      <c r="AE85" s="179" t="s">
        <v>878</v>
      </c>
      <c r="AF85" s="179" t="s">
        <v>879</v>
      </c>
      <c r="AG85" s="211"/>
      <c r="AH85" s="210">
        <v>150</v>
      </c>
      <c r="AI85" s="179" t="s">
        <v>880</v>
      </c>
      <c r="AJ85" s="167" t="s">
        <v>62</v>
      </c>
      <c r="AK85" s="168">
        <v>11</v>
      </c>
      <c r="AL85" s="168">
        <v>5</v>
      </c>
      <c r="AM85" s="167"/>
      <c r="AN85" s="183">
        <f>IF(ISNUMBER(VLOOKUP(A85,NotghiID!A:A,1,FALSE)),1,0)</f>
        <v>1</v>
      </c>
    </row>
    <row r="86" spans="1:40" s="137" customFormat="1" ht="14.25" x14ac:dyDescent="0.2">
      <c r="A86" s="189">
        <v>420</v>
      </c>
      <c r="B86" s="206" t="str">
        <f>IF(AND(A86&lt;&gt;"",ISNUMBER(A86)),VLOOKUP(A86,Studies!A:BR,2,FALSE),"")</f>
        <v>Swart 2002</v>
      </c>
      <c r="C86" s="206" t="str">
        <f>IF(AND(A86&lt;&gt;"",ISNUMBER(A86)),VLOOKUP(A86,Studies!A:BR,3,FALSE),"")</f>
        <v xml:space="preserve">https://www.ncbi.nlm.nih.gov/pubmed/11851636 </v>
      </c>
      <c r="D86" s="206" t="str">
        <f>IF(AND(A86&lt;&gt;"",ISNUMBER(A86)),VLOOKUP(A86,Studies!A:BR,4,FALSE),"")</f>
        <v>day 10 Control with Perpetrator (Erythromycin)</v>
      </c>
      <c r="E86" s="141" t="str">
        <f>IF(AND(A86&lt;&gt;"",ISNUMBER(A86)),VLOOKUP(A86,Studies!A:BR,5,FALSE),"")</f>
        <v>Midazolam</v>
      </c>
      <c r="F86" s="188" t="s">
        <v>356</v>
      </c>
      <c r="G86" s="207" t="str">
        <f>IF(AND(A86&lt;&gt;"",ISNUMBER(A86)),VLOOKUP(A86,Studies!A:BR,13,FALSE),"")</f>
        <v>IV</v>
      </c>
      <c r="H86" s="140" t="str">
        <f t="shared" si="2"/>
        <v>PO</v>
      </c>
      <c r="I86" s="207" t="str">
        <f>IF(AND(A86&lt;&gt;"",ISNUMBER(A86)),VLOOKUP(A86,Studies!A:BR,6,FALSE),"")</f>
        <v>Plasma</v>
      </c>
      <c r="J86" s="189">
        <v>1.52</v>
      </c>
      <c r="K86" s="189" t="s">
        <v>1102</v>
      </c>
      <c r="L86" s="203"/>
      <c r="M86" s="203"/>
      <c r="N86" s="215"/>
      <c r="O86" s="215"/>
      <c r="P86" s="204"/>
      <c r="Q86" s="204"/>
      <c r="R86" s="184">
        <v>0</v>
      </c>
      <c r="S86" s="185" t="s">
        <v>938</v>
      </c>
      <c r="T86" s="186">
        <v>96</v>
      </c>
      <c r="U86" s="187" t="s">
        <v>938</v>
      </c>
      <c r="V86" s="221" t="s">
        <v>60</v>
      </c>
      <c r="W86" s="222" t="s">
        <v>1392</v>
      </c>
      <c r="X86" s="208">
        <v>500</v>
      </c>
      <c r="Y86" s="209"/>
      <c r="Z86" s="182" t="s">
        <v>58</v>
      </c>
      <c r="AA86" s="178" t="s">
        <v>59</v>
      </c>
      <c r="AB86" s="138" t="s">
        <v>1393</v>
      </c>
      <c r="AC86" s="178" t="s">
        <v>60</v>
      </c>
      <c r="AD86" s="178" t="s">
        <v>1394</v>
      </c>
      <c r="AE86" s="179"/>
      <c r="AF86" s="179" t="s">
        <v>150</v>
      </c>
      <c r="AG86" s="211"/>
      <c r="AH86" s="210">
        <v>200</v>
      </c>
      <c r="AI86" s="179" t="s">
        <v>151</v>
      </c>
      <c r="AJ86" s="195"/>
      <c r="AK86" s="195"/>
      <c r="AL86" s="195"/>
      <c r="AM86" s="195"/>
      <c r="AN86" s="183">
        <f>IF(ISNUMBER(VLOOKUP(A86,NotghiID!A:A,1,FALSE)),1,0)</f>
        <v>1</v>
      </c>
    </row>
    <row r="87" spans="1:40" s="137" customFormat="1" ht="14.25" x14ac:dyDescent="0.2">
      <c r="A87" s="189">
        <v>422</v>
      </c>
      <c r="B87" s="206" t="str">
        <f>IF(AND(A87&lt;&gt;"",ISNUMBER(A87)),VLOOKUP(A87,Studies!A:BR,2,FALSE),"")</f>
        <v>Szalat 2007</v>
      </c>
      <c r="C87" s="206" t="str">
        <f>IF(AND(A87&lt;&gt;"",ISNUMBER(A87)),VLOOKUP(A87,Studies!A:BR,3,FALSE),"")</f>
        <v>https://www.ncbi.nlm.nih.gov/pubmed/17553741</v>
      </c>
      <c r="D87" s="206" t="str">
        <f>IF(AND(A87&lt;&gt;"",ISNUMBER(A87)),VLOOKUP(A87,Studies!A:BR,4,FALSE),"")</f>
        <v>with Perpetrator (Rifampicin)</v>
      </c>
      <c r="E87" s="141" t="str">
        <f>IF(AND(A87&lt;&gt;"",ISNUMBER(A87)),VLOOKUP(A87,Studies!A:BR,5,FALSE),"")</f>
        <v>Midazolam</v>
      </c>
      <c r="F87" s="188" t="s">
        <v>54</v>
      </c>
      <c r="G87" s="207" t="str">
        <f>IF(AND(A87&lt;&gt;"",ISNUMBER(A87)),VLOOKUP(A87,Studies!A:BR,13,FALSE),"")</f>
        <v>IV</v>
      </c>
      <c r="H87" s="140" t="str">
        <f t="shared" si="2"/>
        <v>PO</v>
      </c>
      <c r="I87" s="207" t="str">
        <f>IF(AND(A87&lt;&gt;"",ISNUMBER(A87)),VLOOKUP(A87,Studies!A:BR,6,FALSE),"")</f>
        <v>Plasma</v>
      </c>
      <c r="J87" s="189">
        <f>3110/5367</f>
        <v>0.57946711384386063</v>
      </c>
      <c r="K87" s="189" t="s">
        <v>1102</v>
      </c>
      <c r="L87" s="203"/>
      <c r="M87" s="203"/>
      <c r="N87" s="195"/>
      <c r="O87" s="195"/>
      <c r="P87" s="204"/>
      <c r="Q87" s="204"/>
      <c r="R87" s="184">
        <v>0</v>
      </c>
      <c r="S87" s="185" t="s">
        <v>938</v>
      </c>
      <c r="T87" s="186">
        <f>144-12</f>
        <v>132</v>
      </c>
      <c r="U87" s="187" t="s">
        <v>938</v>
      </c>
      <c r="V87" s="188" t="s">
        <v>60</v>
      </c>
      <c r="W87" s="183"/>
      <c r="X87" s="178">
        <v>600</v>
      </c>
      <c r="Y87" s="182"/>
      <c r="Z87" s="182" t="s">
        <v>58</v>
      </c>
      <c r="AA87" s="178" t="s">
        <v>59</v>
      </c>
      <c r="AB87" s="178" t="s">
        <v>1149</v>
      </c>
      <c r="AC87" s="178" t="s">
        <v>60</v>
      </c>
      <c r="AD87" s="178" t="s">
        <v>92</v>
      </c>
      <c r="AE87" s="179" t="s">
        <v>1145</v>
      </c>
      <c r="AF87" s="179" t="s">
        <v>1150</v>
      </c>
      <c r="AG87" s="180"/>
      <c r="AH87" s="179"/>
      <c r="AI87" s="179"/>
      <c r="AJ87" s="195"/>
      <c r="AK87" s="195"/>
      <c r="AL87" s="195"/>
      <c r="AM87" s="195"/>
      <c r="AN87" s="183">
        <f>IF(ISNUMBER(VLOOKUP(A87,NotghiID!A:A,1,FALSE)),1,0)</f>
        <v>1</v>
      </c>
    </row>
    <row r="88" spans="1:40" s="137" customFormat="1" ht="14.25" x14ac:dyDescent="0.2">
      <c r="A88" s="189">
        <v>424</v>
      </c>
      <c r="B88" s="206" t="str">
        <f>IF(AND(A88&lt;&gt;"",ISNUMBER(A88)),VLOOKUP(A88,Studies!A:BR,2,FALSE),"")</f>
        <v>Templeton 2010</v>
      </c>
      <c r="C88" s="206" t="str">
        <f>IF(AND(A88&lt;&gt;"",ISNUMBER(A88)),VLOOKUP(A88,Studies!A:BR,3,FALSE),"")</f>
        <v>https://www.ncbi.nlm.nih.gov/pubmed/20739919</v>
      </c>
      <c r="D88" s="206" t="str">
        <f>IF(AND(A88&lt;&gt;"",ISNUMBER(A88)),VLOOKUP(A88,Studies!A:BR,4,FALSE),"")</f>
        <v>with Perpetrator (Itraconazole @ 50 mg)</v>
      </c>
      <c r="E88" s="141" t="str">
        <f>IF(AND(A88&lt;&gt;"",ISNUMBER(A88)),VLOOKUP(A88,Studies!A:BR,5,FALSE),"")</f>
        <v>Midazolam</v>
      </c>
      <c r="F88" s="188" t="s">
        <v>149</v>
      </c>
      <c r="G88" s="207" t="str">
        <f>IF(AND(A88&lt;&gt;"",ISNUMBER(A88)),VLOOKUP(A88,Studies!A:BR,13,FALSE),"")</f>
        <v>PO</v>
      </c>
      <c r="H88" s="140" t="str">
        <f t="shared" si="2"/>
        <v>PO</v>
      </c>
      <c r="I88" s="207" t="str">
        <f>IF(AND(A88&lt;&gt;"",ISNUMBER(A88)),VLOOKUP(A88,Studies!A:BR,6,FALSE),"")</f>
        <v>Plasma</v>
      </c>
      <c r="J88" s="189">
        <v>2</v>
      </c>
      <c r="K88" s="189" t="s">
        <v>335</v>
      </c>
      <c r="L88" s="203">
        <v>0.6</v>
      </c>
      <c r="M88" s="203" t="s">
        <v>117</v>
      </c>
      <c r="N88" s="215"/>
      <c r="O88" s="215"/>
      <c r="P88" s="204"/>
      <c r="Q88" s="204"/>
      <c r="R88" s="184">
        <v>0</v>
      </c>
      <c r="S88" s="185" t="s">
        <v>938</v>
      </c>
      <c r="T88" s="186">
        <v>4</v>
      </c>
      <c r="U88" s="187" t="s">
        <v>938</v>
      </c>
      <c r="V88" s="221" t="s">
        <v>60</v>
      </c>
      <c r="W88" s="222"/>
      <c r="X88" s="208">
        <v>50</v>
      </c>
      <c r="Y88" s="209"/>
      <c r="Z88" s="139" t="s">
        <v>58</v>
      </c>
      <c r="AA88" s="178" t="s">
        <v>59</v>
      </c>
      <c r="AB88" s="178">
        <v>0</v>
      </c>
      <c r="AC88" s="178" t="s">
        <v>60</v>
      </c>
      <c r="AD88" s="178" t="s">
        <v>79</v>
      </c>
      <c r="AE88" s="179"/>
      <c r="AF88" s="179" t="s">
        <v>759</v>
      </c>
      <c r="AG88" s="211"/>
      <c r="AH88" s="210"/>
      <c r="AI88" s="179"/>
      <c r="AJ88" s="195" t="s">
        <v>62</v>
      </c>
      <c r="AK88" s="195"/>
      <c r="AL88" s="195">
        <v>0.5</v>
      </c>
      <c r="AM88" s="195" t="s">
        <v>1172</v>
      </c>
      <c r="AN88" s="183">
        <f>IF(ISNUMBER(VLOOKUP(A88,NotghiID!A:A,1,FALSE)),1,0)</f>
        <v>1</v>
      </c>
    </row>
    <row r="89" spans="1:40" s="137" customFormat="1" ht="14.25" x14ac:dyDescent="0.2">
      <c r="A89" s="189">
        <v>425</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200 mg)</v>
      </c>
      <c r="E89" s="141" t="str">
        <f>IF(AND(A89&lt;&gt;"",ISNUMBER(A89)),VLOOKUP(A89,Studies!A:BR,5,FALSE),"")</f>
        <v>Midazolam</v>
      </c>
      <c r="F89" s="188" t="s">
        <v>149</v>
      </c>
      <c r="G89" s="207" t="str">
        <f>IF(AND(A89&lt;&gt;"",ISNUMBER(A89)),VLOOKUP(A89,Studies!A:BR,13,FALSE),"")</f>
        <v>PO</v>
      </c>
      <c r="H89" s="140" t="str">
        <f t="shared" si="2"/>
        <v>PO</v>
      </c>
      <c r="I89" s="207" t="str">
        <f>IF(AND(A89&lt;&gt;"",ISNUMBER(A89)),VLOOKUP(A89,Studies!A:BR,6,FALSE),"")</f>
        <v>Plasma</v>
      </c>
      <c r="J89" s="189">
        <v>4.7</v>
      </c>
      <c r="K89" s="189" t="s">
        <v>335</v>
      </c>
      <c r="L89" s="203">
        <v>1.4</v>
      </c>
      <c r="M89" s="203" t="s">
        <v>117</v>
      </c>
      <c r="N89" s="215"/>
      <c r="O89" s="215"/>
      <c r="P89" s="204"/>
      <c r="Q89" s="204"/>
      <c r="R89" s="184">
        <v>0</v>
      </c>
      <c r="S89" s="185" t="s">
        <v>938</v>
      </c>
      <c r="T89" s="186">
        <v>4</v>
      </c>
      <c r="U89" s="187" t="s">
        <v>938</v>
      </c>
      <c r="V89" s="221" t="s">
        <v>60</v>
      </c>
      <c r="W89" s="222"/>
      <c r="X89" s="208">
        <v>200</v>
      </c>
      <c r="Y89" s="209"/>
      <c r="Z89" s="139" t="s">
        <v>58</v>
      </c>
      <c r="AA89" s="178" t="s">
        <v>59</v>
      </c>
      <c r="AB89" s="178">
        <v>0</v>
      </c>
      <c r="AC89" s="178" t="s">
        <v>60</v>
      </c>
      <c r="AD89" s="178" t="s">
        <v>79</v>
      </c>
      <c r="AE89" s="179"/>
      <c r="AF89" s="179" t="s">
        <v>759</v>
      </c>
      <c r="AG89" s="211"/>
      <c r="AH89" s="210"/>
      <c r="AI89" s="179"/>
      <c r="AJ89" s="195" t="s">
        <v>62</v>
      </c>
      <c r="AK89" s="195"/>
      <c r="AL89" s="195">
        <v>0.5</v>
      </c>
      <c r="AM89" s="195" t="s">
        <v>1172</v>
      </c>
      <c r="AN89" s="183">
        <f>IF(ISNUMBER(VLOOKUP(A89,NotghiID!A:A,1,FALSE)),1,0)</f>
        <v>1</v>
      </c>
    </row>
    <row r="90" spans="1:40" s="137" customFormat="1" ht="14.25" x14ac:dyDescent="0.2">
      <c r="A90" s="189">
        <v>426</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400 mg)</v>
      </c>
      <c r="E90" s="141" t="str">
        <f>IF(AND(A90&lt;&gt;"",ISNUMBER(A90)),VLOOKUP(A90,Studies!A:BR,5,FALSE),"")</f>
        <v>Midazolam</v>
      </c>
      <c r="F90" s="188" t="s">
        <v>149</v>
      </c>
      <c r="G90" s="207" t="str">
        <f>IF(AND(A90&lt;&gt;"",ISNUMBER(A90)),VLOOKUP(A90,Studies!A:BR,13,FALSE),"")</f>
        <v>PO</v>
      </c>
      <c r="H90" s="140" t="str">
        <f t="shared" si="2"/>
        <v>PO</v>
      </c>
      <c r="I90" s="207" t="str">
        <f>IF(AND(A90&lt;&gt;"",ISNUMBER(A90)),VLOOKUP(A90,Studies!A:BR,6,FALSE),"")</f>
        <v>Plasma</v>
      </c>
      <c r="J90" s="189">
        <v>5.4</v>
      </c>
      <c r="K90" s="189" t="s">
        <v>335</v>
      </c>
      <c r="L90" s="203">
        <v>1.5</v>
      </c>
      <c r="M90" s="203" t="s">
        <v>117</v>
      </c>
      <c r="N90" s="215"/>
      <c r="O90" s="215"/>
      <c r="P90" s="204"/>
      <c r="Q90" s="204"/>
      <c r="R90" s="184">
        <v>0</v>
      </c>
      <c r="S90" s="185" t="s">
        <v>938</v>
      </c>
      <c r="T90" s="186">
        <v>4</v>
      </c>
      <c r="U90" s="187" t="s">
        <v>938</v>
      </c>
      <c r="V90" s="221" t="s">
        <v>60</v>
      </c>
      <c r="W90" s="222"/>
      <c r="X90" s="208">
        <v>400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1172</v>
      </c>
      <c r="AN90" s="183">
        <f>IF(ISNUMBER(VLOOKUP(A90,NotghiID!A:A,1,FALSE)),1,0)</f>
        <v>1</v>
      </c>
    </row>
    <row r="91" spans="1:40" s="137" customFormat="1" ht="14.25" x14ac:dyDescent="0.2">
      <c r="A91" s="189">
        <v>428</v>
      </c>
      <c r="B91" s="206" t="str">
        <f>IF(AND(A91&lt;&gt;"",ISNUMBER(A91)),VLOOKUP(A91,Studies!A:BR,2,FALSE),"")</f>
        <v>Tham 2006</v>
      </c>
      <c r="C91" s="206" t="str">
        <f>IF(AND(A91&lt;&gt;"",ISNUMBER(A91)),VLOOKUP(A91,Studies!A:BR,3,FALSE),"")</f>
        <v>https://www.ncbi.nlm.nih.gov/pubmed/16628140</v>
      </c>
      <c r="D91" s="206" t="str">
        <f>IF(AND(A91&lt;&gt;"",ISNUMBER(A91)),VLOOKUP(A91,Studies!A:BR,4,FALSE),"")</f>
        <v>with Perpetrator (Ketoconazole 50 mg)</v>
      </c>
      <c r="E91" s="141" t="str">
        <f>IF(AND(A91&lt;&gt;"",ISNUMBER(A91)),VLOOKUP(A91,Studies!A:BR,5,FALSE),"")</f>
        <v>Midazolam</v>
      </c>
      <c r="F91" s="188" t="s">
        <v>836</v>
      </c>
      <c r="G91" s="207" t="str">
        <f>IF(AND(A91&lt;&gt;"",ISNUMBER(A91)),VLOOKUP(A91,Studies!A:BR,13,FALSE),"")</f>
        <v>IV</v>
      </c>
      <c r="H91" s="140" t="str">
        <f t="shared" si="2"/>
        <v>PO</v>
      </c>
      <c r="I91" s="207" t="str">
        <f>IF(AND(A91&lt;&gt;"",ISNUMBER(A91)),VLOOKUP(A91,Studies!A:BR,6,FALSE),"")</f>
        <v>Plasma</v>
      </c>
      <c r="J91" s="189">
        <f>0.27/0.17</f>
        <v>1.588235294117647</v>
      </c>
      <c r="K91" s="189" t="s">
        <v>1102</v>
      </c>
      <c r="L91" s="203"/>
      <c r="M91" s="203"/>
      <c r="N91" s="215"/>
      <c r="O91" s="215"/>
      <c r="P91" s="204"/>
      <c r="Q91" s="204"/>
      <c r="R91" s="184">
        <v>0</v>
      </c>
      <c r="S91" s="185" t="s">
        <v>938</v>
      </c>
      <c r="T91" s="186">
        <v>47</v>
      </c>
      <c r="U91" s="187" t="s">
        <v>938</v>
      </c>
      <c r="V91" s="221" t="s">
        <v>60</v>
      </c>
      <c r="W91" s="222"/>
      <c r="X91" s="208">
        <v>200</v>
      </c>
      <c r="Y91" s="209"/>
      <c r="Z91" s="182" t="s">
        <v>58</v>
      </c>
      <c r="AA91" s="178" t="s">
        <v>59</v>
      </c>
      <c r="AB91" s="178" t="s">
        <v>1173</v>
      </c>
      <c r="AC91" s="178" t="s">
        <v>60</v>
      </c>
      <c r="AD91" s="178" t="s">
        <v>92</v>
      </c>
      <c r="AE91" s="179" t="s">
        <v>837</v>
      </c>
      <c r="AF91" s="179" t="s">
        <v>1174</v>
      </c>
      <c r="AG91" s="211"/>
      <c r="AH91" s="210"/>
      <c r="AI91" s="179" t="s">
        <v>1175</v>
      </c>
      <c r="AJ91" s="195"/>
      <c r="AK91" s="195"/>
      <c r="AL91" s="195"/>
      <c r="AM91" s="195"/>
      <c r="AN91" s="183">
        <f>IF(ISNUMBER(VLOOKUP(A91,NotghiID!A:A,1,FALSE)),1,0)</f>
        <v>1</v>
      </c>
    </row>
    <row r="92" spans="1:40" s="137" customFormat="1" ht="14.25" x14ac:dyDescent="0.2">
      <c r="A92" s="183">
        <v>469</v>
      </c>
      <c r="B92" s="206" t="str">
        <f>IF(AND(A92&lt;&gt;"",ISNUMBER(A92)),VLOOKUP(A92,Studies!A:BR,2,FALSE),"")</f>
        <v>Yeates 1996</v>
      </c>
      <c r="C92" s="206" t="str">
        <f>IF(AND(A92&lt;&gt;"",ISNUMBER(A92)),VLOOKUP(A92,Studies!A:BR,3,FALSE),"")</f>
        <v>http://www.ncbi.nlm.nih.gov/pubmed/8880291</v>
      </c>
      <c r="D92" s="206" t="str">
        <f>IF(AND(A92&lt;&gt;"",ISNUMBER(A92)),VLOOKUP(A92,Studies!A:BR,4,FALSE),"")</f>
        <v>with Perpetrator (Clarithromycin)</v>
      </c>
      <c r="E92" s="141" t="str">
        <f>IF(AND(A92&lt;&gt;"",ISNUMBER(A92)),VLOOKUP(A92,Studies!A:BR,5,FALSE),"")</f>
        <v>Midazolam</v>
      </c>
      <c r="F92" s="188" t="s">
        <v>1113</v>
      </c>
      <c r="G92" s="207" t="str">
        <f>IF(AND(A92&lt;&gt;"",ISNUMBER(A92)),VLOOKUP(A92,Studies!A:BR,13,FALSE),"")</f>
        <v>PO</v>
      </c>
      <c r="H92" s="140" t="str">
        <f t="shared" si="2"/>
        <v>PO</v>
      </c>
      <c r="I92" s="207" t="str">
        <f>IF(AND(A92&lt;&gt;"",ISNUMBER(A92)),VLOOKUP(A92,Studies!A:BR,6,FALSE),"")</f>
        <v>Plasma</v>
      </c>
      <c r="J92" s="189">
        <f>888.75/248.84</f>
        <v>3.5715720945185661</v>
      </c>
      <c r="K92" s="189" t="s">
        <v>1102</v>
      </c>
      <c r="L92" s="203"/>
      <c r="M92" s="203"/>
      <c r="N92" s="195">
        <f>187.61/76.89</f>
        <v>2.4399791910521524</v>
      </c>
      <c r="O92" s="195" t="s">
        <v>1103</v>
      </c>
      <c r="P92" s="204"/>
      <c r="Q92" s="204"/>
      <c r="R92" s="184">
        <v>0</v>
      </c>
      <c r="S92" s="185" t="s">
        <v>938</v>
      </c>
      <c r="T92" s="186">
        <v>97.5</v>
      </c>
      <c r="U92" s="187" t="s">
        <v>938</v>
      </c>
      <c r="V92" s="188" t="s">
        <v>60</v>
      </c>
      <c r="W92" s="183"/>
      <c r="X92" s="178">
        <v>250</v>
      </c>
      <c r="Y92" s="182"/>
      <c r="Z92" s="182" t="s">
        <v>58</v>
      </c>
      <c r="AA92" s="178" t="s">
        <v>59</v>
      </c>
      <c r="AB92" s="178" t="s">
        <v>1114</v>
      </c>
      <c r="AC92" s="178" t="s">
        <v>60</v>
      </c>
      <c r="AD92" s="178" t="s">
        <v>1115</v>
      </c>
      <c r="AE92" s="179"/>
      <c r="AF92" s="179" t="s">
        <v>1116</v>
      </c>
      <c r="AG92" s="180"/>
      <c r="AH92" s="179"/>
      <c r="AI92" s="179" t="s">
        <v>1117</v>
      </c>
      <c r="AJ92" s="195" t="s">
        <v>62</v>
      </c>
      <c r="AK92" s="195"/>
      <c r="AL92" s="195">
        <v>2</v>
      </c>
      <c r="AM92" s="195"/>
      <c r="AN92" s="183">
        <f>IF(ISNUMBER(VLOOKUP(A92,NotghiID!A:A,1,FALSE)),1,0)</f>
        <v>0</v>
      </c>
    </row>
    <row r="93" spans="1:40" s="137" customFormat="1" ht="14.25" x14ac:dyDescent="0.2">
      <c r="A93" s="183">
        <v>471</v>
      </c>
      <c r="B93" s="206" t="str">
        <f>IF(AND(A93&lt;&gt;"",ISNUMBER(A93)),VLOOKUP(A93,Studies!A:BR,2,FALSE),"")</f>
        <v>Zimmermann 1996</v>
      </c>
      <c r="C93" s="206" t="str">
        <f>IF(AND(A93&lt;&gt;"",ISNUMBER(A93)),VLOOKUP(A93,Studies!A:BR,3,FALSE),"")</f>
        <v>https://www.ncbi.nlm.nih.gov/pubmed/8720318</v>
      </c>
      <c r="D93" s="206" t="str">
        <f>IF(AND(A93&lt;&gt;"",ISNUMBER(A93)),VLOOKUP(A93,Studies!A:BR,4,FALSE),"")</f>
        <v>with Perpetrator (Erythromycin)</v>
      </c>
      <c r="E93" s="141" t="str">
        <f>IF(AND(A93&lt;&gt;"",ISNUMBER(A93)),VLOOKUP(A93,Studies!A:BR,5,FALSE),"")</f>
        <v>Midazolam</v>
      </c>
      <c r="F93" s="188" t="s">
        <v>356</v>
      </c>
      <c r="G93" s="207" t="str">
        <f>IF(AND(A93&lt;&gt;"",ISNUMBER(A93)),VLOOKUP(A93,Studies!A:BR,13,FALSE),"")</f>
        <v>PO</v>
      </c>
      <c r="H93" s="140" t="str">
        <f t="shared" si="2"/>
        <v>PO</v>
      </c>
      <c r="I93" s="207" t="str">
        <f>IF(AND(A93&lt;&gt;"",ISNUMBER(A93)),VLOOKUP(A93,Studies!A:BR,6,FALSE),"")</f>
        <v>Plasma</v>
      </c>
      <c r="J93" s="189">
        <f>662.71/173.77</f>
        <v>3.8137192841111816</v>
      </c>
      <c r="K93" s="189" t="s">
        <v>1102</v>
      </c>
      <c r="L93" s="203"/>
      <c r="M93" s="203"/>
      <c r="N93" s="195">
        <f>182.29/67.23</f>
        <v>2.7114383459764984</v>
      </c>
      <c r="O93" s="195" t="s">
        <v>1103</v>
      </c>
      <c r="P93" s="204"/>
      <c r="Q93" s="204"/>
      <c r="R93" s="184">
        <v>0</v>
      </c>
      <c r="S93" s="185" t="s">
        <v>938</v>
      </c>
      <c r="T93" s="186">
        <v>97.5</v>
      </c>
      <c r="U93" s="187" t="s">
        <v>938</v>
      </c>
      <c r="V93" s="188" t="s">
        <v>60</v>
      </c>
      <c r="W93" s="183"/>
      <c r="X93" s="178">
        <v>500</v>
      </c>
      <c r="Y93" s="182"/>
      <c r="Z93" s="182" t="s">
        <v>58</v>
      </c>
      <c r="AA93" s="178" t="s">
        <v>59</v>
      </c>
      <c r="AB93" s="178" t="s">
        <v>1118</v>
      </c>
      <c r="AC93" s="178" t="s">
        <v>60</v>
      </c>
      <c r="AD93" s="178" t="s">
        <v>1119</v>
      </c>
      <c r="AE93" s="179"/>
      <c r="AF93" s="179" t="s">
        <v>1120</v>
      </c>
      <c r="AG93" s="180"/>
      <c r="AH93" s="179">
        <v>100</v>
      </c>
      <c r="AI93" s="179" t="s">
        <v>1121</v>
      </c>
      <c r="AJ93" s="195" t="s">
        <v>62</v>
      </c>
      <c r="AK93" s="195">
        <v>10</v>
      </c>
      <c r="AL93" s="195">
        <v>3.5</v>
      </c>
      <c r="AM93" s="195"/>
      <c r="AN93" s="183">
        <f>IF(ISNUMBER(VLOOKUP(A93,NotghiID!A:A,1,FALSE)),1,0)</f>
        <v>0</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1419</v>
      </c>
      <c r="G94" s="207" t="str">
        <f>IF(AND(A94&lt;&gt;"",ISNUMBER(A94)),VLOOKUP(A94,Studies!A:BR,13,FALSE),"")</f>
        <v>PO</v>
      </c>
      <c r="H94" s="140" t="s">
        <v>59</v>
      </c>
      <c r="I94" s="207" t="str">
        <f>IF(AND(A94&lt;&gt;"",ISNUMBER(A94)),VLOOKUP(A94,Studies!A:BR,6,FALSE),"")</f>
        <v>Plasma</v>
      </c>
      <c r="J94" s="189">
        <v>1.72</v>
      </c>
      <c r="K94" s="189" t="s">
        <v>1003</v>
      </c>
      <c r="L94" s="203" t="s">
        <v>1508</v>
      </c>
      <c r="M94" s="203" t="s">
        <v>1163</v>
      </c>
      <c r="N94" s="195">
        <v>1.53</v>
      </c>
      <c r="O94" s="195" t="s">
        <v>1003</v>
      </c>
      <c r="P94" s="204" t="s">
        <v>1509</v>
      </c>
      <c r="Q94" s="204" t="s">
        <v>1163</v>
      </c>
      <c r="R94" s="184">
        <v>0</v>
      </c>
      <c r="S94" s="185" t="s">
        <v>938</v>
      </c>
      <c r="T94" s="186">
        <v>144</v>
      </c>
      <c r="U94" s="187" t="s">
        <v>938</v>
      </c>
      <c r="V94" s="188" t="s">
        <v>60</v>
      </c>
      <c r="W94" s="183"/>
      <c r="X94" s="178">
        <v>400</v>
      </c>
      <c r="Y94" s="139"/>
      <c r="Z94" s="139" t="s">
        <v>58</v>
      </c>
      <c r="AA94" s="178" t="s">
        <v>59</v>
      </c>
      <c r="AB94" s="178" t="s">
        <v>1510</v>
      </c>
      <c r="AC94" s="138" t="s">
        <v>60</v>
      </c>
      <c r="AD94" s="178" t="s">
        <v>1511</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1419</v>
      </c>
      <c r="G95" s="207" t="str">
        <f>IF(AND(A95&lt;&gt;"",ISNUMBER(A95)),VLOOKUP(A95,Studies!A:BR,13,FALSE),"")</f>
        <v>PO</v>
      </c>
      <c r="H95" s="140" t="s">
        <v>59</v>
      </c>
      <c r="I95" s="207" t="str">
        <f>IF(AND(A95&lt;&gt;"",ISNUMBER(A95)),VLOOKUP(A95,Studies!A:BR,6,FALSE),"")</f>
        <v>Plasma</v>
      </c>
      <c r="J95" s="189">
        <v>1.72</v>
      </c>
      <c r="K95" s="189" t="s">
        <v>1003</v>
      </c>
      <c r="L95" s="203" t="s">
        <v>1739</v>
      </c>
      <c r="M95" s="203" t="s">
        <v>1163</v>
      </c>
      <c r="N95" s="195">
        <v>1.37</v>
      </c>
      <c r="O95" s="195" t="s">
        <v>1003</v>
      </c>
      <c r="P95" s="204" t="s">
        <v>1740</v>
      </c>
      <c r="Q95" s="204" t="s">
        <v>1163</v>
      </c>
      <c r="R95" s="184">
        <v>168</v>
      </c>
      <c r="S95" s="185">
        <v>180</v>
      </c>
      <c r="T95" s="186">
        <v>168</v>
      </c>
      <c r="U95" s="187">
        <v>192</v>
      </c>
      <c r="V95" s="188" t="s">
        <v>60</v>
      </c>
      <c r="W95" s="183"/>
      <c r="X95" s="178">
        <v>400</v>
      </c>
      <c r="Y95" s="139"/>
      <c r="Z95" s="139" t="s">
        <v>58</v>
      </c>
      <c r="AA95" s="178" t="s">
        <v>59</v>
      </c>
      <c r="AB95" s="178" t="s">
        <v>1461</v>
      </c>
      <c r="AC95" s="138" t="s">
        <v>60</v>
      </c>
      <c r="AD95" s="178" t="s">
        <v>1511</v>
      </c>
      <c r="AE95" s="176"/>
      <c r="AF95" s="179"/>
      <c r="AG95" s="180"/>
      <c r="AH95" s="180"/>
      <c r="AI95" s="180" t="s">
        <v>150</v>
      </c>
      <c r="AJ95" s="195" t="s">
        <v>1459</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1419</v>
      </c>
      <c r="G96" s="207" t="str">
        <f>IF(AND(A96&lt;&gt;"",ISNUMBER(A96)),VLOOKUP(A96,Studies!A:BR,13,FALSE),"")</f>
        <v>PO</v>
      </c>
      <c r="H96" s="68" t="s">
        <v>59</v>
      </c>
      <c r="I96" s="207" t="str">
        <f>IF(AND(A96&lt;&gt;"",ISNUMBER(A96)),VLOOKUP(A96,Studies!A:BR,6,FALSE),"")</f>
        <v>Plasma</v>
      </c>
      <c r="J96" s="43">
        <v>1.67</v>
      </c>
      <c r="K96" s="189" t="s">
        <v>1003</v>
      </c>
      <c r="L96" s="76" t="s">
        <v>1512</v>
      </c>
      <c r="M96" s="76" t="s">
        <v>1163</v>
      </c>
      <c r="N96" s="52">
        <v>1.1599999999999999</v>
      </c>
      <c r="O96" s="195" t="s">
        <v>1003</v>
      </c>
      <c r="P96" s="84" t="s">
        <v>1513</v>
      </c>
      <c r="Q96" s="84" t="s">
        <v>1163</v>
      </c>
      <c r="R96" s="38">
        <v>0</v>
      </c>
      <c r="S96" s="39" t="s">
        <v>938</v>
      </c>
      <c r="T96" s="40">
        <v>144</v>
      </c>
      <c r="U96" s="41" t="s">
        <v>938</v>
      </c>
      <c r="V96" s="42" t="s">
        <v>60</v>
      </c>
      <c r="X96" s="22">
        <v>400</v>
      </c>
      <c r="Y96" s="139"/>
      <c r="Z96" s="139" t="s">
        <v>58</v>
      </c>
      <c r="AA96" s="178" t="s">
        <v>59</v>
      </c>
      <c r="AB96" s="178" t="s">
        <v>1510</v>
      </c>
      <c r="AC96" s="138" t="s">
        <v>60</v>
      </c>
      <c r="AD96" s="178" t="s">
        <v>1511</v>
      </c>
      <c r="AE96" s="176"/>
      <c r="AF96" s="179"/>
      <c r="AG96" s="180"/>
      <c r="AH96" s="180"/>
      <c r="AI96" s="180"/>
      <c r="AJ96" s="52" t="s">
        <v>436</v>
      </c>
      <c r="AM96" s="52" t="s">
        <v>1514</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1419</v>
      </c>
      <c r="G97" s="207" t="str">
        <f>IF(AND(A97&lt;&gt;"",ISNUMBER(A97)),VLOOKUP(A97,Studies!A:BR,13,FALSE),"")</f>
        <v>PO</v>
      </c>
      <c r="H97" s="68" t="s">
        <v>59</v>
      </c>
      <c r="I97" s="207" t="str">
        <f>IF(AND(A97&lt;&gt;"",ISNUMBER(A97)),VLOOKUP(A97,Studies!A:BR,6,FALSE),"")</f>
        <v>Plasma</v>
      </c>
      <c r="J97" s="43">
        <v>1.536</v>
      </c>
      <c r="K97" s="189" t="s">
        <v>1003</v>
      </c>
      <c r="L97" s="76" t="s">
        <v>1515</v>
      </c>
      <c r="M97" s="203" t="s">
        <v>1163</v>
      </c>
      <c r="N97" s="52">
        <v>1.3939999999999999</v>
      </c>
      <c r="O97" s="195" t="s">
        <v>1003</v>
      </c>
      <c r="P97" s="84" t="s">
        <v>1516</v>
      </c>
      <c r="Q97" s="204" t="s">
        <v>1163</v>
      </c>
      <c r="R97" s="38">
        <v>96</v>
      </c>
      <c r="S97" s="39">
        <v>108</v>
      </c>
      <c r="T97" s="40">
        <v>600</v>
      </c>
      <c r="U97" s="41">
        <v>612</v>
      </c>
      <c r="V97" s="42" t="s">
        <v>60</v>
      </c>
      <c r="X97" s="22">
        <v>400</v>
      </c>
      <c r="Y97" s="139"/>
      <c r="Z97" s="139" t="s">
        <v>58</v>
      </c>
      <c r="AA97" s="178" t="s">
        <v>59</v>
      </c>
      <c r="AB97" s="178" t="s">
        <v>1612</v>
      </c>
      <c r="AC97" s="138" t="s">
        <v>60</v>
      </c>
      <c r="AD97" s="178" t="s">
        <v>1115</v>
      </c>
      <c r="AE97" s="179" t="s">
        <v>1517</v>
      </c>
      <c r="AF97" s="179" t="s">
        <v>1518</v>
      </c>
      <c r="AG97" s="180"/>
      <c r="AH97" s="180"/>
      <c r="AI97" s="180"/>
      <c r="AJ97" s="52" t="s">
        <v>436</v>
      </c>
      <c r="AM97" s="52" t="s">
        <v>1519</v>
      </c>
    </row>
    <row r="98" spans="1:39" x14ac:dyDescent="0.2">
      <c r="A98" s="30">
        <v>642</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2: with Perpetrator (Mefenamic Acid)</v>
      </c>
      <c r="E98" s="141" t="str">
        <f>IF(AND(A98&lt;&gt;"",ISNUMBER(A98)),VLOOKUP(A98,Studies!A:BR,5,FALSE),"")</f>
        <v>Dapagliflozin</v>
      </c>
      <c r="F98" s="188" t="s">
        <v>1652</v>
      </c>
      <c r="G98" s="207" t="str">
        <f>IF(AND(A98&lt;&gt;"",ISNUMBER(A98)),VLOOKUP(A98,Studies!A:BR,13,FALSE),"")</f>
        <v>PO</v>
      </c>
      <c r="H98" s="140" t="s">
        <v>59</v>
      </c>
      <c r="I98" s="207" t="str">
        <f>IF(AND(A98&lt;&gt;"",ISNUMBER(A98)),VLOOKUP(A98,Studies!A:BR,6,FALSE),"")</f>
        <v>Plasma</v>
      </c>
      <c r="J98" s="43">
        <v>1.51</v>
      </c>
      <c r="K98" s="189" t="s">
        <v>1003</v>
      </c>
      <c r="L98" s="76" t="s">
        <v>1654</v>
      </c>
      <c r="M98" s="203" t="s">
        <v>1163</v>
      </c>
      <c r="N98" s="52">
        <v>1.1299999999999999</v>
      </c>
      <c r="O98" s="195" t="s">
        <v>1003</v>
      </c>
      <c r="P98" s="84" t="s">
        <v>1656</v>
      </c>
      <c r="Q98" s="204" t="s">
        <v>1163</v>
      </c>
      <c r="R98" s="38">
        <v>0</v>
      </c>
      <c r="S98" s="39" t="s">
        <v>938</v>
      </c>
      <c r="T98" s="40">
        <v>24</v>
      </c>
      <c r="U98" s="41" t="s">
        <v>938</v>
      </c>
      <c r="V98" s="42" t="s">
        <v>60</v>
      </c>
      <c r="X98" s="22" t="s">
        <v>1741</v>
      </c>
      <c r="Y98" s="139"/>
      <c r="Z98" s="139" t="s">
        <v>58</v>
      </c>
      <c r="AA98" s="178" t="s">
        <v>59</v>
      </c>
      <c r="AB98" s="178" t="s">
        <v>1660</v>
      </c>
      <c r="AC98" s="138" t="s">
        <v>60</v>
      </c>
      <c r="AD98" s="178" t="s">
        <v>1657</v>
      </c>
      <c r="AE98" s="176"/>
      <c r="AF98" s="179"/>
      <c r="AG98" s="180"/>
      <c r="AH98" s="180"/>
      <c r="AI98" s="180"/>
      <c r="AJ98" s="52" t="s">
        <v>1658</v>
      </c>
      <c r="AM98" s="52" t="s">
        <v>1659</v>
      </c>
    </row>
    <row r="99" spans="1:39" x14ac:dyDescent="0.2">
      <c r="A99" s="30">
        <v>643</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1: with Perpetrator (Rifampicin)</v>
      </c>
      <c r="E99" s="141" t="str">
        <f>IF(AND(A99&lt;&gt;"",ISNUMBER(A99)),VLOOKUP(A99,Studies!A:BR,5,FALSE),"")</f>
        <v>Dapagliflozin</v>
      </c>
      <c r="F99" s="188" t="s">
        <v>54</v>
      </c>
      <c r="G99" s="207" t="str">
        <f>IF(AND(A99&lt;&gt;"",ISNUMBER(A99)),VLOOKUP(A99,Studies!A:BR,13,FALSE),"")</f>
        <v>PO</v>
      </c>
      <c r="H99" s="140" t="s">
        <v>59</v>
      </c>
      <c r="I99" s="207" t="str">
        <f>IF(AND(A99&lt;&gt;"",ISNUMBER(A99)),VLOOKUP(A99,Studies!A:BR,6,FALSE),"")</f>
        <v>Plasma</v>
      </c>
      <c r="J99" s="43">
        <v>0.78</v>
      </c>
      <c r="K99" s="189" t="s">
        <v>1003</v>
      </c>
      <c r="L99" s="76" t="s">
        <v>1653</v>
      </c>
      <c r="M99" s="203" t="s">
        <v>1163</v>
      </c>
      <c r="N99" s="52">
        <v>0.93</v>
      </c>
      <c r="O99" s="195" t="s">
        <v>1003</v>
      </c>
      <c r="P99" s="84" t="s">
        <v>1655</v>
      </c>
      <c r="Q99" s="204" t="s">
        <v>1163</v>
      </c>
      <c r="R99" s="38">
        <v>0</v>
      </c>
      <c r="S99" s="39" t="s">
        <v>938</v>
      </c>
      <c r="T99" s="40">
        <v>120</v>
      </c>
      <c r="U99" s="41" t="s">
        <v>938</v>
      </c>
      <c r="V99" s="42" t="s">
        <v>60</v>
      </c>
      <c r="X99" s="22">
        <v>600</v>
      </c>
      <c r="Y99" s="139"/>
      <c r="Z99" s="139" t="s">
        <v>58</v>
      </c>
      <c r="AA99" s="178" t="s">
        <v>59</v>
      </c>
      <c r="AB99" s="178" t="s">
        <v>1491</v>
      </c>
      <c r="AC99" s="138" t="s">
        <v>60</v>
      </c>
      <c r="AD99" s="178" t="s">
        <v>167</v>
      </c>
      <c r="AE99" s="179"/>
      <c r="AF99" s="179"/>
      <c r="AG99" s="180"/>
      <c r="AH99" s="180"/>
      <c r="AI99" s="180"/>
    </row>
    <row r="100" spans="1:39" x14ac:dyDescent="0.2">
      <c r="A100" s="30">
        <v>757</v>
      </c>
      <c r="B100" s="206" t="str">
        <f>IF(AND(A100&lt;&gt;"",ISNUMBER(A100)),VLOOKUP(A100,Studies!A:BR,2,FALSE),"")</f>
        <v>Phillips 1986</v>
      </c>
      <c r="C100" s="206" t="str">
        <f>IF(AND(A100&lt;&gt;"",ISNUMBER(A100)),VLOOKUP(A100,Studies!A:BR,3,FALSE),"")</f>
        <v>https://www.ncbi.nlm.nih.gov/pubmed/3771812</v>
      </c>
      <c r="D100" s="206" t="str">
        <f>IF(AND(A100&lt;&gt;"",ISNUMBER(A100)),VLOOKUP(A100,Studies!A:BR,4,FALSE),"")</f>
        <v>Triazolam after 3 days of erythromycin</v>
      </c>
      <c r="E100" s="141" t="str">
        <f>IF(AND(A100&lt;&gt;"",ISNUMBER(A100)),VLOOKUP(A100,Studies!A:BR,5,FALSE),"")</f>
        <v>Triazolam</v>
      </c>
      <c r="F100" s="42" t="s">
        <v>356</v>
      </c>
      <c r="G100" s="207" t="str">
        <f>IF(AND(A100&lt;&gt;"",ISNUMBER(A100)),VLOOKUP(A100,Studies!A:BR,13,FALSE),"")</f>
        <v>PO</v>
      </c>
      <c r="H100" s="68" t="s">
        <v>59</v>
      </c>
      <c r="I100" s="207" t="str">
        <f>IF(AND(A100&lt;&gt;"",ISNUMBER(A100)),VLOOKUP(A100,Studies!A:BR,6,FALSE),"")</f>
        <v>Plasma</v>
      </c>
      <c r="J100" s="43">
        <v>2.059701</v>
      </c>
      <c r="K100" s="43" t="s">
        <v>1102</v>
      </c>
      <c r="N100" s="52">
        <v>1.464286</v>
      </c>
      <c r="O100" s="52" t="s">
        <v>1102</v>
      </c>
      <c r="R100" s="38">
        <v>0</v>
      </c>
      <c r="S100" s="39" t="s">
        <v>938</v>
      </c>
      <c r="T100" s="40">
        <v>64</v>
      </c>
      <c r="U100" s="41" t="s">
        <v>938</v>
      </c>
      <c r="V100" s="42" t="s">
        <v>60</v>
      </c>
      <c r="W100" s="30" t="s">
        <v>2192</v>
      </c>
      <c r="X100" s="22">
        <v>333</v>
      </c>
      <c r="Y100" s="182"/>
      <c r="Z100" s="182" t="s">
        <v>58</v>
      </c>
      <c r="AA100" s="178" t="s">
        <v>59</v>
      </c>
      <c r="AB100" s="178" t="s">
        <v>2191</v>
      </c>
      <c r="AC100" s="178" t="s">
        <v>60</v>
      </c>
      <c r="AD100" s="178" t="s">
        <v>1119</v>
      </c>
      <c r="AE100" s="179"/>
      <c r="AF100" s="179" t="s">
        <v>2187</v>
      </c>
      <c r="AG100" s="180"/>
      <c r="AH100" s="179"/>
      <c r="AI100" s="179"/>
    </row>
    <row r="101" spans="1:39" x14ac:dyDescent="0.2">
      <c r="A101" s="30">
        <v>761</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Grapefruit coadmin sequential</v>
      </c>
      <c r="E101" s="141" t="str">
        <f>IF(AND(A101&lt;&gt;"",ISNUMBER(A101)),VLOOKUP(A101,Studies!A:BR,5,FALSE),"")</f>
        <v>Alfentanil</v>
      </c>
      <c r="F101" s="42" t="s">
        <v>2154</v>
      </c>
      <c r="G101" s="207" t="str">
        <f>IF(AND(A101&lt;&gt;"",ISNUMBER(A101)),VLOOKUP(A101,Studies!A:BR,13,FALSE),"")</f>
        <v>IV</v>
      </c>
      <c r="H101" s="68" t="s">
        <v>59</v>
      </c>
      <c r="I101" s="207" t="str">
        <f>IF(AND(A101&lt;&gt;"",ISNUMBER(A101)),VLOOKUP(A101,Studies!A:BR,6,FALSE),"")</f>
        <v>Plasma</v>
      </c>
      <c r="J101" s="43">
        <v>1</v>
      </c>
      <c r="K101" s="43" t="s">
        <v>2155</v>
      </c>
      <c r="L101" s="76" t="s">
        <v>2156</v>
      </c>
      <c r="M101" s="76" t="s">
        <v>1163</v>
      </c>
      <c r="R101" s="38">
        <v>0</v>
      </c>
      <c r="S101" s="39" t="s">
        <v>938</v>
      </c>
      <c r="T101" s="40">
        <v>0</v>
      </c>
      <c r="U101" s="41" t="s">
        <v>938</v>
      </c>
      <c r="V101" s="42" t="s">
        <v>60</v>
      </c>
      <c r="X101" s="22">
        <v>8</v>
      </c>
      <c r="Y101" s="139"/>
      <c r="Z101" s="139" t="s">
        <v>2157</v>
      </c>
      <c r="AA101" s="22" t="s">
        <v>59</v>
      </c>
      <c r="AB101" s="22">
        <v>0</v>
      </c>
      <c r="AC101" s="138" t="s">
        <v>60</v>
      </c>
      <c r="AE101" s="176"/>
      <c r="AH101" s="180"/>
      <c r="AI101" s="180"/>
    </row>
    <row r="102" spans="1:39" x14ac:dyDescent="0.2">
      <c r="A102" s="30">
        <v>762</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Ketoconazole coadmin sequential</v>
      </c>
      <c r="E102" s="141" t="str">
        <f>IF(AND(A102&lt;&gt;"",ISNUMBER(A102)),VLOOKUP(A102,Studies!A:BR,5,FALSE),"")</f>
        <v>Alfentanil</v>
      </c>
      <c r="F102" s="42" t="s">
        <v>836</v>
      </c>
      <c r="G102" s="207" t="str">
        <f>IF(AND(A102&lt;&gt;"",ISNUMBER(A102)),VLOOKUP(A102,Studies!A:BR,13,FALSE),"")</f>
        <v>IV</v>
      </c>
      <c r="H102" s="68" t="s">
        <v>59</v>
      </c>
      <c r="I102" s="207" t="str">
        <f>IF(AND(A102&lt;&gt;"",ISNUMBER(A102)),VLOOKUP(A102,Studies!A:BR,6,FALSE),"")</f>
        <v>Plasma</v>
      </c>
      <c r="J102" s="43">
        <v>2.4</v>
      </c>
      <c r="K102" s="43" t="s">
        <v>2155</v>
      </c>
      <c r="R102" s="38">
        <v>0</v>
      </c>
      <c r="S102" s="39" t="s">
        <v>938</v>
      </c>
      <c r="T102" s="40">
        <v>60</v>
      </c>
      <c r="U102" s="41" t="s">
        <v>938</v>
      </c>
      <c r="V102" s="42" t="s">
        <v>60</v>
      </c>
      <c r="W102" s="30" t="s">
        <v>2158</v>
      </c>
      <c r="X102" s="22">
        <v>400</v>
      </c>
      <c r="Z102" s="28" t="s">
        <v>58</v>
      </c>
      <c r="AA102" s="22" t="s">
        <v>59</v>
      </c>
      <c r="AB102" s="22" t="s">
        <v>833</v>
      </c>
      <c r="AC102" s="22" t="s">
        <v>60</v>
      </c>
      <c r="AD102" s="22" t="s">
        <v>1511</v>
      </c>
    </row>
    <row r="103" spans="1:39" x14ac:dyDescent="0.2">
      <c r="A103" s="30">
        <v>763</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Rifampin coadmin sequential</v>
      </c>
      <c r="E103" s="141" t="str">
        <f>IF(AND(A103&lt;&gt;"",ISNUMBER(A103)),VLOOKUP(A103,Studies!A:BR,5,FALSE),"")</f>
        <v>Alfentanil</v>
      </c>
      <c r="F103" s="42" t="s">
        <v>54</v>
      </c>
      <c r="G103" s="207" t="str">
        <f>IF(AND(A103&lt;&gt;"",ISNUMBER(A103)),VLOOKUP(A103,Studies!A:BR,13,FALSE),"")</f>
        <v>IV</v>
      </c>
      <c r="H103" s="68" t="s">
        <v>59</v>
      </c>
      <c r="I103" s="207" t="str">
        <f>IF(AND(A103&lt;&gt;"",ISNUMBER(A103)),VLOOKUP(A103,Studies!A:BR,6,FALSE),"")</f>
        <v>Plasma</v>
      </c>
      <c r="J103" s="43">
        <v>0.4</v>
      </c>
      <c r="K103" s="43" t="s">
        <v>2155</v>
      </c>
      <c r="L103" s="76" t="s">
        <v>2159</v>
      </c>
      <c r="M103" s="76" t="s">
        <v>1163</v>
      </c>
      <c r="R103" s="38">
        <v>0</v>
      </c>
      <c r="S103" s="39" t="s">
        <v>938</v>
      </c>
      <c r="T103" s="40">
        <v>108</v>
      </c>
      <c r="U103" s="41" t="s">
        <v>938</v>
      </c>
      <c r="V103" s="42" t="s">
        <v>60</v>
      </c>
      <c r="X103" s="22">
        <v>600</v>
      </c>
      <c r="Z103" s="28" t="s">
        <v>58</v>
      </c>
      <c r="AA103" s="22" t="s">
        <v>59</v>
      </c>
      <c r="AB103" s="22" t="s">
        <v>1140</v>
      </c>
      <c r="AC103" s="22" t="s">
        <v>60</v>
      </c>
      <c r="AD103" s="22" t="s">
        <v>1511</v>
      </c>
    </row>
    <row r="104" spans="1:39" x14ac:dyDescent="0.2">
      <c r="A104" s="30">
        <v>765</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Grapefruit coadmin simultaneous</v>
      </c>
      <c r="E104" s="141" t="str">
        <f>IF(AND(A104&lt;&gt;"",ISNUMBER(A104)),VLOOKUP(A104,Studies!A:BR,5,FALSE),"")</f>
        <v>Alfentanil</v>
      </c>
      <c r="F104" s="42" t="s">
        <v>2154</v>
      </c>
      <c r="G104" s="207" t="str">
        <f>IF(AND(A104&lt;&gt;"",ISNUMBER(A104)),VLOOKUP(A104,Studies!A:BR,13,FALSE),"")</f>
        <v>IV</v>
      </c>
      <c r="H104" s="68" t="s">
        <v>59</v>
      </c>
      <c r="I104" s="207" t="str">
        <f>IF(AND(A104&lt;&gt;"",ISNUMBER(A104)),VLOOKUP(A104,Studies!A:BR,6,FALSE),"")</f>
        <v>Plasma</v>
      </c>
      <c r="J104" s="43">
        <v>1.2</v>
      </c>
      <c r="K104" s="43" t="s">
        <v>2155</v>
      </c>
      <c r="L104" s="76" t="s">
        <v>2160</v>
      </c>
      <c r="M104" s="76" t="s">
        <v>1163</v>
      </c>
      <c r="R104" s="38">
        <v>0</v>
      </c>
      <c r="S104" s="39" t="s">
        <v>938</v>
      </c>
      <c r="T104" s="40">
        <v>24</v>
      </c>
      <c r="U104" s="41" t="s">
        <v>938</v>
      </c>
      <c r="V104" s="42" t="s">
        <v>60</v>
      </c>
      <c r="X104" s="22">
        <v>8</v>
      </c>
      <c r="Z104" s="28" t="s">
        <v>2157</v>
      </c>
      <c r="AA104" s="22" t="s">
        <v>59</v>
      </c>
      <c r="AB104" s="22">
        <v>0</v>
      </c>
      <c r="AC104" s="22" t="s">
        <v>60</v>
      </c>
    </row>
    <row r="105" spans="1:39" x14ac:dyDescent="0.2">
      <c r="A105" s="30">
        <v>766</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Ketoconazole coadmin simultaneous</v>
      </c>
      <c r="E105" s="141" t="str">
        <f>IF(AND(A105&lt;&gt;"",ISNUMBER(A105)),VLOOKUP(A105,Studies!A:BR,5,FALSE),"")</f>
        <v>Alfentanil</v>
      </c>
      <c r="F105" s="42" t="s">
        <v>836</v>
      </c>
      <c r="G105" s="207" t="str">
        <f>IF(AND(A105&lt;&gt;"",ISNUMBER(A105)),VLOOKUP(A105,Studies!A:BR,13,FALSE),"")</f>
        <v>IV</v>
      </c>
      <c r="H105" s="68" t="s">
        <v>59</v>
      </c>
      <c r="I105" s="207" t="str">
        <f>IF(AND(A105&lt;&gt;"",ISNUMBER(A105)),VLOOKUP(A105,Studies!A:BR,6,FALSE),"")</f>
        <v>Plasma</v>
      </c>
      <c r="J105" s="43">
        <v>2.5</v>
      </c>
      <c r="K105" s="43" t="s">
        <v>2155</v>
      </c>
      <c r="R105" s="38">
        <v>0</v>
      </c>
      <c r="S105" s="39" t="s">
        <v>938</v>
      </c>
      <c r="T105" s="40">
        <v>84</v>
      </c>
      <c r="U105" s="41" t="s">
        <v>938</v>
      </c>
      <c r="V105" s="42" t="s">
        <v>60</v>
      </c>
      <c r="W105" s="30" t="s">
        <v>2158</v>
      </c>
      <c r="X105" s="22">
        <v>400</v>
      </c>
      <c r="Z105" s="28" t="s">
        <v>58</v>
      </c>
      <c r="AA105" s="22" t="s">
        <v>59</v>
      </c>
      <c r="AB105" s="22" t="s">
        <v>833</v>
      </c>
      <c r="AC105" s="22" t="s">
        <v>60</v>
      </c>
      <c r="AD105" s="22" t="s">
        <v>1511</v>
      </c>
    </row>
    <row r="106" spans="1:39" x14ac:dyDescent="0.2">
      <c r="A106" s="30">
        <v>767</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IV Rifampin coadmin simultaneous</v>
      </c>
      <c r="E106" s="141" t="str">
        <f>IF(AND(A106&lt;&gt;"",ISNUMBER(A106)),VLOOKUP(A106,Studies!A:BR,5,FALSE),"")</f>
        <v>Alfentanil</v>
      </c>
      <c r="F106" s="42" t="s">
        <v>54</v>
      </c>
      <c r="G106" s="207" t="str">
        <f>IF(AND(A106&lt;&gt;"",ISNUMBER(A106)),VLOOKUP(A106,Studies!A:BR,13,FALSE),"")</f>
        <v>IV</v>
      </c>
      <c r="H106" s="68" t="s">
        <v>59</v>
      </c>
      <c r="I106" s="207" t="str">
        <f>IF(AND(A106&lt;&gt;"",ISNUMBER(A106)),VLOOKUP(A106,Studies!A:BR,6,FALSE),"")</f>
        <v>Plasma</v>
      </c>
      <c r="J106" s="43">
        <v>0.4</v>
      </c>
      <c r="K106" s="43" t="s">
        <v>2155</v>
      </c>
      <c r="L106" s="76" t="s">
        <v>2161</v>
      </c>
      <c r="M106" s="76" t="s">
        <v>1163</v>
      </c>
      <c r="R106" s="38">
        <v>0</v>
      </c>
      <c r="S106" s="39" t="s">
        <v>938</v>
      </c>
      <c r="T106" s="40">
        <v>132</v>
      </c>
      <c r="U106" s="41" t="s">
        <v>938</v>
      </c>
      <c r="V106" s="42" t="s">
        <v>60</v>
      </c>
      <c r="X106" s="22">
        <v>600</v>
      </c>
      <c r="Z106" s="28" t="s">
        <v>58</v>
      </c>
      <c r="AA106" s="22" t="s">
        <v>59</v>
      </c>
      <c r="AB106" s="22" t="s">
        <v>1140</v>
      </c>
      <c r="AC106" s="22" t="s">
        <v>60</v>
      </c>
      <c r="AD106" s="22" t="s">
        <v>1511</v>
      </c>
    </row>
    <row r="107" spans="1:39" x14ac:dyDescent="0.2">
      <c r="A107" s="30">
        <v>769</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Grapefruit coadmin sequential</v>
      </c>
      <c r="E107" s="141" t="str">
        <f>IF(AND(A107&lt;&gt;"",ISNUMBER(A107)),VLOOKUP(A107,Studies!A:BR,5,FALSE),"")</f>
        <v>Alfentanil</v>
      </c>
      <c r="F107" s="42" t="s">
        <v>2154</v>
      </c>
      <c r="G107" s="207" t="str">
        <f>IF(AND(A107&lt;&gt;"",ISNUMBER(A107)),VLOOKUP(A107,Studies!A:BR,13,FALSE),"")</f>
        <v>PO</v>
      </c>
      <c r="H107" s="68" t="s">
        <v>59</v>
      </c>
      <c r="I107" s="207" t="str">
        <f>IF(AND(A107&lt;&gt;"",ISNUMBER(A107)),VLOOKUP(A107,Studies!A:BR,6,FALSE),"")</f>
        <v>Plasma</v>
      </c>
      <c r="J107" s="43">
        <v>1.7</v>
      </c>
      <c r="K107" s="43" t="s">
        <v>2155</v>
      </c>
      <c r="L107" s="76" t="s">
        <v>2162</v>
      </c>
      <c r="M107" s="76" t="s">
        <v>1163</v>
      </c>
      <c r="R107" s="38">
        <v>0</v>
      </c>
      <c r="S107" s="39" t="s">
        <v>938</v>
      </c>
      <c r="T107" s="40">
        <v>0</v>
      </c>
      <c r="U107" s="41" t="s">
        <v>938</v>
      </c>
      <c r="V107" s="42" t="s">
        <v>60</v>
      </c>
      <c r="X107" s="22">
        <v>8</v>
      </c>
      <c r="Z107" s="28" t="s">
        <v>2157</v>
      </c>
      <c r="AA107" s="22" t="s">
        <v>59</v>
      </c>
      <c r="AB107" s="22">
        <v>0</v>
      </c>
      <c r="AC107" s="22" t="s">
        <v>60</v>
      </c>
    </row>
    <row r="108" spans="1:39" x14ac:dyDescent="0.2">
      <c r="A108" s="30">
        <v>770</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Ketoconazole coadmin sequential</v>
      </c>
      <c r="E108" s="141" t="str">
        <f>IF(AND(A108&lt;&gt;"",ISNUMBER(A108)),VLOOKUP(A108,Studies!A:BR,5,FALSE),"")</f>
        <v>Alfentanil</v>
      </c>
      <c r="F108" s="42" t="s">
        <v>836</v>
      </c>
      <c r="G108" s="207" t="str">
        <f>IF(AND(A108&lt;&gt;"",ISNUMBER(A108)),VLOOKUP(A108,Studies!A:BR,13,FALSE),"")</f>
        <v>PO</v>
      </c>
      <c r="H108" s="68" t="s">
        <v>59</v>
      </c>
      <c r="I108" s="207" t="str">
        <f>IF(AND(A108&lt;&gt;"",ISNUMBER(A108)),VLOOKUP(A108,Studies!A:BR,6,FALSE),"")</f>
        <v>Plasma</v>
      </c>
      <c r="J108" s="43">
        <v>2.2999999999999998</v>
      </c>
      <c r="K108" s="43" t="s">
        <v>2155</v>
      </c>
      <c r="R108" s="38">
        <v>0</v>
      </c>
      <c r="S108" s="39" t="s">
        <v>938</v>
      </c>
      <c r="T108" s="40">
        <v>63</v>
      </c>
      <c r="U108" s="41" t="s">
        <v>938</v>
      </c>
      <c r="V108" s="42" t="s">
        <v>60</v>
      </c>
      <c r="W108" s="30" t="s">
        <v>2158</v>
      </c>
      <c r="X108" s="22">
        <v>400</v>
      </c>
      <c r="Z108" s="28" t="s">
        <v>58</v>
      </c>
      <c r="AA108" s="22" t="s">
        <v>59</v>
      </c>
      <c r="AB108" s="22" t="s">
        <v>833</v>
      </c>
      <c r="AC108" s="22" t="s">
        <v>60</v>
      </c>
      <c r="AD108" s="22" t="s">
        <v>1511</v>
      </c>
    </row>
    <row r="109" spans="1:39" x14ac:dyDescent="0.2">
      <c r="A109" s="30">
        <v>771</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Rifampin coadmin sequential</v>
      </c>
      <c r="E109" s="141" t="str">
        <f>IF(AND(A109&lt;&gt;"",ISNUMBER(A109)),VLOOKUP(A109,Studies!A:BR,5,FALSE),"")</f>
        <v>Alfentanil</v>
      </c>
      <c r="F109" s="42" t="s">
        <v>54</v>
      </c>
      <c r="G109" s="207" t="str">
        <f>IF(AND(A109&lt;&gt;"",ISNUMBER(A109)),VLOOKUP(A109,Studies!A:BR,13,FALSE),"")</f>
        <v>PO</v>
      </c>
      <c r="H109" s="68" t="s">
        <v>59</v>
      </c>
      <c r="I109" s="207" t="str">
        <f>IF(AND(A109&lt;&gt;"",ISNUMBER(A109)),VLOOKUP(A109,Studies!A:BR,6,FALSE),"")</f>
        <v>Plasma</v>
      </c>
      <c r="J109" s="43">
        <v>0.06</v>
      </c>
      <c r="K109" s="43" t="s">
        <v>2155</v>
      </c>
      <c r="L109" s="76" t="s">
        <v>2163</v>
      </c>
      <c r="M109" s="76" t="s">
        <v>1163</v>
      </c>
      <c r="R109" s="38">
        <v>0</v>
      </c>
      <c r="S109" s="39" t="s">
        <v>938</v>
      </c>
      <c r="T109" s="40">
        <v>111</v>
      </c>
      <c r="U109" s="41" t="s">
        <v>938</v>
      </c>
      <c r="V109" s="42" t="s">
        <v>60</v>
      </c>
      <c r="X109" s="22">
        <v>600</v>
      </c>
      <c r="Z109" s="28" t="s">
        <v>58</v>
      </c>
      <c r="AA109" s="22" t="s">
        <v>59</v>
      </c>
      <c r="AB109" s="22" t="s">
        <v>1140</v>
      </c>
      <c r="AC109" s="22" t="s">
        <v>60</v>
      </c>
      <c r="AD109" s="22" t="s">
        <v>1511</v>
      </c>
    </row>
    <row r="110" spans="1:39" x14ac:dyDescent="0.2">
      <c r="A110" s="30">
        <v>773</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Grapefruit coadmin simultaneous</v>
      </c>
      <c r="E110" s="141" t="str">
        <f>IF(AND(A110&lt;&gt;"",ISNUMBER(A110)),VLOOKUP(A110,Studies!A:BR,5,FALSE),"")</f>
        <v>Alfentanil</v>
      </c>
      <c r="F110" s="42" t="s">
        <v>2154</v>
      </c>
      <c r="G110" s="207" t="str">
        <f>IF(AND(A110&lt;&gt;"",ISNUMBER(A110)),VLOOKUP(A110,Studies!A:BR,13,FALSE),"")</f>
        <v>PO</v>
      </c>
      <c r="H110" s="68" t="s">
        <v>59</v>
      </c>
      <c r="I110" s="207" t="str">
        <f>IF(AND(A110&lt;&gt;"",ISNUMBER(A110)),VLOOKUP(A110,Studies!A:BR,6,FALSE),"")</f>
        <v>Plasma</v>
      </c>
      <c r="J110" s="43">
        <v>2.2000000000000002</v>
      </c>
      <c r="K110" s="43" t="s">
        <v>2155</v>
      </c>
      <c r="L110" s="76" t="s">
        <v>2164</v>
      </c>
      <c r="M110" s="76" t="s">
        <v>1163</v>
      </c>
      <c r="R110" s="38">
        <v>0</v>
      </c>
      <c r="S110" s="39" t="s">
        <v>938</v>
      </c>
      <c r="T110" s="40">
        <v>21</v>
      </c>
      <c r="U110" s="41" t="s">
        <v>938</v>
      </c>
      <c r="V110" s="42" t="s">
        <v>60</v>
      </c>
      <c r="X110" s="22">
        <v>8</v>
      </c>
      <c r="Z110" s="28" t="s">
        <v>2157</v>
      </c>
      <c r="AA110" s="22" t="s">
        <v>59</v>
      </c>
      <c r="AB110" s="22">
        <v>0</v>
      </c>
      <c r="AC110" s="22" t="s">
        <v>60</v>
      </c>
    </row>
    <row r="111" spans="1:39" x14ac:dyDescent="0.2">
      <c r="A111" s="30">
        <v>774</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Ketoconazole coadmin simultaneous</v>
      </c>
      <c r="E111" s="141" t="str">
        <f>IF(AND(A111&lt;&gt;"",ISNUMBER(A111)),VLOOKUP(A111,Studies!A:BR,5,FALSE),"")</f>
        <v>Alfentanil</v>
      </c>
      <c r="F111" s="42" t="s">
        <v>836</v>
      </c>
      <c r="G111" s="207" t="str">
        <f>IF(AND(A111&lt;&gt;"",ISNUMBER(A111)),VLOOKUP(A111,Studies!A:BR,13,FALSE),"")</f>
        <v>PO</v>
      </c>
      <c r="H111" s="68" t="s">
        <v>59</v>
      </c>
      <c r="I111" s="207" t="str">
        <f>IF(AND(A111&lt;&gt;"",ISNUMBER(A111)),VLOOKUP(A111,Studies!A:BR,6,FALSE),"")</f>
        <v>Plasma</v>
      </c>
      <c r="J111" s="43">
        <v>3</v>
      </c>
      <c r="K111" s="43" t="s">
        <v>2155</v>
      </c>
      <c r="R111" s="38">
        <v>0</v>
      </c>
      <c r="S111" s="39" t="s">
        <v>938</v>
      </c>
      <c r="T111" s="40">
        <v>84</v>
      </c>
      <c r="U111" s="41" t="s">
        <v>938</v>
      </c>
      <c r="V111" s="42" t="s">
        <v>60</v>
      </c>
      <c r="W111" s="30" t="s">
        <v>2158</v>
      </c>
      <c r="X111" s="22">
        <v>400</v>
      </c>
      <c r="Z111" s="28" t="s">
        <v>58</v>
      </c>
      <c r="AA111" s="22" t="s">
        <v>59</v>
      </c>
      <c r="AB111" s="22" t="s">
        <v>833</v>
      </c>
      <c r="AC111" s="22" t="s">
        <v>60</v>
      </c>
      <c r="AD111" s="22" t="s">
        <v>1511</v>
      </c>
    </row>
    <row r="112" spans="1:39" x14ac:dyDescent="0.2">
      <c r="A112" s="30">
        <v>775</v>
      </c>
      <c r="B112" s="206" t="str">
        <f>IF(AND(A112&lt;&gt;"",ISNUMBER(A112)),VLOOKUP(A112,Studies!A:BR,2,FALSE),"")</f>
        <v>Kharasch 2011b</v>
      </c>
      <c r="C112" s="206" t="str">
        <f>IF(AND(A112&lt;&gt;"",ISNUMBER(A112)),VLOOKUP(A112,Studies!A:BR,3,FALSE),"")</f>
        <v>https://www.ncbi.nlm.nih.gov/pmc/articles/PMC3584707/</v>
      </c>
      <c r="D112" s="206" t="str">
        <f>IF(AND(A112&lt;&gt;"",ISNUMBER(A112)),VLOOKUP(A112,Studies!A:BR,4,FALSE),"")</f>
        <v>Alfentanil PO Rifampin coadmin simultaneous</v>
      </c>
      <c r="E112" s="141" t="str">
        <f>IF(AND(A112&lt;&gt;"",ISNUMBER(A112)),VLOOKUP(A112,Studies!A:BR,5,FALSE),"")</f>
        <v>Alfentanil</v>
      </c>
      <c r="F112" s="42" t="s">
        <v>54</v>
      </c>
      <c r="G112" s="207" t="str">
        <f>IF(AND(A112&lt;&gt;"",ISNUMBER(A112)),VLOOKUP(A112,Studies!A:BR,13,FALSE),"")</f>
        <v>PO</v>
      </c>
      <c r="H112" s="68" t="s">
        <v>59</v>
      </c>
      <c r="I112" s="207" t="str">
        <f>IF(AND(A112&lt;&gt;"",ISNUMBER(A112)),VLOOKUP(A112,Studies!A:BR,6,FALSE),"")</f>
        <v>Plasma</v>
      </c>
      <c r="J112" s="43">
        <v>0.06</v>
      </c>
      <c r="K112" s="189" t="s">
        <v>2155</v>
      </c>
      <c r="L112" s="76" t="s">
        <v>2165</v>
      </c>
      <c r="M112" s="76" t="s">
        <v>1163</v>
      </c>
      <c r="O112" s="195"/>
      <c r="R112" s="38">
        <v>0</v>
      </c>
      <c r="S112" s="39" t="s">
        <v>938</v>
      </c>
      <c r="T112" s="40">
        <v>132</v>
      </c>
      <c r="U112" s="41" t="s">
        <v>938</v>
      </c>
      <c r="V112" s="42" t="s">
        <v>60</v>
      </c>
      <c r="X112" s="22">
        <v>600</v>
      </c>
      <c r="Z112" s="28" t="s">
        <v>58</v>
      </c>
      <c r="AA112" s="22" t="s">
        <v>59</v>
      </c>
      <c r="AB112" s="22" t="s">
        <v>1140</v>
      </c>
      <c r="AC112" s="22" t="s">
        <v>60</v>
      </c>
      <c r="AD112" s="22" t="s">
        <v>1511</v>
      </c>
      <c r="AJ112" s="195"/>
      <c r="AK112" s="195"/>
    </row>
    <row r="113" spans="1:39" x14ac:dyDescent="0.2">
      <c r="A113" s="30">
        <v>777</v>
      </c>
      <c r="B113" s="206" t="str">
        <f>IF(AND(A113&lt;&gt;"",ISNUMBER(A113)),VLOOKUP(A113,Studies!A:BR,2,FALSE),"")</f>
        <v>Yasui 1996</v>
      </c>
      <c r="C113" s="206" t="str">
        <f>IF(AND(A113&lt;&gt;"",ISNUMBER(A113)),VLOOKUP(A113,Studies!A:BR,3,FALSE),"")</f>
        <v>https://www.ncbi.nlm.nih.gov/pubmed/8646822</v>
      </c>
      <c r="D113" s="206" t="str">
        <f>IF(AND(A113&lt;&gt;"",ISNUMBER(A113)),VLOOKUP(A113,Studies!A:BR,4,FALSE),"")</f>
        <v>Treatment with erythromycin</v>
      </c>
      <c r="E113" s="141" t="str">
        <f>IF(AND(A113&lt;&gt;"",ISNUMBER(A113)),VLOOKUP(A113,Studies!A:BR,5,FALSE),"")</f>
        <v>Alprazolam</v>
      </c>
      <c r="F113" s="188" t="s">
        <v>356</v>
      </c>
      <c r="G113" s="207" t="str">
        <f>IF(AND(A113&lt;&gt;"",ISNUMBER(A113)),VLOOKUP(A113,Studies!A:BR,13,FALSE),"")</f>
        <v>PO</v>
      </c>
      <c r="H113" s="68" t="s">
        <v>59</v>
      </c>
      <c r="I113" s="207" t="str">
        <f>IF(AND(A113&lt;&gt;"",ISNUMBER(A113)),VLOOKUP(A113,Studies!A:BR,6,FALSE),"")</f>
        <v>Plasma</v>
      </c>
      <c r="J113" s="43">
        <v>2.471616</v>
      </c>
      <c r="K113" s="189" t="s">
        <v>1102</v>
      </c>
      <c r="M113" s="203"/>
      <c r="N113" s="52">
        <v>1.183333</v>
      </c>
      <c r="O113" s="52" t="s">
        <v>1102</v>
      </c>
      <c r="R113" s="38">
        <v>170</v>
      </c>
      <c r="S113" s="39" t="s">
        <v>938</v>
      </c>
      <c r="T113" s="40">
        <v>170</v>
      </c>
      <c r="U113" s="41" t="s">
        <v>938</v>
      </c>
      <c r="V113" s="42" t="s">
        <v>60</v>
      </c>
      <c r="X113" s="22">
        <v>400</v>
      </c>
      <c r="Z113" s="28" t="s">
        <v>58</v>
      </c>
      <c r="AA113" s="22" t="s">
        <v>59</v>
      </c>
      <c r="AB113" s="22" t="s">
        <v>2176</v>
      </c>
      <c r="AC113" s="22" t="s">
        <v>60</v>
      </c>
      <c r="AD113" s="22" t="s">
        <v>1119</v>
      </c>
      <c r="AF113" s="23" t="s">
        <v>2177</v>
      </c>
      <c r="AJ113" s="52" t="s">
        <v>62</v>
      </c>
      <c r="AK113" s="52" t="s">
        <v>1976</v>
      </c>
    </row>
    <row r="114" spans="1:39" x14ac:dyDescent="0.2">
      <c r="A114" s="30">
        <v>779</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1</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1.026178</v>
      </c>
      <c r="K114" s="189" t="s">
        <v>2155</v>
      </c>
      <c r="L114" s="76">
        <v>1.204995</v>
      </c>
      <c r="M114" s="76" t="s">
        <v>2184</v>
      </c>
      <c r="R114" s="38">
        <v>0</v>
      </c>
      <c r="S114" s="39" t="s">
        <v>938</v>
      </c>
      <c r="T114" s="40">
        <v>1.5</v>
      </c>
      <c r="U114" s="41" t="s">
        <v>938</v>
      </c>
      <c r="V114" s="42" t="s">
        <v>60</v>
      </c>
      <c r="W114" s="183" t="s">
        <v>2185</v>
      </c>
      <c r="X114" s="22">
        <v>500</v>
      </c>
      <c r="Z114" s="28" t="s">
        <v>58</v>
      </c>
      <c r="AA114" s="22" t="s">
        <v>59</v>
      </c>
      <c r="AB114" s="22">
        <v>0</v>
      </c>
      <c r="AC114" s="22" t="s">
        <v>60</v>
      </c>
      <c r="AD114" s="22" t="s">
        <v>79</v>
      </c>
      <c r="AF114" s="23" t="s">
        <v>2187</v>
      </c>
      <c r="AJ114" s="52" t="s">
        <v>62</v>
      </c>
      <c r="AK114" s="52" t="s">
        <v>1976</v>
      </c>
    </row>
    <row r="115" spans="1:39" x14ac:dyDescent="0.2">
      <c r="A115" s="30">
        <v>780</v>
      </c>
      <c r="B115" s="206" t="str">
        <f>IF(AND(A115&lt;&gt;"",ISNUMBER(A115)),VLOOKUP(A115,Studies!A:BR,2,FALSE),"")</f>
        <v>Bartkowski 1989</v>
      </c>
      <c r="C115" s="206" t="str">
        <f>IF(AND(A115&lt;&gt;"",ISNUMBER(A115)),VLOOKUP(A115,Studies!A:BR,3,FALSE),"")</f>
        <v>https://www.ncbi.nlm.nih.gov/pubmed/2501060</v>
      </c>
      <c r="D115" s="206" t="str">
        <f>IF(AND(A115&lt;&gt;"",ISNUMBER(A115)),VLOOKUP(A115,Studies!A:BR,4,FALSE),"")</f>
        <v>Treatment Day 7</v>
      </c>
      <c r="E115" s="141" t="str">
        <f>IF(AND(A115&lt;&gt;"",ISNUMBER(A115)),VLOOKUP(A115,Studies!A:BR,5,FALSE),"")</f>
        <v>Alfentanil</v>
      </c>
      <c r="F115" s="42" t="s">
        <v>356</v>
      </c>
      <c r="G115" s="207" t="str">
        <f>IF(AND(A115&lt;&gt;"",ISNUMBER(A115)),VLOOKUP(A115,Studies!A:BR,13,FALSE),"")</f>
        <v>IV</v>
      </c>
      <c r="H115" s="140" t="s">
        <v>59</v>
      </c>
      <c r="I115" s="207" t="str">
        <f>IF(AND(A115&lt;&gt;"",ISNUMBER(A115)),VLOOKUP(A115,Studies!A:BR,6,FALSE),"")</f>
        <v>Serum</v>
      </c>
      <c r="J115" s="43">
        <v>1.4610939999999999</v>
      </c>
      <c r="K115" s="43" t="s">
        <v>2155</v>
      </c>
      <c r="L115" s="76">
        <v>1.312773</v>
      </c>
      <c r="M115" s="203" t="s">
        <v>2184</v>
      </c>
      <c r="O115" s="195"/>
      <c r="R115" s="38">
        <v>0</v>
      </c>
      <c r="S115" s="39" t="s">
        <v>938</v>
      </c>
      <c r="T115" s="40">
        <v>145.5</v>
      </c>
      <c r="U115" s="41" t="s">
        <v>938</v>
      </c>
      <c r="V115" s="42" t="s">
        <v>60</v>
      </c>
      <c r="W115" s="30" t="s">
        <v>2185</v>
      </c>
      <c r="X115" s="22">
        <v>500</v>
      </c>
      <c r="Z115" s="28" t="s">
        <v>58</v>
      </c>
      <c r="AA115" s="22" t="s">
        <v>59</v>
      </c>
      <c r="AB115" s="22" t="s">
        <v>2186</v>
      </c>
      <c r="AC115" s="22" t="s">
        <v>60</v>
      </c>
      <c r="AD115" s="22" t="s">
        <v>1115</v>
      </c>
      <c r="AF115" s="23" t="s">
        <v>2187</v>
      </c>
      <c r="AJ115" s="195" t="s">
        <v>62</v>
      </c>
      <c r="AK115" s="195" t="s">
        <v>1976</v>
      </c>
      <c r="AL115" s="195"/>
      <c r="AM115" s="195"/>
    </row>
    <row r="116" spans="1:39" x14ac:dyDescent="0.2">
      <c r="A116" s="30">
        <v>781</v>
      </c>
      <c r="B116" s="206" t="str">
        <f>IF(AND(A116&lt;&gt;"",ISNUMBER(A116)),VLOOKUP(A116,Studies!A:BR,2,FALSE),"")</f>
        <v>Greenblatt 1998a</v>
      </c>
      <c r="C116" s="206" t="str">
        <f>IF(AND(A116&lt;&gt;"",ISNUMBER(A116)),VLOOKUP(A116,Studies!A:BR,3,FALSE),"")</f>
        <v>https://www.ncbi.nlm.nih.gov/pubmed/9757151</v>
      </c>
      <c r="D116" s="206" t="str">
        <f>IF(AND(A116&lt;&gt;"",ISNUMBER(A116)),VLOOKUP(A116,Studies!A:BR,4,FALSE),"")</f>
        <v>Triazolam + Erythromycin (Trial D)</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3.65</v>
      </c>
      <c r="K116" s="189" t="s">
        <v>1125</v>
      </c>
      <c r="L116" s="76">
        <v>0.42</v>
      </c>
      <c r="M116" s="76" t="s">
        <v>1124</v>
      </c>
      <c r="N116" s="52">
        <v>1.768</v>
      </c>
      <c r="O116" s="195" t="s">
        <v>1102</v>
      </c>
      <c r="R116" s="38">
        <v>0</v>
      </c>
      <c r="S116" s="39" t="s">
        <v>938</v>
      </c>
      <c r="T116" s="40">
        <v>25</v>
      </c>
      <c r="U116" s="41" t="s">
        <v>938</v>
      </c>
      <c r="V116" s="42" t="s">
        <v>60</v>
      </c>
      <c r="X116" s="22">
        <v>500</v>
      </c>
      <c r="Z116" s="28" t="s">
        <v>58</v>
      </c>
      <c r="AA116" s="22" t="s">
        <v>59</v>
      </c>
      <c r="AB116" s="22" t="s">
        <v>2190</v>
      </c>
      <c r="AC116" s="22" t="s">
        <v>60</v>
      </c>
      <c r="AD116" s="22" t="s">
        <v>2661</v>
      </c>
      <c r="AF116" s="23" t="s">
        <v>1142</v>
      </c>
      <c r="AI116" s="23" t="s">
        <v>2662</v>
      </c>
      <c r="AJ116" s="167" t="s">
        <v>436</v>
      </c>
      <c r="AK116" s="168"/>
      <c r="AL116" s="106" t="s">
        <v>203</v>
      </c>
      <c r="AM116" s="167" t="s">
        <v>517</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2201</v>
      </c>
      <c r="G117" s="207" t="str">
        <f>IF(AND(A117&lt;&gt;"",ISNUMBER(A117)),VLOOKUP(A117,Studies!A:BR,13,FALSE),"")</f>
        <v>PO</v>
      </c>
      <c r="H117" s="140" t="s">
        <v>59</v>
      </c>
      <c r="I117" s="207" t="str">
        <f>IF(AND(A117&lt;&gt;"",ISNUMBER(A117)),VLOOKUP(A117,Studies!A:BR,6,FALSE),"")</f>
        <v>Plasma</v>
      </c>
      <c r="J117" s="43">
        <v>0.22</v>
      </c>
      <c r="K117" s="43" t="s">
        <v>2155</v>
      </c>
      <c r="L117" s="203" t="s">
        <v>2269</v>
      </c>
      <c r="M117" s="76" t="s">
        <v>1163</v>
      </c>
      <c r="N117" s="52">
        <v>0.42857139999999999</v>
      </c>
      <c r="O117" s="195" t="s">
        <v>1102</v>
      </c>
      <c r="R117" s="38">
        <v>0</v>
      </c>
      <c r="S117" s="39" t="s">
        <v>938</v>
      </c>
      <c r="T117" s="40">
        <v>336.5</v>
      </c>
      <c r="U117" s="41" t="s">
        <v>938</v>
      </c>
      <c r="V117" s="42" t="s">
        <v>60</v>
      </c>
      <c r="W117" s="30" t="s">
        <v>2263</v>
      </c>
      <c r="X117" s="22">
        <v>600</v>
      </c>
      <c r="Z117" s="28" t="s">
        <v>58</v>
      </c>
      <c r="AA117" s="22" t="s">
        <v>59</v>
      </c>
      <c r="AB117" s="22" t="s">
        <v>2262</v>
      </c>
      <c r="AC117" s="22" t="s">
        <v>60</v>
      </c>
      <c r="AD117" s="22" t="s">
        <v>1511</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2201</v>
      </c>
      <c r="G118" s="207" t="str">
        <f>IF(AND(A118&lt;&gt;"",ISNUMBER(A118)),VLOOKUP(A118,Studies!A:BR,13,FALSE),"")</f>
        <v>IV</v>
      </c>
      <c r="H118" s="140" t="s">
        <v>59</v>
      </c>
      <c r="I118" s="207" t="str">
        <f>IF(AND(A118&lt;&gt;"",ISNUMBER(A118)),VLOOKUP(A118,Studies!A:BR,6,FALSE),"")</f>
        <v>Plasma</v>
      </c>
      <c r="J118" s="43">
        <v>0.54</v>
      </c>
      <c r="K118" s="43" t="s">
        <v>2155</v>
      </c>
      <c r="L118" s="203" t="s">
        <v>2268</v>
      </c>
      <c r="M118" s="76" t="s">
        <v>1163</v>
      </c>
      <c r="N118" s="52">
        <v>1.097826</v>
      </c>
      <c r="O118" s="195" t="s">
        <v>1102</v>
      </c>
      <c r="R118" s="38">
        <v>0</v>
      </c>
      <c r="S118" s="39" t="s">
        <v>938</v>
      </c>
      <c r="T118" s="40">
        <v>360.5</v>
      </c>
      <c r="U118" s="41" t="s">
        <v>938</v>
      </c>
      <c r="V118" s="42" t="s">
        <v>60</v>
      </c>
      <c r="W118" s="30" t="s">
        <v>2263</v>
      </c>
      <c r="X118" s="22">
        <v>600</v>
      </c>
      <c r="Z118" s="28" t="s">
        <v>58</v>
      </c>
      <c r="AA118" s="22" t="s">
        <v>59</v>
      </c>
      <c r="AB118" s="22" t="s">
        <v>2262</v>
      </c>
      <c r="AC118" s="22" t="s">
        <v>60</v>
      </c>
      <c r="AD118" s="22" t="s">
        <v>1511</v>
      </c>
    </row>
    <row r="119" spans="1:39" x14ac:dyDescent="0.2">
      <c r="A119" s="30">
        <v>1001</v>
      </c>
      <c r="B119" s="206" t="str">
        <f>IF(AND(A119&lt;&gt;"",ISNUMBER(A119)),VLOOKUP(A119,Studies!A:BR,2,FALSE),"")</f>
        <v>Schmider 1999</v>
      </c>
      <c r="C119" s="206" t="str">
        <f>IF(AND(A119&lt;&gt;"",ISNUMBER(A119)),VLOOKUP(A119,Studies!A:BR,3,FALSE),"")</f>
        <v>https://www.ncbi.nlm.nih.gov/pubmed/10634135</v>
      </c>
      <c r="D119" s="206" t="str">
        <f>IF(AND(A119&lt;&gt;"",ISNUMBER(A119)),VLOOKUP(A119,Studies!A:BR,4,FALSE),"")</f>
        <v>Alprazolam + Rifampin</v>
      </c>
      <c r="E119" s="141" t="str">
        <f>IF(AND(A119&lt;&gt;"",ISNUMBER(A119)),VLOOKUP(A119,Studies!A:BR,5,FALSE),"")</f>
        <v>Alprazolam</v>
      </c>
      <c r="F119" s="42" t="s">
        <v>1132</v>
      </c>
      <c r="G119" s="207" t="str">
        <f>IF(AND(A119&lt;&gt;"",ISNUMBER(A119)),VLOOKUP(A119,Studies!A:BR,13,FALSE),"")</f>
        <v>PO</v>
      </c>
      <c r="H119" s="68" t="s">
        <v>59</v>
      </c>
      <c r="I119" s="207" t="str">
        <f>IF(AND(A119&lt;&gt;"",ISNUMBER(A119)),VLOOKUP(A119,Studies!A:BR,6,FALSE),"")</f>
        <v>Plasma</v>
      </c>
      <c r="J119" s="43">
        <v>0.11725846407927333</v>
      </c>
      <c r="K119" s="43" t="s">
        <v>1102</v>
      </c>
      <c r="L119" s="203"/>
      <c r="N119" s="52">
        <v>0.63815789473684204</v>
      </c>
      <c r="O119" s="52" t="s">
        <v>1103</v>
      </c>
      <c r="R119" s="38">
        <v>0</v>
      </c>
      <c r="S119" s="39" t="s">
        <v>938</v>
      </c>
      <c r="T119" s="40">
        <v>96</v>
      </c>
      <c r="U119" s="41" t="s">
        <v>938</v>
      </c>
      <c r="V119" s="42" t="s">
        <v>60</v>
      </c>
      <c r="W119" s="30" t="s">
        <v>2853</v>
      </c>
      <c r="X119" s="22">
        <v>450</v>
      </c>
      <c r="Z119" s="28" t="s">
        <v>58</v>
      </c>
      <c r="AB119" s="22" t="s">
        <v>2325</v>
      </c>
      <c r="AC119" s="22" t="s">
        <v>60</v>
      </c>
      <c r="AD119" s="22" t="s">
        <v>1511</v>
      </c>
    </row>
    <row r="120" spans="1:39" x14ac:dyDescent="0.2">
      <c r="A120" s="30">
        <v>1002</v>
      </c>
      <c r="B120" s="206" t="str">
        <f>IF(AND(A120&lt;&gt;"",ISNUMBER(A120)),VLOOKUP(A120,Studies!A:BR,2,FALSE),"")</f>
        <v>Schmider 1999</v>
      </c>
      <c r="C120" s="206" t="str">
        <f>IF(AND(A120&lt;&gt;"",ISNUMBER(A120)),VLOOKUP(A120,Studies!A:BR,3,FALSE),"")</f>
        <v>https://www.ncbi.nlm.nih.gov/pubmed/10634135</v>
      </c>
      <c r="D120" s="206" t="str">
        <f>IF(AND(A120&lt;&gt;"",ISNUMBER(A120)),VLOOKUP(A120,Studies!A:BR,4,FALSE),"")</f>
        <v>Alprazolam + Ketoconazole</v>
      </c>
      <c r="E120" s="141" t="str">
        <f>IF(AND(A120&lt;&gt;"",ISNUMBER(A120)),VLOOKUP(A120,Studies!A:BR,5,FALSE),"")</f>
        <v>Alprazolam</v>
      </c>
      <c r="F120" s="42" t="s">
        <v>836</v>
      </c>
      <c r="G120" s="207" t="str">
        <f>IF(AND(A120&lt;&gt;"",ISNUMBER(A120)),VLOOKUP(A120,Studies!A:BR,13,FALSE),"")</f>
        <v>PO</v>
      </c>
      <c r="H120" s="68" t="s">
        <v>59</v>
      </c>
      <c r="I120" s="207" t="str">
        <f>IF(AND(A120&lt;&gt;"",ISNUMBER(A120)),VLOOKUP(A120,Studies!A:BR,6,FALSE),"")</f>
        <v>Plasma</v>
      </c>
      <c r="J120" s="43">
        <v>1.7597027250206441</v>
      </c>
      <c r="K120" s="43" t="s">
        <v>1102</v>
      </c>
      <c r="N120" s="52">
        <v>1.0789473684210527</v>
      </c>
      <c r="O120" s="52" t="s">
        <v>1103</v>
      </c>
      <c r="R120" s="38">
        <v>0</v>
      </c>
      <c r="S120" s="39" t="s">
        <v>938</v>
      </c>
      <c r="T120" s="40">
        <v>48</v>
      </c>
      <c r="U120" s="41" t="s">
        <v>938</v>
      </c>
      <c r="V120" s="42" t="s">
        <v>60</v>
      </c>
      <c r="W120" s="30" t="s">
        <v>2854</v>
      </c>
      <c r="X120" s="22">
        <v>200</v>
      </c>
      <c r="Z120" s="28" t="s">
        <v>58</v>
      </c>
      <c r="AB120" s="22" t="s">
        <v>2689</v>
      </c>
      <c r="AC120" s="22" t="s">
        <v>60</v>
      </c>
      <c r="AD120" s="22" t="s">
        <v>1115</v>
      </c>
    </row>
    <row r="121" spans="1:39" x14ac:dyDescent="0.2">
      <c r="A121" s="30">
        <v>1004</v>
      </c>
      <c r="B121" s="206" t="str">
        <f>IF(AND(A121&lt;&gt;"",ISNUMBER(A121)),VLOOKUP(A121,Studies!A:BR,2,FALSE),"")</f>
        <v>Villikka 1997</v>
      </c>
      <c r="C121" s="206" t="str">
        <f>IF(AND(A121&lt;&gt;"",ISNUMBER(A121)),VLOOKUP(A121,Studies!A:BR,3,FALSE),"")</f>
        <v>https://www.ncbi.nlm.nih.gov/pubmed/9024169</v>
      </c>
      <c r="D121" s="206" t="str">
        <f>IF(AND(A121&lt;&gt;"",ISNUMBER(A121)),VLOOKUP(A121,Studies!A:BR,4,FALSE),"")</f>
        <v>Treatment arm (pretreatment with rifampin; 600 mg; 5 days)</v>
      </c>
      <c r="E121" s="141" t="str">
        <f>IF(AND(A121&lt;&gt;"",ISNUMBER(A121)),VLOOKUP(A121,Studies!A:BR,5,FALSE),"")</f>
        <v>Triazolam</v>
      </c>
      <c r="F121" s="42" t="s">
        <v>1132</v>
      </c>
      <c r="G121" s="207" t="str">
        <f>IF(AND(A121&lt;&gt;"",ISNUMBER(A121)),VLOOKUP(A121,Studies!A:BR,13,FALSE),"")</f>
        <v>PO</v>
      </c>
      <c r="H121" s="68" t="s">
        <v>59</v>
      </c>
      <c r="I121" s="207" t="str">
        <f>IF(AND(A121&lt;&gt;"",ISNUMBER(A121)),VLOOKUP(A121,Studies!A:BR,6,FALSE),"")</f>
        <v>Plasma</v>
      </c>
      <c r="J121" s="43">
        <v>5.0999999999999997E-2</v>
      </c>
      <c r="K121" s="43" t="s">
        <v>1125</v>
      </c>
      <c r="L121" s="76" t="s">
        <v>2859</v>
      </c>
      <c r="M121" s="76" t="s">
        <v>2860</v>
      </c>
      <c r="N121" s="52">
        <v>0.12413793103448276</v>
      </c>
      <c r="O121" s="52" t="s">
        <v>1103</v>
      </c>
      <c r="R121" s="38">
        <v>0</v>
      </c>
      <c r="S121" s="39" t="s">
        <v>938</v>
      </c>
      <c r="T121" s="40">
        <v>113</v>
      </c>
      <c r="U121" s="41" t="s">
        <v>938</v>
      </c>
      <c r="V121" s="42" t="s">
        <v>60</v>
      </c>
      <c r="W121" s="30" t="s">
        <v>2861</v>
      </c>
      <c r="X121" s="22">
        <v>600</v>
      </c>
      <c r="Z121" s="28" t="s">
        <v>58</v>
      </c>
      <c r="AA121" s="22" t="s">
        <v>59</v>
      </c>
      <c r="AB121" s="22" t="s">
        <v>2676</v>
      </c>
      <c r="AC121" s="22" t="s">
        <v>60</v>
      </c>
      <c r="AD121" s="22" t="s">
        <v>2862</v>
      </c>
      <c r="AF121" s="23" t="s">
        <v>2705</v>
      </c>
    </row>
    <row r="122" spans="1:39" x14ac:dyDescent="0.2">
      <c r="A122" s="30">
        <v>1026</v>
      </c>
      <c r="B122" s="206" t="str">
        <f>IF(AND(A122&lt;&gt;"",ISNUMBER(A122)),VLOOKUP(A122,Studies!A:BR,2,FALSE),"")</f>
        <v>Yasui 1998</v>
      </c>
      <c r="C122" s="206" t="str">
        <f>IF(AND(A122&lt;&gt;"",ISNUMBER(A122)),VLOOKUP(A122,Studies!A:BR,3,FALSE),"")</f>
        <v>https://www.ncbi.nlm.nih.gov/pubmed/9784084</v>
      </c>
      <c r="D122" s="206" t="str">
        <f>IF(AND(A122&lt;&gt;"",ISNUMBER(A122)),VLOOKUP(A122,Studies!A:BR,4,FALSE),"")</f>
        <v>Alprazolam with itraconazole</v>
      </c>
      <c r="E122" s="141" t="str">
        <f>IF(AND(A122&lt;&gt;"",ISNUMBER(A122)),VLOOKUP(A122,Studies!A:BR,5,FALSE),"")</f>
        <v>Alprazolam</v>
      </c>
      <c r="F122" s="42" t="s">
        <v>149</v>
      </c>
      <c r="G122" s="207" t="str">
        <f>IF(AND(A122&lt;&gt;"",ISNUMBER(A122)),VLOOKUP(A122,Studies!A:BR,13,FALSE),"")</f>
        <v>PO</v>
      </c>
      <c r="H122" s="68" t="s">
        <v>59</v>
      </c>
      <c r="I122" s="207" t="str">
        <f>IF(AND(A122&lt;&gt;"",ISNUMBER(A122)),VLOOKUP(A122,Studies!A:BR,6,FALSE),"")</f>
        <v>Plasma</v>
      </c>
      <c r="J122" s="43">
        <v>2.6626984126984126</v>
      </c>
      <c r="K122" s="43" t="s">
        <v>1102</v>
      </c>
      <c r="N122" s="52">
        <v>1.2868217054263567</v>
      </c>
      <c r="O122" s="52" t="s">
        <v>1103</v>
      </c>
      <c r="R122" s="38">
        <v>0</v>
      </c>
      <c r="S122" s="39" t="s">
        <v>938</v>
      </c>
      <c r="T122" s="40">
        <v>73</v>
      </c>
      <c r="U122" s="41" t="s">
        <v>938</v>
      </c>
      <c r="V122" s="42" t="s">
        <v>60</v>
      </c>
      <c r="X122" s="22">
        <v>200</v>
      </c>
      <c r="Z122" s="28" t="s">
        <v>58</v>
      </c>
      <c r="AA122" s="22" t="s">
        <v>59</v>
      </c>
      <c r="AB122" s="22" t="s">
        <v>2710</v>
      </c>
      <c r="AC122" s="22" t="s">
        <v>60</v>
      </c>
      <c r="AD122" s="22" t="s">
        <v>2864</v>
      </c>
      <c r="AF122" s="23" t="s">
        <v>2711</v>
      </c>
    </row>
    <row r="123" spans="1:39" x14ac:dyDescent="0.2">
      <c r="A123" s="30">
        <v>1028</v>
      </c>
      <c r="B123" s="206" t="str">
        <f>IF(AND(A123&lt;&gt;"",ISNUMBER(A123)),VLOOKUP(A123,Studies!A:BR,2,FALSE),"")</f>
        <v>Varhe 1994</v>
      </c>
      <c r="C123" s="206" t="str">
        <f>IF(AND(A123&lt;&gt;"",ISNUMBER(A123)),VLOOKUP(A123,Studies!A:BR,3,FALSE),"")</f>
        <v>https://www.ncbi.nlm.nih.gov/pubmed/7995001</v>
      </c>
      <c r="D123" s="206" t="str">
        <f>IF(AND(A123&lt;&gt;"",ISNUMBER(A123)),VLOOKUP(A123,Studies!A:BR,4,FALSE),"")</f>
        <v>Triazolam with ketoconazole</v>
      </c>
      <c r="E123" s="141" t="str">
        <f>IF(AND(A123&lt;&gt;"",ISNUMBER(A123)),VLOOKUP(A123,Studies!A:BR,5,FALSE),"")</f>
        <v>Triazolam</v>
      </c>
      <c r="F123" s="42" t="s">
        <v>836</v>
      </c>
      <c r="G123" s="207" t="str">
        <f>IF(AND(A123&lt;&gt;"",ISNUMBER(A123)),VLOOKUP(A123,Studies!A:BR,13,FALSE),"")</f>
        <v>PO</v>
      </c>
      <c r="H123" s="68" t="s">
        <v>59</v>
      </c>
      <c r="I123" s="207" t="str">
        <f>IF(AND(A123&lt;&gt;"",ISNUMBER(A123)),VLOOKUP(A123,Studies!A:BR,6,FALSE),"")</f>
        <v>Plasma</v>
      </c>
      <c r="J123" s="43">
        <v>20.0638618873603</v>
      </c>
      <c r="K123" s="43" t="s">
        <v>2865</v>
      </c>
      <c r="L123" s="76" t="s">
        <v>2866</v>
      </c>
      <c r="M123" s="76" t="s">
        <v>974</v>
      </c>
      <c r="N123" s="52">
        <v>3.1074871263980901</v>
      </c>
      <c r="O123" s="52" t="s">
        <v>2865</v>
      </c>
      <c r="P123" s="84" t="s">
        <v>2867</v>
      </c>
      <c r="Q123" s="84" t="s">
        <v>974</v>
      </c>
      <c r="R123" s="38">
        <v>0</v>
      </c>
      <c r="S123" s="39" t="s">
        <v>938</v>
      </c>
      <c r="T123" s="40">
        <v>73</v>
      </c>
      <c r="U123" s="41" t="s">
        <v>938</v>
      </c>
      <c r="V123" s="42" t="s">
        <v>60</v>
      </c>
      <c r="W123" s="30" t="s">
        <v>2868</v>
      </c>
      <c r="X123" s="22">
        <v>400</v>
      </c>
      <c r="Z123" s="28" t="s">
        <v>58</v>
      </c>
      <c r="AB123" s="22" t="s">
        <v>2325</v>
      </c>
      <c r="AC123" s="22" t="s">
        <v>60</v>
      </c>
      <c r="AD123" s="22" t="s">
        <v>2869</v>
      </c>
      <c r="AF123" s="23" t="s">
        <v>2327</v>
      </c>
      <c r="AM123" s="52" t="s">
        <v>2320</v>
      </c>
    </row>
    <row r="124" spans="1:39" x14ac:dyDescent="0.2">
      <c r="A124" s="30">
        <v>1029</v>
      </c>
      <c r="B124" s="206" t="str">
        <f>IF(AND(A124&lt;&gt;"",ISNUMBER(A124)),VLOOKUP(A124,Studies!A:BR,2,FALSE),"")</f>
        <v>Varhe 1994</v>
      </c>
      <c r="C124" s="206" t="str">
        <f>IF(AND(A124&lt;&gt;"",ISNUMBER(A124)),VLOOKUP(A124,Studies!A:BR,3,FALSE),"")</f>
        <v>https://www.ncbi.nlm.nih.gov/pubmed/7995001</v>
      </c>
      <c r="D124" s="206" t="str">
        <f>IF(AND(A124&lt;&gt;"",ISNUMBER(A124)),VLOOKUP(A124,Studies!A:BR,4,FALSE),"")</f>
        <v>Triazolam with Itraconazole</v>
      </c>
      <c r="E124" s="141" t="str">
        <f>IF(AND(A124&lt;&gt;"",ISNUMBER(A124)),VLOOKUP(A124,Studies!A:BR,5,FALSE),"")</f>
        <v>Triazolam</v>
      </c>
      <c r="F124" s="42" t="s">
        <v>149</v>
      </c>
      <c r="G124" s="207" t="str">
        <f>IF(AND(A124&lt;&gt;"",ISNUMBER(A124)),VLOOKUP(A124,Studies!A:BR,13,FALSE),"")</f>
        <v>PO</v>
      </c>
      <c r="H124" s="140" t="s">
        <v>59</v>
      </c>
      <c r="I124" s="207" t="str">
        <f>IF(AND(A124&lt;&gt;"",ISNUMBER(A124)),VLOOKUP(A124,Studies!A:BR,6,FALSE),"")</f>
        <v>Plasma</v>
      </c>
      <c r="J124" s="43">
        <v>19.0287455476447</v>
      </c>
      <c r="K124" s="43" t="s">
        <v>2865</v>
      </c>
      <c r="L124" s="76" t="s">
        <v>2870</v>
      </c>
      <c r="M124" s="76" t="s">
        <v>974</v>
      </c>
      <c r="N124" s="52">
        <v>2.6854478328357501</v>
      </c>
      <c r="O124" s="52" t="s">
        <v>2865</v>
      </c>
      <c r="P124" s="84" t="s">
        <v>2871</v>
      </c>
      <c r="Q124" s="84" t="s">
        <v>974</v>
      </c>
      <c r="R124" s="38">
        <v>0</v>
      </c>
      <c r="S124" s="39" t="s">
        <v>938</v>
      </c>
      <c r="T124" s="40">
        <v>73</v>
      </c>
      <c r="U124" s="41" t="s">
        <v>938</v>
      </c>
      <c r="V124" s="42" t="s">
        <v>60</v>
      </c>
      <c r="W124" s="30" t="s">
        <v>2868</v>
      </c>
      <c r="X124" s="22">
        <v>200</v>
      </c>
      <c r="Z124" s="28" t="s">
        <v>58</v>
      </c>
      <c r="AB124" s="22" t="s">
        <v>2325</v>
      </c>
      <c r="AC124" s="22" t="s">
        <v>60</v>
      </c>
      <c r="AD124" s="22" t="s">
        <v>2869</v>
      </c>
      <c r="AF124" s="23" t="s">
        <v>835</v>
      </c>
      <c r="AM124" s="52" t="s">
        <v>2320</v>
      </c>
    </row>
    <row r="125" spans="1:39" x14ac:dyDescent="0.2">
      <c r="A125" s="30">
        <v>1078</v>
      </c>
      <c r="B125" s="206" t="str">
        <f>IF(AND(A125&lt;&gt;"",ISNUMBER(A125)),VLOOKUP(A125,Studies!A:BR,2,FALSE),"")</f>
        <v>Neuvonen 1996</v>
      </c>
      <c r="C125" s="206" t="str">
        <f>IF(AND(A125&lt;&gt;"",ISNUMBER(A125)),VLOOKUP(A125,Studies!A:BR,3,FALSE),"")</f>
        <v>https://www.ncbi.nlm.nih.gov/pubmed/8841155</v>
      </c>
      <c r="D125" s="206" t="str">
        <f>IF(AND(A125&lt;&gt;"",ISNUMBER(A125)),VLOOKUP(A125,Studies!A:BR,4,FALSE),"")</f>
        <v>Treatment phase (triazolam + ITZ simultaneously)</v>
      </c>
      <c r="E125" s="141" t="str">
        <f>IF(AND(A125&lt;&gt;"",ISNUMBER(A125)),VLOOKUP(A125,Studies!A:BR,5,FALSE),"")</f>
        <v>Triazolam</v>
      </c>
      <c r="F125" s="42" t="s">
        <v>149</v>
      </c>
      <c r="G125" s="207" t="str">
        <f>IF(AND(A125&lt;&gt;"",ISNUMBER(A125)),VLOOKUP(A125,Studies!A:BR,13,FALSE),"")</f>
        <v>PO</v>
      </c>
      <c r="H125" s="140" t="s">
        <v>59</v>
      </c>
      <c r="I125" s="207" t="str">
        <f>IF(AND(A125&lt;&gt;"",ISNUMBER(A125)),VLOOKUP(A125,Studies!A:BR,6,FALSE),"")</f>
        <v>Plasma</v>
      </c>
      <c r="J125" s="43">
        <v>3.11</v>
      </c>
      <c r="K125" s="43" t="s">
        <v>2781</v>
      </c>
      <c r="N125" s="52">
        <v>1.41</v>
      </c>
      <c r="O125" s="52" t="s">
        <v>335</v>
      </c>
      <c r="R125" s="38">
        <v>0</v>
      </c>
      <c r="S125" s="39" t="s">
        <v>938</v>
      </c>
      <c r="T125" s="40">
        <v>0</v>
      </c>
      <c r="U125" s="41" t="s">
        <v>938</v>
      </c>
      <c r="V125" s="42" t="s">
        <v>60</v>
      </c>
      <c r="W125" s="30" t="s">
        <v>2872</v>
      </c>
      <c r="X125" s="22">
        <v>200</v>
      </c>
      <c r="Z125" s="28" t="s">
        <v>58</v>
      </c>
      <c r="AA125" s="22" t="s">
        <v>59</v>
      </c>
      <c r="AB125" s="22">
        <v>0</v>
      </c>
      <c r="AC125" s="22" t="s">
        <v>60</v>
      </c>
      <c r="AD125" s="22" t="s">
        <v>79</v>
      </c>
      <c r="AF125" s="23" t="s">
        <v>2386</v>
      </c>
      <c r="AH125" s="23">
        <v>150</v>
      </c>
      <c r="AJ125" s="52" t="s">
        <v>644</v>
      </c>
      <c r="AK125" s="52">
        <v>3</v>
      </c>
      <c r="AL125" s="52">
        <v>4</v>
      </c>
      <c r="AM125" s="52" t="s">
        <v>2669</v>
      </c>
    </row>
    <row r="126" spans="1:39" x14ac:dyDescent="0.2">
      <c r="A126" s="30">
        <v>1079</v>
      </c>
      <c r="B126" s="206" t="str">
        <f>IF(AND(A126&lt;&gt;"",ISNUMBER(A126)),VLOOKUP(A126,Studies!A:BR,2,FALSE),"")</f>
        <v>Neuvonen 1996</v>
      </c>
      <c r="C126" s="206" t="str">
        <f>IF(AND(A126&lt;&gt;"",ISNUMBER(A126)),VLOOKUP(A126,Studies!A:BR,3,FALSE),"")</f>
        <v>https://www.ncbi.nlm.nih.gov/pubmed/8841155</v>
      </c>
      <c r="D126" s="206" t="str">
        <f>IF(AND(A126&lt;&gt;"",ISNUMBER(A126)),VLOOKUP(A126,Studies!A:BR,4,FALSE),"")</f>
        <v>Treatment phase (triazolam + ITZ 3 hr before)</v>
      </c>
      <c r="E126" s="141" t="str">
        <f>IF(AND(A126&lt;&gt;"",ISNUMBER(A126)),VLOOKUP(A126,Studies!A:BR,5,FALSE),"")</f>
        <v>Triazolam</v>
      </c>
      <c r="F126" s="42" t="s">
        <v>149</v>
      </c>
      <c r="G126" s="207" t="str">
        <f>IF(AND(A126&lt;&gt;"",ISNUMBER(A126)),VLOOKUP(A126,Studies!A:BR,13,FALSE),"")</f>
        <v>PO</v>
      </c>
      <c r="H126" s="68" t="s">
        <v>59</v>
      </c>
      <c r="I126" s="207" t="str">
        <f>IF(AND(A126&lt;&gt;"",ISNUMBER(A126)),VLOOKUP(A126,Studies!A:BR,6,FALSE),"")</f>
        <v>Plasma</v>
      </c>
      <c r="J126" s="43">
        <v>4.79</v>
      </c>
      <c r="K126" s="43" t="s">
        <v>2781</v>
      </c>
      <c r="N126" s="52">
        <v>1.76</v>
      </c>
      <c r="O126" s="52" t="s">
        <v>335</v>
      </c>
      <c r="R126" s="38">
        <v>0</v>
      </c>
      <c r="S126" s="39" t="s">
        <v>938</v>
      </c>
      <c r="T126" s="40">
        <v>3</v>
      </c>
      <c r="U126" s="41" t="s">
        <v>938</v>
      </c>
      <c r="V126" s="42" t="s">
        <v>60</v>
      </c>
      <c r="W126" s="30" t="s">
        <v>2872</v>
      </c>
      <c r="X126" s="22">
        <v>200</v>
      </c>
      <c r="Z126" s="28" t="s">
        <v>58</v>
      </c>
      <c r="AA126" s="22" t="s">
        <v>59</v>
      </c>
      <c r="AB126" s="22">
        <v>0</v>
      </c>
      <c r="AC126" s="22" t="s">
        <v>60</v>
      </c>
      <c r="AD126" s="22" t="s">
        <v>79</v>
      </c>
      <c r="AF126" s="23" t="s">
        <v>2386</v>
      </c>
      <c r="AH126" s="23">
        <v>150</v>
      </c>
      <c r="AJ126" s="52" t="s">
        <v>644</v>
      </c>
      <c r="AK126" s="52">
        <v>0</v>
      </c>
      <c r="AM126" s="52" t="s">
        <v>2670</v>
      </c>
    </row>
    <row r="127" spans="1:39" x14ac:dyDescent="0.2">
      <c r="A127" s="30">
        <v>1080</v>
      </c>
      <c r="B127" s="206" t="str">
        <f>IF(AND(A127&lt;&gt;"",ISNUMBER(A127)),VLOOKUP(A127,Studies!A:BR,2,FALSE),"")</f>
        <v>Neuvonen 1996</v>
      </c>
      <c r="C127" s="206" t="str">
        <f>IF(AND(A127&lt;&gt;"",ISNUMBER(A127)),VLOOKUP(A127,Studies!A:BR,3,FALSE),"")</f>
        <v>https://www.ncbi.nlm.nih.gov/pubmed/8841155</v>
      </c>
      <c r="D127" s="206" t="str">
        <f>IF(AND(A127&lt;&gt;"",ISNUMBER(A127)),VLOOKUP(A127,Studies!A:BR,4,FALSE),"")</f>
        <v>Treatment phase (triazolam + ITZ 12 hr before)</v>
      </c>
      <c r="E127" s="141" t="str">
        <f>IF(AND(A127&lt;&gt;"",ISNUMBER(A127)),VLOOKUP(A127,Studies!A:BR,5,FALSE),"")</f>
        <v>Triazolam</v>
      </c>
      <c r="F127" s="42" t="s">
        <v>149</v>
      </c>
      <c r="G127" s="207" t="str">
        <f>IF(AND(A127&lt;&gt;"",ISNUMBER(A127)),VLOOKUP(A127,Studies!A:BR,13,FALSE),"")</f>
        <v>PO</v>
      </c>
      <c r="H127" s="68" t="s">
        <v>59</v>
      </c>
      <c r="I127" s="207" t="str">
        <f>IF(AND(A127&lt;&gt;"",ISNUMBER(A127)),VLOOKUP(A127,Studies!A:BR,6,FALSE),"")</f>
        <v>Plasma</v>
      </c>
      <c r="J127" s="43">
        <v>4.63</v>
      </c>
      <c r="K127" s="43" t="s">
        <v>2781</v>
      </c>
      <c r="N127" s="52">
        <v>1.76</v>
      </c>
      <c r="O127" s="52" t="s">
        <v>335</v>
      </c>
      <c r="R127" s="38">
        <v>0</v>
      </c>
      <c r="S127" s="39" t="s">
        <v>938</v>
      </c>
      <c r="T127" s="40">
        <v>12</v>
      </c>
      <c r="U127" s="41" t="s">
        <v>938</v>
      </c>
      <c r="V127" s="42" t="s">
        <v>60</v>
      </c>
      <c r="W127" s="30" t="s">
        <v>2872</v>
      </c>
      <c r="X127" s="22">
        <v>200</v>
      </c>
      <c r="Z127" s="28" t="s">
        <v>58</v>
      </c>
      <c r="AA127" s="22" t="s">
        <v>59</v>
      </c>
      <c r="AB127" s="22">
        <v>0</v>
      </c>
      <c r="AC127" s="22" t="s">
        <v>60</v>
      </c>
      <c r="AD127" s="22" t="s">
        <v>79</v>
      </c>
      <c r="AF127" s="23" t="s">
        <v>2386</v>
      </c>
      <c r="AH127" s="23">
        <v>150</v>
      </c>
      <c r="AJ127" s="52" t="s">
        <v>644</v>
      </c>
      <c r="AK127" s="52">
        <v>0</v>
      </c>
      <c r="AM127" s="52" t="s">
        <v>2671</v>
      </c>
    </row>
    <row r="128" spans="1:39" x14ac:dyDescent="0.2">
      <c r="A128" s="30">
        <v>1081</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24 hr before)</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3.82</v>
      </c>
      <c r="K128" s="43" t="s">
        <v>2781</v>
      </c>
      <c r="N128" s="52">
        <v>1.71</v>
      </c>
      <c r="O128" s="52" t="s">
        <v>335</v>
      </c>
      <c r="R128" s="38">
        <v>0</v>
      </c>
      <c r="S128" s="39" t="s">
        <v>938</v>
      </c>
      <c r="T128" s="40">
        <v>24</v>
      </c>
      <c r="U128" s="41" t="s">
        <v>938</v>
      </c>
      <c r="V128" s="42" t="s">
        <v>60</v>
      </c>
      <c r="W128" s="30" t="s">
        <v>2872</v>
      </c>
      <c r="X128" s="22">
        <v>200</v>
      </c>
      <c r="Z128" s="28" t="s">
        <v>58</v>
      </c>
      <c r="AA128" s="22" t="s">
        <v>59</v>
      </c>
      <c r="AB128" s="22">
        <v>0</v>
      </c>
      <c r="AC128" s="22" t="s">
        <v>60</v>
      </c>
      <c r="AD128" s="22" t="s">
        <v>79</v>
      </c>
      <c r="AF128" s="23" t="s">
        <v>2386</v>
      </c>
      <c r="AH128" s="23">
        <v>150</v>
      </c>
      <c r="AJ128" s="52" t="s">
        <v>644</v>
      </c>
      <c r="AK128" s="52">
        <v>0</v>
      </c>
      <c r="AM128" s="52" t="s">
        <v>2671</v>
      </c>
    </row>
    <row r="129" spans="1:39" x14ac:dyDescent="0.2">
      <c r="A129" s="30">
        <v>1087</v>
      </c>
      <c r="B129" s="206" t="str">
        <f>IF(AND(A129&lt;&gt;"",ISNUMBER(A129)),VLOOKUP(A129,Studies!A:BR,2,FALSE),"")</f>
        <v>Lam 2003</v>
      </c>
      <c r="C129" s="206" t="str">
        <f>IF(AND(A129&lt;&gt;"",ISNUMBER(A129)),VLOOKUP(A129,Studies!A:BR,3,FALSE),"")</f>
        <v>https://www.ncbi.nlm.nih.gov/pubmed/14551182</v>
      </c>
      <c r="D129" s="206" t="str">
        <f>IF(AND(A129&lt;&gt;"",ISNUMBER(A129)),VLOOKUP(A129,Studies!A:BR,4,FALSE),"")</f>
        <v>Midazolam after Ketoconazole</v>
      </c>
      <c r="E129" s="141" t="str">
        <f>IF(AND(A129&lt;&gt;"",ISNUMBER(A129)),VLOOKUP(A129,Studies!A:BR,5,FALSE),"")</f>
        <v>Midazolam</v>
      </c>
      <c r="F129" s="42" t="s">
        <v>836</v>
      </c>
      <c r="G129" s="207" t="str">
        <f>IF(AND(A129&lt;&gt;"",ISNUMBER(A129)),VLOOKUP(A129,Studies!A:BR,13,FALSE),"")</f>
        <v>PO</v>
      </c>
      <c r="H129" s="68" t="s">
        <v>59</v>
      </c>
      <c r="I129" s="207" t="str">
        <f>IF(AND(A129&lt;&gt;"",ISNUMBER(A129)),VLOOKUP(A129,Studies!A:BR,6,FALSE),"")</f>
        <v>Plasma</v>
      </c>
      <c r="J129" s="43">
        <f>772/100+1</f>
        <v>8.7199999999999989</v>
      </c>
      <c r="K129" s="43" t="s">
        <v>2663</v>
      </c>
      <c r="L129" s="76">
        <f>596/100</f>
        <v>5.96</v>
      </c>
      <c r="M129" s="76" t="s">
        <v>79</v>
      </c>
      <c r="N129" s="52">
        <f>268/100+1</f>
        <v>3.68</v>
      </c>
      <c r="O129" s="52" t="s">
        <v>2663</v>
      </c>
      <c r="P129" s="84">
        <f>222/100</f>
        <v>2.2200000000000002</v>
      </c>
      <c r="Q129" s="84" t="s">
        <v>79</v>
      </c>
      <c r="R129" s="38">
        <v>0</v>
      </c>
      <c r="S129" s="39" t="s">
        <v>938</v>
      </c>
      <c r="T129" s="40">
        <v>265</v>
      </c>
      <c r="U129" s="41" t="s">
        <v>938</v>
      </c>
      <c r="V129" s="42" t="s">
        <v>60</v>
      </c>
      <c r="X129" s="22">
        <v>200</v>
      </c>
      <c r="Z129" s="28" t="s">
        <v>58</v>
      </c>
      <c r="AB129" s="22" t="s">
        <v>2664</v>
      </c>
      <c r="AC129" s="22" t="s">
        <v>60</v>
      </c>
      <c r="AD129" s="22" t="s">
        <v>2665</v>
      </c>
      <c r="AE129" s="23" t="s">
        <v>837</v>
      </c>
    </row>
    <row r="130" spans="1:39" x14ac:dyDescent="0.2">
      <c r="A130" s="30">
        <v>1089</v>
      </c>
      <c r="B130" s="206" t="str">
        <f>IF(AND(A130&lt;&gt;"",ISNUMBER(A130)),VLOOKUP(A130,Studies!A:BR,2,FALSE),"")</f>
        <v>Lam 2003</v>
      </c>
      <c r="C130" s="206" t="str">
        <f>IF(AND(A130&lt;&gt;"",ISNUMBER(A130)),VLOOKUP(A130,Studies!A:BR,3,FALSE),"")</f>
        <v>https://www.ncbi.nlm.nih.gov/pubmed/14551182</v>
      </c>
      <c r="D130" s="206" t="str">
        <f>IF(AND(A130&lt;&gt;"",ISNUMBER(A130)),VLOOKUP(A130,Studies!A:BR,4,FALSE),"")</f>
        <v>Midazolam after Fluvoxamine</v>
      </c>
      <c r="E130" s="141" t="str">
        <f>IF(AND(A130&lt;&gt;"",ISNUMBER(A130)),VLOOKUP(A130,Studies!A:BR,5,FALSE),"")</f>
        <v>Midazolam</v>
      </c>
      <c r="F130" s="42" t="s">
        <v>1094</v>
      </c>
      <c r="G130" s="207" t="str">
        <f>IF(AND(A130&lt;&gt;"",ISNUMBER(A130)),VLOOKUP(A130,Studies!A:BR,13,FALSE),"")</f>
        <v>PO</v>
      </c>
      <c r="H130" s="68" t="s">
        <v>59</v>
      </c>
      <c r="I130" s="207" t="str">
        <f>IF(AND(A130&lt;&gt;"",ISNUMBER(A130)),VLOOKUP(A130,Studies!A:BR,6,FALSE),"")</f>
        <v>Plasma</v>
      </c>
      <c r="J130" s="43">
        <f>66/100+1</f>
        <v>1.6600000000000001</v>
      </c>
      <c r="K130" s="43" t="s">
        <v>2663</v>
      </c>
      <c r="L130" s="76">
        <f>80/100</f>
        <v>0.8</v>
      </c>
      <c r="M130" s="76" t="s">
        <v>79</v>
      </c>
      <c r="N130" s="52">
        <f>63/100+1</f>
        <v>1.63</v>
      </c>
      <c r="O130" s="52" t="s">
        <v>2663</v>
      </c>
      <c r="P130" s="84">
        <f>107/100</f>
        <v>1.07</v>
      </c>
      <c r="Q130" s="84" t="s">
        <v>79</v>
      </c>
      <c r="R130" s="38">
        <v>0</v>
      </c>
      <c r="S130" s="39" t="s">
        <v>938</v>
      </c>
      <c r="T130" s="40">
        <v>265</v>
      </c>
      <c r="U130" s="41" t="s">
        <v>938</v>
      </c>
      <c r="V130" s="42" t="s">
        <v>60</v>
      </c>
      <c r="X130" s="22" t="s">
        <v>2654</v>
      </c>
      <c r="Z130" s="28" t="s">
        <v>58</v>
      </c>
      <c r="AB130" s="22" t="s">
        <v>2666</v>
      </c>
      <c r="AC130" s="22" t="s">
        <v>60</v>
      </c>
      <c r="AD130" s="22" t="s">
        <v>2667</v>
      </c>
      <c r="AE130" s="23" t="s">
        <v>2668</v>
      </c>
    </row>
    <row r="131" spans="1:39" x14ac:dyDescent="0.2">
      <c r="A131" s="30">
        <v>1091</v>
      </c>
      <c r="B131" s="206" t="str">
        <f>IF(AND(A131&lt;&gt;"",ISNUMBER(A131)),VLOOKUP(A131,Studies!A:BR,2,FALSE),"")</f>
        <v>Shin 2013</v>
      </c>
      <c r="C131" s="206" t="str">
        <f>IF(AND(A131&lt;&gt;"",ISNUMBER(A131)),VLOOKUP(A131,Studies!A:BR,3,FALSE),"")</f>
        <v>https://www.ncbi.nlm.nih.gov/pubmed/23784264</v>
      </c>
      <c r="D131" s="206" t="str">
        <f>IF(AND(A131&lt;&gt;"",ISNUMBER(A131)),VLOOKUP(A131,Studies!A:BR,4,FALSE),"")</f>
        <v>CYP3A4 inhibited phase (Midazolam + ketoconazole)</v>
      </c>
      <c r="E131" s="141" t="str">
        <f>IF(AND(A131&lt;&gt;"",ISNUMBER(A131)),VLOOKUP(A131,Studies!A:BR,5,FALSE),"")</f>
        <v>Midazolam</v>
      </c>
      <c r="F131" s="42" t="s">
        <v>836</v>
      </c>
      <c r="G131" s="207" t="str">
        <f>IF(AND(A131&lt;&gt;"",ISNUMBER(A131)),VLOOKUP(A131,Studies!A:BR,13,FALSE),"")</f>
        <v>IV</v>
      </c>
      <c r="H131" s="68" t="s">
        <v>59</v>
      </c>
      <c r="I131" s="207" t="str">
        <f>IF(AND(A131&lt;&gt;"",ISNUMBER(A131)),VLOOKUP(A131,Studies!A:BR,6,FALSE),"")</f>
        <v>Plasma</v>
      </c>
      <c r="J131" s="43">
        <v>2.89</v>
      </c>
      <c r="K131" s="43" t="s">
        <v>2672</v>
      </c>
      <c r="L131" s="76" t="s">
        <v>2690</v>
      </c>
      <c r="M131" s="76" t="s">
        <v>1163</v>
      </c>
      <c r="R131" s="38">
        <v>0</v>
      </c>
      <c r="S131" s="39" t="s">
        <v>938</v>
      </c>
      <c r="T131" s="40">
        <v>73</v>
      </c>
      <c r="U131" s="41" t="s">
        <v>938</v>
      </c>
      <c r="V131" s="42" t="s">
        <v>60</v>
      </c>
      <c r="W131" s="30" t="s">
        <v>2804</v>
      </c>
      <c r="X131" s="22">
        <v>400</v>
      </c>
      <c r="Z131" s="28" t="s">
        <v>58</v>
      </c>
      <c r="AA131" s="22" t="s">
        <v>59</v>
      </c>
      <c r="AB131" s="22" t="s">
        <v>2691</v>
      </c>
      <c r="AC131" s="22" t="s">
        <v>60</v>
      </c>
      <c r="AD131" s="22" t="s">
        <v>2692</v>
      </c>
      <c r="AE131" s="23" t="s">
        <v>2693</v>
      </c>
      <c r="AF131" s="23" t="s">
        <v>2694</v>
      </c>
    </row>
    <row r="132" spans="1:39" x14ac:dyDescent="0.2">
      <c r="A132" s="30">
        <v>1092</v>
      </c>
      <c r="B132" s="206" t="str">
        <f>IF(AND(A132&lt;&gt;"",ISNUMBER(A132)),VLOOKUP(A132,Studies!A:BR,2,FALSE),"")</f>
        <v>Shin 2013</v>
      </c>
      <c r="C132" s="206" t="str">
        <f>IF(AND(A132&lt;&gt;"",ISNUMBER(A132)),VLOOKUP(A132,Studies!A:BR,3,FALSE),"")</f>
        <v>https://www.ncbi.nlm.nih.gov/pubmed/23784264</v>
      </c>
      <c r="D132" s="206" t="str">
        <f>IF(AND(A132&lt;&gt;"",ISNUMBER(A132)),VLOOKUP(A132,Studies!A:BR,4,FALSE),"")</f>
        <v>CYP3A4 induced phase (Midazolam + rifampicin)</v>
      </c>
      <c r="E132" s="141" t="str">
        <f>IF(AND(A132&lt;&gt;"",ISNUMBER(A132)),VLOOKUP(A132,Studies!A:BR,5,FALSE),"")</f>
        <v>Midazolam</v>
      </c>
      <c r="F132" s="42" t="s">
        <v>54</v>
      </c>
      <c r="G132" s="207" t="str">
        <f>IF(AND(A132&lt;&gt;"",ISNUMBER(A132)),VLOOKUP(A132,Studies!A:BR,13,FALSE),"")</f>
        <v>IV</v>
      </c>
      <c r="H132" s="68" t="s">
        <v>59</v>
      </c>
      <c r="I132" s="207" t="str">
        <f>IF(AND(A132&lt;&gt;"",ISNUMBER(A132)),VLOOKUP(A132,Studies!A:BR,6,FALSE),"")</f>
        <v>Plasma</v>
      </c>
      <c r="J132" s="43">
        <f>0.46*2.5</f>
        <v>1.1500000000000001</v>
      </c>
      <c r="K132" s="43" t="s">
        <v>2672</v>
      </c>
      <c r="L132" s="76" t="str">
        <f>0.41*2.5&amp;" - "&amp;0.51*2.5</f>
        <v>1.025 - 1.275</v>
      </c>
      <c r="M132" s="76" t="s">
        <v>1163</v>
      </c>
      <c r="R132" s="38">
        <v>0</v>
      </c>
      <c r="S132" s="39" t="s">
        <v>938</v>
      </c>
      <c r="T132" s="40">
        <v>216</v>
      </c>
      <c r="U132" s="41" t="s">
        <v>938</v>
      </c>
      <c r="V132" s="42" t="s">
        <v>60</v>
      </c>
      <c r="W132" s="30" t="s">
        <v>2803</v>
      </c>
      <c r="X132" s="22">
        <v>600</v>
      </c>
      <c r="Z132" s="28" t="s">
        <v>58</v>
      </c>
      <c r="AA132" s="22" t="s">
        <v>59</v>
      </c>
      <c r="AB132" s="22" t="s">
        <v>2696</v>
      </c>
      <c r="AC132" s="22" t="s">
        <v>60</v>
      </c>
      <c r="AD132" s="22" t="s">
        <v>2697</v>
      </c>
      <c r="AE132" s="23" t="s">
        <v>2698</v>
      </c>
      <c r="AF132" s="23" t="s">
        <v>2699</v>
      </c>
    </row>
    <row r="133" spans="1:39" x14ac:dyDescent="0.2">
      <c r="A133" s="30">
        <v>1094</v>
      </c>
      <c r="B133" s="206" t="str">
        <f>IF(AND(A133&lt;&gt;"",ISNUMBER(A133)),VLOOKUP(A133,Studies!A:BR,2,FALSE),"")</f>
        <v>Shin 2016</v>
      </c>
      <c r="C133" s="206" t="str">
        <f>IF(AND(A133&lt;&gt;"",ISNUMBER(A133)),VLOOKUP(A133,Studies!A:BR,3,FALSE),"")</f>
        <v>https://www.ncbi.nlm.nih.gov/pubmed/27317471</v>
      </c>
      <c r="D133" s="206" t="str">
        <f>IF(AND(A133&lt;&gt;"",ISNUMBER(A133)),VLOOKUP(A133,Studies!A:BR,4,FALSE),"")</f>
        <v>Midazolam + ketoconazole</v>
      </c>
      <c r="E133" s="141" t="str">
        <f>IF(AND(A133&lt;&gt;"",ISNUMBER(A133)),VLOOKUP(A133,Studies!A:BR,5,FALSE),"")</f>
        <v>Midazolam</v>
      </c>
      <c r="F133" s="42" t="s">
        <v>836</v>
      </c>
      <c r="G133" s="207" t="str">
        <f>IF(AND(A133&lt;&gt;"",ISNUMBER(A133)),VLOOKUP(A133,Studies!A:BR,13,FALSE),"")</f>
        <v>IV</v>
      </c>
      <c r="I133" s="207" t="str">
        <f>IF(AND(A133&lt;&gt;"",ISNUMBER(A133)),VLOOKUP(A133,Studies!A:BR,6,FALSE),"")</f>
        <v>Plasma</v>
      </c>
      <c r="J133" s="43">
        <v>4.7699999999999996</v>
      </c>
      <c r="K133" s="43" t="s">
        <v>2672</v>
      </c>
      <c r="L133" s="76" t="s">
        <v>2700</v>
      </c>
      <c r="M133" s="76" t="s">
        <v>1163</v>
      </c>
      <c r="N133" s="52">
        <v>1.45</v>
      </c>
      <c r="O133" s="52" t="s">
        <v>2672</v>
      </c>
      <c r="P133" s="84" t="s">
        <v>2701</v>
      </c>
      <c r="Q133" s="84" t="s">
        <v>1163</v>
      </c>
      <c r="R133" s="38">
        <v>0</v>
      </c>
      <c r="S133" s="39" t="s">
        <v>938</v>
      </c>
      <c r="T133" s="40">
        <v>73</v>
      </c>
      <c r="U133" s="41" t="s">
        <v>938</v>
      </c>
      <c r="V133" s="42" t="s">
        <v>60</v>
      </c>
      <c r="X133" s="22">
        <v>400</v>
      </c>
      <c r="Z133" s="28" t="s">
        <v>58</v>
      </c>
      <c r="AB133" s="22" t="s">
        <v>2691</v>
      </c>
      <c r="AC133" s="22" t="s">
        <v>60</v>
      </c>
      <c r="AD133" s="22" t="s">
        <v>2692</v>
      </c>
      <c r="AE133" s="23" t="s">
        <v>837</v>
      </c>
      <c r="AF133" s="23" t="s">
        <v>2702</v>
      </c>
    </row>
    <row r="134" spans="1:39" x14ac:dyDescent="0.2">
      <c r="A134" s="30">
        <v>1095</v>
      </c>
      <c r="B134" s="206" t="str">
        <f>IF(AND(A134&lt;&gt;"",ISNUMBER(A134)),VLOOKUP(A134,Studies!A:BR,2,FALSE),"")</f>
        <v>Shin 2016</v>
      </c>
      <c r="C134" s="206" t="str">
        <f>IF(AND(A134&lt;&gt;"",ISNUMBER(A134)),VLOOKUP(A134,Studies!A:BR,3,FALSE),"")</f>
        <v>https://www.ncbi.nlm.nih.gov/pubmed/27317471</v>
      </c>
      <c r="D134" s="206" t="str">
        <f>IF(AND(A134&lt;&gt;"",ISNUMBER(A134)),VLOOKUP(A134,Studies!A:BR,4,FALSE),"")</f>
        <v>Midazolam + rifampicin</v>
      </c>
      <c r="E134" s="141" t="str">
        <f>IF(AND(A134&lt;&gt;"",ISNUMBER(A134)),VLOOKUP(A134,Studies!A:BR,5,FALSE),"")</f>
        <v>Midazolam</v>
      </c>
      <c r="F134" s="42" t="s">
        <v>54</v>
      </c>
      <c r="G134" s="207" t="str">
        <f>IF(AND(A134&lt;&gt;"",ISNUMBER(A134)),VLOOKUP(A134,Studies!A:BR,13,FALSE),"")</f>
        <v>IV</v>
      </c>
      <c r="I134" s="207" t="str">
        <f>IF(AND(A134&lt;&gt;"",ISNUMBER(A134)),VLOOKUP(A134,Studies!A:BR,6,FALSE),"")</f>
        <v>Plasma</v>
      </c>
      <c r="J134" s="43">
        <f>0.49*2.5</f>
        <v>1.2250000000000001</v>
      </c>
      <c r="K134" s="43" t="s">
        <v>2672</v>
      </c>
      <c r="L134" s="76" t="str">
        <f>0.46*2.5&amp;" - "&amp;0.53*2.5</f>
        <v>1.15 - 1.325</v>
      </c>
      <c r="M134" s="76" t="s">
        <v>1163</v>
      </c>
      <c r="N134" s="52">
        <f>0.71*2.5</f>
        <v>1.7749999999999999</v>
      </c>
      <c r="O134" s="52" t="s">
        <v>2672</v>
      </c>
      <c r="P134" s="84" t="str">
        <f>0.68*2.5&amp;" - "&amp;0.76*2.5</f>
        <v>1.7 - 1.9</v>
      </c>
      <c r="Q134" s="84" t="s">
        <v>1163</v>
      </c>
      <c r="R134" s="38">
        <v>0</v>
      </c>
      <c r="S134" s="39" t="s">
        <v>938</v>
      </c>
      <c r="T134" s="40">
        <v>216</v>
      </c>
      <c r="U134" s="41" t="s">
        <v>938</v>
      </c>
      <c r="V134" s="42" t="s">
        <v>60</v>
      </c>
      <c r="W134" s="30" t="s">
        <v>2802</v>
      </c>
      <c r="X134" s="22">
        <v>600</v>
      </c>
      <c r="Z134" s="28" t="s">
        <v>58</v>
      </c>
      <c r="AB134" s="22" t="s">
        <v>2696</v>
      </c>
      <c r="AC134" s="22" t="s">
        <v>60</v>
      </c>
      <c r="AD134" s="22" t="s">
        <v>2697</v>
      </c>
      <c r="AE134" s="23" t="s">
        <v>1145</v>
      </c>
      <c r="AF134" s="23" t="s">
        <v>2704</v>
      </c>
    </row>
    <row r="135" spans="1:39" x14ac:dyDescent="0.2">
      <c r="A135" s="30">
        <v>1097</v>
      </c>
      <c r="B135" s="206" t="str">
        <f>IF(AND(A135&lt;&gt;"",ISNUMBER(A135)),VLOOKUP(A135,Studies!A:BR,2,FALSE),"")</f>
        <v>Prueksaritanont 2017</v>
      </c>
      <c r="C135" s="206" t="str">
        <f>IF(AND(A135&lt;&gt;"",ISNUMBER(A135)),VLOOKUP(A135,Studies!A:BR,3,FALSE),"")</f>
        <v>https://www.ncbi.nlm.nih.gov/pubmed/27943276</v>
      </c>
      <c r="D135" s="206" t="str">
        <f>IF(AND(A135&lt;&gt;"",ISNUMBER(A135)),VLOOKUP(A135,Studies!A:BR,4,FALSE),"")</f>
        <v>Midazolam in microdosecocktail + Itraconazole</v>
      </c>
      <c r="E135" s="141" t="str">
        <f>IF(AND(A135&lt;&gt;"",ISNUMBER(A135)),VLOOKUP(A135,Studies!A:BR,5,FALSE),"")</f>
        <v>Midazolam</v>
      </c>
      <c r="F135" s="42" t="s">
        <v>149</v>
      </c>
      <c r="G135" s="207" t="str">
        <f>IF(AND(A135&lt;&gt;"",ISNUMBER(A135)),VLOOKUP(A135,Studies!A:BR,13,FALSE),"")</f>
        <v>PO</v>
      </c>
      <c r="H135" s="68" t="s">
        <v>59</v>
      </c>
      <c r="I135" s="207" t="str">
        <f>IF(AND(A135&lt;&gt;"",ISNUMBER(A135)),VLOOKUP(A135,Studies!A:BR,6,FALSE),"")</f>
        <v>Plasma</v>
      </c>
      <c r="J135" s="43">
        <v>7.04</v>
      </c>
      <c r="K135" s="43" t="s">
        <v>2155</v>
      </c>
      <c r="L135" s="76" t="s">
        <v>2673</v>
      </c>
      <c r="M135" s="76" t="s">
        <v>1163</v>
      </c>
      <c r="N135" s="52">
        <v>3.71</v>
      </c>
      <c r="O135" s="52" t="s">
        <v>2155</v>
      </c>
      <c r="P135" s="84" t="s">
        <v>2674</v>
      </c>
      <c r="Q135" s="84" t="s">
        <v>1163</v>
      </c>
      <c r="R135" s="38">
        <v>0</v>
      </c>
      <c r="S135" s="39" t="s">
        <v>938</v>
      </c>
      <c r="T135" s="40">
        <v>72</v>
      </c>
      <c r="U135" s="41" t="s">
        <v>938</v>
      </c>
      <c r="V135" s="42" t="s">
        <v>60</v>
      </c>
      <c r="W135" s="30" t="s">
        <v>2675</v>
      </c>
      <c r="X135" s="22">
        <v>200</v>
      </c>
      <c r="Z135" s="28" t="s">
        <v>58</v>
      </c>
      <c r="AA135" s="22" t="s">
        <v>59</v>
      </c>
      <c r="AB135" s="22" t="s">
        <v>2676</v>
      </c>
      <c r="AC135" s="22" t="s">
        <v>60</v>
      </c>
      <c r="AD135" s="22" t="s">
        <v>2677</v>
      </c>
      <c r="AE135" s="23" t="s">
        <v>834</v>
      </c>
      <c r="AF135" s="23" t="s">
        <v>2678</v>
      </c>
    </row>
    <row r="136" spans="1:39" x14ac:dyDescent="0.2">
      <c r="A136" s="30">
        <v>1098</v>
      </c>
      <c r="B136" s="206" t="str">
        <f>IF(AND(A136&lt;&gt;"",ISNUMBER(A136)),VLOOKUP(A136,Studies!A:BR,2,FALSE),"")</f>
        <v>Prueksaritanont 2017</v>
      </c>
      <c r="C136" s="206" t="str">
        <f>IF(AND(A136&lt;&gt;"",ISNUMBER(A136)),VLOOKUP(A136,Studies!A:BR,3,FALSE),"")</f>
        <v>https://www.ncbi.nlm.nih.gov/pubmed/27943276</v>
      </c>
      <c r="D136" s="206" t="str">
        <f>IF(AND(A136&lt;&gt;"",ISNUMBER(A136)),VLOOKUP(A136,Studies!A:BR,4,FALSE),"")</f>
        <v>Midazolam in microdosecocktail + Rifampin</v>
      </c>
      <c r="E136" s="141" t="str">
        <f>IF(AND(A136&lt;&gt;"",ISNUMBER(A136)),VLOOKUP(A136,Studies!A:BR,5,FALSE),"")</f>
        <v>Midazolam</v>
      </c>
      <c r="F136" s="42" t="s">
        <v>1132</v>
      </c>
      <c r="G136" s="207" t="str">
        <f>IF(AND(A136&lt;&gt;"",ISNUMBER(A136)),VLOOKUP(A136,Studies!A:BR,13,FALSE),"")</f>
        <v>PO</v>
      </c>
      <c r="H136" s="68" t="s">
        <v>59</v>
      </c>
      <c r="I136" s="207" t="str">
        <f>IF(AND(A136&lt;&gt;"",ISNUMBER(A136)),VLOOKUP(A136,Studies!A:BR,6,FALSE),"")</f>
        <v>Plasma</v>
      </c>
      <c r="J136" s="43">
        <v>0.94</v>
      </c>
      <c r="K136" s="43" t="s">
        <v>2155</v>
      </c>
      <c r="L136" s="76" t="s">
        <v>2679</v>
      </c>
      <c r="M136" s="76" t="s">
        <v>1163</v>
      </c>
      <c r="N136" s="52">
        <v>1.3</v>
      </c>
      <c r="O136" s="52" t="s">
        <v>2155</v>
      </c>
      <c r="P136" s="84" t="s">
        <v>2680</v>
      </c>
      <c r="Q136" s="84" t="s">
        <v>1163</v>
      </c>
      <c r="R136" s="38">
        <v>0</v>
      </c>
      <c r="S136" s="39" t="s">
        <v>938</v>
      </c>
      <c r="T136" s="40">
        <v>0</v>
      </c>
      <c r="U136" s="41" t="s">
        <v>938</v>
      </c>
      <c r="V136" s="42" t="s">
        <v>60</v>
      </c>
      <c r="W136" s="30" t="s">
        <v>2681</v>
      </c>
      <c r="X136" s="22">
        <v>600</v>
      </c>
      <c r="Z136" s="28" t="s">
        <v>58</v>
      </c>
      <c r="AA136" s="22" t="s">
        <v>59</v>
      </c>
      <c r="AB136" s="22">
        <v>0</v>
      </c>
      <c r="AC136" s="22" t="s">
        <v>60</v>
      </c>
      <c r="AD136" s="22" t="s">
        <v>79</v>
      </c>
      <c r="AE136" s="23" t="s">
        <v>1141</v>
      </c>
      <c r="AF136" s="23" t="s">
        <v>2682</v>
      </c>
    </row>
    <row r="137" spans="1:39" x14ac:dyDescent="0.2">
      <c r="A137" s="30">
        <v>1099</v>
      </c>
      <c r="B137" s="206" t="str">
        <f>IF(AND(A137&lt;&gt;"",ISNUMBER(A137)),VLOOKUP(A137,Studies!A:BR,2,FALSE),"")</f>
        <v>Prueksaritanont 2017</v>
      </c>
      <c r="C137" s="206" t="str">
        <f>IF(AND(A137&lt;&gt;"",ISNUMBER(A137)),VLOOKUP(A137,Studies!A:BR,3,FALSE),"")</f>
        <v>https://www.ncbi.nlm.nih.gov/pubmed/27943276</v>
      </c>
      <c r="D137" s="206" t="str">
        <f>IF(AND(A137&lt;&gt;"",ISNUMBER(A137)),VLOOKUP(A137,Studies!A:BR,4,FALSE),"")</f>
        <v>Midazolam in microdosecocktail + Clarithromycin</v>
      </c>
      <c r="E137" s="141" t="str">
        <f>IF(AND(A137&lt;&gt;"",ISNUMBER(A137)),VLOOKUP(A137,Studies!A:BR,5,FALSE),"")</f>
        <v>Midazolam</v>
      </c>
      <c r="F137" s="42" t="s">
        <v>1113</v>
      </c>
      <c r="G137" s="207" t="str">
        <f>IF(AND(A137&lt;&gt;"",ISNUMBER(A137)),VLOOKUP(A137,Studies!A:BR,13,FALSE),"")</f>
        <v>PO</v>
      </c>
      <c r="H137" s="68" t="s">
        <v>59</v>
      </c>
      <c r="I137" s="207" t="str">
        <f>IF(AND(A137&lt;&gt;"",ISNUMBER(A137)),VLOOKUP(A137,Studies!A:BR,6,FALSE),"")</f>
        <v>Plasma</v>
      </c>
      <c r="J137" s="43">
        <v>4.84</v>
      </c>
      <c r="K137" s="43" t="s">
        <v>2155</v>
      </c>
      <c r="L137" s="76" t="s">
        <v>2683</v>
      </c>
      <c r="M137" s="76" t="s">
        <v>1163</v>
      </c>
      <c r="N137" s="52">
        <v>2.69</v>
      </c>
      <c r="O137" s="52" t="s">
        <v>2155</v>
      </c>
      <c r="P137" s="84" t="s">
        <v>2684</v>
      </c>
      <c r="Q137" s="84" t="s">
        <v>1163</v>
      </c>
      <c r="R137" s="38">
        <v>0</v>
      </c>
      <c r="S137" s="39" t="s">
        <v>938</v>
      </c>
      <c r="T137" s="40">
        <v>72</v>
      </c>
      <c r="U137" s="41" t="s">
        <v>938</v>
      </c>
      <c r="V137" s="42" t="s">
        <v>60</v>
      </c>
      <c r="W137" s="30" t="s">
        <v>2685</v>
      </c>
      <c r="X137" s="22">
        <v>500</v>
      </c>
      <c r="Z137" s="28" t="s">
        <v>58</v>
      </c>
      <c r="AA137" s="22" t="s">
        <v>59</v>
      </c>
      <c r="AB137" s="22" t="s">
        <v>2686</v>
      </c>
      <c r="AC137" s="22" t="s">
        <v>60</v>
      </c>
      <c r="AD137" s="22" t="s">
        <v>2687</v>
      </c>
      <c r="AE137" s="23" t="s">
        <v>1135</v>
      </c>
      <c r="AF137" s="23" t="s">
        <v>2688</v>
      </c>
    </row>
    <row r="138" spans="1:39" x14ac:dyDescent="0.2">
      <c r="A138" s="30">
        <v>1102</v>
      </c>
      <c r="B138" s="206" t="str">
        <f>IF(AND(A138&lt;&gt;"",ISNUMBER(A138)),VLOOKUP(A138,Studies!A:BR,2,FALSE),"")</f>
        <v>Greenblatt 1998a</v>
      </c>
      <c r="C138" s="206" t="str">
        <f>IF(AND(A138&lt;&gt;"",ISNUMBER(A138)),VLOOKUP(A138,Studies!A:BR,3,FALSE),"")</f>
        <v>https://www.ncbi.nlm.nih.gov/pubmed/9757151</v>
      </c>
      <c r="D138" s="206" t="str">
        <f>IF(AND(A138&lt;&gt;"",ISNUMBER(A138)),VLOOKUP(A138,Studies!A:BR,4,FALSE),"")</f>
        <v>Triazolam + Clarithromycin (Trial E)</v>
      </c>
      <c r="E138" s="141" t="str">
        <f>IF(AND(A138&lt;&gt;"",ISNUMBER(A138)),VLOOKUP(A138,Studies!A:BR,5,FALSE),"")</f>
        <v>Triazolam</v>
      </c>
      <c r="F138" s="42" t="s">
        <v>1113</v>
      </c>
      <c r="G138" s="207" t="str">
        <f>IF(AND(A138&lt;&gt;"",ISNUMBER(A138)),VLOOKUP(A138,Studies!A:BR,13,FALSE),"")</f>
        <v>PO</v>
      </c>
      <c r="H138" s="68" t="s">
        <v>59</v>
      </c>
      <c r="I138" s="207" t="str">
        <f>IF(AND(A138&lt;&gt;"",ISNUMBER(A138)),VLOOKUP(A138,Studies!A:BR,6,FALSE),"")</f>
        <v>Plasma</v>
      </c>
      <c r="J138" s="43">
        <v>5.0599999999999996</v>
      </c>
      <c r="K138" s="43" t="s">
        <v>2630</v>
      </c>
      <c r="L138" s="76">
        <v>0.44</v>
      </c>
      <c r="M138" s="76" t="s">
        <v>1124</v>
      </c>
      <c r="N138" s="52">
        <v>1.968</v>
      </c>
      <c r="O138" s="52" t="s">
        <v>1102</v>
      </c>
      <c r="R138" s="38">
        <v>0</v>
      </c>
      <c r="S138" s="39" t="s">
        <v>938</v>
      </c>
      <c r="T138" s="40">
        <v>25</v>
      </c>
      <c r="U138" s="41" t="s">
        <v>938</v>
      </c>
      <c r="V138" s="42" t="s">
        <v>60</v>
      </c>
      <c r="W138" s="183"/>
      <c r="X138" s="22">
        <v>500</v>
      </c>
      <c r="Z138" s="28" t="s">
        <v>58</v>
      </c>
      <c r="AA138" s="22" t="s">
        <v>59</v>
      </c>
      <c r="AB138" s="22" t="s">
        <v>2190</v>
      </c>
      <c r="AC138" s="22" t="s">
        <v>60</v>
      </c>
      <c r="AD138" s="22" t="s">
        <v>2661</v>
      </c>
      <c r="AF138" s="23" t="s">
        <v>1142</v>
      </c>
      <c r="AI138" s="23" t="s">
        <v>2662</v>
      </c>
      <c r="AJ138" s="52" t="s">
        <v>644</v>
      </c>
      <c r="AL138" s="52">
        <v>4</v>
      </c>
      <c r="AM138" s="52" t="s">
        <v>517</v>
      </c>
    </row>
    <row r="139" spans="1:39" x14ac:dyDescent="0.2">
      <c r="A139" s="30">
        <v>1104</v>
      </c>
      <c r="B139" s="206" t="str">
        <f>IF(AND(A139&lt;&gt;"",ISNUMBER(A139)),VLOOKUP(A139,Studies!A:BR,2,FALSE),"")</f>
        <v>Fleishaker 1994</v>
      </c>
      <c r="C139" s="206" t="str">
        <f>IF(AND(A139&lt;&gt;"",ISNUMBER(A139)),VLOOKUP(A139,Studies!A:BR,3,FALSE),"")</f>
        <v>https://www.ncbi.nlm.nih.gov/pubmed/8005185</v>
      </c>
      <c r="D139" s="206" t="str">
        <f>IF(AND(A139&lt;&gt;"",ISNUMBER(A139)),VLOOKUP(A139,Studies!A:BR,4,FALSE),"")</f>
        <v>Alprazolam + fluvoxamine</v>
      </c>
      <c r="E139" s="141" t="str">
        <f>IF(AND(A139&lt;&gt;"",ISNUMBER(A139)),VLOOKUP(A139,Studies!A:BR,5,FALSE),"")</f>
        <v>Alprazolam</v>
      </c>
      <c r="F139" s="42" t="s">
        <v>1094</v>
      </c>
      <c r="G139" s="207" t="str">
        <f>IF(AND(A139&lt;&gt;"",ISNUMBER(A139)),VLOOKUP(A139,Studies!A:BR,13,FALSE),"")</f>
        <v>PO</v>
      </c>
      <c r="H139" s="68" t="s">
        <v>59</v>
      </c>
      <c r="I139" s="207" t="str">
        <f>IF(AND(A139&lt;&gt;"",ISNUMBER(A139)),VLOOKUP(A139,Studies!A:BR,6,FALSE),"")</f>
        <v>Plasma</v>
      </c>
      <c r="J139" s="43">
        <v>1.2551440329218106</v>
      </c>
      <c r="K139" s="43" t="s">
        <v>1102</v>
      </c>
      <c r="N139" s="52">
        <v>1.176923076923077</v>
      </c>
      <c r="O139" s="52" t="s">
        <v>1103</v>
      </c>
      <c r="R139" s="38">
        <v>0</v>
      </c>
      <c r="S139" s="39">
        <v>5</v>
      </c>
      <c r="T139" s="40">
        <v>144</v>
      </c>
      <c r="U139" s="41">
        <v>149</v>
      </c>
      <c r="V139" s="42" t="s">
        <v>60</v>
      </c>
      <c r="W139" s="30" t="s">
        <v>2653</v>
      </c>
      <c r="X139" s="22" t="s">
        <v>2654</v>
      </c>
      <c r="Z139" s="28" t="s">
        <v>58</v>
      </c>
      <c r="AA139" s="22" t="s">
        <v>59</v>
      </c>
      <c r="AB139" s="22" t="s">
        <v>2655</v>
      </c>
      <c r="AC139" s="22" t="s">
        <v>60</v>
      </c>
      <c r="AD139" s="22" t="s">
        <v>2656</v>
      </c>
      <c r="AE139" s="23" t="s">
        <v>2450</v>
      </c>
      <c r="AF139" s="23" t="s">
        <v>2451</v>
      </c>
      <c r="AI139" s="23" t="s">
        <v>2657</v>
      </c>
      <c r="AJ139" s="52" t="s">
        <v>644</v>
      </c>
      <c r="AM139" s="52" t="s">
        <v>2445</v>
      </c>
    </row>
    <row r="140" spans="1:39" x14ac:dyDescent="0.2">
      <c r="A140" s="30">
        <v>1106</v>
      </c>
      <c r="B140" s="206" t="str">
        <f>IF(AND(A140&lt;&gt;"",ISNUMBER(A140)),VLOOKUP(A140,Studies!A:BR,2,FALSE),"")</f>
        <v>Fleishaker 1994</v>
      </c>
      <c r="C140" s="206" t="str">
        <f>IF(AND(A140&lt;&gt;"",ISNUMBER(A140)),VLOOKUP(A140,Studies!A:BR,3,FALSE),"")</f>
        <v>https://www.ncbi.nlm.nih.gov/pubmed/8005185</v>
      </c>
      <c r="D140" s="206" t="str">
        <f>IF(AND(A140&lt;&gt;"",ISNUMBER(A140)),VLOOKUP(A140,Studies!A:BR,4,FALSE),"")</f>
        <v>Fluvoxamine + alprazolam</v>
      </c>
      <c r="E140" s="141" t="str">
        <f>IF(AND(A140&lt;&gt;"",ISNUMBER(A140)),VLOOKUP(A140,Studies!A:BR,5,FALSE),"")</f>
        <v>Fluvoxamine</v>
      </c>
      <c r="F140" s="42" t="s">
        <v>2053</v>
      </c>
      <c r="G140" s="207" t="str">
        <f>IF(AND(A140&lt;&gt;"",ISNUMBER(A140)),VLOOKUP(A140,Studies!A:BR,13,FALSE),"")</f>
        <v>PO</v>
      </c>
      <c r="H140" s="68" t="s">
        <v>59</v>
      </c>
      <c r="I140" s="207" t="str">
        <f>IF(AND(A140&lt;&gt;"",ISNUMBER(A140)),VLOOKUP(A140,Studies!A:BR,6,FALSE),"")</f>
        <v>Plasma</v>
      </c>
      <c r="J140" s="43">
        <v>0.92073170731707321</v>
      </c>
      <c r="K140" s="43" t="s">
        <v>1102</v>
      </c>
      <c r="N140" s="52">
        <v>0.96279069767441861</v>
      </c>
      <c r="O140" s="52" t="s">
        <v>1103</v>
      </c>
      <c r="R140" s="38">
        <v>0</v>
      </c>
      <c r="S140" s="39" t="s">
        <v>938</v>
      </c>
      <c r="T140" s="40">
        <v>0</v>
      </c>
      <c r="U140" s="41" t="s">
        <v>938</v>
      </c>
      <c r="V140" s="42" t="s">
        <v>60</v>
      </c>
      <c r="W140" s="30" t="s">
        <v>2660</v>
      </c>
      <c r="X140" s="22">
        <v>1</v>
      </c>
      <c r="Z140" s="28" t="s">
        <v>58</v>
      </c>
      <c r="AA140" s="22" t="s">
        <v>59</v>
      </c>
      <c r="AB140" s="22" t="s">
        <v>2447</v>
      </c>
      <c r="AC140" s="22" t="s">
        <v>60</v>
      </c>
      <c r="AD140" s="22" t="s">
        <v>2444</v>
      </c>
      <c r="AE140" s="23" t="s">
        <v>2312</v>
      </c>
      <c r="AF140" s="23" t="s">
        <v>1905</v>
      </c>
      <c r="AJ140" s="52" t="s">
        <v>644</v>
      </c>
      <c r="AM140" s="52" t="s">
        <v>2445</v>
      </c>
    </row>
    <row r="141" spans="1:39" x14ac:dyDescent="0.2">
      <c r="A141" s="30">
        <v>1108</v>
      </c>
      <c r="B141" s="206" t="str">
        <f>IF(AND(A141&lt;&gt;"",ISNUMBER(A141)),VLOOKUP(A141,Studies!A:BR,2,FALSE),"")</f>
        <v>Backman 1994</v>
      </c>
      <c r="C141" s="206" t="str">
        <f>IF(AND(A141&lt;&gt;"",ISNUMBER(A141)),VLOOKUP(A141,Studies!A:BR,3,FALSE),"")</f>
        <v>https://www.ncbi.nlm.nih.gov/pubmed/8198928</v>
      </c>
      <c r="D141" s="206" t="str">
        <f>IF(AND(A141&lt;&gt;"",ISNUMBER(A141)),VLOOKUP(A141,Studies!A:BR,4,FALSE),"")</f>
        <v>Midazolam with verapamil</v>
      </c>
      <c r="E141" s="141" t="str">
        <f>IF(AND(A141&lt;&gt;"",ISNUMBER(A141)),VLOOKUP(A141,Studies!A:BR,5,FALSE),"")</f>
        <v>Midazolam</v>
      </c>
      <c r="F141" s="42" t="s">
        <v>383</v>
      </c>
      <c r="G141" s="207" t="str">
        <f>IF(AND(A141&lt;&gt;"",ISNUMBER(A141)),VLOOKUP(A141,Studies!A:BR,13,FALSE),"")</f>
        <v>PO</v>
      </c>
      <c r="H141" s="68" t="s">
        <v>59</v>
      </c>
      <c r="I141" s="207" t="str">
        <f>IF(AND(A141&lt;&gt;"",ISNUMBER(A141)),VLOOKUP(A141,Studies!A:BR,6,FALSE),"")</f>
        <v>Plasma</v>
      </c>
      <c r="J141" s="43">
        <v>2.9166666666666665</v>
      </c>
      <c r="K141" s="43" t="s">
        <v>2781</v>
      </c>
      <c r="N141" s="52">
        <v>1.9692307692307693</v>
      </c>
      <c r="O141" s="52" t="s">
        <v>2781</v>
      </c>
      <c r="R141" s="38">
        <v>0</v>
      </c>
      <c r="S141" s="39" t="s">
        <v>938</v>
      </c>
      <c r="T141" s="40">
        <v>25</v>
      </c>
      <c r="U141" s="41" t="s">
        <v>938</v>
      </c>
      <c r="V141" s="42" t="s">
        <v>60</v>
      </c>
      <c r="X141" s="22">
        <v>80</v>
      </c>
      <c r="Z141" s="28" t="s">
        <v>58</v>
      </c>
      <c r="AA141" s="22" t="s">
        <v>59</v>
      </c>
      <c r="AB141" s="22" t="s">
        <v>2463</v>
      </c>
      <c r="AC141" s="22" t="s">
        <v>60</v>
      </c>
      <c r="AD141" s="22" t="s">
        <v>2650</v>
      </c>
      <c r="AE141" s="23" t="s">
        <v>2651</v>
      </c>
      <c r="AF141" s="23" t="s">
        <v>2652</v>
      </c>
    </row>
    <row r="142" spans="1:39" x14ac:dyDescent="0.2">
      <c r="A142" s="30">
        <v>1111</v>
      </c>
      <c r="B142" s="206" t="str">
        <f>IF(AND(A142&lt;&gt;"",ISNUMBER(A142)),VLOOKUP(A142,Studies!A:BR,2,FALSE),"")</f>
        <v>Wang 2005</v>
      </c>
      <c r="C142" s="206" t="str">
        <f>IF(AND(A142&lt;&gt;"",ISNUMBER(A142)),VLOOKUP(A142,Studies!A:BR,3,FALSE),"")</f>
        <v>https://ascpt.onlinelibrary.wiley.com/doi/abs/10.1016/j.clpt.2004.11.014</v>
      </c>
      <c r="D142" s="206" t="str">
        <f>IF(AND(A142&lt;&gt;"",ISNUMBER(A142)),VLOOKUP(A142,Studies!A:BR,4,FALSE),"")</f>
        <v>Midazolam after VER treatment</v>
      </c>
      <c r="E142" s="141" t="str">
        <f>IF(AND(A142&lt;&gt;"",ISNUMBER(A142)),VLOOKUP(A142,Studies!A:BR,5,FALSE),"")</f>
        <v>Midazolam</v>
      </c>
      <c r="F142" s="42" t="s">
        <v>383</v>
      </c>
      <c r="G142" s="207" t="str">
        <f>IF(AND(A142&lt;&gt;"",ISNUMBER(A142)),VLOOKUP(A142,Studies!A:BR,13,FALSE),"")</f>
        <v>IV</v>
      </c>
      <c r="I142" s="207" t="str">
        <f>IF(AND(A142&lt;&gt;"",ISNUMBER(A142)),VLOOKUP(A142,Studies!A:BR,6,FALSE),"")</f>
        <v>Plasma</v>
      </c>
      <c r="J142" s="43">
        <v>1.4523809523809523</v>
      </c>
      <c r="K142" s="43" t="s">
        <v>2781</v>
      </c>
      <c r="R142" s="38">
        <v>0</v>
      </c>
      <c r="S142" s="39" t="s">
        <v>938</v>
      </c>
      <c r="T142" s="40">
        <v>144</v>
      </c>
      <c r="U142" s="41" t="s">
        <v>938</v>
      </c>
      <c r="V142" s="42" t="s">
        <v>60</v>
      </c>
      <c r="W142" s="30" t="s">
        <v>2706</v>
      </c>
      <c r="X142" s="22">
        <v>240</v>
      </c>
      <c r="Z142" s="28" t="s">
        <v>58</v>
      </c>
      <c r="AB142" s="22" t="s">
        <v>2655</v>
      </c>
      <c r="AC142" s="22" t="s">
        <v>60</v>
      </c>
      <c r="AD142" s="22" t="s">
        <v>92</v>
      </c>
      <c r="AE142" s="23" t="s">
        <v>2707</v>
      </c>
      <c r="AF142" s="23" t="s">
        <v>2708</v>
      </c>
    </row>
    <row r="143" spans="1:39" x14ac:dyDescent="0.2">
      <c r="A143" s="30">
        <v>1113</v>
      </c>
      <c r="B143" s="206" t="str">
        <f>IF(AND(A143&lt;&gt;"",ISNUMBER(A143)),VLOOKUP(A143,Studies!A:BR,2,FALSE),"")</f>
        <v>Fleishaker 1994</v>
      </c>
      <c r="C143" s="206" t="str">
        <f>IF(AND(A143&lt;&gt;"",ISNUMBER(A143)),VLOOKUP(A143,Studies!A:BR,3,FALSE),"")</f>
        <v>https://www.ncbi.nlm.nih.gov/pubmed/8005185</v>
      </c>
      <c r="D143" s="206" t="str">
        <f>IF(AND(A143&lt;&gt;"",ISNUMBER(A143)),VLOOKUP(A143,Studies!A:BR,4,FALSE),"")</f>
        <v>Alprazolam + fluvoxamine (day 10)</v>
      </c>
      <c r="E143" s="141" t="str">
        <f>IF(AND(A143&lt;&gt;"",ISNUMBER(A143)),VLOOKUP(A143,Studies!A:BR,5,FALSE),"")</f>
        <v>Alprazolam</v>
      </c>
      <c r="F143" s="42" t="s">
        <v>1094</v>
      </c>
      <c r="G143" s="207" t="str">
        <f>IF(AND(A143&lt;&gt;"",ISNUMBER(A143)),VLOOKUP(A143,Studies!A:BR,13,FALSE),"")</f>
        <v>PO</v>
      </c>
      <c r="H143" s="68" t="s">
        <v>59</v>
      </c>
      <c r="I143" s="207" t="str">
        <f>IF(AND(A143&lt;&gt;"",ISNUMBER(A143)),VLOOKUP(A143,Studies!A:BR,6,FALSE),"")</f>
        <v>Plasma</v>
      </c>
      <c r="J143" s="43">
        <f>1/0.5093885</f>
        <v>1.9631381548660796</v>
      </c>
      <c r="K143" s="43" t="s">
        <v>1102</v>
      </c>
      <c r="N143" s="52">
        <f>1/0.5370741</f>
        <v>1.8619404659431538</v>
      </c>
      <c r="O143" s="52" t="s">
        <v>1103</v>
      </c>
      <c r="R143" s="38">
        <v>216</v>
      </c>
      <c r="S143" s="39">
        <f>216+24</f>
        <v>240</v>
      </c>
      <c r="T143" s="40">
        <v>216</v>
      </c>
      <c r="U143" s="41">
        <f>216+24</f>
        <v>240</v>
      </c>
      <c r="V143" s="42" t="s">
        <v>60</v>
      </c>
      <c r="W143" s="30" t="s">
        <v>2879</v>
      </c>
      <c r="X143" s="22" t="s">
        <v>2880</v>
      </c>
      <c r="Z143" s="28" t="s">
        <v>58</v>
      </c>
      <c r="AA143" s="22" t="s">
        <v>59</v>
      </c>
      <c r="AB143" s="22" t="s">
        <v>2659</v>
      </c>
      <c r="AC143" s="22" t="s">
        <v>60</v>
      </c>
      <c r="AD143" s="22" t="s">
        <v>2869</v>
      </c>
      <c r="AE143" s="23" t="s">
        <v>2881</v>
      </c>
      <c r="AJ143" s="52" t="s">
        <v>644</v>
      </c>
      <c r="AM143" s="52" t="s">
        <v>2445</v>
      </c>
    </row>
    <row r="144" spans="1:39" x14ac:dyDescent="0.2">
      <c r="A144" s="30">
        <v>1114</v>
      </c>
      <c r="B144" s="206" t="str">
        <f>IF(AND(A144&lt;&gt;"",ISNUMBER(A144)),VLOOKUP(A144,Studies!A:BR,2,FALSE),"")</f>
        <v>Fleishaker 1994</v>
      </c>
      <c r="C144" s="206" t="str">
        <f>IF(AND(A144&lt;&gt;"",ISNUMBER(A144)),VLOOKUP(A144,Studies!A:BR,3,FALSE),"")</f>
        <v>https://www.ncbi.nlm.nih.gov/pubmed/8005185</v>
      </c>
      <c r="D144" s="206" t="str">
        <f>IF(AND(A144&lt;&gt;"",ISNUMBER(A144)),VLOOKUP(A144,Studies!A:BR,4,FALSE),"")</f>
        <v>Fluvoxamine + alprazolam (day 10)</v>
      </c>
      <c r="E144" s="141" t="str">
        <f>IF(AND(A144&lt;&gt;"",ISNUMBER(A144)),VLOOKUP(A144,Studies!A:BR,5,FALSE),"")</f>
        <v>Fluvoxamine</v>
      </c>
      <c r="F144" s="42" t="s">
        <v>2053</v>
      </c>
      <c r="G144" s="207" t="str">
        <f>IF(AND(A144&lt;&gt;"",ISNUMBER(A144)),VLOOKUP(A144,Studies!A:BR,13,FALSE),"")</f>
        <v>PO</v>
      </c>
      <c r="H144" s="68" t="s">
        <v>59</v>
      </c>
      <c r="I144" s="207" t="str">
        <f>IF(AND(A144&lt;&gt;"",ISNUMBER(A144)),VLOOKUP(A144,Studies!A:BR,6,FALSE),"")</f>
        <v>Plasma</v>
      </c>
      <c r="J144" s="43">
        <v>0.76106696935300799</v>
      </c>
      <c r="K144" s="43" t="s">
        <v>1102</v>
      </c>
      <c r="N144" s="52">
        <v>0.78751258811681779</v>
      </c>
      <c r="O144" s="52" t="s">
        <v>1103</v>
      </c>
      <c r="R144" s="38">
        <v>0</v>
      </c>
      <c r="S144" s="39">
        <v>216</v>
      </c>
      <c r="T144" s="40">
        <v>0</v>
      </c>
      <c r="U144" s="41">
        <v>216</v>
      </c>
      <c r="V144" s="42" t="s">
        <v>60</v>
      </c>
      <c r="W144" s="30" t="s">
        <v>2658</v>
      </c>
      <c r="X144" s="22">
        <v>1</v>
      </c>
      <c r="Z144" s="28" t="s">
        <v>58</v>
      </c>
      <c r="AA144" s="22" t="s">
        <v>59</v>
      </c>
      <c r="AB144" s="22" t="s">
        <v>2447</v>
      </c>
      <c r="AC144" s="22" t="s">
        <v>60</v>
      </c>
      <c r="AD144" s="22" t="s">
        <v>2444</v>
      </c>
      <c r="AE144" s="23" t="s">
        <v>2312</v>
      </c>
      <c r="AF144" s="23" t="s">
        <v>1905</v>
      </c>
      <c r="AJ144" s="52" t="s">
        <v>644</v>
      </c>
      <c r="AM144" s="52" t="s">
        <v>2445</v>
      </c>
    </row>
    <row r="145" spans="1:35" x14ac:dyDescent="0.2">
      <c r="A145" s="30">
        <v>1116</v>
      </c>
      <c r="B145" s="206" t="str">
        <f>IF(AND(A145&lt;&gt;"",ISNUMBER(A145)),VLOOKUP(A145,Studies!A:BR,2,FALSE),"")</f>
        <v>Wang 2005</v>
      </c>
      <c r="C145" s="206" t="str">
        <f>IF(AND(A145&lt;&gt;"",ISNUMBER(A145)),VLOOKUP(A145,Studies!A:BR,3,FALSE),"")</f>
        <v>https://ascpt.onlinelibrary.wiley.com/doi/abs/10.1016/j.clpt.2004.11.014</v>
      </c>
      <c r="D145" s="206" t="str">
        <f>IF(AND(A145&lt;&gt;"",ISNUMBER(A145)),VLOOKUP(A145,Studies!A:BR,4,FALSE),"")</f>
        <v>Midazolam after VER treatment</v>
      </c>
      <c r="E145" s="141" t="str">
        <f>IF(AND(A145&lt;&gt;"",ISNUMBER(A145)),VLOOKUP(A145,Studies!A:BR,5,FALSE),"")</f>
        <v>Midazolam</v>
      </c>
      <c r="F145" s="42" t="s">
        <v>383</v>
      </c>
      <c r="G145" s="207" t="str">
        <f>IF(AND(A145&lt;&gt;"",ISNUMBER(A145)),VLOOKUP(A145,Studies!A:BR,13,FALSE),"")</f>
        <v>PO</v>
      </c>
      <c r="I145" s="207" t="str">
        <f>IF(AND(A145&lt;&gt;"",ISNUMBER(A145)),VLOOKUP(A145,Studies!A:BR,6,FALSE),"")</f>
        <v>Plasma</v>
      </c>
      <c r="J145" s="43">
        <v>3.5056179775280896</v>
      </c>
      <c r="K145" s="43" t="s">
        <v>2781</v>
      </c>
      <c r="R145" s="38">
        <v>0</v>
      </c>
      <c r="S145" s="39" t="s">
        <v>938</v>
      </c>
      <c r="T145" s="40">
        <v>168</v>
      </c>
      <c r="U145" s="41" t="s">
        <v>938</v>
      </c>
      <c r="V145" s="42" t="s">
        <v>60</v>
      </c>
      <c r="W145" s="30" t="s">
        <v>2709</v>
      </c>
      <c r="X145" s="22">
        <v>240</v>
      </c>
      <c r="Z145" s="28" t="s">
        <v>58</v>
      </c>
      <c r="AB145" s="22" t="s">
        <v>2655</v>
      </c>
      <c r="AC145" s="22" t="s">
        <v>60</v>
      </c>
      <c r="AD145" s="22" t="s">
        <v>92</v>
      </c>
      <c r="AE145" s="23" t="s">
        <v>2707</v>
      </c>
      <c r="AF145" s="23" t="s">
        <v>2708</v>
      </c>
    </row>
    <row r="146" spans="1:35" x14ac:dyDescent="0.2">
      <c r="A146" s="30">
        <v>2002</v>
      </c>
      <c r="B146" s="206" t="str">
        <f>IF(AND(A146&lt;&gt;"",ISNUMBER(A146)),VLOOKUP(A146,Studies!A:BR,2,FALSE),"")</f>
        <v>van Dyk 2018</v>
      </c>
      <c r="C146" s="206" t="str">
        <f>IF(AND(A146&lt;&gt;"",ISNUMBER(A146)),VLOOKUP(A146,Studies!A:BR,3,FALSE),"")</f>
        <v>https://www.ncbi.nlm.nih.gov/pubmed/29572563</v>
      </c>
      <c r="D146" s="206" t="str">
        <f>IF(AND(A146&lt;&gt;"",ISNUMBER(A146)),VLOOKUP(A146,Studies!A:BR,4,FALSE),"")</f>
        <v>Midazolam in Caucasian following 7d of Rifampicin (between day 1 and 8)</v>
      </c>
      <c r="E146" s="141" t="str">
        <f>IF(AND(A146&lt;&gt;"",ISNUMBER(A146)),VLOOKUP(A146,Studies!A:BR,5,FALSE),"")</f>
        <v>Midazolam</v>
      </c>
      <c r="F146" s="42" t="s">
        <v>54</v>
      </c>
      <c r="G146" s="207" t="str">
        <f>IF(AND(A146&lt;&gt;"",ISNUMBER(A146)),VLOOKUP(A146,Studies!A:BR,13,FALSE),"")</f>
        <v>PO</v>
      </c>
      <c r="H146" s="68" t="s">
        <v>59</v>
      </c>
      <c r="I146" s="207" t="str">
        <f>IF(AND(A146&lt;&gt;"",ISNUMBER(A146)),VLOOKUP(A146,Studies!A:BR,6,FALSE),"")</f>
        <v>Plasma</v>
      </c>
      <c r="J146" s="43">
        <f>1/3.9</f>
        <v>0.25641025641025644</v>
      </c>
      <c r="K146" s="43" t="s">
        <v>996</v>
      </c>
      <c r="L146" s="76" t="str">
        <f>1/4.8&amp;"-"&amp;1/3</f>
        <v>0.208333333333333-0.333333333333333</v>
      </c>
      <c r="M146" s="76" t="s">
        <v>1099</v>
      </c>
      <c r="N146" s="52">
        <f>2.7/7.2</f>
        <v>0.375</v>
      </c>
      <c r="O146" s="52" t="s">
        <v>1103</v>
      </c>
      <c r="Q146" s="204"/>
      <c r="R146" s="38">
        <v>0</v>
      </c>
      <c r="S146" s="39">
        <v>6</v>
      </c>
      <c r="T146" s="40">
        <v>156</v>
      </c>
      <c r="U146" s="41">
        <v>162</v>
      </c>
      <c r="V146" s="42" t="s">
        <v>60</v>
      </c>
      <c r="W146" s="30" t="s">
        <v>2723</v>
      </c>
      <c r="X146" s="22">
        <v>300</v>
      </c>
      <c r="Z146" s="28" t="s">
        <v>58</v>
      </c>
      <c r="AA146" s="22" t="s">
        <v>59</v>
      </c>
      <c r="AB146" s="22" t="s">
        <v>2655</v>
      </c>
      <c r="AC146" s="22" t="s">
        <v>60</v>
      </c>
      <c r="AD146" s="22" t="s">
        <v>2724</v>
      </c>
      <c r="AE146" s="23" t="s">
        <v>1145</v>
      </c>
      <c r="AF146" s="23" t="s">
        <v>2725</v>
      </c>
    </row>
    <row r="147" spans="1:35" x14ac:dyDescent="0.2">
      <c r="A147" s="30">
        <v>2003</v>
      </c>
      <c r="B147" s="206" t="str">
        <f>IF(AND(A147&lt;&gt;"",ISNUMBER(A147)),VLOOKUP(A147,Studies!A:BR,2,FALSE),"")</f>
        <v>van Dyk 2018</v>
      </c>
      <c r="C147" s="206" t="str">
        <f>IF(AND(A147&lt;&gt;"",ISNUMBER(A147)),VLOOKUP(A147,Studies!A:BR,3,FALSE),"")</f>
        <v>https://www.ncbi.nlm.nih.gov/pubmed/29572563</v>
      </c>
      <c r="D147" s="206" t="str">
        <f>IF(AND(A147&lt;&gt;"",ISNUMBER(A147)),VLOOKUP(A147,Studies!A:BR,4,FALSE),"")</f>
        <v>Midazolam in South Asian following 7d of Rifampicin (between day 1 and 8)</v>
      </c>
      <c r="E147" s="141" t="str">
        <f>IF(AND(A147&lt;&gt;"",ISNUMBER(A147)),VLOOKUP(A147,Studies!A:BR,5,FALSE),"")</f>
        <v>Midazolam</v>
      </c>
      <c r="F147" s="42" t="s">
        <v>54</v>
      </c>
      <c r="G147" s="207" t="str">
        <f>IF(AND(A147&lt;&gt;"",ISNUMBER(A147)),VLOOKUP(A147,Studies!A:BR,13,FALSE),"")</f>
        <v>PO</v>
      </c>
      <c r="H147" s="68" t="s">
        <v>59</v>
      </c>
      <c r="I147" s="207" t="str">
        <f>IF(AND(A147&lt;&gt;"",ISNUMBER(A147)),VLOOKUP(A147,Studies!A:BR,6,FALSE),"")</f>
        <v>Plasma</v>
      </c>
      <c r="J147" s="43">
        <f>1/5.3</f>
        <v>0.18867924528301888</v>
      </c>
      <c r="K147" s="43" t="s">
        <v>996</v>
      </c>
      <c r="L147" s="203" t="str">
        <f>1/6.4&amp;"-"&amp;1/3.8</f>
        <v>0.15625-0.263157894736842</v>
      </c>
      <c r="M147" s="76" t="s">
        <v>1099</v>
      </c>
      <c r="N147" s="52">
        <f>1.2/5.5</f>
        <v>0.21818181818181817</v>
      </c>
      <c r="O147" s="195" t="s">
        <v>1103</v>
      </c>
      <c r="Q147" s="204"/>
      <c r="R147" s="38">
        <v>0</v>
      </c>
      <c r="S147" s="39">
        <v>6</v>
      </c>
      <c r="T147" s="40">
        <v>156</v>
      </c>
      <c r="U147" s="41">
        <v>162</v>
      </c>
      <c r="V147" s="42" t="s">
        <v>60</v>
      </c>
      <c r="W147" s="30" t="s">
        <v>2726</v>
      </c>
      <c r="X147" s="22">
        <v>300</v>
      </c>
      <c r="Z147" s="28" t="s">
        <v>58</v>
      </c>
      <c r="AA147" s="22" t="s">
        <v>59</v>
      </c>
      <c r="AB147" s="22" t="s">
        <v>2655</v>
      </c>
      <c r="AC147" s="22" t="s">
        <v>60</v>
      </c>
      <c r="AD147" s="22" t="s">
        <v>2724</v>
      </c>
      <c r="AE147" s="23" t="s">
        <v>1145</v>
      </c>
      <c r="AF147" s="23" t="s">
        <v>2725</v>
      </c>
    </row>
    <row r="148" spans="1:35" x14ac:dyDescent="0.2">
      <c r="A148" s="30">
        <v>2004</v>
      </c>
      <c r="B148" s="206" t="str">
        <f>IF(AND(A148&lt;&gt;"",ISNUMBER(A148)),VLOOKUP(A148,Studies!A:BR,2,FALSE),"")</f>
        <v>van Dyk 2018</v>
      </c>
      <c r="C148" s="206" t="str">
        <f>IF(AND(A148&lt;&gt;"",ISNUMBER(A148)),VLOOKUP(A148,Studies!A:BR,3,FALSE),"")</f>
        <v>https://www.ncbi.nlm.nih.gov/pubmed/29572563</v>
      </c>
      <c r="D148" s="206" t="str">
        <f>IF(AND(A148&lt;&gt;"",ISNUMBER(A148)),VLOOKUP(A148,Studies!A:BR,4,FALSE),"")</f>
        <v>Midazolam in Caucasian following 3d of Clarithromycin (between day 12 and 14)</v>
      </c>
      <c r="E148" s="141" t="str">
        <f>IF(AND(A148&lt;&gt;"",ISNUMBER(A148)),VLOOKUP(A148,Studies!A:BR,5,FALSE),"")</f>
        <v>Midazolam</v>
      </c>
      <c r="F148" s="42" t="s">
        <v>1113</v>
      </c>
      <c r="G148" s="207" t="str">
        <f>IF(AND(A148&lt;&gt;"",ISNUMBER(A148)),VLOOKUP(A148,Studies!A:BR,13,FALSE),"")</f>
        <v>PO</v>
      </c>
      <c r="H148" s="68" t="s">
        <v>59</v>
      </c>
      <c r="I148" s="207" t="str">
        <f>IF(AND(A148&lt;&gt;"",ISNUMBER(A148)),VLOOKUP(A148,Studies!A:BR,6,FALSE),"")</f>
        <v>Plasma</v>
      </c>
      <c r="J148" s="43">
        <v>1.9</v>
      </c>
      <c r="K148" s="43" t="s">
        <v>996</v>
      </c>
      <c r="L148" s="76" t="s">
        <v>2727</v>
      </c>
      <c r="M148" s="76" t="s">
        <v>1099</v>
      </c>
      <c r="N148" s="52">
        <f>12.6/7.2</f>
        <v>1.75</v>
      </c>
      <c r="O148" s="195" t="s">
        <v>1103</v>
      </c>
      <c r="R148" s="38">
        <v>0</v>
      </c>
      <c r="S148" s="39">
        <v>6</v>
      </c>
      <c r="T148" s="40">
        <v>72</v>
      </c>
      <c r="U148" s="41">
        <v>78</v>
      </c>
      <c r="V148" s="42" t="s">
        <v>60</v>
      </c>
      <c r="W148" s="30" t="s">
        <v>2728</v>
      </c>
      <c r="X148" s="22">
        <v>250</v>
      </c>
      <c r="Z148" s="28" t="s">
        <v>58</v>
      </c>
      <c r="AB148" s="22" t="s">
        <v>2729</v>
      </c>
      <c r="AC148" s="22" t="s">
        <v>60</v>
      </c>
      <c r="AD148" s="22" t="s">
        <v>2730</v>
      </c>
      <c r="AE148" s="23" t="s">
        <v>1135</v>
      </c>
      <c r="AF148" s="23" t="s">
        <v>2731</v>
      </c>
    </row>
    <row r="149" spans="1:35" x14ac:dyDescent="0.2">
      <c r="A149" s="30">
        <v>2005</v>
      </c>
      <c r="B149" s="206" t="str">
        <f>IF(AND(A149&lt;&gt;"",ISNUMBER(A149)),VLOOKUP(A149,Studies!A:BR,2,FALSE),"")</f>
        <v>van Dyk 2018</v>
      </c>
      <c r="C149" s="206" t="str">
        <f>IF(AND(A149&lt;&gt;"",ISNUMBER(A149)),VLOOKUP(A149,Studies!A:BR,3,FALSE),"")</f>
        <v>https://www.ncbi.nlm.nih.gov/pubmed/29572563</v>
      </c>
      <c r="D149" s="206" t="str">
        <f>IF(AND(A149&lt;&gt;"",ISNUMBER(A149)),VLOOKUP(A149,Studies!A:BR,4,FALSE),"")</f>
        <v>Midazolam in South Asian following 3d of Clarithromycin (between day 12 and 14)</v>
      </c>
      <c r="E149" s="141" t="str">
        <f>IF(AND(A149&lt;&gt;"",ISNUMBER(A149)),VLOOKUP(A149,Studies!A:BR,5,FALSE),"")</f>
        <v>Midazolam</v>
      </c>
      <c r="F149" s="42" t="s">
        <v>1113</v>
      </c>
      <c r="G149" s="207" t="str">
        <f>IF(AND(A149&lt;&gt;"",ISNUMBER(A149)),VLOOKUP(A149,Studies!A:BR,13,FALSE),"")</f>
        <v>PO</v>
      </c>
      <c r="H149" s="68" t="s">
        <v>59</v>
      </c>
      <c r="I149" s="207" t="str">
        <f>IF(AND(A149&lt;&gt;"",ISNUMBER(A149)),VLOOKUP(A149,Studies!A:BR,6,FALSE),"")</f>
        <v>Plasma</v>
      </c>
      <c r="J149" s="43">
        <v>1.5</v>
      </c>
      <c r="K149" s="43" t="s">
        <v>996</v>
      </c>
      <c r="L149" s="76" t="s">
        <v>2732</v>
      </c>
      <c r="M149" s="76" t="s">
        <v>1099</v>
      </c>
      <c r="N149" s="52">
        <f>8.3/5.5</f>
        <v>1.5090909090909093</v>
      </c>
      <c r="O149" s="195" t="s">
        <v>1103</v>
      </c>
      <c r="Q149" s="204"/>
      <c r="R149" s="38">
        <v>0</v>
      </c>
      <c r="S149" s="39">
        <v>6</v>
      </c>
      <c r="T149" s="40">
        <v>72</v>
      </c>
      <c r="U149" s="41">
        <v>78</v>
      </c>
      <c r="V149" s="42" t="s">
        <v>60</v>
      </c>
      <c r="W149" s="30" t="s">
        <v>2733</v>
      </c>
      <c r="X149" s="22">
        <v>250</v>
      </c>
      <c r="Z149" s="28" t="s">
        <v>58</v>
      </c>
      <c r="AB149" s="22" t="s">
        <v>2729</v>
      </c>
      <c r="AC149" s="22" t="s">
        <v>60</v>
      </c>
      <c r="AD149" s="22" t="s">
        <v>2730</v>
      </c>
      <c r="AE149" s="23" t="s">
        <v>1135</v>
      </c>
      <c r="AF149" s="23" t="s">
        <v>2731</v>
      </c>
    </row>
    <row r="150" spans="1:35" x14ac:dyDescent="0.2">
      <c r="A150" s="30">
        <v>2007</v>
      </c>
      <c r="B150" s="206" t="str">
        <f>IF(AND(A150&lt;&gt;"",ISNUMBER(A150)),VLOOKUP(A150,Studies!A:BR,2,FALSE),"")</f>
        <v>Kashuba 1998</v>
      </c>
      <c r="C150" s="206" t="str">
        <f>IF(AND(A150&lt;&gt;"",ISNUMBER(A150)),VLOOKUP(A150,Studies!A:BR,3,FALSE),"")</f>
        <v>https://www.ncbi.nlm.nih.gov/pubmed/9757149</v>
      </c>
      <c r="D150" s="206" t="str">
        <f>IF(AND(A150&lt;&gt;"",ISNUMBER(A150)),VLOOKUP(A150,Studies!A:BR,4,FALSE),"")</f>
        <v>Midazolam after Fluvoxamine</v>
      </c>
      <c r="E150" s="141" t="str">
        <f>IF(AND(A150&lt;&gt;"",ISNUMBER(A150)),VLOOKUP(A150,Studies!A:BR,5,FALSE),"")</f>
        <v>Midazolam</v>
      </c>
      <c r="F150" s="42" t="s">
        <v>1094</v>
      </c>
      <c r="G150" s="207" t="str">
        <f>IF(AND(A150&lt;&gt;"",ISNUMBER(A150)),VLOOKUP(A150,Studies!A:BR,13,FALSE),"")</f>
        <v>IV</v>
      </c>
      <c r="H150" s="68" t="s">
        <v>59</v>
      </c>
      <c r="I150" s="207" t="str">
        <f>IF(AND(A150&lt;&gt;"",ISNUMBER(A150)),VLOOKUP(A150,Studies!A:BR,6,FALSE),"")</f>
        <v>Plasma</v>
      </c>
      <c r="J150" s="43">
        <f>0.0081/0.0054</f>
        <v>1.4999999999999998</v>
      </c>
      <c r="K150" s="43" t="s">
        <v>1102</v>
      </c>
      <c r="R150" s="38">
        <v>0</v>
      </c>
      <c r="S150" s="39" t="s">
        <v>938</v>
      </c>
      <c r="T150" s="40">
        <f>(349+685)/2</f>
        <v>517</v>
      </c>
      <c r="U150" s="41" t="s">
        <v>938</v>
      </c>
      <c r="V150" s="42" t="s">
        <v>60</v>
      </c>
      <c r="W150" s="30" t="s">
        <v>2943</v>
      </c>
      <c r="X150" s="22" t="s">
        <v>2734</v>
      </c>
      <c r="Z150" s="28" t="s">
        <v>58</v>
      </c>
      <c r="AB150" s="22" t="s">
        <v>2735</v>
      </c>
      <c r="AC150" s="22" t="s">
        <v>60</v>
      </c>
      <c r="AD150" s="22" t="s">
        <v>2736</v>
      </c>
      <c r="AE150" s="23" t="s">
        <v>2668</v>
      </c>
      <c r="AF150" s="23" t="s">
        <v>2737</v>
      </c>
    </row>
    <row r="151" spans="1:35" x14ac:dyDescent="0.2">
      <c r="A151" s="30">
        <v>2009</v>
      </c>
      <c r="B151" s="206" t="str">
        <f>IF(AND(A151&lt;&gt;"",ISNUMBER(A151)),VLOOKUP(A151,Studies!A:BR,2,FALSE),"")</f>
        <v>Gashaw 2003</v>
      </c>
      <c r="C151" s="206" t="str">
        <f>IF(AND(A151&lt;&gt;"",ISNUMBER(A151)),VLOOKUP(A151,Studies!A:BR,3,FALSE),"")</f>
        <v>https://www.ncbi.nlm.nih.gov/pubmed/?term=14586385</v>
      </c>
      <c r="D151" s="206" t="str">
        <f>IF(AND(A151&lt;&gt;"",ISNUMBER(A151)),VLOOKUP(A151,Studies!A:BR,4,FALSE),"")</f>
        <v>Alprazolam 10h concentration after Rifampin treatment (5 day rifampin treatment, day 7)</v>
      </c>
      <c r="E151" s="141" t="str">
        <f>IF(AND(A151&lt;&gt;"",ISNUMBER(A151)),VLOOKUP(A151,Studies!A:BR,5,FALSE),"")</f>
        <v>Alprazolam</v>
      </c>
      <c r="F151" s="42" t="s">
        <v>1132</v>
      </c>
      <c r="G151" s="207" t="str">
        <f>IF(AND(A151&lt;&gt;"",ISNUMBER(A151)),VLOOKUP(A151,Studies!A:BR,13,FALSE),"")</f>
        <v>PO</v>
      </c>
      <c r="H151" s="68" t="s">
        <v>59</v>
      </c>
      <c r="I151" s="207" t="str">
        <f>IF(AND(A151&lt;&gt;"",ISNUMBER(A151)),VLOOKUP(A151,Studies!A:BR,6,FALSE),"")</f>
        <v>Plasma</v>
      </c>
      <c r="J151" s="43">
        <v>0.1793478</v>
      </c>
      <c r="K151" s="43" t="s">
        <v>1102</v>
      </c>
      <c r="R151" s="38">
        <v>0</v>
      </c>
      <c r="S151" s="39" t="s">
        <v>938</v>
      </c>
      <c r="T151" s="40">
        <v>100</v>
      </c>
      <c r="U151" s="41">
        <v>436</v>
      </c>
      <c r="V151" s="42" t="s">
        <v>60</v>
      </c>
      <c r="W151" s="30" t="s">
        <v>2885</v>
      </c>
      <c r="X151" s="22">
        <v>450</v>
      </c>
      <c r="Z151" s="28" t="s">
        <v>58</v>
      </c>
      <c r="AA151" s="22" t="s">
        <v>59</v>
      </c>
      <c r="AB151" s="22" t="s">
        <v>2715</v>
      </c>
      <c r="AC151" s="22" t="s">
        <v>60</v>
      </c>
      <c r="AD151" s="22" t="s">
        <v>2677</v>
      </c>
      <c r="AF151" s="23" t="s">
        <v>2716</v>
      </c>
    </row>
    <row r="152" spans="1:35" x14ac:dyDescent="0.2">
      <c r="A152" s="30">
        <v>2010</v>
      </c>
      <c r="B152" s="206" t="str">
        <f>IF(AND(A152&lt;&gt;"",ISNUMBER(A152)),VLOOKUP(A152,Studies!A:BR,2,FALSE),"")</f>
        <v>Gashaw 2003</v>
      </c>
      <c r="C152" s="206" t="str">
        <f>IF(AND(A152&lt;&gt;"",ISNUMBER(A152)),VLOOKUP(A152,Studies!A:BR,3,FALSE),"")</f>
        <v>https://www.ncbi.nlm.nih.gov/pubmed/?term=14586385</v>
      </c>
      <c r="D152" s="206" t="str">
        <f>IF(AND(A152&lt;&gt;"",ISNUMBER(A152)),VLOOKUP(A152,Studies!A:BR,4,FALSE),"")</f>
        <v>Alprazolam 10h concentration after wash out (day 22)</v>
      </c>
      <c r="E152" s="141" t="str">
        <f>IF(AND(A152&lt;&gt;"",ISNUMBER(A152)),VLOOKUP(A152,Studies!A:BR,5,FALSE),"")</f>
        <v>Alprazolam</v>
      </c>
      <c r="F152" s="42" t="s">
        <v>1132</v>
      </c>
      <c r="G152" s="207" t="str">
        <f>IF(AND(A152&lt;&gt;"",ISNUMBER(A152)),VLOOKUP(A152,Studies!A:BR,13,FALSE),"")</f>
        <v>PO</v>
      </c>
      <c r="H152" s="68" t="s">
        <v>59</v>
      </c>
      <c r="I152" s="207" t="str">
        <f>IF(AND(A152&lt;&gt;"",ISNUMBER(A152)),VLOOKUP(A152,Studies!A:BR,6,FALSE),"")</f>
        <v>Plasma</v>
      </c>
      <c r="J152" s="43">
        <v>0.91666669999999995</v>
      </c>
      <c r="K152" s="43" t="s">
        <v>1102</v>
      </c>
      <c r="R152" s="38">
        <v>0</v>
      </c>
      <c r="S152" s="39" t="s">
        <v>938</v>
      </c>
      <c r="T152" s="40">
        <v>436</v>
      </c>
      <c r="U152" s="41" t="s">
        <v>938</v>
      </c>
      <c r="V152" s="42" t="s">
        <v>60</v>
      </c>
      <c r="W152" s="30" t="s">
        <v>2885</v>
      </c>
      <c r="X152" s="22">
        <v>450</v>
      </c>
      <c r="Z152" s="28" t="s">
        <v>58</v>
      </c>
      <c r="AA152" s="22" t="s">
        <v>59</v>
      </c>
      <c r="AB152" s="22" t="s">
        <v>2715</v>
      </c>
      <c r="AC152" s="22" t="s">
        <v>60</v>
      </c>
      <c r="AD152" s="22" t="s">
        <v>2677</v>
      </c>
      <c r="AF152" s="23" t="s">
        <v>2716</v>
      </c>
    </row>
    <row r="153" spans="1:35" x14ac:dyDescent="0.2">
      <c r="A153" s="30">
        <v>2012</v>
      </c>
      <c r="B153" s="206" t="str">
        <f>IF(AND(A153&lt;&gt;"",ISNUMBER(A153)),VLOOKUP(A153,Studies!A:BR,2,FALSE),"")</f>
        <v>Chen 2006</v>
      </c>
      <c r="C153" s="206" t="str">
        <f>IF(AND(A153&lt;&gt;"",ISNUMBER(A153)),VLOOKUP(A153,Studies!A:BR,3,FALSE),"")</f>
        <v>https://www.ncbi.nlm.nih.gov/pubmed/16842393</v>
      </c>
      <c r="D153" s="206" t="str">
        <f>IF(AND(A153&lt;&gt;"",ISNUMBER(A153)),VLOOKUP(A153,Studies!A:BR,4,FALSE),"")</f>
        <v>Midazolam post treatment with fluvoxamine (28 days of fluvoxamine) overall</v>
      </c>
      <c r="E153" s="141" t="str">
        <f>IF(AND(A153&lt;&gt;"",ISNUMBER(A153)),VLOOKUP(A153,Studies!A:BR,5,FALSE),"")</f>
        <v>Midazolam</v>
      </c>
      <c r="F153" s="42" t="s">
        <v>1094</v>
      </c>
      <c r="G153" s="207" t="str">
        <f>IF(AND(A153&lt;&gt;"",ISNUMBER(A153)),VLOOKUP(A153,Studies!A:BR,13,FALSE),"")</f>
        <v>IV</v>
      </c>
      <c r="H153" s="68" t="s">
        <v>59</v>
      </c>
      <c r="I153" s="207" t="str">
        <f>IF(AND(A153&lt;&gt;"",ISNUMBER(A153)),VLOOKUP(A153,Studies!A:BR,6,FALSE),"")</f>
        <v>Plasma</v>
      </c>
      <c r="J153" s="43">
        <v>1.4905660377358492</v>
      </c>
      <c r="K153" s="43" t="s">
        <v>2781</v>
      </c>
      <c r="O153" s="195"/>
      <c r="R153" s="38">
        <v>0</v>
      </c>
      <c r="S153" s="39" t="s">
        <v>938</v>
      </c>
      <c r="T153" s="40">
        <v>336</v>
      </c>
      <c r="U153" s="41" t="s">
        <v>938</v>
      </c>
      <c r="V153" s="42" t="s">
        <v>60</v>
      </c>
      <c r="W153" s="30" t="s">
        <v>2706</v>
      </c>
      <c r="X153" s="22">
        <v>150</v>
      </c>
      <c r="Z153" s="28" t="s">
        <v>58</v>
      </c>
      <c r="AA153" s="22" t="s">
        <v>59</v>
      </c>
      <c r="AB153" s="22" t="s">
        <v>2712</v>
      </c>
      <c r="AC153" s="22" t="s">
        <v>60</v>
      </c>
      <c r="AD153" s="22" t="s">
        <v>2713</v>
      </c>
      <c r="AE153" s="23" t="s">
        <v>2668</v>
      </c>
      <c r="AF153" s="23" t="s">
        <v>2714</v>
      </c>
    </row>
    <row r="154" spans="1:35" x14ac:dyDescent="0.2">
      <c r="A154" s="30">
        <v>2014</v>
      </c>
      <c r="B154" s="206" t="str">
        <f>IF(AND(A154&lt;&gt;"",ISNUMBER(A154)),VLOOKUP(A154,Studies!A:BR,2,FALSE),"")</f>
        <v>Chen 2006</v>
      </c>
      <c r="C154" s="206" t="str">
        <f>IF(AND(A154&lt;&gt;"",ISNUMBER(A154)),VLOOKUP(A154,Studies!A:BR,3,FALSE),"")</f>
        <v>https://www.ncbi.nlm.nih.gov/pubmed/16842393</v>
      </c>
      <c r="D154" s="206" t="str">
        <f>IF(AND(A154&lt;&gt;"",ISNUMBER(A154)),VLOOKUP(A154,Studies!A:BR,4,FALSE),"")</f>
        <v>Midazolam post treatment with fluvoxamine (28 days of fluvoxamine) Male</v>
      </c>
      <c r="E154" s="141" t="str">
        <f>IF(AND(A154&lt;&gt;"",ISNUMBER(A154)),VLOOKUP(A154,Studies!A:BR,5,FALSE),"")</f>
        <v>Midazolam</v>
      </c>
      <c r="F154" s="42" t="s">
        <v>1094</v>
      </c>
      <c r="G154" s="207" t="str">
        <f>IF(AND(A154&lt;&gt;"",ISNUMBER(A154)),VLOOKUP(A154,Studies!A:BR,13,FALSE),"")</f>
        <v>IV</v>
      </c>
      <c r="H154" s="68" t="s">
        <v>59</v>
      </c>
      <c r="I154" s="207" t="str">
        <f>IF(AND(A154&lt;&gt;"",ISNUMBER(A154)),VLOOKUP(A154,Studies!A:BR,6,FALSE),"")</f>
        <v>Plasma</v>
      </c>
      <c r="J154" s="43">
        <v>1.6170212765957446</v>
      </c>
      <c r="K154" s="189" t="s">
        <v>2781</v>
      </c>
      <c r="O154" s="195"/>
      <c r="R154" s="38">
        <v>0</v>
      </c>
      <c r="S154" s="39" t="s">
        <v>938</v>
      </c>
      <c r="T154" s="186">
        <v>336</v>
      </c>
      <c r="U154" s="41" t="s">
        <v>938</v>
      </c>
      <c r="V154" s="42" t="s">
        <v>60</v>
      </c>
      <c r="W154" s="30" t="s">
        <v>2706</v>
      </c>
      <c r="X154" s="22">
        <v>150</v>
      </c>
      <c r="Z154" s="28" t="s">
        <v>58</v>
      </c>
      <c r="AA154" s="22" t="s">
        <v>59</v>
      </c>
      <c r="AB154" s="178" t="s">
        <v>2712</v>
      </c>
      <c r="AC154" s="22" t="s">
        <v>60</v>
      </c>
      <c r="AD154" s="22" t="s">
        <v>2713</v>
      </c>
      <c r="AE154" s="23" t="s">
        <v>2668</v>
      </c>
      <c r="AF154" s="23" t="s">
        <v>2714</v>
      </c>
    </row>
    <row r="155" spans="1:35" x14ac:dyDescent="0.2">
      <c r="A155" s="30">
        <v>2016</v>
      </c>
      <c r="B155" s="206" t="str">
        <f>IF(AND(A155&lt;&gt;"",ISNUMBER(A155)),VLOOKUP(A155,Studies!A:BR,2,FALSE),"")</f>
        <v>Chen 2006</v>
      </c>
      <c r="C155" s="206" t="str">
        <f>IF(AND(A155&lt;&gt;"",ISNUMBER(A155)),VLOOKUP(A155,Studies!A:BR,3,FALSE),"")</f>
        <v>https://www.ncbi.nlm.nih.gov/pubmed/16842393</v>
      </c>
      <c r="D155" s="206" t="str">
        <f>IF(AND(A155&lt;&gt;"",ISNUMBER(A155)),VLOOKUP(A155,Studies!A:BR,4,FALSE),"")</f>
        <v>Midazolam post treatment with fluvoxamine (28 days of fluvoxamine) female</v>
      </c>
      <c r="E155" s="141" t="str">
        <f>IF(AND(A155&lt;&gt;"",ISNUMBER(A155)),VLOOKUP(A155,Studies!A:BR,5,FALSE),"")</f>
        <v>Midazolam</v>
      </c>
      <c r="F155" s="42" t="s">
        <v>1094</v>
      </c>
      <c r="G155" s="207" t="str">
        <f>IF(AND(A155&lt;&gt;"",ISNUMBER(A155)),VLOOKUP(A155,Studies!A:BR,13,FALSE),"")</f>
        <v>IV</v>
      </c>
      <c r="H155" s="68" t="s">
        <v>59</v>
      </c>
      <c r="I155" s="207" t="str">
        <f>IF(AND(A155&lt;&gt;"",ISNUMBER(A155)),VLOOKUP(A155,Studies!A:BR,6,FALSE),"")</f>
        <v>Plasma</v>
      </c>
      <c r="J155" s="43">
        <v>1.3728813559322033</v>
      </c>
      <c r="K155" s="189" t="s">
        <v>2781</v>
      </c>
      <c r="O155" s="195"/>
      <c r="R155" s="38">
        <v>0</v>
      </c>
      <c r="S155" s="39" t="s">
        <v>938</v>
      </c>
      <c r="T155" s="186">
        <v>336</v>
      </c>
      <c r="U155" s="41" t="s">
        <v>938</v>
      </c>
      <c r="V155" s="42" t="s">
        <v>60</v>
      </c>
      <c r="W155" s="30" t="s">
        <v>2706</v>
      </c>
      <c r="X155" s="22">
        <v>150</v>
      </c>
      <c r="Z155" s="28" t="s">
        <v>58</v>
      </c>
      <c r="AA155" s="22" t="s">
        <v>59</v>
      </c>
      <c r="AB155" s="178" t="s">
        <v>2712</v>
      </c>
      <c r="AC155" s="22" t="s">
        <v>60</v>
      </c>
      <c r="AD155" s="22" t="s">
        <v>2713</v>
      </c>
      <c r="AE155" s="23" t="s">
        <v>2668</v>
      </c>
      <c r="AF155" s="23" t="s">
        <v>2714</v>
      </c>
    </row>
    <row r="156" spans="1:35" x14ac:dyDescent="0.2">
      <c r="A156" s="30">
        <v>2018</v>
      </c>
      <c r="B156" s="206" t="str">
        <f>IF(AND(A156&lt;&gt;"",ISNUMBER(A156)),VLOOKUP(A156,Studies!A:BR,2,FALSE),"")</f>
        <v>Suzuki 2003</v>
      </c>
      <c r="C156" s="206" t="str">
        <f>IF(AND(A156&lt;&gt;"",ISNUMBER(A156)),VLOOKUP(A156,Studies!A:BR,3,FALSE),"")</f>
        <v>https://www.ncbi.nlm.nih.gov/pubmed/12698310</v>
      </c>
      <c r="D156" s="206" t="str">
        <f>IF(AND(A156&lt;&gt;"",ISNUMBER(A156)),VLOOKUP(A156,Studies!A:BR,4,FALSE),"")</f>
        <v>Alprazolam with fluvoxamine (Japanese)</v>
      </c>
      <c r="E156" s="141" t="str">
        <f>IF(AND(A156&lt;&gt;"",ISNUMBER(A156)),VLOOKUP(A156,Studies!A:BR,5,FALSE),"")</f>
        <v>Alprazolam</v>
      </c>
      <c r="F156" s="42" t="s">
        <v>1094</v>
      </c>
      <c r="G156" s="207" t="str">
        <f>IF(AND(A156&lt;&gt;"",ISNUMBER(A156)),VLOOKUP(A156,Studies!A:BR,13,FALSE),"")</f>
        <v>PO</v>
      </c>
      <c r="H156" s="68" t="s">
        <v>59</v>
      </c>
      <c r="I156" s="207" t="str">
        <f>IF(AND(A156&lt;&gt;"",ISNUMBER(A156)),VLOOKUP(A156,Studies!A:BR,6,FALSE),"")</f>
        <v>Plasma</v>
      </c>
      <c r="K156" s="189"/>
      <c r="O156" s="195"/>
      <c r="R156" s="38" t="s">
        <v>2610</v>
      </c>
      <c r="S156" s="39" t="s">
        <v>938</v>
      </c>
      <c r="T156" s="186" t="s">
        <v>2610</v>
      </c>
      <c r="U156" s="41" t="s">
        <v>938</v>
      </c>
      <c r="V156" s="42" t="s">
        <v>60</v>
      </c>
      <c r="X156" s="22" t="s">
        <v>2738</v>
      </c>
      <c r="Y156" s="182"/>
      <c r="Z156" s="182" t="s">
        <v>58</v>
      </c>
      <c r="AA156" s="178" t="s">
        <v>59</v>
      </c>
      <c r="AB156" s="178" t="s">
        <v>2522</v>
      </c>
      <c r="AC156" s="178" t="s">
        <v>60</v>
      </c>
      <c r="AD156" s="178" t="s">
        <v>2739</v>
      </c>
      <c r="AE156" s="179" t="s">
        <v>2668</v>
      </c>
      <c r="AF156" s="179" t="s">
        <v>2714</v>
      </c>
      <c r="AG156" s="180"/>
      <c r="AH156" s="179"/>
      <c r="AI156" s="179"/>
    </row>
    <row r="157" spans="1:35" x14ac:dyDescent="0.2">
      <c r="A157" s="30">
        <v>2025</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Female after clarithromycin</v>
      </c>
      <c r="E157" s="141" t="str">
        <f>IF(AND(A157&lt;&gt;"",ISNUMBER(A157)),VLOOKUP(A157,Studies!A:BR,5,FALSE),"")</f>
        <v>Midazolam</v>
      </c>
      <c r="F157" s="42" t="s">
        <v>1113</v>
      </c>
      <c r="G157" s="207" t="str">
        <f>IF(AND(A157&lt;&gt;"",ISNUMBER(A157)),VLOOKUP(A157,Studies!A:BR,13,FALSE),"")</f>
        <v>IV</v>
      </c>
      <c r="H157" s="68" t="s">
        <v>59</v>
      </c>
      <c r="I157" s="207" t="str">
        <f>IF(AND(A157&lt;&gt;"",ISNUMBER(A157)),VLOOKUP(A157,Studies!A:BR,6,FALSE),"")</f>
        <v>Whole Blood</v>
      </c>
      <c r="J157" s="43">
        <v>3.6</v>
      </c>
      <c r="K157" s="189" t="s">
        <v>2745</v>
      </c>
      <c r="L157" s="76" t="s">
        <v>2717</v>
      </c>
      <c r="M157" s="76" t="s">
        <v>1099</v>
      </c>
      <c r="N157" s="52">
        <f>70/58</f>
        <v>1.2068965517241379</v>
      </c>
      <c r="O157" s="195" t="s">
        <v>1103</v>
      </c>
      <c r="R157" s="38">
        <v>0</v>
      </c>
      <c r="S157" s="39" t="s">
        <v>938</v>
      </c>
      <c r="T157" s="186">
        <v>146</v>
      </c>
      <c r="U157" s="41" t="s">
        <v>938</v>
      </c>
      <c r="V157" s="42" t="s">
        <v>60</v>
      </c>
      <c r="X157" s="22">
        <v>500</v>
      </c>
      <c r="Y157" s="182"/>
      <c r="Z157" s="182" t="s">
        <v>58</v>
      </c>
      <c r="AA157" s="178" t="s">
        <v>59</v>
      </c>
      <c r="AB157" s="178" t="s">
        <v>2942</v>
      </c>
      <c r="AC157" s="178" t="s">
        <v>60</v>
      </c>
      <c r="AD157" s="178" t="s">
        <v>2548</v>
      </c>
      <c r="AE157" s="179" t="s">
        <v>1135</v>
      </c>
      <c r="AF157" s="179"/>
      <c r="AG157" s="180"/>
      <c r="AH157" s="179"/>
      <c r="AI157" s="179"/>
    </row>
    <row r="158" spans="1:35" x14ac:dyDescent="0.2">
      <c r="A158" s="30">
        <v>2026</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iv Midazolam Male after clarithromycin</v>
      </c>
      <c r="E158" s="141" t="str">
        <f>IF(AND(A158&lt;&gt;"",ISNUMBER(A158)),VLOOKUP(A158,Studies!A:BR,5,FALSE),"")</f>
        <v>Midazolam</v>
      </c>
      <c r="F158" s="42" t="s">
        <v>1113</v>
      </c>
      <c r="G158" s="207" t="str">
        <f>IF(AND(A158&lt;&gt;"",ISNUMBER(A158)),VLOOKUP(A158,Studies!A:BR,13,FALSE),"")</f>
        <v>IV</v>
      </c>
      <c r="H158" s="68" t="s">
        <v>59</v>
      </c>
      <c r="I158" s="207" t="str">
        <f>IF(AND(A158&lt;&gt;"",ISNUMBER(A158)),VLOOKUP(A158,Studies!A:BR,6,FALSE),"")</f>
        <v>Whole Blood</v>
      </c>
      <c r="J158" s="43">
        <v>2.9</v>
      </c>
      <c r="K158" s="189" t="s">
        <v>2745</v>
      </c>
      <c r="L158" s="76" t="s">
        <v>2718</v>
      </c>
      <c r="M158" s="76" t="s">
        <v>1099</v>
      </c>
      <c r="N158" s="52">
        <f>66/59</f>
        <v>1.1186440677966101</v>
      </c>
      <c r="O158" s="195" t="s">
        <v>1103</v>
      </c>
      <c r="R158" s="38">
        <v>0</v>
      </c>
      <c r="S158" s="39" t="s">
        <v>938</v>
      </c>
      <c r="T158" s="186">
        <v>146</v>
      </c>
      <c r="U158" s="41" t="s">
        <v>938</v>
      </c>
      <c r="V158" s="42" t="s">
        <v>60</v>
      </c>
      <c r="X158" s="22">
        <v>500</v>
      </c>
      <c r="Z158" s="28" t="s">
        <v>58</v>
      </c>
      <c r="AA158" s="22" t="s">
        <v>59</v>
      </c>
      <c r="AB158" s="178" t="s">
        <v>2942</v>
      </c>
      <c r="AC158" s="22" t="s">
        <v>60</v>
      </c>
      <c r="AD158" s="22" t="s">
        <v>2548</v>
      </c>
      <c r="AE158" s="23" t="s">
        <v>1135</v>
      </c>
    </row>
    <row r="159" spans="1:35" x14ac:dyDescent="0.2">
      <c r="A159" s="30">
        <v>2027</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iv Midazolam All after clarithromycin</v>
      </c>
      <c r="E159" s="141" t="str">
        <f>IF(AND(A159&lt;&gt;"",ISNUMBER(A159)),VLOOKUP(A159,Studies!A:BR,5,FALSE),"")</f>
        <v>Midazolam</v>
      </c>
      <c r="F159" s="42" t="s">
        <v>1113</v>
      </c>
      <c r="G159" s="207" t="str">
        <f>IF(AND(A159&lt;&gt;"",ISNUMBER(A159)),VLOOKUP(A159,Studies!A:BR,13,FALSE),"")</f>
        <v>IV</v>
      </c>
      <c r="H159" s="68" t="s">
        <v>59</v>
      </c>
      <c r="I159" s="207" t="str">
        <f>IF(AND(A159&lt;&gt;"",ISNUMBER(A159)),VLOOKUP(A159,Studies!A:BR,6,FALSE),"")</f>
        <v>Whole Blood</v>
      </c>
      <c r="J159" s="43">
        <v>3.2</v>
      </c>
      <c r="K159" s="43" t="s">
        <v>2745</v>
      </c>
      <c r="L159" s="76" t="s">
        <v>2719</v>
      </c>
      <c r="M159" s="76" t="s">
        <v>1099</v>
      </c>
      <c r="N159" s="52">
        <f>68/58</f>
        <v>1.1724137931034482</v>
      </c>
      <c r="O159" s="52" t="s">
        <v>1103</v>
      </c>
      <c r="R159" s="38">
        <v>0</v>
      </c>
      <c r="S159" s="39" t="s">
        <v>938</v>
      </c>
      <c r="T159" s="186">
        <v>146</v>
      </c>
      <c r="U159" s="41" t="s">
        <v>938</v>
      </c>
      <c r="V159" s="42" t="s">
        <v>60</v>
      </c>
      <c r="X159" s="22">
        <v>500</v>
      </c>
      <c r="Z159" s="28" t="s">
        <v>58</v>
      </c>
      <c r="AA159" s="22" t="s">
        <v>59</v>
      </c>
      <c r="AB159" s="178" t="s">
        <v>2942</v>
      </c>
      <c r="AC159" s="22" t="s">
        <v>60</v>
      </c>
      <c r="AD159" s="22" t="s">
        <v>2548</v>
      </c>
      <c r="AE159" s="23" t="s">
        <v>1135</v>
      </c>
    </row>
    <row r="160" spans="1:35" x14ac:dyDescent="0.2">
      <c r="A160" s="30">
        <v>2028</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Female after clarithromycin</v>
      </c>
      <c r="E160" s="141" t="str">
        <f>IF(AND(A160&lt;&gt;"",ISNUMBER(A160)),VLOOKUP(A160,Studies!A:BR,5,FALSE),"")</f>
        <v>Midazolam</v>
      </c>
      <c r="F160" s="42" t="s">
        <v>1113</v>
      </c>
      <c r="G160" s="207" t="str">
        <f>IF(AND(A160&lt;&gt;"",ISNUMBER(A160)),VLOOKUP(A160,Studies!A:BR,13,FALSE),"")</f>
        <v>PO</v>
      </c>
      <c r="H160" s="68" t="s">
        <v>59</v>
      </c>
      <c r="I160" s="207" t="str">
        <f>IF(AND(A160&lt;&gt;"",ISNUMBER(A160)),VLOOKUP(A160,Studies!A:BR,6,FALSE),"")</f>
        <v>Whole Blood</v>
      </c>
      <c r="J160" s="43">
        <v>8.1999999999999993</v>
      </c>
      <c r="K160" s="43" t="s">
        <v>2745</v>
      </c>
      <c r="L160" s="76" t="s">
        <v>2720</v>
      </c>
      <c r="M160" s="76" t="s">
        <v>1099</v>
      </c>
      <c r="N160" s="52">
        <f>34/12</f>
        <v>2.8333333333333335</v>
      </c>
      <c r="O160" s="52" t="s">
        <v>1103</v>
      </c>
      <c r="R160" s="38">
        <v>0</v>
      </c>
      <c r="S160" s="39" t="s">
        <v>938</v>
      </c>
      <c r="T160" s="186">
        <v>146</v>
      </c>
      <c r="U160" s="41" t="s">
        <v>938</v>
      </c>
      <c r="V160" s="42" t="s">
        <v>60</v>
      </c>
      <c r="X160" s="22">
        <v>500</v>
      </c>
      <c r="Y160" s="139"/>
      <c r="Z160" s="139" t="s">
        <v>58</v>
      </c>
      <c r="AA160" s="22" t="s">
        <v>59</v>
      </c>
      <c r="AB160" s="178" t="s">
        <v>2942</v>
      </c>
      <c r="AC160" s="138" t="s">
        <v>60</v>
      </c>
      <c r="AD160" s="22" t="s">
        <v>2548</v>
      </c>
      <c r="AE160" s="176" t="s">
        <v>1135</v>
      </c>
      <c r="AH160" s="180"/>
      <c r="AI160" s="180"/>
    </row>
    <row r="161" spans="1:35" x14ac:dyDescent="0.2">
      <c r="A161" s="30">
        <v>2029</v>
      </c>
      <c r="B161" s="206" t="str">
        <f>IF(AND(A161&lt;&gt;"",ISNUMBER(A161)),VLOOKUP(A161,Studies!A:BR,2,FALSE),"")</f>
        <v>Quinney 2008</v>
      </c>
      <c r="C161" s="206" t="str">
        <f>IF(AND(A161&lt;&gt;"",ISNUMBER(A161)),VLOOKUP(A161,Studies!A:BR,3,FALSE),"")</f>
        <v>https://www.ncbi.nlm.nih.gov/pubmed/17635500</v>
      </c>
      <c r="D161" s="206" t="str">
        <f>IF(AND(A161&lt;&gt;"",ISNUMBER(A161)),VLOOKUP(A161,Studies!A:BR,4,FALSE),"")</f>
        <v>po Midazolam Male after clarithromycin</v>
      </c>
      <c r="E161" s="141" t="str">
        <f>IF(AND(A161&lt;&gt;"",ISNUMBER(A161)),VLOOKUP(A161,Studies!A:BR,5,FALSE),"")</f>
        <v>Midazolam</v>
      </c>
      <c r="F161" s="42" t="s">
        <v>1113</v>
      </c>
      <c r="G161" s="207" t="str">
        <f>IF(AND(A161&lt;&gt;"",ISNUMBER(A161)),VLOOKUP(A161,Studies!A:BR,13,FALSE),"")</f>
        <v>PO</v>
      </c>
      <c r="H161" s="68" t="s">
        <v>59</v>
      </c>
      <c r="I161" s="207" t="str">
        <f>IF(AND(A161&lt;&gt;"",ISNUMBER(A161)),VLOOKUP(A161,Studies!A:BR,6,FALSE),"")</f>
        <v>Whole Blood</v>
      </c>
      <c r="J161" s="43">
        <v>7.7</v>
      </c>
      <c r="K161" s="43" t="s">
        <v>2745</v>
      </c>
      <c r="L161" s="76" t="s">
        <v>2721</v>
      </c>
      <c r="M161" s="76" t="s">
        <v>1099</v>
      </c>
      <c r="N161" s="52">
        <f>31/12</f>
        <v>2.5833333333333335</v>
      </c>
      <c r="O161" s="52" t="s">
        <v>1103</v>
      </c>
      <c r="R161" s="38">
        <v>0</v>
      </c>
      <c r="S161" s="39" t="s">
        <v>938</v>
      </c>
      <c r="T161" s="186">
        <v>146</v>
      </c>
      <c r="U161" s="41" t="s">
        <v>938</v>
      </c>
      <c r="V161" s="42" t="s">
        <v>60</v>
      </c>
      <c r="X161" s="22">
        <v>500</v>
      </c>
      <c r="Y161" s="139"/>
      <c r="Z161" s="139" t="s">
        <v>58</v>
      </c>
      <c r="AA161" s="22" t="s">
        <v>59</v>
      </c>
      <c r="AB161" s="178" t="s">
        <v>2942</v>
      </c>
      <c r="AC161" s="138" t="s">
        <v>60</v>
      </c>
      <c r="AD161" s="22" t="s">
        <v>2548</v>
      </c>
      <c r="AE161" s="176" t="s">
        <v>1135</v>
      </c>
      <c r="AH161" s="180"/>
      <c r="AI161" s="180"/>
    </row>
    <row r="162" spans="1:35" x14ac:dyDescent="0.2">
      <c r="A162" s="30">
        <v>2030</v>
      </c>
      <c r="B162" s="206" t="str">
        <f>IF(AND(A162&lt;&gt;"",ISNUMBER(A162)),VLOOKUP(A162,Studies!A:BR,2,FALSE),"")</f>
        <v>Quinney 2008</v>
      </c>
      <c r="C162" s="206" t="str">
        <f>IF(AND(A162&lt;&gt;"",ISNUMBER(A162)),VLOOKUP(A162,Studies!A:BR,3,FALSE),"")</f>
        <v>https://www.ncbi.nlm.nih.gov/pubmed/17635500</v>
      </c>
      <c r="D162" s="206" t="str">
        <f>IF(AND(A162&lt;&gt;"",ISNUMBER(A162)),VLOOKUP(A162,Studies!A:BR,4,FALSE),"")</f>
        <v>po Midazolam All after clarithromycin</v>
      </c>
      <c r="E162" s="141" t="str">
        <f>IF(AND(A162&lt;&gt;"",ISNUMBER(A162)),VLOOKUP(A162,Studies!A:BR,5,FALSE),"")</f>
        <v>Midazolam</v>
      </c>
      <c r="F162" s="42" t="s">
        <v>1113</v>
      </c>
      <c r="G162" s="207" t="str">
        <f>IF(AND(A162&lt;&gt;"",ISNUMBER(A162)),VLOOKUP(A162,Studies!A:BR,13,FALSE),"")</f>
        <v>PO</v>
      </c>
      <c r="H162" s="68" t="s">
        <v>59</v>
      </c>
      <c r="I162" s="207" t="str">
        <f>IF(AND(A162&lt;&gt;"",ISNUMBER(A162)),VLOOKUP(A162,Studies!A:BR,6,FALSE),"")</f>
        <v>Whole Blood</v>
      </c>
      <c r="J162" s="43">
        <v>8</v>
      </c>
      <c r="K162" s="43" t="s">
        <v>2745</v>
      </c>
      <c r="L162" s="76" t="s">
        <v>2722</v>
      </c>
      <c r="M162" s="76" t="s">
        <v>1099</v>
      </c>
      <c r="N162" s="52">
        <f>33/12</f>
        <v>2.75</v>
      </c>
      <c r="O162" s="52" t="s">
        <v>1103</v>
      </c>
      <c r="R162" s="38">
        <v>0</v>
      </c>
      <c r="S162" s="39" t="s">
        <v>938</v>
      </c>
      <c r="T162" s="186">
        <v>146</v>
      </c>
      <c r="U162" s="41" t="s">
        <v>938</v>
      </c>
      <c r="V162" s="42" t="s">
        <v>60</v>
      </c>
      <c r="X162" s="22">
        <v>500</v>
      </c>
      <c r="Z162" s="28" t="s">
        <v>58</v>
      </c>
      <c r="AA162" s="22" t="s">
        <v>59</v>
      </c>
      <c r="AB162" s="178" t="s">
        <v>2942</v>
      </c>
      <c r="AC162" s="22" t="s">
        <v>60</v>
      </c>
      <c r="AD162" s="22" t="s">
        <v>2548</v>
      </c>
      <c r="AE162" s="23" t="s">
        <v>1135</v>
      </c>
    </row>
    <row r="163" spans="1:35" x14ac:dyDescent="0.2">
      <c r="A163" s="30">
        <v>2035</v>
      </c>
      <c r="B163" s="206" t="str">
        <f>IF(AND(A163&lt;&gt;"",ISNUMBER(A163)),VLOOKUP(A163,Studies!A:BR,2,FALSE),"")</f>
        <v>Kim 2018</v>
      </c>
      <c r="C163" s="206" t="str">
        <f>IF(AND(A163&lt;&gt;"",ISNUMBER(A163)),VLOOKUP(A163,Studies!A:BR,3,FALSE),"")</f>
        <v>https://www.ncbi.nlm.nih.gov/pubmed/28877336</v>
      </c>
      <c r="D163" s="206" t="str">
        <f>IF(AND(A163&lt;&gt;"",ISNUMBER(A163)),VLOOKUP(A163,Studies!A:BR,4,FALSE),"")</f>
        <v>Midazolam + Ketoconazole Male</v>
      </c>
      <c r="E163" s="141" t="str">
        <f>IF(AND(A163&lt;&gt;"",ISNUMBER(A163)),VLOOKUP(A163,Studies!A:BR,5,FALSE),"")</f>
        <v>Midazolam</v>
      </c>
      <c r="F163" s="42" t="s">
        <v>836</v>
      </c>
      <c r="G163" s="207" t="str">
        <f>IF(AND(A163&lt;&gt;"",ISNUMBER(A163)),VLOOKUP(A163,Studies!A:BR,13,FALSE),"")</f>
        <v>IV</v>
      </c>
      <c r="H163" s="68" t="s">
        <v>59</v>
      </c>
      <c r="I163" s="207" t="str">
        <f>IF(AND(A163&lt;&gt;"",ISNUMBER(A163)),VLOOKUP(A163,Studies!A:BR,6,FALSE),"")</f>
        <v>Plasma</v>
      </c>
      <c r="J163" s="43">
        <v>2.89</v>
      </c>
      <c r="K163" s="43" t="s">
        <v>2672</v>
      </c>
      <c r="L163" s="76" t="s">
        <v>2690</v>
      </c>
      <c r="M163" s="76" t="s">
        <v>1163</v>
      </c>
      <c r="R163" s="38">
        <v>0</v>
      </c>
      <c r="S163" s="39" t="s">
        <v>938</v>
      </c>
      <c r="T163" s="40">
        <v>72</v>
      </c>
      <c r="U163" s="41" t="s">
        <v>938</v>
      </c>
      <c r="V163" s="42" t="s">
        <v>60</v>
      </c>
      <c r="X163" s="22">
        <v>400</v>
      </c>
      <c r="Z163" s="28" t="s">
        <v>58</v>
      </c>
      <c r="AA163" s="22" t="s">
        <v>59</v>
      </c>
      <c r="AB163" s="22" t="s">
        <v>2325</v>
      </c>
      <c r="AC163" s="22" t="s">
        <v>60</v>
      </c>
      <c r="AD163" s="22" t="s">
        <v>2692</v>
      </c>
      <c r="AE163" s="23" t="s">
        <v>837</v>
      </c>
      <c r="AF163" s="23" t="s">
        <v>2714</v>
      </c>
    </row>
    <row r="164" spans="1:35" x14ac:dyDescent="0.2">
      <c r="A164" s="30">
        <v>2036</v>
      </c>
      <c r="B164" s="206" t="str">
        <f>IF(AND(A164&lt;&gt;"",ISNUMBER(A164)),VLOOKUP(A164,Studies!A:BR,2,FALSE),"")</f>
        <v>Kim 2018</v>
      </c>
      <c r="C164" s="206" t="str">
        <f>IF(AND(A164&lt;&gt;"",ISNUMBER(A164)),VLOOKUP(A164,Studies!A:BR,3,FALSE),"")</f>
        <v>https://www.ncbi.nlm.nih.gov/pubmed/28877336</v>
      </c>
      <c r="D164" s="206" t="str">
        <f>IF(AND(A164&lt;&gt;"",ISNUMBER(A164)),VLOOKUP(A164,Studies!A:BR,4,FALSE),"")</f>
        <v>Midazolam + Rifampicin Male</v>
      </c>
      <c r="E164" s="141" t="str">
        <f>IF(AND(A164&lt;&gt;"",ISNUMBER(A164)),VLOOKUP(A164,Studies!A:BR,5,FALSE),"")</f>
        <v>Midazolam</v>
      </c>
      <c r="F164" s="42" t="s">
        <v>54</v>
      </c>
      <c r="G164" s="207" t="str">
        <f>IF(AND(A164&lt;&gt;"",ISNUMBER(A164)),VLOOKUP(A164,Studies!A:BR,13,FALSE),"")</f>
        <v>IV</v>
      </c>
      <c r="H164" s="68" t="s">
        <v>59</v>
      </c>
      <c r="I164" s="207" t="str">
        <f>IF(AND(A164&lt;&gt;"",ISNUMBER(A164)),VLOOKUP(A164,Studies!A:BR,6,FALSE),"")</f>
        <v>Plasma</v>
      </c>
      <c r="J164" s="43">
        <v>0.46</v>
      </c>
      <c r="K164" s="43" t="s">
        <v>2672</v>
      </c>
      <c r="L164" s="76" t="s">
        <v>2695</v>
      </c>
      <c r="M164" s="76" t="s">
        <v>1163</v>
      </c>
      <c r="R164" s="38">
        <v>0</v>
      </c>
      <c r="S164" s="39" t="s">
        <v>938</v>
      </c>
      <c r="T164" s="40">
        <v>216</v>
      </c>
      <c r="U164" s="41" t="s">
        <v>938</v>
      </c>
      <c r="V164" s="42" t="s">
        <v>60</v>
      </c>
      <c r="X164" s="22">
        <v>600</v>
      </c>
      <c r="Z164" s="28" t="s">
        <v>58</v>
      </c>
      <c r="AA164" s="22" t="s">
        <v>59</v>
      </c>
      <c r="AB164" s="22" t="s">
        <v>2659</v>
      </c>
      <c r="AC164" s="22" t="s">
        <v>60</v>
      </c>
      <c r="AD164" s="22" t="s">
        <v>2697</v>
      </c>
      <c r="AE164" s="23" t="s">
        <v>1145</v>
      </c>
      <c r="AF164" s="23" t="s">
        <v>2714</v>
      </c>
    </row>
    <row r="165" spans="1:35" x14ac:dyDescent="0.2">
      <c r="A165" s="30">
        <v>2038</v>
      </c>
      <c r="B165" s="206" t="str">
        <f>IF(AND(A165&lt;&gt;"",ISNUMBER(A165)),VLOOKUP(A165,Studies!A:BR,2,FALSE),"")</f>
        <v>Kim 2018</v>
      </c>
      <c r="C165" s="206" t="str">
        <f>IF(AND(A165&lt;&gt;"",ISNUMBER(A165)),VLOOKUP(A165,Studies!A:BR,3,FALSE),"")</f>
        <v>https://www.ncbi.nlm.nih.gov/pubmed/28877336</v>
      </c>
      <c r="D165" s="206" t="str">
        <f>IF(AND(A165&lt;&gt;"",ISNUMBER(A165)),VLOOKUP(A165,Studies!A:BR,4,FALSE),"")</f>
        <v>Midazolam + Ketoconazole Female</v>
      </c>
      <c r="E165" s="141" t="str">
        <f>IF(AND(A165&lt;&gt;"",ISNUMBER(A165)),VLOOKUP(A165,Studies!A:BR,5,FALSE),"")</f>
        <v>Midazolam</v>
      </c>
      <c r="F165" s="42" t="s">
        <v>836</v>
      </c>
      <c r="G165" s="207" t="str">
        <f>IF(AND(A165&lt;&gt;"",ISNUMBER(A165)),VLOOKUP(A165,Studies!A:BR,13,FALSE),"")</f>
        <v>IV</v>
      </c>
      <c r="H165" s="68" t="s">
        <v>59</v>
      </c>
      <c r="I165" s="207" t="str">
        <f>IF(AND(A165&lt;&gt;"",ISNUMBER(A165)),VLOOKUP(A165,Studies!A:BR,6,FALSE),"")</f>
        <v>Plasma</v>
      </c>
      <c r="J165" s="43">
        <v>4.7699999999999996</v>
      </c>
      <c r="K165" s="43" t="s">
        <v>2672</v>
      </c>
      <c r="L165" s="76" t="s">
        <v>2700</v>
      </c>
      <c r="M165" s="76" t="s">
        <v>1163</v>
      </c>
      <c r="R165" s="38">
        <v>0</v>
      </c>
      <c r="S165" s="39" t="s">
        <v>938</v>
      </c>
      <c r="T165" s="40">
        <v>72</v>
      </c>
      <c r="U165" s="41" t="s">
        <v>938</v>
      </c>
      <c r="V165" s="42" t="s">
        <v>60</v>
      </c>
      <c r="X165" s="22">
        <v>400</v>
      </c>
      <c r="Z165" s="28" t="s">
        <v>58</v>
      </c>
      <c r="AA165" s="22" t="s">
        <v>59</v>
      </c>
      <c r="AB165" s="22" t="s">
        <v>2325</v>
      </c>
      <c r="AC165" s="22" t="s">
        <v>60</v>
      </c>
      <c r="AD165" s="22" t="s">
        <v>2692</v>
      </c>
      <c r="AE165" s="23" t="s">
        <v>837</v>
      </c>
      <c r="AF165" s="23" t="s">
        <v>2714</v>
      </c>
    </row>
    <row r="166" spans="1:35" x14ac:dyDescent="0.2">
      <c r="A166" s="30">
        <v>2039</v>
      </c>
      <c r="B166" s="206" t="str">
        <f>IF(AND(A166&lt;&gt;"",ISNUMBER(A166)),VLOOKUP(A166,Studies!A:BR,2,FALSE),"")</f>
        <v>Kim 2018</v>
      </c>
      <c r="C166" s="206" t="str">
        <f>IF(AND(A166&lt;&gt;"",ISNUMBER(A166)),VLOOKUP(A166,Studies!A:BR,3,FALSE),"")</f>
        <v>https://www.ncbi.nlm.nih.gov/pubmed/28877336</v>
      </c>
      <c r="D166" s="206" t="str">
        <f>IF(AND(A166&lt;&gt;"",ISNUMBER(A166)),VLOOKUP(A166,Studies!A:BR,4,FALSE),"")</f>
        <v>Midazolam + Rifampicin Female</v>
      </c>
      <c r="E166" s="141" t="str">
        <f>IF(AND(A166&lt;&gt;"",ISNUMBER(A166)),VLOOKUP(A166,Studies!A:BR,5,FALSE),"")</f>
        <v>Midazolam</v>
      </c>
      <c r="F166" s="42" t="s">
        <v>54</v>
      </c>
      <c r="G166" s="207" t="str">
        <f>IF(AND(A166&lt;&gt;"",ISNUMBER(A166)),VLOOKUP(A166,Studies!A:BR,13,FALSE),"")</f>
        <v>IV</v>
      </c>
      <c r="H166" s="68" t="s">
        <v>59</v>
      </c>
      <c r="I166" s="207" t="str">
        <f>IF(AND(A166&lt;&gt;"",ISNUMBER(A166)),VLOOKUP(A166,Studies!A:BR,6,FALSE),"")</f>
        <v>Plasma</v>
      </c>
      <c r="J166" s="43">
        <v>0.49</v>
      </c>
      <c r="K166" s="43" t="s">
        <v>2672</v>
      </c>
      <c r="L166" s="76" t="s">
        <v>2703</v>
      </c>
      <c r="M166" s="76" t="s">
        <v>1163</v>
      </c>
      <c r="R166" s="38">
        <v>0</v>
      </c>
      <c r="S166" s="39" t="s">
        <v>938</v>
      </c>
      <c r="T166" s="40">
        <v>216</v>
      </c>
      <c r="U166" s="41" t="s">
        <v>938</v>
      </c>
      <c r="V166" s="42" t="s">
        <v>60</v>
      </c>
      <c r="X166" s="22">
        <v>600</v>
      </c>
      <c r="Z166" s="28" t="s">
        <v>58</v>
      </c>
      <c r="AA166" s="22" t="s">
        <v>59</v>
      </c>
      <c r="AB166" s="22" t="s">
        <v>2659</v>
      </c>
      <c r="AC166" s="22" t="s">
        <v>60</v>
      </c>
      <c r="AD166" s="22" t="s">
        <v>2697</v>
      </c>
      <c r="AE166" s="23" t="s">
        <v>1145</v>
      </c>
      <c r="AF166" s="23" t="s">
        <v>2714</v>
      </c>
    </row>
    <row r="167" spans="1:35" x14ac:dyDescent="0.2">
      <c r="A167" s="30">
        <v>2044</v>
      </c>
      <c r="B167" s="206" t="str">
        <f>IF(AND(A167&lt;&gt;"",ISNUMBER(A167)),VLOOKUP(A167,Studies!A:BR,2,FALSE),"")</f>
        <v>Mikus 2017</v>
      </c>
      <c r="C167" s="206" t="str">
        <f>IF(AND(A167&lt;&gt;"",ISNUMBER(A167)),VLOOKUP(A167,Studies!A:BR,3,FALSE),"")</f>
        <v>https://www.ncbi.nlm.nih.gov/pubmed/28194792</v>
      </c>
      <c r="D167" s="206" t="str">
        <f>IF(AND(A167&lt;&gt;"",ISNUMBER(A167)),VLOOKUP(A167,Studies!A:BR,4,FALSE),"")</f>
        <v>Efavirenz + Midazolam PO day 1</v>
      </c>
      <c r="E167" s="141" t="str">
        <f>IF(AND(A167&lt;&gt;"",ISNUMBER(A167)),VLOOKUP(A167,Studies!A:BR,5,FALSE),"")</f>
        <v>Midazolam</v>
      </c>
      <c r="F167" s="42" t="s">
        <v>2201</v>
      </c>
      <c r="G167" s="207" t="str">
        <f>IF(AND(A167&lt;&gt;"",ISNUMBER(A167)),VLOOKUP(A167,Studies!A:BR,13,FALSE),"")</f>
        <v>PO</v>
      </c>
      <c r="H167" s="68" t="s">
        <v>59</v>
      </c>
      <c r="I167" s="207" t="str">
        <f>IF(AND(A167&lt;&gt;"",ISNUMBER(A167)),VLOOKUP(A167,Studies!A:BR,6,FALSE),"")</f>
        <v>Plasma</v>
      </c>
      <c r="J167" s="43">
        <v>0.5905511</v>
      </c>
      <c r="K167" s="43" t="s">
        <v>2155</v>
      </c>
      <c r="R167" s="38">
        <v>0</v>
      </c>
      <c r="S167" s="39">
        <v>6</v>
      </c>
      <c r="T167" s="40">
        <v>12</v>
      </c>
      <c r="U167" s="41">
        <v>18</v>
      </c>
      <c r="V167" s="42" t="s">
        <v>60</v>
      </c>
      <c r="X167" s="22">
        <v>400</v>
      </c>
      <c r="Z167" s="28" t="s">
        <v>58</v>
      </c>
      <c r="AA167" s="22" t="s">
        <v>59</v>
      </c>
      <c r="AB167" s="22">
        <v>0</v>
      </c>
      <c r="AC167" s="22" t="s">
        <v>60</v>
      </c>
    </row>
    <row r="168" spans="1:35" x14ac:dyDescent="0.2">
      <c r="A168" s="30">
        <v>2045</v>
      </c>
      <c r="B168" s="206" t="str">
        <f>IF(AND(A168&lt;&gt;"",ISNUMBER(A168)),VLOOKUP(A168,Studies!A:BR,2,FALSE),"")</f>
        <v>Mikus 2017</v>
      </c>
      <c r="C168" s="206" t="str">
        <f>IF(AND(A168&lt;&gt;"",ISNUMBER(A168)),VLOOKUP(A168,Studies!A:BR,3,FALSE),"")</f>
        <v>https://www.ncbi.nlm.nih.gov/pubmed/28194792</v>
      </c>
      <c r="D168" s="206" t="str">
        <f>IF(AND(A168&lt;&gt;"",ISNUMBER(A168)),VLOOKUP(A168,Studies!A:BR,4,FALSE),"")</f>
        <v>Efavirenz + Midazolam IV day 1</v>
      </c>
      <c r="E168" s="141" t="str">
        <f>IF(AND(A168&lt;&gt;"",ISNUMBER(A168)),VLOOKUP(A168,Studies!A:BR,5,FALSE),"")</f>
        <v>Midazolam</v>
      </c>
      <c r="F168" s="42" t="s">
        <v>2201</v>
      </c>
      <c r="G168" s="207" t="str">
        <f>IF(AND(A168&lt;&gt;"",ISNUMBER(A168)),VLOOKUP(A168,Studies!A:BR,13,FALSE),"")</f>
        <v>IV</v>
      </c>
      <c r="H168" s="68" t="s">
        <v>59</v>
      </c>
      <c r="I168" s="207" t="str">
        <f>IF(AND(A168&lt;&gt;"",ISNUMBER(A168)),VLOOKUP(A168,Studies!A:BR,6,FALSE),"")</f>
        <v>Plasma</v>
      </c>
      <c r="J168" s="43">
        <v>0.78537734999999997</v>
      </c>
      <c r="K168" s="43" t="s">
        <v>2155</v>
      </c>
      <c r="R168" s="38">
        <v>6</v>
      </c>
      <c r="S168" s="39">
        <v>14</v>
      </c>
      <c r="T168" s="40">
        <v>18</v>
      </c>
      <c r="U168" s="41">
        <v>26</v>
      </c>
      <c r="V168" s="42" t="s">
        <v>60</v>
      </c>
      <c r="X168" s="22">
        <v>400</v>
      </c>
      <c r="Z168" s="28" t="s">
        <v>58</v>
      </c>
      <c r="AA168" s="22" t="s">
        <v>59</v>
      </c>
    </row>
    <row r="169" spans="1:35" x14ac:dyDescent="0.2">
      <c r="A169" s="30">
        <v>2047</v>
      </c>
      <c r="B169" s="206" t="str">
        <f>IF(AND(A169&lt;&gt;"",ISNUMBER(A169)),VLOOKUP(A169,Studies!A:BR,2,FALSE),"")</f>
        <v>Mikus 2017</v>
      </c>
      <c r="C169" s="206" t="str">
        <f>IF(AND(A169&lt;&gt;"",ISNUMBER(A169)),VLOOKUP(A169,Studies!A:BR,3,FALSE),"")</f>
        <v>https://www.ncbi.nlm.nih.gov/pubmed/28194792</v>
      </c>
      <c r="D169" s="206" t="str">
        <f>IF(AND(A169&lt;&gt;"",ISNUMBER(A169)),VLOOKUP(A169,Studies!A:BR,4,FALSE),"")</f>
        <v>Efavirenz + Midazolam PO day 6</v>
      </c>
      <c r="E169" s="141" t="str">
        <f>IF(AND(A169&lt;&gt;"",ISNUMBER(A169)),VLOOKUP(A169,Studies!A:BR,5,FALSE),"")</f>
        <v>Midazolam</v>
      </c>
      <c r="F169" s="42" t="s">
        <v>2201</v>
      </c>
      <c r="G169" s="207" t="str">
        <f>IF(AND(A169&lt;&gt;"",ISNUMBER(A169)),VLOOKUP(A169,Studies!A:BR,13,FALSE),"")</f>
        <v>PO</v>
      </c>
      <c r="H169" s="68" t="s">
        <v>59</v>
      </c>
      <c r="I169" s="207" t="str">
        <f>IF(AND(A169&lt;&gt;"",ISNUMBER(A169)),VLOOKUP(A169,Studies!A:BR,6,FALSE),"")</f>
        <v>Plasma</v>
      </c>
      <c r="J169" s="43">
        <v>0.61417319999999997</v>
      </c>
      <c r="K169" s="43" t="s">
        <v>2155</v>
      </c>
      <c r="R169" s="38">
        <v>0</v>
      </c>
      <c r="S169" s="39">
        <v>6</v>
      </c>
      <c r="T169" s="40">
        <v>132</v>
      </c>
      <c r="U169" s="41">
        <v>138</v>
      </c>
      <c r="V169" s="42" t="s">
        <v>60</v>
      </c>
      <c r="X169" s="22">
        <v>400</v>
      </c>
      <c r="Z169" s="28" t="s">
        <v>58</v>
      </c>
      <c r="AA169" s="22" t="s">
        <v>59</v>
      </c>
    </row>
    <row r="170" spans="1:35" x14ac:dyDescent="0.2">
      <c r="A170" s="30">
        <v>2048</v>
      </c>
      <c r="B170" s="206" t="str">
        <f>IF(AND(A170&lt;&gt;"",ISNUMBER(A170)),VLOOKUP(A170,Studies!A:BR,2,FALSE),"")</f>
        <v>Mikus 2017</v>
      </c>
      <c r="C170" s="206" t="str">
        <f>IF(AND(A170&lt;&gt;"",ISNUMBER(A170)),VLOOKUP(A170,Studies!A:BR,3,FALSE),"")</f>
        <v>https://www.ncbi.nlm.nih.gov/pubmed/28194792</v>
      </c>
      <c r="D170" s="206" t="str">
        <f>IF(AND(A170&lt;&gt;"",ISNUMBER(A170)),VLOOKUP(A170,Studies!A:BR,4,FALSE),"")</f>
        <v>Efavirenz + Midazolam IV day 6</v>
      </c>
      <c r="E170" s="141" t="str">
        <f>IF(AND(A170&lt;&gt;"",ISNUMBER(A170)),VLOOKUP(A170,Studies!A:BR,5,FALSE),"")</f>
        <v>Midazolam</v>
      </c>
      <c r="F170" s="42" t="s">
        <v>2201</v>
      </c>
      <c r="G170" s="207" t="str">
        <f>IF(AND(A170&lt;&gt;"",ISNUMBER(A170)),VLOOKUP(A170,Studies!A:BR,13,FALSE),"")</f>
        <v>IV</v>
      </c>
      <c r="H170" s="68" t="s">
        <v>59</v>
      </c>
      <c r="I170" s="207" t="str">
        <f>IF(AND(A170&lt;&gt;"",ISNUMBER(A170)),VLOOKUP(A170,Studies!A:BR,6,FALSE),"")</f>
        <v>Plasma</v>
      </c>
      <c r="J170" s="43">
        <v>0.7771226</v>
      </c>
      <c r="K170" s="43" t="s">
        <v>2155</v>
      </c>
      <c r="R170" s="38">
        <v>6</v>
      </c>
      <c r="S170" s="39">
        <v>14</v>
      </c>
      <c r="T170" s="40">
        <v>138</v>
      </c>
      <c r="U170" s="41">
        <v>146</v>
      </c>
      <c r="V170" s="42" t="s">
        <v>60</v>
      </c>
      <c r="X170" s="22">
        <v>400</v>
      </c>
      <c r="Z170" s="28" t="s">
        <v>58</v>
      </c>
      <c r="AA170" s="22" t="s">
        <v>59</v>
      </c>
    </row>
    <row r="171" spans="1:35" x14ac:dyDescent="0.2">
      <c r="A171" s="30">
        <v>2049</v>
      </c>
      <c r="B171" s="206" t="str">
        <f>IF(AND(A171&lt;&gt;"",ISNUMBER(A171)),VLOOKUP(A171,Studies!A:BR,2,FALSE),"")</f>
        <v>Mikus 2017</v>
      </c>
      <c r="C171" s="206" t="str">
        <f>IF(AND(A171&lt;&gt;"",ISNUMBER(A171)),VLOOKUP(A171,Studies!A:BR,3,FALSE),"")</f>
        <v>https://www.ncbi.nlm.nih.gov/pubmed/28194792</v>
      </c>
      <c r="D171" s="206" t="str">
        <f>IF(AND(A171&lt;&gt;"",ISNUMBER(A171)),VLOOKUP(A171,Studies!A:BR,4,FALSE),"")</f>
        <v>Efavirenz + Midazolam PO day 11</v>
      </c>
      <c r="E171" s="141" t="str">
        <f>IF(AND(A171&lt;&gt;"",ISNUMBER(A171)),VLOOKUP(A171,Studies!A:BR,5,FALSE),"")</f>
        <v>Midazolam</v>
      </c>
      <c r="F171" s="42" t="s">
        <v>2201</v>
      </c>
      <c r="G171" s="207" t="str">
        <f>IF(AND(A171&lt;&gt;"",ISNUMBER(A171)),VLOOKUP(A171,Studies!A:BR,13,FALSE),"")</f>
        <v>PO</v>
      </c>
      <c r="H171" s="68" t="s">
        <v>59</v>
      </c>
      <c r="I171" s="207" t="str">
        <f>IF(AND(A171&lt;&gt;"",ISNUMBER(A171)),VLOOKUP(A171,Studies!A:BR,6,FALSE),"")</f>
        <v>Plasma</v>
      </c>
      <c r="J171" s="43">
        <v>0.76968499999999995</v>
      </c>
      <c r="K171" s="43" t="s">
        <v>2155</v>
      </c>
      <c r="R171" s="38">
        <v>0</v>
      </c>
      <c r="S171" s="39">
        <v>6</v>
      </c>
      <c r="T171" s="40">
        <v>252</v>
      </c>
      <c r="U171" s="41">
        <v>258</v>
      </c>
      <c r="V171" s="42" t="s">
        <v>60</v>
      </c>
      <c r="X171" s="22">
        <v>400</v>
      </c>
      <c r="Z171" s="28" t="s">
        <v>58</v>
      </c>
      <c r="AA171" s="22" t="s">
        <v>59</v>
      </c>
    </row>
    <row r="172" spans="1:35" x14ac:dyDescent="0.2">
      <c r="A172" s="30">
        <v>2050</v>
      </c>
      <c r="B172" s="206" t="str">
        <f>IF(AND(A172&lt;&gt;"",ISNUMBER(A172)),VLOOKUP(A172,Studies!A:BR,2,FALSE),"")</f>
        <v>Mikus 2017</v>
      </c>
      <c r="C172" s="206" t="str">
        <f>IF(AND(A172&lt;&gt;"",ISNUMBER(A172)),VLOOKUP(A172,Studies!A:BR,3,FALSE),"")</f>
        <v>https://www.ncbi.nlm.nih.gov/pubmed/28194792</v>
      </c>
      <c r="D172" s="206" t="str">
        <f>IF(AND(A172&lt;&gt;"",ISNUMBER(A172)),VLOOKUP(A172,Studies!A:BR,4,FALSE),"")</f>
        <v>Efavirenz + Midazolam IV day 11</v>
      </c>
      <c r="E172" s="141" t="str">
        <f>IF(AND(A172&lt;&gt;"",ISNUMBER(A172)),VLOOKUP(A172,Studies!A:BR,5,FALSE),"")</f>
        <v>Midazolam</v>
      </c>
      <c r="F172" s="42" t="s">
        <v>2201</v>
      </c>
      <c r="G172" s="207" t="str">
        <f>IF(AND(A172&lt;&gt;"",ISNUMBER(A172)),VLOOKUP(A172,Studies!A:BR,13,FALSE),"")</f>
        <v>IV</v>
      </c>
      <c r="H172" s="68" t="s">
        <v>59</v>
      </c>
      <c r="I172" s="207" t="str">
        <f>IF(AND(A172&lt;&gt;"",ISNUMBER(A172)),VLOOKUP(A172,Studies!A:BR,6,FALSE),"")</f>
        <v>Plasma</v>
      </c>
      <c r="J172" s="43">
        <v>0.9375</v>
      </c>
      <c r="K172" s="43" t="s">
        <v>2155</v>
      </c>
      <c r="R172" s="38">
        <v>6</v>
      </c>
      <c r="S172" s="39">
        <v>14</v>
      </c>
      <c r="T172" s="40">
        <v>258</v>
      </c>
      <c r="U172" s="41">
        <v>266</v>
      </c>
      <c r="V172" s="42" t="s">
        <v>60</v>
      </c>
      <c r="X172" s="22">
        <v>400</v>
      </c>
      <c r="Z172" s="28" t="s">
        <v>58</v>
      </c>
      <c r="AA172" s="22" t="s">
        <v>59</v>
      </c>
    </row>
    <row r="173" spans="1:35" x14ac:dyDescent="0.2">
      <c r="A173" s="30">
        <v>2051</v>
      </c>
      <c r="B173" s="206" t="str">
        <f>IF(AND(A173&lt;&gt;"",ISNUMBER(A173)),VLOOKUP(A173,Studies!A:BR,2,FALSE),"")</f>
        <v>Mikus 2017</v>
      </c>
      <c r="C173" s="206" t="str">
        <f>IF(AND(A173&lt;&gt;"",ISNUMBER(A173)),VLOOKUP(A173,Studies!A:BR,3,FALSE),"")</f>
        <v>https://www.ncbi.nlm.nih.gov/pubmed/28194792</v>
      </c>
      <c r="D173" s="206" t="str">
        <f>IF(AND(A173&lt;&gt;"",ISNUMBER(A173)),VLOOKUP(A173,Studies!A:BR,4,FALSE),"")</f>
        <v>Efavirenz + Midazolam PO day 16</v>
      </c>
      <c r="E173" s="141" t="str">
        <f>IF(AND(A173&lt;&gt;"",ISNUMBER(A173)),VLOOKUP(A173,Studies!A:BR,5,FALSE),"")</f>
        <v>Midazolam</v>
      </c>
      <c r="F173" s="42" t="s">
        <v>2201</v>
      </c>
      <c r="G173" s="207" t="str">
        <f>IF(AND(A173&lt;&gt;"",ISNUMBER(A173)),VLOOKUP(A173,Studies!A:BR,13,FALSE),"")</f>
        <v>PO</v>
      </c>
      <c r="H173" s="68" t="s">
        <v>59</v>
      </c>
      <c r="I173" s="207" t="str">
        <f>IF(AND(A173&lt;&gt;"",ISNUMBER(A173)),VLOOKUP(A173,Studies!A:BR,6,FALSE),"")</f>
        <v>Plasma</v>
      </c>
      <c r="J173" s="43">
        <v>0.74803140000000001</v>
      </c>
      <c r="K173" s="43" t="s">
        <v>2155</v>
      </c>
      <c r="R173" s="38">
        <v>0</v>
      </c>
      <c r="S173" s="39">
        <v>6</v>
      </c>
      <c r="T173" s="40">
        <v>372</v>
      </c>
      <c r="U173" s="41">
        <v>378</v>
      </c>
      <c r="V173" s="42" t="s">
        <v>60</v>
      </c>
      <c r="X173" s="22">
        <v>400</v>
      </c>
      <c r="Z173" s="28" t="s">
        <v>58</v>
      </c>
      <c r="AA173" s="22" t="s">
        <v>59</v>
      </c>
    </row>
    <row r="174" spans="1:35" x14ac:dyDescent="0.2">
      <c r="A174" s="30">
        <v>2052</v>
      </c>
      <c r="B174" s="206" t="str">
        <f>IF(AND(A174&lt;&gt;"",ISNUMBER(A174)),VLOOKUP(A174,Studies!A:BR,2,FALSE),"")</f>
        <v>Mikus 2017</v>
      </c>
      <c r="C174" s="206" t="str">
        <f>IF(AND(A174&lt;&gt;"",ISNUMBER(A174)),VLOOKUP(A174,Studies!A:BR,3,FALSE),"")</f>
        <v>https://www.ncbi.nlm.nih.gov/pubmed/28194792</v>
      </c>
      <c r="D174" s="206" t="str">
        <f>IF(AND(A174&lt;&gt;"",ISNUMBER(A174)),VLOOKUP(A174,Studies!A:BR,4,FALSE),"")</f>
        <v>Efavirenz + Midazolam IV day 16</v>
      </c>
      <c r="E174" s="141" t="str">
        <f>IF(AND(A174&lt;&gt;"",ISNUMBER(A174)),VLOOKUP(A174,Studies!A:BR,5,FALSE),"")</f>
        <v>Midazolam</v>
      </c>
      <c r="F174" s="42" t="s">
        <v>2201</v>
      </c>
      <c r="G174" s="207" t="str">
        <f>IF(AND(A174&lt;&gt;"",ISNUMBER(A174)),VLOOKUP(A174,Studies!A:BR,13,FALSE),"")</f>
        <v>IV</v>
      </c>
      <c r="H174" s="68" t="s">
        <v>59</v>
      </c>
      <c r="I174" s="207" t="str">
        <f>IF(AND(A174&lt;&gt;"",ISNUMBER(A174)),VLOOKUP(A174,Studies!A:BR,6,FALSE),"")</f>
        <v>Plasma</v>
      </c>
      <c r="J174" s="43">
        <v>0.85377349999999996</v>
      </c>
      <c r="K174" s="43" t="s">
        <v>2155</v>
      </c>
      <c r="R174" s="38">
        <v>6</v>
      </c>
      <c r="S174" s="39">
        <v>14</v>
      </c>
      <c r="T174" s="40">
        <v>378</v>
      </c>
      <c r="U174" s="41">
        <v>386</v>
      </c>
      <c r="V174" s="42" t="s">
        <v>60</v>
      </c>
      <c r="X174" s="22">
        <v>400</v>
      </c>
      <c r="Z174" s="28" t="s">
        <v>58</v>
      </c>
      <c r="AA174" s="22" t="s">
        <v>59</v>
      </c>
    </row>
    <row r="175" spans="1:35" x14ac:dyDescent="0.2">
      <c r="A175" s="30">
        <v>2053</v>
      </c>
      <c r="B175" s="206" t="str">
        <f>IF(AND(A175&lt;&gt;"",ISNUMBER(A175)),VLOOKUP(A175,Studies!A:BR,2,FALSE),"")</f>
        <v>Mikus 2017</v>
      </c>
      <c r="C175" s="206" t="str">
        <f>IF(AND(A175&lt;&gt;"",ISNUMBER(A175)),VLOOKUP(A175,Studies!A:BR,3,FALSE),"")</f>
        <v>https://www.ncbi.nlm.nih.gov/pubmed/28194792</v>
      </c>
      <c r="D175" s="206" t="str">
        <f>IF(AND(A175&lt;&gt;"",ISNUMBER(A175)),VLOOKUP(A175,Studies!A:BR,4,FALSE),"")</f>
        <v>Efavirenz + Midazolam PO  day 22</v>
      </c>
      <c r="E175" s="141" t="str">
        <f>IF(AND(A175&lt;&gt;"",ISNUMBER(A175)),VLOOKUP(A175,Studies!A:BR,5,FALSE),"")</f>
        <v>Midazolam</v>
      </c>
      <c r="F175" s="42" t="s">
        <v>2201</v>
      </c>
      <c r="G175" s="207" t="str">
        <f>IF(AND(A175&lt;&gt;"",ISNUMBER(A175)),VLOOKUP(A175,Studies!A:BR,13,FALSE),"")</f>
        <v>PO</v>
      </c>
      <c r="H175" s="68" t="s">
        <v>59</v>
      </c>
      <c r="I175" s="207" t="str">
        <f>IF(AND(A175&lt;&gt;"",ISNUMBER(A175)),VLOOKUP(A175,Studies!A:BR,6,FALSE),"")</f>
        <v>Plasma</v>
      </c>
      <c r="J175" s="43">
        <v>0.83661410000000003</v>
      </c>
      <c r="K175" s="43" t="s">
        <v>2155</v>
      </c>
      <c r="R175" s="38">
        <v>0</v>
      </c>
      <c r="S175" s="39">
        <v>6</v>
      </c>
      <c r="T175" s="40">
        <v>516</v>
      </c>
      <c r="U175" s="41">
        <v>522</v>
      </c>
      <c r="V175" s="42" t="s">
        <v>60</v>
      </c>
      <c r="X175" s="22">
        <v>400</v>
      </c>
      <c r="Z175" s="28" t="s">
        <v>58</v>
      </c>
      <c r="AA175" s="22" t="s">
        <v>59</v>
      </c>
    </row>
    <row r="176" spans="1:35" x14ac:dyDescent="0.2">
      <c r="A176" s="30">
        <v>2054</v>
      </c>
      <c r="B176" s="206" t="str">
        <f>IF(AND(A176&lt;&gt;"",ISNUMBER(A176)),VLOOKUP(A176,Studies!A:BR,2,FALSE),"")</f>
        <v>Mikus 2017</v>
      </c>
      <c r="C176" s="206" t="str">
        <f>IF(AND(A176&lt;&gt;"",ISNUMBER(A176)),VLOOKUP(A176,Studies!A:BR,3,FALSE),"")</f>
        <v>https://www.ncbi.nlm.nih.gov/pubmed/28194792</v>
      </c>
      <c r="D176" s="206" t="str">
        <f>IF(AND(A176&lt;&gt;"",ISNUMBER(A176)),VLOOKUP(A176,Studies!A:BR,4,FALSE),"")</f>
        <v>Efavirenz + Midazolam IV  day 22</v>
      </c>
      <c r="E176" s="141" t="str">
        <f>IF(AND(A176&lt;&gt;"",ISNUMBER(A176)),VLOOKUP(A176,Studies!A:BR,5,FALSE),"")</f>
        <v>Midazolam</v>
      </c>
      <c r="F176" s="42" t="s">
        <v>2201</v>
      </c>
      <c r="G176" s="207" t="str">
        <f>IF(AND(A176&lt;&gt;"",ISNUMBER(A176)),VLOOKUP(A176,Studies!A:BR,13,FALSE),"")</f>
        <v>IV</v>
      </c>
      <c r="H176" s="68" t="s">
        <v>59</v>
      </c>
      <c r="I176" s="207" t="str">
        <f>IF(AND(A176&lt;&gt;"",ISNUMBER(A176)),VLOOKUP(A176,Studies!A:BR,6,FALSE),"")</f>
        <v>Plasma</v>
      </c>
      <c r="J176" s="43">
        <v>0.92216980000000004</v>
      </c>
      <c r="K176" s="43" t="s">
        <v>2155</v>
      </c>
      <c r="R176" s="38">
        <v>6</v>
      </c>
      <c r="S176" s="39">
        <v>14</v>
      </c>
      <c r="T176" s="40">
        <v>522</v>
      </c>
      <c r="U176" s="41">
        <v>530</v>
      </c>
      <c r="V176" s="42" t="s">
        <v>60</v>
      </c>
      <c r="X176" s="22">
        <v>400</v>
      </c>
      <c r="Z176" s="28" t="s">
        <v>58</v>
      </c>
      <c r="AA176" s="22" t="s">
        <v>59</v>
      </c>
    </row>
    <row r="243" spans="25:35" x14ac:dyDescent="0.2">
      <c r="Y243" s="139"/>
      <c r="Z243" s="139"/>
      <c r="AA243" s="178"/>
      <c r="AB243" s="178"/>
      <c r="AC243" s="138"/>
      <c r="AD243" s="178"/>
      <c r="AE243" s="176"/>
      <c r="AF243" s="179"/>
      <c r="AG243" s="180"/>
      <c r="AH243" s="180"/>
      <c r="AI243" s="180"/>
    </row>
    <row r="244" spans="25:35" x14ac:dyDescent="0.2">
      <c r="Y244" s="139"/>
      <c r="Z244" s="139"/>
      <c r="AA244" s="178"/>
      <c r="AB244" s="178"/>
      <c r="AC244" s="138"/>
      <c r="AD244" s="178"/>
      <c r="AE244" s="176"/>
      <c r="AF244" s="179"/>
      <c r="AG244" s="180"/>
      <c r="AH244" s="180"/>
      <c r="AI244" s="180"/>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27"/>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5" spans="25:35" x14ac:dyDescent="0.2">
      <c r="Y265" s="139"/>
      <c r="Z265" s="139"/>
      <c r="AA265" s="178"/>
      <c r="AB265" s="178"/>
      <c r="AC265" s="138"/>
      <c r="AD265" s="178"/>
      <c r="AE265" s="176"/>
      <c r="AF265" s="179"/>
      <c r="AG265" s="180"/>
      <c r="AH265" s="180"/>
      <c r="AI265" s="180"/>
    </row>
    <row r="266" spans="25:35" x14ac:dyDescent="0.2">
      <c r="Y266" s="139"/>
      <c r="Z266" s="139"/>
      <c r="AA266" s="178"/>
      <c r="AB266" s="178"/>
      <c r="AC266" s="138"/>
      <c r="AD266" s="178"/>
      <c r="AE266" s="176"/>
      <c r="AF266" s="179"/>
      <c r="AG266" s="180"/>
      <c r="AH266" s="180"/>
      <c r="AI266" s="180"/>
    </row>
  </sheetData>
  <autoFilter ref="A1:AN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topLeftCell="A22"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1176</v>
      </c>
      <c r="B1" s="1" t="s">
        <v>1177</v>
      </c>
    </row>
    <row r="2" spans="1:2" x14ac:dyDescent="0.2">
      <c r="A2" s="174" t="s">
        <v>111</v>
      </c>
      <c r="B2" s="247">
        <v>385.512</v>
      </c>
    </row>
    <row r="3" spans="1:2" x14ac:dyDescent="0.2">
      <c r="A3" s="174" t="s">
        <v>149</v>
      </c>
      <c r="B3" s="247">
        <v>705.63300000000004</v>
      </c>
    </row>
    <row r="4" spans="1:2" x14ac:dyDescent="0.2">
      <c r="A4" s="174" t="s">
        <v>152</v>
      </c>
      <c r="B4" s="247">
        <v>721.63300000000004</v>
      </c>
    </row>
    <row r="5" spans="1:2" x14ac:dyDescent="0.2">
      <c r="A5" s="174" t="s">
        <v>469</v>
      </c>
      <c r="B5" s="247">
        <v>719.61699999999996</v>
      </c>
    </row>
    <row r="6" spans="1:2" x14ac:dyDescent="0.2">
      <c r="A6" s="174" t="s">
        <v>472</v>
      </c>
      <c r="B6" s="247">
        <v>649.52700000000004</v>
      </c>
    </row>
    <row r="7" spans="1:2" x14ac:dyDescent="0.2">
      <c r="A7" s="174" t="s">
        <v>356</v>
      </c>
      <c r="B7" s="247">
        <v>733.92700000000002</v>
      </c>
    </row>
    <row r="8" spans="1:2" x14ac:dyDescent="0.2">
      <c r="A8" s="174" t="s">
        <v>181</v>
      </c>
      <c r="B8" s="247">
        <v>588.6</v>
      </c>
    </row>
    <row r="9" spans="1:2" x14ac:dyDescent="0.2">
      <c r="A9" s="174" t="s">
        <v>1178</v>
      </c>
      <c r="B9" s="247">
        <v>1449.3</v>
      </c>
    </row>
    <row r="10" spans="1:2" x14ac:dyDescent="0.2">
      <c r="A10" s="174" t="s">
        <v>339</v>
      </c>
      <c r="B10" s="247">
        <v>416.52</v>
      </c>
    </row>
    <row r="11" spans="1:2" x14ac:dyDescent="0.2">
      <c r="A11" s="174" t="s">
        <v>196</v>
      </c>
      <c r="B11" s="247">
        <v>386.6</v>
      </c>
    </row>
    <row r="12" spans="1:2" x14ac:dyDescent="0.2">
      <c r="A12" s="174" t="s">
        <v>412</v>
      </c>
      <c r="B12" s="247">
        <v>780.93</v>
      </c>
    </row>
    <row r="13" spans="1:2" x14ac:dyDescent="0.2">
      <c r="A13" s="174" t="s">
        <v>1179</v>
      </c>
      <c r="B13" s="247">
        <v>178.27070000000001</v>
      </c>
    </row>
    <row r="14" spans="1:2" x14ac:dyDescent="0.2">
      <c r="A14" s="174" t="s">
        <v>1180</v>
      </c>
      <c r="B14" s="247">
        <v>444.41629999999998</v>
      </c>
    </row>
    <row r="15" spans="1:2" x14ac:dyDescent="0.2">
      <c r="A15" s="174" t="s">
        <v>1181</v>
      </c>
      <c r="B15" s="247">
        <v>853.92</v>
      </c>
    </row>
    <row r="16" spans="1:2" x14ac:dyDescent="0.2">
      <c r="A16" s="174" t="s">
        <v>102</v>
      </c>
      <c r="B16" s="247">
        <v>325.77</v>
      </c>
    </row>
    <row r="17" spans="1:2" x14ac:dyDescent="0.2">
      <c r="A17" s="174" t="s">
        <v>54</v>
      </c>
      <c r="B17" s="247">
        <v>822.94</v>
      </c>
    </row>
    <row r="18" spans="1:2" x14ac:dyDescent="0.2">
      <c r="A18" s="174" t="s">
        <v>1182</v>
      </c>
      <c r="B18" s="247">
        <v>502.899</v>
      </c>
    </row>
    <row r="19" spans="1:2" x14ac:dyDescent="0.2">
      <c r="A19" s="174" t="s">
        <v>573</v>
      </c>
      <c r="B19" s="247">
        <v>241.29</v>
      </c>
    </row>
    <row r="20" spans="1:2" x14ac:dyDescent="0.2">
      <c r="A20" s="174" t="s">
        <v>836</v>
      </c>
      <c r="B20" s="247">
        <v>531.43100000000004</v>
      </c>
    </row>
    <row r="21" spans="1:2" x14ac:dyDescent="0.2">
      <c r="A21" s="174" t="s">
        <v>662</v>
      </c>
      <c r="B21" s="247">
        <v>194.19</v>
      </c>
    </row>
    <row r="22" spans="1:2" x14ac:dyDescent="0.2">
      <c r="A22" s="174" t="s">
        <v>875</v>
      </c>
      <c r="B22" s="247">
        <v>349.31099999999998</v>
      </c>
    </row>
    <row r="23" spans="1:2" x14ac:dyDescent="0.2">
      <c r="A23" s="174" t="s">
        <v>208</v>
      </c>
      <c r="B23" s="247">
        <v>418.56599999999997</v>
      </c>
    </row>
    <row r="24" spans="1:2" x14ac:dyDescent="0.2">
      <c r="A24" t="s">
        <v>1419</v>
      </c>
      <c r="B24" s="247">
        <v>704.85550000000001</v>
      </c>
    </row>
    <row r="25" spans="1:2" x14ac:dyDescent="0.2">
      <c r="A25" t="s">
        <v>1622</v>
      </c>
      <c r="B25" s="247">
        <v>408.87299999999999</v>
      </c>
    </row>
    <row r="26" spans="1:2" x14ac:dyDescent="0.2">
      <c r="A26" t="s">
        <v>1705</v>
      </c>
      <c r="B26" s="247">
        <v>585</v>
      </c>
    </row>
    <row r="27" spans="1:2" x14ac:dyDescent="0.2">
      <c r="A27" t="s">
        <v>1706</v>
      </c>
      <c r="B27" s="247">
        <v>585</v>
      </c>
    </row>
    <row r="28" spans="1:2" x14ac:dyDescent="0.2">
      <c r="A28" t="s">
        <v>1707</v>
      </c>
      <c r="B28" s="247">
        <v>0</v>
      </c>
    </row>
    <row r="29" spans="1:2" x14ac:dyDescent="0.2">
      <c r="A29" t="s">
        <v>2053</v>
      </c>
      <c r="B29" s="247">
        <v>308.76499999999999</v>
      </c>
    </row>
    <row r="30" spans="1:2" x14ac:dyDescent="0.2">
      <c r="A30" t="s">
        <v>1974</v>
      </c>
      <c r="B30" s="247">
        <v>343.21</v>
      </c>
    </row>
    <row r="31" spans="1:2" x14ac:dyDescent="0.2">
      <c r="A31" t="s">
        <v>2201</v>
      </c>
      <c r="B31" s="247">
        <v>315.67500000000001</v>
      </c>
    </row>
    <row r="32" spans="1:2" x14ac:dyDescent="0.2">
      <c r="A32" t="s">
        <v>1113</v>
      </c>
      <c r="B32" s="247">
        <v>747.95299999999997</v>
      </c>
    </row>
    <row r="33" spans="1:2" x14ac:dyDescent="0.2">
      <c r="A33" t="s">
        <v>2549</v>
      </c>
      <c r="B33">
        <v>763.95</v>
      </c>
    </row>
    <row r="34" spans="1:2" x14ac:dyDescent="0.2">
      <c r="A34" t="s">
        <v>2550</v>
      </c>
      <c r="B34">
        <v>733.93</v>
      </c>
    </row>
    <row r="35" spans="1:2" x14ac:dyDescent="0.2">
      <c r="A35" s="174" t="s">
        <v>383</v>
      </c>
      <c r="B35" s="174">
        <v>454.6</v>
      </c>
    </row>
    <row r="36" spans="1:2" x14ac:dyDescent="0.2">
      <c r="A36" t="s">
        <v>1094</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1183</v>
      </c>
      <c r="B1" s="174"/>
      <c r="C1" s="174"/>
      <c r="D1" s="174"/>
      <c r="E1" s="1" t="s">
        <v>1184</v>
      </c>
      <c r="F1" s="1"/>
      <c r="G1" s="174"/>
      <c r="H1" s="1"/>
      <c r="I1" s="1"/>
      <c r="J1" s="174"/>
      <c r="K1" s="174"/>
      <c r="L1" s="174"/>
      <c r="M1" s="174"/>
      <c r="N1" s="174"/>
      <c r="O1" s="174"/>
      <c r="P1" s="174"/>
    </row>
    <row r="2" spans="1:16" ht="15" x14ac:dyDescent="0.25">
      <c r="A2" s="1" t="s">
        <v>1185</v>
      </c>
      <c r="B2" s="1" t="s">
        <v>942</v>
      </c>
      <c r="C2" s="1" t="s">
        <v>1186</v>
      </c>
      <c r="D2" s="174"/>
      <c r="E2" s="1" t="s">
        <v>1187</v>
      </c>
      <c r="F2" s="1" t="s">
        <v>1188</v>
      </c>
      <c r="G2" s="1" t="s">
        <v>1189</v>
      </c>
      <c r="H2" s="1" t="s">
        <v>1190</v>
      </c>
      <c r="I2" s="1" t="s">
        <v>1191</v>
      </c>
      <c r="J2" s="1" t="s">
        <v>1192</v>
      </c>
      <c r="K2" s="1" t="s">
        <v>1193</v>
      </c>
      <c r="L2" s="1" t="s">
        <v>1194</v>
      </c>
      <c r="M2" s="1" t="s">
        <v>1195</v>
      </c>
      <c r="N2" s="1" t="s">
        <v>1015</v>
      </c>
      <c r="O2" s="174"/>
      <c r="P2" s="1" t="s">
        <v>1196</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1197</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1198</v>
      </c>
      <c r="D5" s="174"/>
      <c r="E5" s="174" t="s">
        <v>1199</v>
      </c>
      <c r="F5" s="174" t="s">
        <v>1199</v>
      </c>
      <c r="G5" s="174" t="s">
        <v>1199</v>
      </c>
      <c r="H5" s="174" t="s">
        <v>1199</v>
      </c>
      <c r="I5" s="174"/>
      <c r="J5" s="174" t="s">
        <v>1200</v>
      </c>
      <c r="K5" s="174" t="s">
        <v>1200</v>
      </c>
      <c r="L5" s="174" t="s">
        <v>1013</v>
      </c>
      <c r="M5" s="174" t="s">
        <v>1013</v>
      </c>
      <c r="N5" s="174" t="s">
        <v>366</v>
      </c>
      <c r="O5" s="174"/>
      <c r="P5" s="174" t="s">
        <v>705</v>
      </c>
    </row>
    <row r="6" spans="1:16" x14ac:dyDescent="0.2">
      <c r="A6" s="174" t="s">
        <v>1201</v>
      </c>
      <c r="B6" s="174"/>
      <c r="C6" s="174" t="s">
        <v>1202</v>
      </c>
      <c r="D6" s="174"/>
      <c r="E6" s="174" t="s">
        <v>1203</v>
      </c>
      <c r="F6" s="174" t="s">
        <v>1203</v>
      </c>
      <c r="G6" s="174" t="s">
        <v>1203</v>
      </c>
      <c r="H6" s="174" t="s">
        <v>1203</v>
      </c>
      <c r="I6" s="174"/>
      <c r="J6" s="174" t="s">
        <v>1204</v>
      </c>
      <c r="K6" s="174" t="s">
        <v>1204</v>
      </c>
      <c r="L6" s="174" t="s">
        <v>954</v>
      </c>
      <c r="M6" s="174" t="s">
        <v>954</v>
      </c>
      <c r="N6" s="174"/>
      <c r="O6" s="174"/>
      <c r="P6" s="174"/>
    </row>
    <row r="7" spans="1:16" x14ac:dyDescent="0.2">
      <c r="A7" s="174" t="s">
        <v>1205</v>
      </c>
      <c r="B7" s="174"/>
      <c r="C7" s="174"/>
      <c r="D7" s="174"/>
      <c r="E7" s="174" t="s">
        <v>1206</v>
      </c>
      <c r="F7" s="174" t="s">
        <v>1206</v>
      </c>
      <c r="G7" s="174" t="s">
        <v>1206</v>
      </c>
      <c r="H7" s="174" t="s">
        <v>1206</v>
      </c>
      <c r="I7" s="174"/>
      <c r="J7" s="174" t="s">
        <v>1207</v>
      </c>
      <c r="K7" s="174" t="s">
        <v>1207</v>
      </c>
      <c r="L7" s="174" t="s">
        <v>947</v>
      </c>
      <c r="M7" s="174" t="s">
        <v>947</v>
      </c>
      <c r="N7" s="174"/>
      <c r="O7" s="174"/>
      <c r="P7" s="174"/>
    </row>
    <row r="8" spans="1:16" x14ac:dyDescent="0.2">
      <c r="A8" s="174" t="s">
        <v>1208</v>
      </c>
      <c r="B8" s="174"/>
      <c r="C8" s="174"/>
      <c r="D8" s="174"/>
      <c r="E8" s="174" t="s">
        <v>1209</v>
      </c>
      <c r="F8" s="174" t="s">
        <v>1209</v>
      </c>
      <c r="G8" s="174" t="s">
        <v>1209</v>
      </c>
      <c r="H8" s="174" t="s">
        <v>1209</v>
      </c>
      <c r="I8" s="174"/>
      <c r="J8" s="174" t="s">
        <v>1210</v>
      </c>
      <c r="K8" s="174" t="s">
        <v>1210</v>
      </c>
      <c r="L8" s="174" t="s">
        <v>1211</v>
      </c>
      <c r="M8" s="174" t="s">
        <v>1211</v>
      </c>
      <c r="N8" s="174"/>
      <c r="O8" s="174"/>
      <c r="P8" s="174"/>
    </row>
    <row r="9" spans="1:16" x14ac:dyDescent="0.2">
      <c r="A9" s="174"/>
      <c r="B9" s="174"/>
      <c r="C9" s="174"/>
      <c r="D9" s="174"/>
      <c r="E9" s="174" t="s">
        <v>1212</v>
      </c>
      <c r="F9" s="174" t="s">
        <v>1212</v>
      </c>
      <c r="G9" s="174" t="s">
        <v>1212</v>
      </c>
      <c r="H9" s="174" t="s">
        <v>1212</v>
      </c>
      <c r="I9" s="174"/>
      <c r="J9" s="174" t="s">
        <v>1213</v>
      </c>
      <c r="K9" s="174" t="s">
        <v>1213</v>
      </c>
      <c r="L9" s="174" t="s">
        <v>1214</v>
      </c>
      <c r="M9" s="174" t="s">
        <v>1214</v>
      </c>
      <c r="N9" s="174"/>
      <c r="O9" s="174"/>
      <c r="P9" s="174"/>
    </row>
    <row r="10" spans="1:16" x14ac:dyDescent="0.2">
      <c r="A10" s="174"/>
      <c r="B10" s="174"/>
      <c r="C10" s="174"/>
      <c r="D10" s="174"/>
      <c r="E10" s="174" t="s">
        <v>1215</v>
      </c>
      <c r="F10" s="174" t="s">
        <v>1215</v>
      </c>
      <c r="G10" s="174" t="s">
        <v>1215</v>
      </c>
      <c r="H10" s="174" t="s">
        <v>1215</v>
      </c>
      <c r="I10" s="174"/>
      <c r="J10" s="174" t="s">
        <v>1216</v>
      </c>
      <c r="K10" s="174" t="s">
        <v>1216</v>
      </c>
      <c r="L10" s="174" t="s">
        <v>976</v>
      </c>
      <c r="M10" s="174" t="s">
        <v>976</v>
      </c>
      <c r="N10" s="174"/>
      <c r="O10" s="174"/>
      <c r="P10" s="174"/>
    </row>
    <row r="11" spans="1:16" x14ac:dyDescent="0.2">
      <c r="A11" s="174"/>
      <c r="B11" s="174"/>
      <c r="C11" s="174"/>
      <c r="D11" s="174"/>
      <c r="E11" s="174" t="s">
        <v>1217</v>
      </c>
      <c r="F11" s="174" t="s">
        <v>1217</v>
      </c>
      <c r="G11" s="174" t="s">
        <v>1217</v>
      </c>
      <c r="H11" s="174" t="s">
        <v>1217</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1218</v>
      </c>
      <c r="F15" s="174" t="s">
        <v>1218</v>
      </c>
      <c r="G15" s="174" t="s">
        <v>1218</v>
      </c>
      <c r="H15" s="174" t="s">
        <v>1218</v>
      </c>
      <c r="I15" s="174"/>
      <c r="J15" s="174" t="s">
        <v>1219</v>
      </c>
      <c r="K15" s="174" t="s">
        <v>1219</v>
      </c>
      <c r="L15" s="174"/>
      <c r="M15" s="174"/>
      <c r="N15" s="174"/>
      <c r="O15" s="174"/>
      <c r="P15" s="174"/>
    </row>
    <row r="16" spans="1:16" x14ac:dyDescent="0.2">
      <c r="A16" s="174"/>
      <c r="B16" s="174"/>
      <c r="C16" s="174"/>
      <c r="D16" s="174"/>
      <c r="E16" s="174" t="s">
        <v>1220</v>
      </c>
      <c r="F16" s="174" t="s">
        <v>1220</v>
      </c>
      <c r="G16" s="174" t="s">
        <v>1220</v>
      </c>
      <c r="H16" s="174" t="s">
        <v>1220</v>
      </c>
      <c r="I16" s="174"/>
      <c r="J16" s="174" t="s">
        <v>1221</v>
      </c>
      <c r="K16" s="174" t="s">
        <v>1221</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1222</v>
      </c>
      <c r="F18" s="174" t="s">
        <v>1222</v>
      </c>
      <c r="G18" s="174" t="s">
        <v>1222</v>
      </c>
      <c r="H18" s="174" t="s">
        <v>1222</v>
      </c>
      <c r="I18" s="174"/>
      <c r="J18" s="174" t="s">
        <v>1223</v>
      </c>
      <c r="K18" s="174" t="s">
        <v>1223</v>
      </c>
    </row>
    <row r="19" spans="5:11" x14ac:dyDescent="0.2">
      <c r="E19" s="174" t="s">
        <v>1224</v>
      </c>
      <c r="F19" s="174" t="s">
        <v>1224</v>
      </c>
      <c r="G19" s="174" t="s">
        <v>1224</v>
      </c>
      <c r="H19" s="174" t="s">
        <v>1224</v>
      </c>
      <c r="I19" s="174"/>
      <c r="J19" s="174" t="s">
        <v>1225</v>
      </c>
      <c r="K19" s="174" t="s">
        <v>1225</v>
      </c>
    </row>
    <row r="20" spans="5:11" x14ac:dyDescent="0.2">
      <c r="E20" s="174" t="s">
        <v>1226</v>
      </c>
      <c r="F20" s="174" t="s">
        <v>1226</v>
      </c>
      <c r="G20" s="174" t="s">
        <v>1226</v>
      </c>
      <c r="H20" s="174" t="s">
        <v>1226</v>
      </c>
      <c r="I20" s="174"/>
      <c r="J20" s="174" t="s">
        <v>1227</v>
      </c>
      <c r="K20" s="174" t="s">
        <v>1227</v>
      </c>
    </row>
    <row r="21" spans="5:11" x14ac:dyDescent="0.2">
      <c r="E21" s="174" t="s">
        <v>1228</v>
      </c>
      <c r="F21" s="174" t="s">
        <v>1228</v>
      </c>
      <c r="G21" s="174" t="s">
        <v>1228</v>
      </c>
      <c r="H21" s="174" t="s">
        <v>1228</v>
      </c>
      <c r="I21" s="174"/>
      <c r="J21" s="174" t="s">
        <v>1229</v>
      </c>
      <c r="K21" s="174" t="s">
        <v>1229</v>
      </c>
    </row>
    <row r="22" spans="5:11" x14ac:dyDescent="0.2">
      <c r="E22" s="174" t="s">
        <v>1230</v>
      </c>
      <c r="F22" s="174" t="s">
        <v>1230</v>
      </c>
      <c r="G22" s="174" t="s">
        <v>1230</v>
      </c>
      <c r="H22" s="174" t="s">
        <v>1230</v>
      </c>
      <c r="I22" s="174"/>
      <c r="J22" s="174" t="s">
        <v>1231</v>
      </c>
      <c r="K22" s="174" t="s">
        <v>1231</v>
      </c>
    </row>
    <row r="23" spans="5:11" x14ac:dyDescent="0.2">
      <c r="E23" s="174" t="s">
        <v>1232</v>
      </c>
      <c r="F23" s="174" t="s">
        <v>1232</v>
      </c>
      <c r="G23" s="174" t="s">
        <v>1232</v>
      </c>
      <c r="H23" s="174" t="s">
        <v>1232</v>
      </c>
      <c r="I23" s="174"/>
      <c r="J23" s="174" t="s">
        <v>1233</v>
      </c>
      <c r="K23" s="174" t="s">
        <v>1233</v>
      </c>
    </row>
    <row r="24" spans="5:11" x14ac:dyDescent="0.2">
      <c r="E24" s="174" t="s">
        <v>1234</v>
      </c>
      <c r="F24" s="174" t="s">
        <v>1234</v>
      </c>
      <c r="G24" s="174" t="s">
        <v>1234</v>
      </c>
      <c r="H24" s="174" t="s">
        <v>1234</v>
      </c>
      <c r="I24" s="174"/>
      <c r="J24" s="174" t="s">
        <v>1235</v>
      </c>
      <c r="K24" s="174" t="s">
        <v>1235</v>
      </c>
    </row>
    <row r="25" spans="5:11" x14ac:dyDescent="0.2">
      <c r="E25" s="174" t="s">
        <v>1236</v>
      </c>
      <c r="F25" s="174" t="s">
        <v>1236</v>
      </c>
      <c r="G25" s="174" t="s">
        <v>1236</v>
      </c>
      <c r="H25" s="174" t="s">
        <v>1236</v>
      </c>
      <c r="I25" s="174"/>
      <c r="J25" s="174" t="s">
        <v>1237</v>
      </c>
      <c r="K25" s="174" t="s">
        <v>1237</v>
      </c>
    </row>
    <row r="26" spans="5:11" x14ac:dyDescent="0.2">
      <c r="E26" s="174" t="s">
        <v>1238</v>
      </c>
      <c r="F26" s="174" t="s">
        <v>1238</v>
      </c>
      <c r="G26" s="174" t="s">
        <v>1238</v>
      </c>
      <c r="H26" s="174" t="s">
        <v>1238</v>
      </c>
      <c r="I26" s="174"/>
      <c r="J26" s="174" t="s">
        <v>1239</v>
      </c>
      <c r="K26" s="174" t="s">
        <v>1239</v>
      </c>
    </row>
    <row r="27" spans="5:11" x14ac:dyDescent="0.2">
      <c r="E27" s="174" t="s">
        <v>58</v>
      </c>
      <c r="F27" s="174" t="s">
        <v>58</v>
      </c>
      <c r="G27" s="174"/>
      <c r="H27" s="174" t="s">
        <v>447</v>
      </c>
      <c r="I27" s="174"/>
      <c r="J27" s="174" t="s">
        <v>1240</v>
      </c>
      <c r="K27" s="174" t="s">
        <v>1240</v>
      </c>
    </row>
    <row r="28" spans="5:11" x14ac:dyDescent="0.2">
      <c r="E28" s="174" t="s">
        <v>449</v>
      </c>
      <c r="F28" s="174" t="s">
        <v>449</v>
      </c>
      <c r="G28" s="174"/>
      <c r="H28" s="174"/>
      <c r="I28" s="174"/>
      <c r="J28" s="174" t="s">
        <v>1241</v>
      </c>
      <c r="K28" s="174" t="s">
        <v>1241</v>
      </c>
    </row>
    <row r="29" spans="5:11" x14ac:dyDescent="0.2">
      <c r="E29" s="174" t="s">
        <v>1242</v>
      </c>
      <c r="F29" s="174" t="s">
        <v>1242</v>
      </c>
      <c r="G29" s="174"/>
      <c r="H29" s="174"/>
      <c r="I29" s="174"/>
      <c r="J29" s="174" t="s">
        <v>1243</v>
      </c>
      <c r="K29" s="174" t="s">
        <v>1243</v>
      </c>
    </row>
    <row r="30" spans="5:11" x14ac:dyDescent="0.2">
      <c r="E30" s="174" t="s">
        <v>1244</v>
      </c>
      <c r="F30" s="174" t="s">
        <v>1244</v>
      </c>
      <c r="G30" s="174"/>
      <c r="H30" s="174"/>
      <c r="I30" s="174"/>
      <c r="J30" s="174" t="s">
        <v>1245</v>
      </c>
      <c r="K30" s="174" t="s">
        <v>1245</v>
      </c>
    </row>
    <row r="31" spans="5:11" x14ac:dyDescent="0.2">
      <c r="E31" s="174" t="s">
        <v>1246</v>
      </c>
      <c r="F31" s="174" t="s">
        <v>1246</v>
      </c>
      <c r="G31" s="174"/>
      <c r="H31" s="174"/>
      <c r="I31" s="174"/>
      <c r="J31" s="174" t="s">
        <v>1247</v>
      </c>
      <c r="K31" s="174" t="s">
        <v>1247</v>
      </c>
    </row>
    <row r="32" spans="5:11" x14ac:dyDescent="0.2">
      <c r="E32" s="174" t="s">
        <v>1248</v>
      </c>
      <c r="F32" s="174" t="s">
        <v>1248</v>
      </c>
      <c r="G32" s="174"/>
      <c r="H32" s="174"/>
      <c r="I32" s="174"/>
      <c r="J32" s="174" t="s">
        <v>1249</v>
      </c>
      <c r="K32" s="174" t="s">
        <v>1249</v>
      </c>
    </row>
    <row r="33" spans="5:11" x14ac:dyDescent="0.2">
      <c r="E33" s="174" t="s">
        <v>1250</v>
      </c>
      <c r="F33" s="174" t="s">
        <v>1250</v>
      </c>
      <c r="G33" s="174"/>
      <c r="H33" s="174"/>
      <c r="I33" s="174"/>
      <c r="J33" s="174" t="s">
        <v>1251</v>
      </c>
      <c r="K33" s="174" t="s">
        <v>1251</v>
      </c>
    </row>
    <row r="34" spans="5:11" x14ac:dyDescent="0.2">
      <c r="E34" s="174" t="s">
        <v>1252</v>
      </c>
      <c r="F34" s="174" t="s">
        <v>1252</v>
      </c>
      <c r="G34" s="174"/>
      <c r="H34" s="174"/>
      <c r="I34" s="174"/>
      <c r="J34" s="174" t="s">
        <v>1253</v>
      </c>
      <c r="K34" s="174" t="s">
        <v>1253</v>
      </c>
    </row>
    <row r="35" spans="5:11" x14ac:dyDescent="0.2">
      <c r="E35" s="174" t="s">
        <v>447</v>
      </c>
      <c r="F35" s="174" t="s">
        <v>447</v>
      </c>
      <c r="G35" s="174"/>
      <c r="H35" s="174"/>
      <c r="I35" s="174"/>
      <c r="J35" s="174" t="s">
        <v>1254</v>
      </c>
      <c r="K35" s="174" t="s">
        <v>1254</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1255</v>
      </c>
      <c r="K38" s="174" t="s">
        <v>1255</v>
      </c>
    </row>
    <row r="39" spans="5:11" x14ac:dyDescent="0.2">
      <c r="E39" s="174"/>
      <c r="F39" s="174"/>
      <c r="G39" s="174"/>
      <c r="H39" s="174"/>
      <c r="I39" s="174"/>
      <c r="J39" s="174" t="s">
        <v>1256</v>
      </c>
      <c r="K39" s="174" t="s">
        <v>1256</v>
      </c>
    </row>
    <row r="40" spans="5:11" x14ac:dyDescent="0.2">
      <c r="E40" s="174"/>
      <c r="F40" s="174"/>
      <c r="G40" s="174"/>
      <c r="H40" s="174"/>
      <c r="I40" s="174"/>
      <c r="J40" s="174" t="s">
        <v>1257</v>
      </c>
      <c r="K40" s="174" t="s">
        <v>1257</v>
      </c>
    </row>
    <row r="41" spans="5:11" x14ac:dyDescent="0.2">
      <c r="E41" s="174"/>
      <c r="F41" s="174"/>
      <c r="G41" s="174"/>
      <c r="H41" s="174"/>
      <c r="I41" s="174"/>
      <c r="J41" s="174" t="s">
        <v>1258</v>
      </c>
      <c r="K41" s="174" t="s">
        <v>1258</v>
      </c>
    </row>
    <row r="42" spans="5:11" x14ac:dyDescent="0.2">
      <c r="E42" s="174"/>
      <c r="F42" s="174"/>
      <c r="G42" s="174"/>
      <c r="H42" s="174"/>
      <c r="I42" s="174"/>
      <c r="J42" s="174" t="s">
        <v>1259</v>
      </c>
      <c r="K42" s="174" t="s">
        <v>1259</v>
      </c>
    </row>
    <row r="43" spans="5:11" x14ac:dyDescent="0.2">
      <c r="E43" s="174"/>
      <c r="F43" s="174"/>
      <c r="G43" s="174"/>
      <c r="H43" s="174"/>
      <c r="I43" s="174"/>
      <c r="J43" s="174" t="s">
        <v>1260</v>
      </c>
      <c r="K43" s="174" t="s">
        <v>1260</v>
      </c>
    </row>
    <row r="44" spans="5:11" x14ac:dyDescent="0.2">
      <c r="E44" s="174"/>
      <c r="F44" s="174"/>
      <c r="G44" s="174"/>
      <c r="H44" s="174"/>
      <c r="I44" s="174"/>
      <c r="J44" s="174" t="s">
        <v>1261</v>
      </c>
      <c r="K44" s="174" t="s">
        <v>1261</v>
      </c>
    </row>
    <row r="45" spans="5:11" x14ac:dyDescent="0.2">
      <c r="E45" s="174"/>
      <c r="F45" s="174"/>
      <c r="G45" s="174"/>
      <c r="H45" s="174"/>
      <c r="I45" s="174"/>
      <c r="J45" s="174" t="s">
        <v>1262</v>
      </c>
      <c r="K45" s="174" t="s">
        <v>1262</v>
      </c>
    </row>
    <row r="46" spans="5:11" x14ac:dyDescent="0.2">
      <c r="E46" s="174"/>
      <c r="F46" s="174"/>
      <c r="G46" s="174"/>
      <c r="H46" s="174"/>
      <c r="I46" s="174"/>
      <c r="J46" s="174" t="s">
        <v>1263</v>
      </c>
      <c r="K46" s="174" t="s">
        <v>1263</v>
      </c>
    </row>
    <row r="47" spans="5:11" x14ac:dyDescent="0.2">
      <c r="E47" s="174"/>
      <c r="F47" s="174"/>
      <c r="G47" s="174"/>
      <c r="H47" s="174"/>
      <c r="I47" s="174"/>
      <c r="J47" s="174" t="s">
        <v>1264</v>
      </c>
      <c r="K47" s="174" t="s">
        <v>1264</v>
      </c>
    </row>
    <row r="48" spans="5:11" x14ac:dyDescent="0.2">
      <c r="E48" s="174"/>
      <c r="F48" s="174"/>
      <c r="G48" s="174"/>
      <c r="H48" s="174"/>
      <c r="I48" s="174"/>
      <c r="J48" s="174" t="s">
        <v>1265</v>
      </c>
      <c r="K48" s="174" t="s">
        <v>1265</v>
      </c>
    </row>
    <row r="49" spans="10:13" x14ac:dyDescent="0.2">
      <c r="J49" s="174" t="s">
        <v>1266</v>
      </c>
      <c r="K49" s="174" t="s">
        <v>1266</v>
      </c>
      <c r="L49" s="174"/>
      <c r="M49" s="174"/>
    </row>
    <row r="50" spans="10:13" x14ac:dyDescent="0.2">
      <c r="J50" s="174" t="s">
        <v>1267</v>
      </c>
      <c r="K50" s="174" t="s">
        <v>1267</v>
      </c>
      <c r="L50" s="174"/>
      <c r="M50" s="174"/>
    </row>
    <row r="51" spans="10:13" x14ac:dyDescent="0.2">
      <c r="J51" s="174" t="s">
        <v>1268</v>
      </c>
      <c r="K51" s="174" t="s">
        <v>1268</v>
      </c>
      <c r="L51" s="174"/>
      <c r="M51" s="174"/>
    </row>
    <row r="52" spans="10:13" x14ac:dyDescent="0.2">
      <c r="J52" s="174" t="s">
        <v>967</v>
      </c>
      <c r="K52" s="174" t="s">
        <v>967</v>
      </c>
      <c r="L52" s="174"/>
      <c r="M52" s="174"/>
    </row>
    <row r="53" spans="10:13" x14ac:dyDescent="0.2">
      <c r="J53" s="174" t="s">
        <v>1200</v>
      </c>
      <c r="K53" s="174" t="s">
        <v>1200</v>
      </c>
      <c r="L53" s="174"/>
      <c r="M53" s="174"/>
    </row>
    <row r="54" spans="10:13" x14ac:dyDescent="0.2">
      <c r="J54" s="174" t="s">
        <v>1204</v>
      </c>
      <c r="K54" s="174" t="s">
        <v>1204</v>
      </c>
      <c r="L54" s="174"/>
      <c r="M54" s="174"/>
    </row>
    <row r="55" spans="10:13" x14ac:dyDescent="0.2">
      <c r="J55" s="174" t="s">
        <v>1207</v>
      </c>
      <c r="K55" s="174" t="s">
        <v>1207</v>
      </c>
      <c r="L55" s="174"/>
      <c r="M55" s="174"/>
    </row>
    <row r="56" spans="10:13" x14ac:dyDescent="0.2">
      <c r="J56" s="174" t="s">
        <v>1210</v>
      </c>
      <c r="K56" s="174" t="s">
        <v>1210</v>
      </c>
      <c r="L56" s="174"/>
      <c r="M56" s="174"/>
    </row>
    <row r="57" spans="10:13" x14ac:dyDescent="0.2">
      <c r="J57" s="174" t="s">
        <v>1213</v>
      </c>
      <c r="K57" s="174" t="s">
        <v>1213</v>
      </c>
      <c r="L57" s="174"/>
      <c r="M57" s="174"/>
    </row>
    <row r="58" spans="10:13" x14ac:dyDescent="0.2">
      <c r="J58" s="174" t="s">
        <v>1216</v>
      </c>
      <c r="K58" s="174" t="s">
        <v>1216</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1219</v>
      </c>
      <c r="K63" s="174" t="s">
        <v>1219</v>
      </c>
      <c r="L63" s="174"/>
      <c r="M63" s="174"/>
    </row>
    <row r="64" spans="10:13" x14ac:dyDescent="0.2">
      <c r="J64" s="174" t="s">
        <v>1221</v>
      </c>
      <c r="K64" s="174" t="s">
        <v>1221</v>
      </c>
      <c r="L64" s="174"/>
      <c r="M64" s="174"/>
    </row>
    <row r="65" spans="10:13" x14ac:dyDescent="0.2">
      <c r="J65" s="174" t="s">
        <v>963</v>
      </c>
      <c r="K65" s="174" t="s">
        <v>963</v>
      </c>
      <c r="L65" s="174"/>
      <c r="M65" s="174"/>
    </row>
    <row r="66" spans="10:13" x14ac:dyDescent="0.2">
      <c r="J66" s="174" t="s">
        <v>1223</v>
      </c>
      <c r="K66" s="174" t="s">
        <v>1223</v>
      </c>
      <c r="L66" s="174"/>
      <c r="M66" s="174"/>
    </row>
    <row r="67" spans="10:13" x14ac:dyDescent="0.2">
      <c r="J67" s="174" t="s">
        <v>1225</v>
      </c>
      <c r="K67" s="174" t="s">
        <v>1225</v>
      </c>
      <c r="L67" s="174"/>
      <c r="M67" s="174"/>
    </row>
    <row r="68" spans="10:13" x14ac:dyDescent="0.2">
      <c r="J68" s="174" t="s">
        <v>1227</v>
      </c>
      <c r="K68" s="174" t="s">
        <v>1227</v>
      </c>
      <c r="L68" s="174"/>
      <c r="M68" s="174"/>
    </row>
    <row r="69" spans="10:13" x14ac:dyDescent="0.2">
      <c r="J69" s="174" t="s">
        <v>1229</v>
      </c>
      <c r="K69" s="174" t="s">
        <v>1229</v>
      </c>
      <c r="L69" s="174"/>
      <c r="M69" s="174"/>
    </row>
    <row r="70" spans="10:13" x14ac:dyDescent="0.2">
      <c r="J70" s="174" t="s">
        <v>1231</v>
      </c>
      <c r="K70" s="174" t="s">
        <v>1231</v>
      </c>
      <c r="L70" s="174"/>
      <c r="M70" s="174"/>
    </row>
    <row r="71" spans="10:13" x14ac:dyDescent="0.2">
      <c r="J71" s="174" t="s">
        <v>1233</v>
      </c>
      <c r="K71" s="174" t="s">
        <v>1233</v>
      </c>
      <c r="L71" s="174"/>
      <c r="M71" s="174"/>
    </row>
    <row r="72" spans="10:13" x14ac:dyDescent="0.2">
      <c r="J72" s="174" t="s">
        <v>1235</v>
      </c>
      <c r="K72" s="174" t="s">
        <v>1235</v>
      </c>
      <c r="L72" s="174"/>
      <c r="M72" s="174"/>
    </row>
    <row r="73" spans="10:13" x14ac:dyDescent="0.2">
      <c r="J73" s="174" t="s">
        <v>1237</v>
      </c>
      <c r="K73" s="174" t="s">
        <v>1237</v>
      </c>
      <c r="L73" s="174"/>
      <c r="M73" s="174"/>
    </row>
    <row r="74" spans="10:13" x14ac:dyDescent="0.2">
      <c r="J74" s="174" t="s">
        <v>1239</v>
      </c>
      <c r="K74" s="174" t="s">
        <v>1239</v>
      </c>
      <c r="L74" s="174"/>
      <c r="M74" s="174"/>
    </row>
    <row r="75" spans="10:13" x14ac:dyDescent="0.2">
      <c r="J75" s="174" t="s">
        <v>1240</v>
      </c>
      <c r="K75" s="174" t="s">
        <v>1240</v>
      </c>
      <c r="L75" s="174"/>
      <c r="M75" s="174"/>
    </row>
    <row r="76" spans="10:13" x14ac:dyDescent="0.2">
      <c r="J76" s="174" t="s">
        <v>1241</v>
      </c>
      <c r="K76" s="174" t="s">
        <v>1241</v>
      </c>
      <c r="L76" s="174"/>
      <c r="M76" s="174"/>
    </row>
    <row r="77" spans="10:13" x14ac:dyDescent="0.2">
      <c r="J77" s="174" t="s">
        <v>1243</v>
      </c>
      <c r="K77" s="174" t="s">
        <v>1243</v>
      </c>
      <c r="L77" s="174"/>
      <c r="M77" s="174"/>
    </row>
    <row r="78" spans="10:13" x14ac:dyDescent="0.2">
      <c r="J78" s="174" t="s">
        <v>1245</v>
      </c>
      <c r="K78" s="174" t="s">
        <v>1245</v>
      </c>
      <c r="L78" s="174"/>
      <c r="M78" s="174"/>
    </row>
    <row r="79" spans="10:13" x14ac:dyDescent="0.2">
      <c r="J79" s="174" t="s">
        <v>1247</v>
      </c>
      <c r="K79" s="174" t="s">
        <v>1247</v>
      </c>
      <c r="L79" s="174"/>
      <c r="M79" s="174"/>
    </row>
    <row r="80" spans="10:13" x14ac:dyDescent="0.2">
      <c r="J80" s="174" t="s">
        <v>1249</v>
      </c>
      <c r="K80" s="174" t="s">
        <v>1249</v>
      </c>
      <c r="L80" s="174"/>
      <c r="M80" s="174"/>
    </row>
    <row r="81" spans="10:13" x14ac:dyDescent="0.2">
      <c r="J81" s="174" t="s">
        <v>1251</v>
      </c>
      <c r="K81" s="174" t="s">
        <v>1251</v>
      </c>
      <c r="L81" s="174"/>
      <c r="M81" s="174"/>
    </row>
    <row r="82" spans="10:13" x14ac:dyDescent="0.2">
      <c r="J82" s="174" t="s">
        <v>1253</v>
      </c>
      <c r="K82" s="174" t="s">
        <v>1253</v>
      </c>
      <c r="L82" s="174"/>
      <c r="M82" s="174"/>
    </row>
    <row r="83" spans="10:13" x14ac:dyDescent="0.2">
      <c r="J83" s="174" t="s">
        <v>1254</v>
      </c>
      <c r="K83" s="174" t="s">
        <v>1254</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1255</v>
      </c>
      <c r="K86" s="174" t="s">
        <v>1255</v>
      </c>
      <c r="L86" s="174"/>
      <c r="M86" s="174"/>
    </row>
    <row r="87" spans="10:13" x14ac:dyDescent="0.2">
      <c r="J87" s="174" t="s">
        <v>1256</v>
      </c>
      <c r="K87" s="174" t="s">
        <v>1256</v>
      </c>
      <c r="L87" s="174"/>
      <c r="M87" s="174"/>
    </row>
    <row r="88" spans="10:13" x14ac:dyDescent="0.2">
      <c r="J88" s="174" t="s">
        <v>1257</v>
      </c>
      <c r="K88" s="174" t="s">
        <v>1257</v>
      </c>
      <c r="L88" s="174"/>
      <c r="M88" s="174"/>
    </row>
    <row r="89" spans="10:13" x14ac:dyDescent="0.2">
      <c r="J89" s="174" t="s">
        <v>1258</v>
      </c>
      <c r="K89" s="174" t="s">
        <v>1258</v>
      </c>
      <c r="L89" s="174"/>
      <c r="M89" s="174"/>
    </row>
    <row r="90" spans="10:13" x14ac:dyDescent="0.2">
      <c r="J90" s="174" t="s">
        <v>1259</v>
      </c>
      <c r="K90" s="174" t="s">
        <v>1259</v>
      </c>
      <c r="L90" s="174"/>
      <c r="M90" s="174"/>
    </row>
    <row r="91" spans="10:13" x14ac:dyDescent="0.2">
      <c r="J91" s="174" t="s">
        <v>1260</v>
      </c>
      <c r="K91" s="174" t="s">
        <v>1260</v>
      </c>
      <c r="L91" s="174"/>
      <c r="M91" s="174"/>
    </row>
    <row r="92" spans="10:13" x14ac:dyDescent="0.2">
      <c r="J92" s="174" t="s">
        <v>1261</v>
      </c>
      <c r="K92" s="174" t="s">
        <v>1261</v>
      </c>
      <c r="L92" s="174"/>
      <c r="M92" s="174"/>
    </row>
    <row r="93" spans="10:13" x14ac:dyDescent="0.2">
      <c r="J93" s="174" t="s">
        <v>1262</v>
      </c>
      <c r="K93" s="174" t="s">
        <v>1262</v>
      </c>
      <c r="L93" s="174"/>
      <c r="M93" s="174"/>
    </row>
    <row r="94" spans="10:13" x14ac:dyDescent="0.2">
      <c r="J94" s="174" t="s">
        <v>1263</v>
      </c>
      <c r="K94" s="174" t="s">
        <v>1263</v>
      </c>
      <c r="L94" s="174"/>
      <c r="M94" s="174"/>
    </row>
    <row r="95" spans="10:13" x14ac:dyDescent="0.2">
      <c r="J95" s="174" t="s">
        <v>1264</v>
      </c>
      <c r="K95" s="174" t="s">
        <v>1264</v>
      </c>
      <c r="L95" s="174"/>
      <c r="M95" s="174"/>
    </row>
    <row r="96" spans="10:13" x14ac:dyDescent="0.2">
      <c r="J96" s="174" t="s">
        <v>1265</v>
      </c>
      <c r="K96" s="174" t="s">
        <v>1265</v>
      </c>
      <c r="L96" s="174"/>
      <c r="M96" s="174"/>
    </row>
    <row r="97" spans="10:13" x14ac:dyDescent="0.2">
      <c r="J97" s="174" t="s">
        <v>1266</v>
      </c>
      <c r="K97" s="174" t="s">
        <v>1266</v>
      </c>
      <c r="L97" s="174"/>
      <c r="M97" s="174"/>
    </row>
    <row r="98" spans="10:13" x14ac:dyDescent="0.2">
      <c r="J98" s="174" t="s">
        <v>1267</v>
      </c>
      <c r="K98" s="174" t="s">
        <v>1267</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F925"/>
  <sheetViews>
    <sheetView zoomScale="85" zoomScaleNormal="85" workbookViewId="0">
      <pane ySplit="1" topLeftCell="A2" activePane="bottomLeft" state="frozen"/>
      <selection pane="bottomLeft" activeCell="B682" sqref="B682"/>
    </sheetView>
  </sheetViews>
  <sheetFormatPr baseColWidth="10" defaultColWidth="11" defaultRowHeight="14.25" x14ac:dyDescent="0.2"/>
  <cols>
    <col min="1" max="1" width="11" style="78"/>
    <col min="2" max="2" width="11" style="88"/>
    <col min="3" max="3" width="24.5" style="88" customWidth="1"/>
    <col min="4" max="4" width="64.625" style="228" customWidth="1"/>
    <col min="5" max="5" width="19.625" style="88" bestFit="1" customWidth="1"/>
    <col min="6" max="6" width="99.5" style="78" customWidth="1"/>
    <col min="7" max="16384" width="11" style="78"/>
  </cols>
  <sheetData>
    <row r="1" spans="1:6" x14ac:dyDescent="0.2">
      <c r="A1" s="109" t="s">
        <v>11</v>
      </c>
      <c r="B1" s="86" t="s">
        <v>12</v>
      </c>
      <c r="C1" s="87" t="s">
        <v>13</v>
      </c>
      <c r="D1" s="227" t="s">
        <v>14</v>
      </c>
      <c r="E1" s="86" t="s">
        <v>912</v>
      </c>
      <c r="F1" s="77" t="s">
        <v>1269</v>
      </c>
    </row>
    <row r="2" spans="1:6" hidden="1" x14ac:dyDescent="0.2">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6" hidden="1" x14ac:dyDescent="0.2">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row>
    <row r="4" spans="1:6" hidden="1" x14ac:dyDescent="0.2">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row>
    <row r="5" spans="1:6" hidden="1" x14ac:dyDescent="0.2">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row>
    <row r="6" spans="1:6" hidden="1" x14ac:dyDescent="0.2">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row>
    <row r="7" spans="1:6" hidden="1" x14ac:dyDescent="0.2">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row>
    <row r="8" spans="1:6" hidden="1" x14ac:dyDescent="0.2">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row>
    <row r="9" spans="1:6" hidden="1" x14ac:dyDescent="0.2">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row>
    <row r="10" spans="1:6" hidden="1" x14ac:dyDescent="0.2">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row>
    <row r="11" spans="1:6" hidden="1" x14ac:dyDescent="0.2">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row>
    <row r="12" spans="1:6" hidden="1" x14ac:dyDescent="0.2">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row>
    <row r="13" spans="1:6" hidden="1" x14ac:dyDescent="0.2">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row>
    <row r="14" spans="1:6" hidden="1" x14ac:dyDescent="0.2">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row>
    <row r="15" spans="1:6" hidden="1" x14ac:dyDescent="0.2">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row>
    <row r="16" spans="1:6" hidden="1" x14ac:dyDescent="0.2">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row>
    <row r="17" spans="1:6" hidden="1" x14ac:dyDescent="0.2">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row>
    <row r="18" spans="1:6" hidden="1" x14ac:dyDescent="0.2">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row>
    <row r="19" spans="1:6" hidden="1" x14ac:dyDescent="0.2">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row>
    <row r="20" spans="1:6" hidden="1" x14ac:dyDescent="0.2">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row>
    <row r="21" spans="1:6" hidden="1" x14ac:dyDescent="0.2">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row>
    <row r="22" spans="1:6" hidden="1" x14ac:dyDescent="0.2">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row>
    <row r="23" spans="1:6" hidden="1" x14ac:dyDescent="0.2">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row>
    <row r="24" spans="1:6" hidden="1" x14ac:dyDescent="0.2">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row>
    <row r="25" spans="1:6" hidden="1" x14ac:dyDescent="0.2">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row>
    <row r="26" spans="1:6" hidden="1" x14ac:dyDescent="0.2">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row>
    <row r="27" spans="1:6" hidden="1" x14ac:dyDescent="0.2">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row>
    <row r="28" spans="1:6" hidden="1" x14ac:dyDescent="0.2">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row>
    <row r="29" spans="1:6" hidden="1" x14ac:dyDescent="0.2">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row>
    <row r="30" spans="1:6" hidden="1" x14ac:dyDescent="0.2">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row>
    <row r="31" spans="1:6" hidden="1" x14ac:dyDescent="0.2">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row>
    <row r="32" spans="1:6" hidden="1" x14ac:dyDescent="0.2">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row>
    <row r="33" spans="1:6" hidden="1" x14ac:dyDescent="0.2">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row>
    <row r="34" spans="1:6" hidden="1" x14ac:dyDescent="0.2">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row>
    <row r="35" spans="1:6" hidden="1" x14ac:dyDescent="0.2">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row>
    <row r="36" spans="1:6" hidden="1" x14ac:dyDescent="0.2">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row>
    <row r="37" spans="1:6" hidden="1" x14ac:dyDescent="0.2">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row>
    <row r="38" spans="1:6" hidden="1" x14ac:dyDescent="0.2">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row>
    <row r="39" spans="1:6" hidden="1" x14ac:dyDescent="0.2">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row>
    <row r="40" spans="1:6" hidden="1" x14ac:dyDescent="0.2">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row>
    <row r="41" spans="1:6" hidden="1" x14ac:dyDescent="0.2">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row>
    <row r="42" spans="1:6" hidden="1" x14ac:dyDescent="0.2">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row>
    <row r="43" spans="1:6" hidden="1" x14ac:dyDescent="0.2">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row>
    <row r="44" spans="1:6" hidden="1" x14ac:dyDescent="0.2">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row>
    <row r="45" spans="1:6" hidden="1" x14ac:dyDescent="0.2">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row>
    <row r="46" spans="1:6" hidden="1" x14ac:dyDescent="0.2">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row>
    <row r="47" spans="1:6" hidden="1" x14ac:dyDescent="0.2">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row>
    <row r="48" spans="1:6" hidden="1" x14ac:dyDescent="0.2">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row>
    <row r="49" spans="1:6" hidden="1" x14ac:dyDescent="0.2">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row>
    <row r="50" spans="1:6" hidden="1" x14ac:dyDescent="0.2">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1270</v>
      </c>
    </row>
    <row r="51" spans="1:6" hidden="1" x14ac:dyDescent="0.2">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1271</v>
      </c>
    </row>
    <row r="52" spans="1:6" hidden="1" x14ac:dyDescent="0.2">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row>
    <row r="53" spans="1:6" hidden="1" x14ac:dyDescent="0.2">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row>
    <row r="54" spans="1:6" hidden="1" x14ac:dyDescent="0.2">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1272</v>
      </c>
    </row>
    <row r="55" spans="1:6" hidden="1" x14ac:dyDescent="0.2">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1273</v>
      </c>
    </row>
    <row r="56" spans="1:6" hidden="1" x14ac:dyDescent="0.2">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1274</v>
      </c>
    </row>
    <row r="57" spans="1:6" hidden="1" x14ac:dyDescent="0.2">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1273</v>
      </c>
    </row>
    <row r="58" spans="1:6" hidden="1" x14ac:dyDescent="0.2">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1273</v>
      </c>
    </row>
    <row r="59" spans="1:6" hidden="1" x14ac:dyDescent="0.2">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1271</v>
      </c>
    </row>
    <row r="60" spans="1:6" hidden="1" x14ac:dyDescent="0.2">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1271</v>
      </c>
    </row>
    <row r="61" spans="1:6" hidden="1" x14ac:dyDescent="0.2">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row>
    <row r="62" spans="1:6" hidden="1" x14ac:dyDescent="0.2">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row>
    <row r="63" spans="1:6" hidden="1" x14ac:dyDescent="0.2">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row>
    <row r="64" spans="1:6" hidden="1" x14ac:dyDescent="0.2">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row>
    <row r="65" spans="1:6" hidden="1" x14ac:dyDescent="0.2">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row>
    <row r="66" spans="1:6" hidden="1" x14ac:dyDescent="0.2">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row>
    <row r="67" spans="1:6" hidden="1" x14ac:dyDescent="0.2">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row>
    <row r="68" spans="1:6" hidden="1" x14ac:dyDescent="0.2">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row>
    <row r="69" spans="1:6" hidden="1" x14ac:dyDescent="0.2">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row>
    <row r="70" spans="1:6" hidden="1" x14ac:dyDescent="0.2">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row>
    <row r="71" spans="1:6" hidden="1" x14ac:dyDescent="0.2">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row>
    <row r="72" spans="1:6" hidden="1" x14ac:dyDescent="0.2">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row>
    <row r="73" spans="1:6" hidden="1" x14ac:dyDescent="0.2">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row>
    <row r="74" spans="1:6" hidden="1" x14ac:dyDescent="0.2">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row>
    <row r="75" spans="1:6" hidden="1" x14ac:dyDescent="0.2">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row>
    <row r="76" spans="1:6" hidden="1" x14ac:dyDescent="0.2">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row>
    <row r="77" spans="1:6" hidden="1" x14ac:dyDescent="0.2">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row>
    <row r="78" spans="1:6" hidden="1" x14ac:dyDescent="0.2">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row>
    <row r="79" spans="1:6" hidden="1" x14ac:dyDescent="0.2">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row>
    <row r="80" spans="1:6" hidden="1" x14ac:dyDescent="0.2">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row>
    <row r="81" spans="1:6" hidden="1" x14ac:dyDescent="0.2">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row>
    <row r="82" spans="1:6" hidden="1" x14ac:dyDescent="0.2">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row>
    <row r="83" spans="1:6" hidden="1" x14ac:dyDescent="0.2">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row>
    <row r="84" spans="1:6" hidden="1" x14ac:dyDescent="0.2">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row>
    <row r="85" spans="1:6" hidden="1" x14ac:dyDescent="0.2">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row>
    <row r="86" spans="1:6" hidden="1" x14ac:dyDescent="0.2">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row>
    <row r="87" spans="1:6" hidden="1" x14ac:dyDescent="0.2">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row>
    <row r="88" spans="1:6" hidden="1" x14ac:dyDescent="0.2">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row>
    <row r="89" spans="1:6" hidden="1" x14ac:dyDescent="0.2">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row>
    <row r="90" spans="1:6" hidden="1" x14ac:dyDescent="0.2">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row>
    <row r="91" spans="1:6" hidden="1" x14ac:dyDescent="0.2">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row>
    <row r="92" spans="1:6" hidden="1" x14ac:dyDescent="0.2">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row>
    <row r="93" spans="1:6" hidden="1" x14ac:dyDescent="0.2">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row>
    <row r="94" spans="1:6" hidden="1" x14ac:dyDescent="0.2">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row>
    <row r="95" spans="1:6" hidden="1" x14ac:dyDescent="0.2">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row>
    <row r="96" spans="1:6" hidden="1" x14ac:dyDescent="0.2">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row>
    <row r="97" spans="1:6" hidden="1" x14ac:dyDescent="0.2">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row>
    <row r="98" spans="1:6" hidden="1" x14ac:dyDescent="0.2">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row>
    <row r="99" spans="1:6" hidden="1" x14ac:dyDescent="0.2">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row>
    <row r="100" spans="1:6" hidden="1" x14ac:dyDescent="0.2">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row>
    <row r="101" spans="1:6" hidden="1" x14ac:dyDescent="0.2">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row>
    <row r="102" spans="1:6" hidden="1" x14ac:dyDescent="0.2">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row>
    <row r="103" spans="1:6" hidden="1" x14ac:dyDescent="0.2">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row>
    <row r="104" spans="1:6" hidden="1" x14ac:dyDescent="0.2">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row>
    <row r="105" spans="1:6" hidden="1" x14ac:dyDescent="0.2">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row>
    <row r="106" spans="1:6" hidden="1" x14ac:dyDescent="0.2">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row>
    <row r="107" spans="1:6" hidden="1" x14ac:dyDescent="0.2">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row>
    <row r="108" spans="1:6" hidden="1" x14ac:dyDescent="0.2">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row>
    <row r="109" spans="1:6" hidden="1" x14ac:dyDescent="0.2">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1275</v>
      </c>
    </row>
    <row r="110" spans="1:6" hidden="1" x14ac:dyDescent="0.2">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1273</v>
      </c>
    </row>
    <row r="111" spans="1:6" hidden="1" x14ac:dyDescent="0.2">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1276</v>
      </c>
    </row>
    <row r="112" spans="1:6" hidden="1" x14ac:dyDescent="0.2">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row>
    <row r="113" spans="1:6" hidden="1" x14ac:dyDescent="0.2">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row>
    <row r="114" spans="1:6" hidden="1" x14ac:dyDescent="0.2">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row>
    <row r="115" spans="1:6" hidden="1" x14ac:dyDescent="0.2">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row>
    <row r="116" spans="1:6" hidden="1" x14ac:dyDescent="0.2">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row>
    <row r="117" spans="1:6" hidden="1" x14ac:dyDescent="0.2">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row>
    <row r="118" spans="1:6" hidden="1" x14ac:dyDescent="0.2">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row>
    <row r="119" spans="1:6" hidden="1" x14ac:dyDescent="0.2">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row>
    <row r="120" spans="1:6" hidden="1" x14ac:dyDescent="0.2">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row>
    <row r="121" spans="1:6" hidden="1" x14ac:dyDescent="0.2">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row>
    <row r="122" spans="1:6" hidden="1" x14ac:dyDescent="0.2">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row>
    <row r="123" spans="1:6" hidden="1" x14ac:dyDescent="0.2">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1275</v>
      </c>
    </row>
    <row r="124" spans="1:6" hidden="1" x14ac:dyDescent="0.2">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1273</v>
      </c>
    </row>
    <row r="125" spans="1:6" hidden="1" x14ac:dyDescent="0.2">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1276</v>
      </c>
    </row>
    <row r="126" spans="1:6" hidden="1" x14ac:dyDescent="0.2">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1275</v>
      </c>
    </row>
    <row r="127" spans="1:6" hidden="1" x14ac:dyDescent="0.2">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1273</v>
      </c>
    </row>
    <row r="128" spans="1:6" hidden="1"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1419</v>
      </c>
    </row>
    <row r="129" spans="1:6" hidden="1" x14ac:dyDescent="0.2">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row>
    <row r="130" spans="1:6" hidden="1" x14ac:dyDescent="0.2">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row>
    <row r="131" spans="1:6" hidden="1" x14ac:dyDescent="0.2">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row>
    <row r="132" spans="1:6" hidden="1" x14ac:dyDescent="0.2">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row>
    <row r="133" spans="1:6" hidden="1" x14ac:dyDescent="0.2">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row>
    <row r="134" spans="1:6" hidden="1" x14ac:dyDescent="0.2">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row>
    <row r="135" spans="1:6" hidden="1" x14ac:dyDescent="0.2">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row>
    <row r="136" spans="1:6" hidden="1" x14ac:dyDescent="0.2">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row>
    <row r="137" spans="1:6" hidden="1" x14ac:dyDescent="0.2">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row>
    <row r="138" spans="1:6" hidden="1" x14ac:dyDescent="0.2">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row>
    <row r="139" spans="1:6" hidden="1" x14ac:dyDescent="0.2">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row>
    <row r="140" spans="1:6" hidden="1" x14ac:dyDescent="0.2">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row>
    <row r="141" spans="1:6" hidden="1" x14ac:dyDescent="0.2">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row>
    <row r="142" spans="1:6" hidden="1" x14ac:dyDescent="0.2">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row>
    <row r="143" spans="1:6" hidden="1" x14ac:dyDescent="0.2">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row>
    <row r="144" spans="1:6" hidden="1" x14ac:dyDescent="0.2">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row>
    <row r="145" spans="1:6" hidden="1" x14ac:dyDescent="0.2">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row>
    <row r="146" spans="1:6" hidden="1" x14ac:dyDescent="0.2">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row>
    <row r="147" spans="1:6" hidden="1" x14ac:dyDescent="0.2">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row>
    <row r="148" spans="1:6" hidden="1" x14ac:dyDescent="0.2">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row>
    <row r="149" spans="1:6" hidden="1" x14ac:dyDescent="0.2">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row>
    <row r="150" spans="1:6" hidden="1"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row>
    <row r="151" spans="1:6" hidden="1"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row>
    <row r="152" spans="1:6" hidden="1" x14ac:dyDescent="0.2">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row>
    <row r="153" spans="1:6" hidden="1" x14ac:dyDescent="0.2">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row>
    <row r="154" spans="1:6" hidden="1" x14ac:dyDescent="0.2">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row>
    <row r="155" spans="1:6" hidden="1" x14ac:dyDescent="0.2">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row>
    <row r="156" spans="1:6" hidden="1" x14ac:dyDescent="0.2">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row>
    <row r="157" spans="1:6" hidden="1" x14ac:dyDescent="0.2">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row>
    <row r="158" spans="1:6" hidden="1" x14ac:dyDescent="0.2">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row>
    <row r="159" spans="1:6" hidden="1" x14ac:dyDescent="0.2">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row>
    <row r="160" spans="1:6" hidden="1" x14ac:dyDescent="0.2">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row>
    <row r="161" spans="1:6" hidden="1" x14ac:dyDescent="0.2">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row>
    <row r="162" spans="1:6" hidden="1" x14ac:dyDescent="0.2">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row>
    <row r="163" spans="1:6" hidden="1" x14ac:dyDescent="0.2">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row>
    <row r="164" spans="1:6" hidden="1" x14ac:dyDescent="0.2">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row>
    <row r="165" spans="1:6" hidden="1" x14ac:dyDescent="0.2">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row>
    <row r="166" spans="1:6" hidden="1" x14ac:dyDescent="0.2">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row>
    <row r="167" spans="1:6" x14ac:dyDescent="0.2">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1279</v>
      </c>
    </row>
    <row r="168" spans="1:6" x14ac:dyDescent="0.2">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1280</v>
      </c>
    </row>
    <row r="169" spans="1:6" x14ac:dyDescent="0.2">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1279</v>
      </c>
    </row>
    <row r="170" spans="1:6" x14ac:dyDescent="0.2">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1280</v>
      </c>
    </row>
    <row r="171" spans="1:6" hidden="1" x14ac:dyDescent="0.2">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1272</v>
      </c>
    </row>
    <row r="172" spans="1:6" hidden="1" x14ac:dyDescent="0.2">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1273</v>
      </c>
    </row>
    <row r="173" spans="1:6" hidden="1" x14ac:dyDescent="0.2">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1272</v>
      </c>
    </row>
    <row r="174" spans="1:6" hidden="1" x14ac:dyDescent="0.2">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1273</v>
      </c>
    </row>
    <row r="175" spans="1:6" hidden="1" x14ac:dyDescent="0.2">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row>
    <row r="176" spans="1:6" hidden="1" x14ac:dyDescent="0.2">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row>
    <row r="177" spans="1:6" hidden="1" x14ac:dyDescent="0.2">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row>
    <row r="178" spans="1:6" hidden="1" x14ac:dyDescent="0.2">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row>
    <row r="179" spans="1:6" hidden="1" x14ac:dyDescent="0.2">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row>
    <row r="180" spans="1:6" hidden="1" x14ac:dyDescent="0.2">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row>
    <row r="181" spans="1:6" hidden="1" x14ac:dyDescent="0.2">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row>
    <row r="182" spans="1:6" hidden="1" x14ac:dyDescent="0.2">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row>
    <row r="183" spans="1:6" hidden="1" x14ac:dyDescent="0.2">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row>
    <row r="184" spans="1:6" hidden="1" x14ac:dyDescent="0.2">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row>
    <row r="185" spans="1:6" hidden="1" x14ac:dyDescent="0.2">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1277</v>
      </c>
    </row>
    <row r="186" spans="1:6" hidden="1" x14ac:dyDescent="0.2">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1278</v>
      </c>
    </row>
    <row r="187" spans="1:6" hidden="1" x14ac:dyDescent="0.2">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1277</v>
      </c>
    </row>
    <row r="188" spans="1:6" hidden="1" x14ac:dyDescent="0.2">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1278</v>
      </c>
    </row>
    <row r="189" spans="1:6" hidden="1" x14ac:dyDescent="0.2">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1272</v>
      </c>
    </row>
    <row r="190" spans="1:6" hidden="1" x14ac:dyDescent="0.2">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1273</v>
      </c>
    </row>
    <row r="191" spans="1:6" hidden="1" x14ac:dyDescent="0.2">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1279</v>
      </c>
    </row>
    <row r="192" spans="1:6" hidden="1" x14ac:dyDescent="0.2">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1280</v>
      </c>
    </row>
    <row r="193" spans="1:6" hidden="1" x14ac:dyDescent="0.2">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row>
    <row r="194" spans="1:6" hidden="1" x14ac:dyDescent="0.2">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row>
    <row r="195" spans="1:6" hidden="1" x14ac:dyDescent="0.2">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1272</v>
      </c>
    </row>
    <row r="196" spans="1:6" hidden="1" x14ac:dyDescent="0.2">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1273</v>
      </c>
    </row>
    <row r="197" spans="1:6" hidden="1" x14ac:dyDescent="0.2">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1279</v>
      </c>
    </row>
    <row r="198" spans="1:6" hidden="1" x14ac:dyDescent="0.2">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1280</v>
      </c>
    </row>
    <row r="199" spans="1:6" hidden="1" x14ac:dyDescent="0.2">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row>
    <row r="200" spans="1:6" hidden="1" x14ac:dyDescent="0.2">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row>
    <row r="201" spans="1:6" hidden="1" x14ac:dyDescent="0.2">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1277</v>
      </c>
    </row>
    <row r="202" spans="1:6" hidden="1" x14ac:dyDescent="0.2">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1278</v>
      </c>
    </row>
    <row r="203" spans="1:6" hidden="1" x14ac:dyDescent="0.2">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1281</v>
      </c>
    </row>
    <row r="204" spans="1:6" hidden="1" x14ac:dyDescent="0.2">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1282</v>
      </c>
    </row>
    <row r="205" spans="1:6" hidden="1" x14ac:dyDescent="0.2">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row>
    <row r="206" spans="1:6" hidden="1" x14ac:dyDescent="0.2">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row>
    <row r="207" spans="1:6" hidden="1" x14ac:dyDescent="0.2">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row>
    <row r="208" spans="1:6" hidden="1" x14ac:dyDescent="0.2">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row>
    <row r="209" spans="1:6" hidden="1" x14ac:dyDescent="0.2">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row>
    <row r="210" spans="1:6" hidden="1" x14ac:dyDescent="0.2">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row>
    <row r="211" spans="1:6" hidden="1" x14ac:dyDescent="0.2">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row>
    <row r="212" spans="1:6" hidden="1" x14ac:dyDescent="0.2">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row>
    <row r="213" spans="1:6" hidden="1" x14ac:dyDescent="0.2">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row>
    <row r="214" spans="1:6" hidden="1" x14ac:dyDescent="0.2">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row>
    <row r="215" spans="1:6" hidden="1" x14ac:dyDescent="0.2">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row>
    <row r="216" spans="1:6" hidden="1" x14ac:dyDescent="0.2">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row>
    <row r="217" spans="1:6" hidden="1" x14ac:dyDescent="0.2">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row>
    <row r="218" spans="1:6" hidden="1" x14ac:dyDescent="0.2">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row>
    <row r="219" spans="1:6" hidden="1" x14ac:dyDescent="0.2">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row>
    <row r="220" spans="1:6" hidden="1" x14ac:dyDescent="0.2">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row>
    <row r="221" spans="1:6" hidden="1" x14ac:dyDescent="0.2">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row>
    <row r="222" spans="1:6" hidden="1" x14ac:dyDescent="0.2">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row>
    <row r="223" spans="1:6" hidden="1" x14ac:dyDescent="0.2">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row>
    <row r="224" spans="1:6" hidden="1" x14ac:dyDescent="0.2">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row>
    <row r="225" spans="1:6" hidden="1" x14ac:dyDescent="0.2">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row>
    <row r="226" spans="1:6" hidden="1" x14ac:dyDescent="0.2">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row>
    <row r="227" spans="1:6" hidden="1" x14ac:dyDescent="0.2">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row>
    <row r="228" spans="1:6" hidden="1" x14ac:dyDescent="0.2">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row>
    <row r="229" spans="1:6" hidden="1" x14ac:dyDescent="0.2">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row>
    <row r="230" spans="1:6" hidden="1" x14ac:dyDescent="0.2">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row>
    <row r="231" spans="1:6" hidden="1" x14ac:dyDescent="0.2">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row>
    <row r="232" spans="1:6" hidden="1" x14ac:dyDescent="0.2">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row>
    <row r="233" spans="1:6" hidden="1" x14ac:dyDescent="0.2">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row>
    <row r="234" spans="1:6" hidden="1" x14ac:dyDescent="0.2">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row>
    <row r="235" spans="1:6" hidden="1" x14ac:dyDescent="0.2">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row>
    <row r="236" spans="1:6" hidden="1" x14ac:dyDescent="0.2">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row>
    <row r="237" spans="1:6" hidden="1" x14ac:dyDescent="0.2">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row>
    <row r="238" spans="1:6" hidden="1" x14ac:dyDescent="0.2">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row>
    <row r="239" spans="1:6" hidden="1" x14ac:dyDescent="0.2">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row>
    <row r="240" spans="1:6" hidden="1" x14ac:dyDescent="0.2">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row>
    <row r="241" spans="1:6" hidden="1" x14ac:dyDescent="0.2">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row>
    <row r="242" spans="1:6" hidden="1" x14ac:dyDescent="0.2">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row>
    <row r="243" spans="1:6" hidden="1" x14ac:dyDescent="0.2">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1283</v>
      </c>
    </row>
    <row r="244" spans="1:6" hidden="1" x14ac:dyDescent="0.2">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1284</v>
      </c>
    </row>
    <row r="245" spans="1:6" hidden="1" x14ac:dyDescent="0.2">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1285</v>
      </c>
    </row>
    <row r="246" spans="1:6" hidden="1" x14ac:dyDescent="0.2">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1283</v>
      </c>
    </row>
    <row r="247" spans="1:6" hidden="1" x14ac:dyDescent="0.2">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1284</v>
      </c>
    </row>
    <row r="248" spans="1:6" hidden="1" x14ac:dyDescent="0.2">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1272</v>
      </c>
    </row>
    <row r="249" spans="1:6" hidden="1" x14ac:dyDescent="0.2">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1272</v>
      </c>
    </row>
    <row r="250" spans="1:6" hidden="1" x14ac:dyDescent="0.2">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1286</v>
      </c>
    </row>
    <row r="251" spans="1:6" hidden="1" x14ac:dyDescent="0.2">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1286</v>
      </c>
    </row>
    <row r="252" spans="1:6" hidden="1" x14ac:dyDescent="0.2">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1272</v>
      </c>
    </row>
    <row r="253" spans="1:6" hidden="1" x14ac:dyDescent="0.2">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1273</v>
      </c>
    </row>
    <row r="254" spans="1:6" hidden="1" x14ac:dyDescent="0.2">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row>
    <row r="255" spans="1:6" hidden="1" x14ac:dyDescent="0.2">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1286</v>
      </c>
    </row>
    <row r="256" spans="1:6" hidden="1" x14ac:dyDescent="0.2">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1287</v>
      </c>
    </row>
    <row r="257" spans="1:6" hidden="1" x14ac:dyDescent="0.2">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1286</v>
      </c>
    </row>
    <row r="258" spans="1:6" hidden="1" x14ac:dyDescent="0.2">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1272</v>
      </c>
    </row>
    <row r="259" spans="1:6" hidden="1" x14ac:dyDescent="0.2">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1273</v>
      </c>
    </row>
    <row r="260" spans="1:6" hidden="1" x14ac:dyDescent="0.2">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1286</v>
      </c>
    </row>
    <row r="261" spans="1:6" hidden="1" x14ac:dyDescent="0.2">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1287</v>
      </c>
    </row>
    <row r="262" spans="1:6" hidden="1" x14ac:dyDescent="0.2">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1272</v>
      </c>
    </row>
    <row r="263" spans="1:6" hidden="1" x14ac:dyDescent="0.2">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row>
    <row r="264" spans="1:6" hidden="1" x14ac:dyDescent="0.2">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1286</v>
      </c>
    </row>
    <row r="265" spans="1:6" hidden="1" x14ac:dyDescent="0.2">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1287</v>
      </c>
    </row>
    <row r="266" spans="1:6" hidden="1" x14ac:dyDescent="0.2">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1272</v>
      </c>
    </row>
    <row r="267" spans="1:6" hidden="1" x14ac:dyDescent="0.2">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1273</v>
      </c>
    </row>
    <row r="268" spans="1:6" hidden="1" x14ac:dyDescent="0.2">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1273</v>
      </c>
    </row>
    <row r="269" spans="1:6" hidden="1" x14ac:dyDescent="0.2">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1273</v>
      </c>
    </row>
    <row r="270" spans="1:6" hidden="1" x14ac:dyDescent="0.2">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1273</v>
      </c>
    </row>
    <row r="271" spans="1:6" hidden="1" x14ac:dyDescent="0.2">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1286</v>
      </c>
    </row>
    <row r="272" spans="1:6" hidden="1" x14ac:dyDescent="0.2">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1287</v>
      </c>
    </row>
    <row r="273" spans="1:6" hidden="1" x14ac:dyDescent="0.2">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1287</v>
      </c>
    </row>
    <row r="274" spans="1:6" hidden="1" x14ac:dyDescent="0.2">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1287</v>
      </c>
    </row>
    <row r="275" spans="1:6" hidden="1" x14ac:dyDescent="0.2">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1287</v>
      </c>
    </row>
    <row r="276" spans="1:6" hidden="1" x14ac:dyDescent="0.2">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1272</v>
      </c>
    </row>
    <row r="277" spans="1:6" hidden="1" x14ac:dyDescent="0.2">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1273</v>
      </c>
    </row>
    <row r="278" spans="1:6" hidden="1" x14ac:dyDescent="0.2">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1273</v>
      </c>
    </row>
    <row r="279" spans="1:6" hidden="1" x14ac:dyDescent="0.2">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1273</v>
      </c>
    </row>
    <row r="280" spans="1:6" hidden="1" x14ac:dyDescent="0.2">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1273</v>
      </c>
    </row>
    <row r="281" spans="1:6" hidden="1" x14ac:dyDescent="0.2">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1286</v>
      </c>
    </row>
    <row r="282" spans="1:6" hidden="1" x14ac:dyDescent="0.2">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1287</v>
      </c>
    </row>
    <row r="283" spans="1:6" hidden="1" x14ac:dyDescent="0.2">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1287</v>
      </c>
    </row>
    <row r="284" spans="1:6" hidden="1" x14ac:dyDescent="0.2">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1287</v>
      </c>
    </row>
    <row r="285" spans="1:6" hidden="1" x14ac:dyDescent="0.2">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1287</v>
      </c>
    </row>
    <row r="286" spans="1:6" hidden="1" x14ac:dyDescent="0.2">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1277</v>
      </c>
    </row>
    <row r="287" spans="1:6" hidden="1" x14ac:dyDescent="0.2">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1278</v>
      </c>
    </row>
    <row r="288" spans="1:6" hidden="1" x14ac:dyDescent="0.2">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1277</v>
      </c>
    </row>
    <row r="289" spans="1:6" hidden="1" x14ac:dyDescent="0.2">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1278</v>
      </c>
    </row>
    <row r="290" spans="1:6" hidden="1" x14ac:dyDescent="0.2">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1288</v>
      </c>
    </row>
    <row r="291" spans="1:6" hidden="1" x14ac:dyDescent="0.2">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1289</v>
      </c>
    </row>
    <row r="292" spans="1:6" hidden="1" x14ac:dyDescent="0.2">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1290</v>
      </c>
    </row>
    <row r="293" spans="1:6" hidden="1" x14ac:dyDescent="0.2">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1291</v>
      </c>
    </row>
    <row r="294" spans="1:6" hidden="1" x14ac:dyDescent="0.2">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1292</v>
      </c>
    </row>
    <row r="295" spans="1:6" hidden="1" x14ac:dyDescent="0.2">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row>
    <row r="296" spans="1:6" hidden="1" x14ac:dyDescent="0.2">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row>
    <row r="297" spans="1:6" hidden="1" x14ac:dyDescent="0.2">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row>
    <row r="298" spans="1:6" hidden="1" x14ac:dyDescent="0.2">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row>
    <row r="299" spans="1:6" hidden="1" x14ac:dyDescent="0.2">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1293</v>
      </c>
    </row>
    <row r="300" spans="1:6" hidden="1" x14ac:dyDescent="0.2">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1294</v>
      </c>
    </row>
    <row r="301" spans="1:6" hidden="1" x14ac:dyDescent="0.2">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1295</v>
      </c>
    </row>
    <row r="302" spans="1:6" hidden="1" x14ac:dyDescent="0.2">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1296</v>
      </c>
    </row>
    <row r="303" spans="1:6" hidden="1" x14ac:dyDescent="0.2">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1297</v>
      </c>
    </row>
    <row r="304" spans="1:6" hidden="1" x14ac:dyDescent="0.2">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1298</v>
      </c>
    </row>
    <row r="305" spans="1:6" hidden="1" x14ac:dyDescent="0.2">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1299</v>
      </c>
    </row>
    <row r="306" spans="1:6" hidden="1" x14ac:dyDescent="0.2">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1300</v>
      </c>
    </row>
    <row r="307" spans="1:6" hidden="1" x14ac:dyDescent="0.2">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1301</v>
      </c>
    </row>
    <row r="308" spans="1:6" hidden="1" x14ac:dyDescent="0.2">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row>
    <row r="309" spans="1:6" hidden="1" x14ac:dyDescent="0.2">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1277</v>
      </c>
    </row>
    <row r="310" spans="1:6" hidden="1" x14ac:dyDescent="0.2">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1278</v>
      </c>
    </row>
    <row r="311" spans="1:6" hidden="1" x14ac:dyDescent="0.2">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1302</v>
      </c>
    </row>
    <row r="312" spans="1:6" hidden="1" x14ac:dyDescent="0.2">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row>
    <row r="313" spans="1:6" hidden="1" x14ac:dyDescent="0.2">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row>
    <row r="314" spans="1:6" hidden="1" x14ac:dyDescent="0.2">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1272</v>
      </c>
    </row>
    <row r="315" spans="1:6" hidden="1" x14ac:dyDescent="0.2">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1273</v>
      </c>
    </row>
    <row r="316" spans="1:6" hidden="1" x14ac:dyDescent="0.2">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1272</v>
      </c>
    </row>
    <row r="317" spans="1:6" hidden="1" x14ac:dyDescent="0.2">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1273</v>
      </c>
    </row>
    <row r="318" spans="1:6" hidden="1" x14ac:dyDescent="0.2">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row>
    <row r="319" spans="1:6" hidden="1" x14ac:dyDescent="0.2">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row>
    <row r="320" spans="1:6" hidden="1" x14ac:dyDescent="0.2">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row>
    <row r="321" spans="1:6" hidden="1" x14ac:dyDescent="0.2">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row>
    <row r="322" spans="1:6" hidden="1" x14ac:dyDescent="0.2">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row>
    <row r="323" spans="1:6" hidden="1" x14ac:dyDescent="0.2">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row>
    <row r="324" spans="1:6" hidden="1" x14ac:dyDescent="0.2">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row>
    <row r="325" spans="1:6" hidden="1" x14ac:dyDescent="0.2">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row>
    <row r="326" spans="1:6" hidden="1" x14ac:dyDescent="0.2">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1279</v>
      </c>
    </row>
    <row r="327" spans="1:6" hidden="1" x14ac:dyDescent="0.2">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1280</v>
      </c>
    </row>
    <row r="328" spans="1:6" hidden="1" x14ac:dyDescent="0.2">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row>
    <row r="329" spans="1:6" hidden="1" x14ac:dyDescent="0.2">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row>
    <row r="330" spans="1:6" hidden="1" x14ac:dyDescent="0.2">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row>
    <row r="331" spans="1:6" hidden="1" x14ac:dyDescent="0.2">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row>
    <row r="332" spans="1:6" hidden="1" x14ac:dyDescent="0.2">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row>
    <row r="333" spans="1:6" hidden="1" x14ac:dyDescent="0.2">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row>
    <row r="334" spans="1:6" hidden="1" x14ac:dyDescent="0.2">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1303</v>
      </c>
    </row>
    <row r="335" spans="1:6" hidden="1" x14ac:dyDescent="0.2">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1304</v>
      </c>
    </row>
    <row r="336" spans="1:6" hidden="1" x14ac:dyDescent="0.2">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1304</v>
      </c>
    </row>
    <row r="337" spans="1:6" hidden="1" x14ac:dyDescent="0.2">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1304</v>
      </c>
    </row>
    <row r="338" spans="1:6" hidden="1" x14ac:dyDescent="0.2">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1303</v>
      </c>
    </row>
    <row r="339" spans="1:6" hidden="1" x14ac:dyDescent="0.2">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1304</v>
      </c>
    </row>
    <row r="340" spans="1:6" hidden="1" x14ac:dyDescent="0.2">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1303</v>
      </c>
    </row>
    <row r="341" spans="1:6" hidden="1" x14ac:dyDescent="0.2">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1304</v>
      </c>
    </row>
    <row r="342" spans="1:6" hidden="1" x14ac:dyDescent="0.2">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1305</v>
      </c>
    </row>
    <row r="343" spans="1:6" hidden="1" x14ac:dyDescent="0.2">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1271</v>
      </c>
    </row>
    <row r="344" spans="1:6" hidden="1" x14ac:dyDescent="0.2">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1276</v>
      </c>
    </row>
    <row r="345" spans="1:6" hidden="1" x14ac:dyDescent="0.2">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1306</v>
      </c>
    </row>
    <row r="346" spans="1:6" hidden="1" x14ac:dyDescent="0.2">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1307</v>
      </c>
    </row>
    <row r="347" spans="1:6" hidden="1" x14ac:dyDescent="0.2">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1270</v>
      </c>
    </row>
    <row r="348" spans="1:6" hidden="1" x14ac:dyDescent="0.2">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1270</v>
      </c>
    </row>
    <row r="349" spans="1:6" hidden="1" x14ac:dyDescent="0.2">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1270</v>
      </c>
    </row>
    <row r="350" spans="1:6" hidden="1" x14ac:dyDescent="0.2">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1271</v>
      </c>
    </row>
    <row r="351" spans="1:6" hidden="1" x14ac:dyDescent="0.2">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1271</v>
      </c>
    </row>
    <row r="352" spans="1:6" hidden="1" x14ac:dyDescent="0.2">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1271</v>
      </c>
    </row>
    <row r="353" spans="1:6" hidden="1" x14ac:dyDescent="0.2">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1328</v>
      </c>
    </row>
    <row r="354" spans="1:6" hidden="1" x14ac:dyDescent="0.2">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1328</v>
      </c>
    </row>
    <row r="355" spans="1:6" hidden="1" x14ac:dyDescent="0.2">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1328</v>
      </c>
    </row>
    <row r="356" spans="1:6" hidden="1" x14ac:dyDescent="0.2">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row>
    <row r="357" spans="1:6" hidden="1" x14ac:dyDescent="0.2">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row>
    <row r="358" spans="1:6" hidden="1" x14ac:dyDescent="0.2">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row>
    <row r="359" spans="1:6" hidden="1" x14ac:dyDescent="0.2">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row>
    <row r="360" spans="1:6" hidden="1" x14ac:dyDescent="0.2">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row>
    <row r="361" spans="1:6" hidden="1" x14ac:dyDescent="0.2">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1272</v>
      </c>
    </row>
    <row r="362" spans="1:6" hidden="1" x14ac:dyDescent="0.2">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1273</v>
      </c>
    </row>
    <row r="363" spans="1:6" hidden="1" x14ac:dyDescent="0.2">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1286</v>
      </c>
    </row>
    <row r="364" spans="1:6" hidden="1" x14ac:dyDescent="0.2">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1287</v>
      </c>
    </row>
    <row r="365" spans="1:6" hidden="1" x14ac:dyDescent="0.2">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1273</v>
      </c>
    </row>
    <row r="366" spans="1:6" hidden="1" x14ac:dyDescent="0.2">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1273</v>
      </c>
    </row>
    <row r="367" spans="1:6" hidden="1" x14ac:dyDescent="0.2">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1273</v>
      </c>
    </row>
    <row r="368" spans="1:6" hidden="1" x14ac:dyDescent="0.2">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1272</v>
      </c>
    </row>
    <row r="369" spans="1:6" hidden="1" x14ac:dyDescent="0.2">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1278</v>
      </c>
    </row>
    <row r="370" spans="1:6" hidden="1" x14ac:dyDescent="0.2">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1278</v>
      </c>
    </row>
    <row r="371" spans="1:6" hidden="1" x14ac:dyDescent="0.2">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1278</v>
      </c>
    </row>
    <row r="372" spans="1:6" hidden="1" x14ac:dyDescent="0.2">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1277</v>
      </c>
    </row>
    <row r="373" spans="1:6" hidden="1" x14ac:dyDescent="0.2">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1308</v>
      </c>
    </row>
    <row r="374" spans="1:6" hidden="1" x14ac:dyDescent="0.2">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1309</v>
      </c>
    </row>
    <row r="375" spans="1:6" hidden="1" x14ac:dyDescent="0.2">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1310</v>
      </c>
    </row>
    <row r="376" spans="1:6" hidden="1" x14ac:dyDescent="0.2">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1308</v>
      </c>
    </row>
    <row r="377" spans="1:6" hidden="1" x14ac:dyDescent="0.2">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1309</v>
      </c>
    </row>
    <row r="378" spans="1:6" hidden="1" x14ac:dyDescent="0.2">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1310</v>
      </c>
    </row>
    <row r="379" spans="1:6" hidden="1"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row>
    <row r="380" spans="1:6" hidden="1"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row>
    <row r="381" spans="1:6" hidden="1" x14ac:dyDescent="0.2">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row>
    <row r="382" spans="1:6" hidden="1" x14ac:dyDescent="0.2">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row>
    <row r="383" spans="1:6" hidden="1" x14ac:dyDescent="0.2">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row>
    <row r="384" spans="1:6" hidden="1" x14ac:dyDescent="0.2">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row>
    <row r="385" spans="1:6" hidden="1" x14ac:dyDescent="0.2">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row>
    <row r="386" spans="1:6" hidden="1" x14ac:dyDescent="0.2">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1303</v>
      </c>
    </row>
    <row r="387" spans="1:6" hidden="1" x14ac:dyDescent="0.2">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1304</v>
      </c>
    </row>
    <row r="388" spans="1:6" hidden="1" x14ac:dyDescent="0.2">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1272</v>
      </c>
    </row>
    <row r="389" spans="1:6" hidden="1" x14ac:dyDescent="0.2">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1273</v>
      </c>
    </row>
    <row r="390" spans="1:6" hidden="1" x14ac:dyDescent="0.2">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1270</v>
      </c>
    </row>
    <row r="391" spans="1:6" hidden="1" x14ac:dyDescent="0.2">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1271</v>
      </c>
    </row>
    <row r="392" spans="1:6" hidden="1" x14ac:dyDescent="0.2">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1271</v>
      </c>
    </row>
    <row r="393" spans="1:6" hidden="1" x14ac:dyDescent="0.2">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1271</v>
      </c>
    </row>
    <row r="394" spans="1:6" hidden="1" x14ac:dyDescent="0.2">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1311</v>
      </c>
    </row>
    <row r="395" spans="1:6" hidden="1" x14ac:dyDescent="0.2">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1276</v>
      </c>
    </row>
    <row r="396" spans="1:6" hidden="1" x14ac:dyDescent="0.2">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row>
    <row r="397" spans="1:6" hidden="1" x14ac:dyDescent="0.2">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row>
    <row r="398" spans="1:6" hidden="1" x14ac:dyDescent="0.2">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row>
    <row r="399" spans="1:6" hidden="1" x14ac:dyDescent="0.2">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row>
    <row r="400" spans="1:6" hidden="1" x14ac:dyDescent="0.2">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1279</v>
      </c>
    </row>
    <row r="401" spans="1:6" hidden="1" x14ac:dyDescent="0.2">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1280</v>
      </c>
    </row>
    <row r="402" spans="1:6" hidden="1" x14ac:dyDescent="0.2">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1303</v>
      </c>
    </row>
    <row r="403" spans="1:6" hidden="1" x14ac:dyDescent="0.2">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1304</v>
      </c>
    </row>
    <row r="404" spans="1:6" hidden="1" x14ac:dyDescent="0.2">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row>
    <row r="405" spans="1:6" hidden="1" x14ac:dyDescent="0.2">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row>
    <row r="406" spans="1:6" hidden="1" x14ac:dyDescent="0.2">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row>
    <row r="407" spans="1:6" hidden="1" x14ac:dyDescent="0.2">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row>
    <row r="408" spans="1:6" hidden="1" x14ac:dyDescent="0.2">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row>
    <row r="409" spans="1:6" hidden="1" x14ac:dyDescent="0.2">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row>
    <row r="410" spans="1:6" hidden="1" x14ac:dyDescent="0.2">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row>
    <row r="411" spans="1:6" hidden="1" x14ac:dyDescent="0.2">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row>
    <row r="412" spans="1:6" hidden="1" x14ac:dyDescent="0.2">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row>
    <row r="413" spans="1:6" hidden="1" x14ac:dyDescent="0.2">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row>
    <row r="414" spans="1:6" hidden="1" x14ac:dyDescent="0.2">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row>
    <row r="415" spans="1:6" hidden="1" x14ac:dyDescent="0.2">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row>
    <row r="416" spans="1:6" hidden="1" x14ac:dyDescent="0.2">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row>
    <row r="417" spans="1:6" hidden="1" x14ac:dyDescent="0.2">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row>
    <row r="418" spans="1:6" hidden="1" x14ac:dyDescent="0.2">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row>
    <row r="419" spans="1:6" hidden="1" x14ac:dyDescent="0.2">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row>
    <row r="420" spans="1:6" hidden="1" x14ac:dyDescent="0.2">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row>
    <row r="421" spans="1:6" hidden="1" x14ac:dyDescent="0.2">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row>
    <row r="422" spans="1:6" hidden="1" x14ac:dyDescent="0.2">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row>
    <row r="423" spans="1:6" hidden="1" x14ac:dyDescent="0.2">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row>
    <row r="424" spans="1:6" hidden="1" x14ac:dyDescent="0.2">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row>
    <row r="425" spans="1:6" hidden="1" x14ac:dyDescent="0.2">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row>
    <row r="426" spans="1:6" hidden="1" x14ac:dyDescent="0.2">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row>
    <row r="427" spans="1:6" hidden="1" x14ac:dyDescent="0.2">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row>
    <row r="428" spans="1:6" hidden="1" x14ac:dyDescent="0.2">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row>
    <row r="429" spans="1:6" hidden="1" x14ac:dyDescent="0.2">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row>
    <row r="430" spans="1:6" hidden="1" x14ac:dyDescent="0.2">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row>
    <row r="431" spans="1:6" hidden="1" x14ac:dyDescent="0.2">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row>
    <row r="432" spans="1:6" hidden="1" x14ac:dyDescent="0.2">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row>
    <row r="433" spans="1:6" hidden="1" x14ac:dyDescent="0.2">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row>
    <row r="434" spans="1:6" hidden="1" x14ac:dyDescent="0.2">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row>
    <row r="435" spans="1:6" hidden="1" x14ac:dyDescent="0.2">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row>
    <row r="436" spans="1:6" hidden="1" x14ac:dyDescent="0.2">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row>
    <row r="437" spans="1:6" hidden="1" x14ac:dyDescent="0.2">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row>
    <row r="438" spans="1:6" hidden="1" x14ac:dyDescent="0.2">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row>
    <row r="439" spans="1:6" hidden="1" x14ac:dyDescent="0.2">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row>
    <row r="440" spans="1:6" hidden="1" x14ac:dyDescent="0.2">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row>
    <row r="441" spans="1:6" hidden="1" x14ac:dyDescent="0.2">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row>
    <row r="442" spans="1:6" hidden="1" x14ac:dyDescent="0.2">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row>
    <row r="443" spans="1:6" hidden="1" x14ac:dyDescent="0.2">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row>
    <row r="444" spans="1:6" hidden="1" x14ac:dyDescent="0.2">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row>
    <row r="445" spans="1:6" hidden="1" x14ac:dyDescent="0.2">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row>
    <row r="446" spans="1:6" hidden="1" x14ac:dyDescent="0.2">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row>
    <row r="447" spans="1:6" hidden="1" x14ac:dyDescent="0.2">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row>
    <row r="448" spans="1:6" hidden="1" x14ac:dyDescent="0.2">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row>
    <row r="449" spans="1:6" hidden="1" x14ac:dyDescent="0.2">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row>
    <row r="450" spans="1:6" hidden="1" x14ac:dyDescent="0.2">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row>
    <row r="451" spans="1:6" hidden="1" x14ac:dyDescent="0.2">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row>
    <row r="452" spans="1:6" hidden="1" x14ac:dyDescent="0.2">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row>
    <row r="453" spans="1:6" hidden="1" x14ac:dyDescent="0.2">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row>
    <row r="454" spans="1:6" hidden="1" x14ac:dyDescent="0.2">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row>
    <row r="455" spans="1:6" hidden="1" x14ac:dyDescent="0.2">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row>
    <row r="456" spans="1:6" hidden="1" x14ac:dyDescent="0.2">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row>
    <row r="457" spans="1:6" hidden="1" x14ac:dyDescent="0.2">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row>
    <row r="458" spans="1:6" hidden="1" x14ac:dyDescent="0.2">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row>
    <row r="459" spans="1:6" hidden="1" x14ac:dyDescent="0.2">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row>
    <row r="460" spans="1:6" hidden="1" x14ac:dyDescent="0.2">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row>
    <row r="461" spans="1:6" hidden="1" x14ac:dyDescent="0.2">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row>
    <row r="462" spans="1:6" hidden="1" x14ac:dyDescent="0.2">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row>
    <row r="463" spans="1:6" hidden="1" x14ac:dyDescent="0.2">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row>
    <row r="464" spans="1:6" hidden="1" x14ac:dyDescent="0.2">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row>
    <row r="465" spans="1:6" hidden="1" x14ac:dyDescent="0.2">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row>
    <row r="466" spans="1:6" hidden="1" x14ac:dyDescent="0.2">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row>
    <row r="467" spans="1:6" hidden="1" x14ac:dyDescent="0.2">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row>
    <row r="468" spans="1:6" hidden="1" x14ac:dyDescent="0.2">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row>
    <row r="469" spans="1:6" hidden="1" x14ac:dyDescent="0.2">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row>
    <row r="470" spans="1:6" hidden="1" x14ac:dyDescent="0.2">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row>
    <row r="471" spans="1:6" hidden="1" x14ac:dyDescent="0.2">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row>
    <row r="472" spans="1:6" hidden="1" x14ac:dyDescent="0.2">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row>
    <row r="473" spans="1:6" hidden="1" x14ac:dyDescent="0.2">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row>
    <row r="474" spans="1:6" hidden="1" x14ac:dyDescent="0.2">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row>
    <row r="475" spans="1:6" hidden="1" x14ac:dyDescent="0.2">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row>
    <row r="476" spans="1:6" hidden="1" x14ac:dyDescent="0.2">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row>
    <row r="477" spans="1:6" hidden="1" x14ac:dyDescent="0.2">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row>
    <row r="478" spans="1:6" hidden="1" x14ac:dyDescent="0.2">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row>
    <row r="479" spans="1:6" hidden="1" x14ac:dyDescent="0.2">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row>
    <row r="480" spans="1:6" hidden="1" x14ac:dyDescent="0.2">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row>
    <row r="481" spans="1:6" hidden="1" x14ac:dyDescent="0.2">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row>
    <row r="482" spans="1:6" hidden="1"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1419</v>
      </c>
    </row>
    <row r="483" spans="1:6" hidden="1"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1419</v>
      </c>
    </row>
    <row r="484" spans="1:6" hidden="1"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1419</v>
      </c>
    </row>
    <row r="485" spans="1:6" hidden="1" x14ac:dyDescent="0.2">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1419</v>
      </c>
    </row>
    <row r="486" spans="1:6" hidden="1" x14ac:dyDescent="0.2">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1419</v>
      </c>
    </row>
    <row r="487" spans="1:6" hidden="1" x14ac:dyDescent="0.2">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1419</v>
      </c>
    </row>
    <row r="488" spans="1:6" hidden="1"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1419</v>
      </c>
    </row>
    <row r="489" spans="1:6" hidden="1"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1419</v>
      </c>
    </row>
    <row r="490" spans="1:6" hidden="1"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1419</v>
      </c>
    </row>
    <row r="491" spans="1:6" hidden="1"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1419</v>
      </c>
    </row>
    <row r="492" spans="1:6" hidden="1"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1419</v>
      </c>
    </row>
    <row r="493" spans="1:6" hidden="1"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1419</v>
      </c>
    </row>
    <row r="494" spans="1:6" hidden="1"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1419</v>
      </c>
    </row>
    <row r="495" spans="1:6" hidden="1"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1419</v>
      </c>
    </row>
    <row r="496" spans="1:6" hidden="1"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1419</v>
      </c>
    </row>
    <row r="497" spans="1:6" hidden="1"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1419</v>
      </c>
    </row>
    <row r="498" spans="1:6" hidden="1"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1419</v>
      </c>
    </row>
    <row r="499" spans="1:6" hidden="1"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1419</v>
      </c>
    </row>
    <row r="500" spans="1:6" hidden="1"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1419</v>
      </c>
    </row>
    <row r="501" spans="1:6" hidden="1"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1419</v>
      </c>
    </row>
    <row r="502" spans="1:6" hidden="1" x14ac:dyDescent="0.2">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1520</v>
      </c>
    </row>
    <row r="503" spans="1:6" hidden="1" x14ac:dyDescent="0.2">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1838</v>
      </c>
    </row>
    <row r="504" spans="1:6" hidden="1" x14ac:dyDescent="0.2">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1520</v>
      </c>
    </row>
    <row r="505" spans="1:6" hidden="1" x14ac:dyDescent="0.2">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1838</v>
      </c>
    </row>
    <row r="506" spans="1:6" hidden="1" x14ac:dyDescent="0.2">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1520</v>
      </c>
    </row>
    <row r="507" spans="1:6" hidden="1" x14ac:dyDescent="0.2">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1838</v>
      </c>
    </row>
    <row r="508" spans="1:6" hidden="1" x14ac:dyDescent="0.2">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1839</v>
      </c>
    </row>
    <row r="509" spans="1:6" hidden="1" x14ac:dyDescent="0.2">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1838</v>
      </c>
    </row>
    <row r="510" spans="1:6" hidden="1" x14ac:dyDescent="0.2">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1520</v>
      </c>
    </row>
    <row r="511" spans="1:6" hidden="1" x14ac:dyDescent="0.2">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1838</v>
      </c>
    </row>
    <row r="512" spans="1:6" hidden="1" x14ac:dyDescent="0.2">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1419</v>
      </c>
    </row>
    <row r="513" spans="1:6" hidden="1"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1419</v>
      </c>
    </row>
    <row r="514" spans="1:6" hidden="1"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1419</v>
      </c>
    </row>
    <row r="515" spans="1:6" hidden="1"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1419</v>
      </c>
    </row>
    <row r="516" spans="1:6" hidden="1"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1419</v>
      </c>
    </row>
    <row r="517" spans="1:6" hidden="1"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1419</v>
      </c>
    </row>
    <row r="518" spans="1:6" hidden="1"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1419</v>
      </c>
    </row>
    <row r="519" spans="1:6" hidden="1"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1419</v>
      </c>
    </row>
    <row r="520" spans="1:6" hidden="1" x14ac:dyDescent="0.2">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row>
    <row r="521" spans="1:6" hidden="1" x14ac:dyDescent="0.2">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row>
    <row r="522" spans="1:6" hidden="1" x14ac:dyDescent="0.2">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row>
    <row r="523" spans="1:6" hidden="1" x14ac:dyDescent="0.2">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row>
    <row r="524" spans="1:6" hidden="1" x14ac:dyDescent="0.2">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row>
    <row r="525" spans="1:6" hidden="1" x14ac:dyDescent="0.2">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row>
    <row r="526" spans="1:6" hidden="1" x14ac:dyDescent="0.2">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row>
    <row r="527" spans="1:6" hidden="1" x14ac:dyDescent="0.2">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row>
    <row r="528" spans="1:6" hidden="1" x14ac:dyDescent="0.2">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row>
    <row r="529" spans="1:6" hidden="1" x14ac:dyDescent="0.2">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row>
    <row r="530" spans="1:6" hidden="1" x14ac:dyDescent="0.2">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row>
    <row r="531" spans="1:6" hidden="1" x14ac:dyDescent="0.2">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row>
    <row r="532" spans="1:6" hidden="1" x14ac:dyDescent="0.2">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row>
    <row r="533" spans="1:6" hidden="1" x14ac:dyDescent="0.2">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row>
    <row r="534" spans="1:6" hidden="1" x14ac:dyDescent="0.2">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row>
    <row r="535" spans="1:6" hidden="1" x14ac:dyDescent="0.2">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row>
    <row r="536" spans="1:6" hidden="1" x14ac:dyDescent="0.2">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row>
    <row r="537" spans="1:6" hidden="1" x14ac:dyDescent="0.2">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row>
    <row r="538" spans="1:6" hidden="1" x14ac:dyDescent="0.2">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row>
    <row r="539" spans="1:6" hidden="1" x14ac:dyDescent="0.2">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row>
    <row r="540" spans="1:6" hidden="1" x14ac:dyDescent="0.2">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row>
    <row r="541" spans="1:6" hidden="1" x14ac:dyDescent="0.2">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row>
    <row r="542" spans="1:6" hidden="1" x14ac:dyDescent="0.2">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row>
    <row r="543" spans="1:6" hidden="1" x14ac:dyDescent="0.2">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row>
    <row r="544" spans="1:6" hidden="1" x14ac:dyDescent="0.2">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row>
    <row r="545" spans="1:6" hidden="1" x14ac:dyDescent="0.2">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row>
    <row r="546" spans="1:6" hidden="1" x14ac:dyDescent="0.2">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row>
    <row r="547" spans="1:6" hidden="1" x14ac:dyDescent="0.2">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row>
    <row r="548" spans="1:6" hidden="1" x14ac:dyDescent="0.2">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row>
    <row r="549" spans="1:6" hidden="1" x14ac:dyDescent="0.2">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row>
    <row r="550" spans="1:6" hidden="1" x14ac:dyDescent="0.2">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row>
    <row r="551" spans="1:6" hidden="1" x14ac:dyDescent="0.2">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row>
    <row r="552" spans="1:6" hidden="1" x14ac:dyDescent="0.2">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row>
    <row r="553" spans="1:6" hidden="1" x14ac:dyDescent="0.2">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row>
    <row r="554" spans="1:6" hidden="1" x14ac:dyDescent="0.2">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row>
    <row r="555" spans="1:6" hidden="1" x14ac:dyDescent="0.2">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row>
    <row r="556" spans="1:6" hidden="1" x14ac:dyDescent="0.2">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row>
    <row r="557" spans="1:6" hidden="1" x14ac:dyDescent="0.2">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row>
    <row r="558" spans="1:6" hidden="1" x14ac:dyDescent="0.2">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row>
    <row r="559" spans="1:6" hidden="1" x14ac:dyDescent="0.2">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row>
    <row r="560" spans="1:6" hidden="1" x14ac:dyDescent="0.2">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row>
    <row r="561" spans="1:6" hidden="1" x14ac:dyDescent="0.2">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1622</v>
      </c>
    </row>
    <row r="562" spans="1:6" hidden="1" x14ac:dyDescent="0.2">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1622</v>
      </c>
    </row>
    <row r="563" spans="1:6" hidden="1" x14ac:dyDescent="0.2">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1622</v>
      </c>
    </row>
    <row r="564" spans="1:6" hidden="1" x14ac:dyDescent="0.2">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1622</v>
      </c>
    </row>
    <row r="565" spans="1:6" hidden="1" x14ac:dyDescent="0.2">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1622</v>
      </c>
    </row>
    <row r="566" spans="1:6" hidden="1" x14ac:dyDescent="0.2">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1622</v>
      </c>
    </row>
    <row r="567" spans="1:6" hidden="1" x14ac:dyDescent="0.2">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1622</v>
      </c>
    </row>
    <row r="568" spans="1:6" hidden="1" x14ac:dyDescent="0.2">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1622</v>
      </c>
    </row>
    <row r="569" spans="1:6" hidden="1" x14ac:dyDescent="0.2">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1622</v>
      </c>
    </row>
    <row r="570" spans="1:6" hidden="1" x14ac:dyDescent="0.2">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1622</v>
      </c>
    </row>
    <row r="571" spans="1:6" hidden="1" x14ac:dyDescent="0.2">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1622</v>
      </c>
    </row>
    <row r="572" spans="1:6" hidden="1" x14ac:dyDescent="0.2">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1701</v>
      </c>
    </row>
    <row r="573" spans="1:6" hidden="1" x14ac:dyDescent="0.2">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1700</v>
      </c>
    </row>
    <row r="574" spans="1:6" hidden="1" x14ac:dyDescent="0.2">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2166</v>
      </c>
    </row>
    <row r="575" spans="1:6" hidden="1" x14ac:dyDescent="0.2">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2167</v>
      </c>
    </row>
    <row r="576" spans="1:6" hidden="1" x14ac:dyDescent="0.2">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1622</v>
      </c>
    </row>
    <row r="577" spans="1:6" hidden="1" x14ac:dyDescent="0.2">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1622</v>
      </c>
    </row>
    <row r="578" spans="1:6" hidden="1" x14ac:dyDescent="0.2">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1622</v>
      </c>
    </row>
    <row r="579" spans="1:6" hidden="1" x14ac:dyDescent="0.2">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1622</v>
      </c>
    </row>
    <row r="580" spans="1:6" hidden="1" x14ac:dyDescent="0.2">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1622</v>
      </c>
    </row>
    <row r="581" spans="1:6" hidden="1" x14ac:dyDescent="0.2">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1622</v>
      </c>
    </row>
    <row r="582" spans="1:6" hidden="1" x14ac:dyDescent="0.2">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1622</v>
      </c>
    </row>
    <row r="583" spans="1:6" hidden="1" x14ac:dyDescent="0.2">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1622</v>
      </c>
    </row>
    <row r="584" spans="1:6" hidden="1" x14ac:dyDescent="0.2">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1622</v>
      </c>
    </row>
    <row r="585" spans="1:6" hidden="1" x14ac:dyDescent="0.2">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1622</v>
      </c>
    </row>
    <row r="586" spans="1:6" hidden="1" x14ac:dyDescent="0.2">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1622</v>
      </c>
    </row>
    <row r="587" spans="1:6" hidden="1" x14ac:dyDescent="0.2">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1622</v>
      </c>
    </row>
    <row r="588" spans="1:6" hidden="1" x14ac:dyDescent="0.2">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1622</v>
      </c>
    </row>
    <row r="589" spans="1:6" hidden="1" x14ac:dyDescent="0.2">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1622</v>
      </c>
    </row>
    <row r="590" spans="1:6" hidden="1" x14ac:dyDescent="0.2">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1622</v>
      </c>
    </row>
    <row r="591" spans="1:6" hidden="1" x14ac:dyDescent="0.2">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1622</v>
      </c>
    </row>
    <row r="592" spans="1:6" hidden="1" x14ac:dyDescent="0.2">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1622</v>
      </c>
    </row>
    <row r="593" spans="1:6" hidden="1" x14ac:dyDescent="0.2">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1622</v>
      </c>
    </row>
    <row r="594" spans="1:6" hidden="1" x14ac:dyDescent="0.2">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1622</v>
      </c>
    </row>
    <row r="595" spans="1:6" hidden="1" x14ac:dyDescent="0.2">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1622</v>
      </c>
    </row>
    <row r="596" spans="1:6" hidden="1" x14ac:dyDescent="0.2">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1622</v>
      </c>
    </row>
    <row r="597" spans="1:6" hidden="1" x14ac:dyDescent="0.2">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1622</v>
      </c>
    </row>
    <row r="598" spans="1:6" hidden="1" x14ac:dyDescent="0.2">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1622</v>
      </c>
    </row>
    <row r="599" spans="1:6" hidden="1" x14ac:dyDescent="0.2">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1622</v>
      </c>
    </row>
    <row r="600" spans="1:6" hidden="1" x14ac:dyDescent="0.2">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1622</v>
      </c>
    </row>
    <row r="601" spans="1:6" hidden="1"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1622</v>
      </c>
    </row>
    <row r="602" spans="1:6" hidden="1"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1622</v>
      </c>
    </row>
    <row r="603" spans="1:6" hidden="1"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1622</v>
      </c>
    </row>
    <row r="604" spans="1:6" hidden="1"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1622</v>
      </c>
    </row>
    <row r="605" spans="1:6" hidden="1"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1622</v>
      </c>
    </row>
    <row r="606" spans="1:6" hidden="1"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1622</v>
      </c>
    </row>
    <row r="607" spans="1:6" hidden="1"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1622</v>
      </c>
    </row>
    <row r="608" spans="1:6" hidden="1"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1622</v>
      </c>
    </row>
    <row r="609" spans="1:6" hidden="1" x14ac:dyDescent="0.2">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1622</v>
      </c>
    </row>
    <row r="610" spans="1:6" hidden="1" x14ac:dyDescent="0.2">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1622</v>
      </c>
    </row>
    <row r="611" spans="1:6" hidden="1" x14ac:dyDescent="0.2">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1622</v>
      </c>
    </row>
    <row r="612" spans="1:6" hidden="1" x14ac:dyDescent="0.2">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1622</v>
      </c>
    </row>
    <row r="613" spans="1:6" hidden="1" x14ac:dyDescent="0.2">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1622</v>
      </c>
    </row>
    <row r="614" spans="1:6" hidden="1" x14ac:dyDescent="0.2">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1622</v>
      </c>
    </row>
    <row r="615" spans="1:6" hidden="1" x14ac:dyDescent="0.2">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1622</v>
      </c>
    </row>
    <row r="616" spans="1:6" hidden="1" x14ac:dyDescent="0.2">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1622</v>
      </c>
    </row>
    <row r="617" spans="1:6" hidden="1" x14ac:dyDescent="0.2">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1622</v>
      </c>
    </row>
    <row r="618" spans="1:6" hidden="1" x14ac:dyDescent="0.2">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1622</v>
      </c>
    </row>
    <row r="619" spans="1:6" hidden="1" x14ac:dyDescent="0.2">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1622</v>
      </c>
    </row>
    <row r="620" spans="1:6" hidden="1" x14ac:dyDescent="0.2">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1622</v>
      </c>
    </row>
    <row r="621" spans="1:6" hidden="1" x14ac:dyDescent="0.2">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1622</v>
      </c>
    </row>
    <row r="622" spans="1:6" hidden="1"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row>
    <row r="623" spans="1:6" hidden="1" x14ac:dyDescent="0.2">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row>
    <row r="624" spans="1:6" hidden="1" x14ac:dyDescent="0.2">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row>
    <row r="625" spans="1:6" hidden="1" x14ac:dyDescent="0.2">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row>
    <row r="626" spans="1:6" hidden="1" x14ac:dyDescent="0.2">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row>
    <row r="627" spans="1:6" hidden="1" x14ac:dyDescent="0.2">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row>
    <row r="628" spans="1:6" hidden="1" x14ac:dyDescent="0.2">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row>
    <row r="629" spans="1:6" hidden="1" x14ac:dyDescent="0.2">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row>
    <row r="630" spans="1:6" hidden="1" x14ac:dyDescent="0.2">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row>
    <row r="631" spans="1:6" hidden="1" x14ac:dyDescent="0.2">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1974</v>
      </c>
    </row>
    <row r="632" spans="1:6" hidden="1" x14ac:dyDescent="0.2">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1974</v>
      </c>
    </row>
    <row r="633" spans="1:6" hidden="1" x14ac:dyDescent="0.2">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1974</v>
      </c>
    </row>
    <row r="634" spans="1:6" hidden="1" x14ac:dyDescent="0.2">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1974</v>
      </c>
    </row>
    <row r="635" spans="1:6" hidden="1" x14ac:dyDescent="0.2">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1974</v>
      </c>
    </row>
    <row r="636" spans="1:6" hidden="1" x14ac:dyDescent="0.2">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1974</v>
      </c>
    </row>
    <row r="637" spans="1:6" hidden="1" x14ac:dyDescent="0.2">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1974</v>
      </c>
    </row>
    <row r="638" spans="1:6" hidden="1" x14ac:dyDescent="0.2">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1974</v>
      </c>
    </row>
    <row r="639" spans="1:6" hidden="1" x14ac:dyDescent="0.2">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1974</v>
      </c>
    </row>
    <row r="640" spans="1:6" hidden="1" x14ac:dyDescent="0.2">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1974</v>
      </c>
    </row>
    <row r="641" spans="1:6" hidden="1" x14ac:dyDescent="0.2">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1974</v>
      </c>
    </row>
    <row r="642" spans="1:6" hidden="1" x14ac:dyDescent="0.2">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1974</v>
      </c>
    </row>
    <row r="643" spans="1:6" hidden="1" x14ac:dyDescent="0.2">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1974</v>
      </c>
    </row>
    <row r="644" spans="1:6" hidden="1" x14ac:dyDescent="0.2">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1974</v>
      </c>
    </row>
    <row r="645" spans="1:6" hidden="1" x14ac:dyDescent="0.2">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1974</v>
      </c>
    </row>
    <row r="646" spans="1:6" hidden="1" x14ac:dyDescent="0.2">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1974</v>
      </c>
    </row>
    <row r="647" spans="1:6" hidden="1" x14ac:dyDescent="0.2">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1974</v>
      </c>
    </row>
    <row r="648" spans="1:6" hidden="1" x14ac:dyDescent="0.2">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1974</v>
      </c>
    </row>
    <row r="649" spans="1:6" hidden="1" x14ac:dyDescent="0.2">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1974</v>
      </c>
    </row>
    <row r="650" spans="1:6" hidden="1" x14ac:dyDescent="0.2">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1974</v>
      </c>
    </row>
    <row r="651" spans="1:6" hidden="1" x14ac:dyDescent="0.2">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1974</v>
      </c>
    </row>
    <row r="652" spans="1:6" hidden="1" x14ac:dyDescent="0.2">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1974</v>
      </c>
    </row>
    <row r="653" spans="1:6" hidden="1" x14ac:dyDescent="0.2">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1974</v>
      </c>
    </row>
    <row r="654" spans="1:6" hidden="1" x14ac:dyDescent="0.2">
      <c r="A654" s="91">
        <v>723</v>
      </c>
      <c r="B654" s="188" t="str">
        <f>IF(AND(A654&lt;&gt;"",ISNUMBER(A654)),VLOOKUP(A654,Studies!A:BR,2,FALSE),"")</f>
        <v>Varhe 1996a</v>
      </c>
      <c r="C654" s="188" t="str">
        <f>IF(AND(A654&lt;&gt;"",ISNUMBER(A654)),VLOOKUP(A654,Studies!A:BR,3,FALSE),"")</f>
        <v>https://www.ncbi.nlm.nih.gov/pubmed/8730978</v>
      </c>
      <c r="D654" s="252" t="str">
        <f>IF(AND(A654&lt;&gt;"",ISNUMBER(A654)),VLOOKUP(A654,Studies!A:BR,4,FALSE),"")</f>
        <v>Triazolam + placebo</v>
      </c>
      <c r="E654" s="188" t="str">
        <f>IF(AND(A654&lt;&gt;"",ISNUMBER(A654)),VLOOKUP(A654,Studies!A:BR,5,FALSE),"")</f>
        <v>Triazolam</v>
      </c>
      <c r="F654" s="78" t="s">
        <v>1974</v>
      </c>
    </row>
    <row r="655" spans="1:6" hidden="1" x14ac:dyDescent="0.2">
      <c r="A655" s="91">
        <v>724</v>
      </c>
      <c r="B655" s="188" t="str">
        <f>IF(AND(A655&lt;&gt;"",ISNUMBER(A655)),VLOOKUP(A655,Studies!A:BR,2,FALSE),"")</f>
        <v>Varhe 1996b</v>
      </c>
      <c r="C655" s="188" t="str">
        <f>IF(AND(A655&lt;&gt;"",ISNUMBER(A655)),VLOOKUP(A655,Studies!A:BR,3,FALSE),"")</f>
        <v>https://www.ncbi.nlm.nih.gov/pubmed/8612379</v>
      </c>
      <c r="D655" s="252" t="str">
        <f>IF(AND(A655&lt;&gt;"",ISNUMBER(A655)),VLOOKUP(A655,Studies!A:BR,4,FALSE),"")</f>
        <v>Triazolam + placebo</v>
      </c>
      <c r="E655" s="188" t="str">
        <f>IF(AND(A655&lt;&gt;"",ISNUMBER(A655)),VLOOKUP(A655,Studies!A:BR,5,FALSE),"")</f>
        <v>Triazolam</v>
      </c>
      <c r="F655" s="78" t="s">
        <v>1974</v>
      </c>
    </row>
    <row r="656" spans="1:6" hidden="1" x14ac:dyDescent="0.2">
      <c r="A656" s="248">
        <v>725</v>
      </c>
      <c r="B656" s="188" t="str">
        <f>IF(AND(A656&lt;&gt;"",ISNUMBER(A656)),VLOOKUP(A656,Studies!A:BR,2,FALSE),"")</f>
        <v>Varhe 1996c</v>
      </c>
      <c r="C656" s="188" t="str">
        <f>IF(AND(A656&lt;&gt;"",ISNUMBER(A656)),VLOOKUP(A656,Studies!A:BR,3,FALSE),"")</f>
        <v>https://www.ncbi.nlm.nih.gov/pubmed/8904618</v>
      </c>
      <c r="D656" s="252" t="str">
        <f>IF(AND(A656&lt;&gt;"",ISNUMBER(A656)),VLOOKUP(A656,Studies!A:BR,4,FALSE),"")</f>
        <v>Triazolam + placebo</v>
      </c>
      <c r="E656" s="188" t="str">
        <f>IF(AND(A656&lt;&gt;"",ISNUMBER(A656)),VLOOKUP(A656,Studies!A:BR,5,FALSE),"")</f>
        <v>Triazolam</v>
      </c>
      <c r="F656" s="78" t="s">
        <v>1974</v>
      </c>
    </row>
    <row r="657" spans="1:6" hidden="1" x14ac:dyDescent="0.2">
      <c r="A657" s="248">
        <v>726</v>
      </c>
      <c r="B657" s="188" t="str">
        <f>IF(AND(A657&lt;&gt;"",ISNUMBER(A657)),VLOOKUP(A657,Studies!A:BR,2,FALSE),"")</f>
        <v>Villikka 1997</v>
      </c>
      <c r="C657" s="188" t="str">
        <f>IF(AND(A657&lt;&gt;"",ISNUMBER(A657)),VLOOKUP(A657,Studies!A:BR,3,FALSE),"")</f>
        <v>https://www.ncbi.nlm.nih.gov/pubmed/9024169</v>
      </c>
      <c r="D657" s="252" t="str">
        <f>IF(AND(A657&lt;&gt;"",ISNUMBER(A657)),VLOOKUP(A657,Studies!A:BR,4,FALSE),"")</f>
        <v>Triazolam + placebo</v>
      </c>
      <c r="E657" s="188" t="str">
        <f>IF(AND(A657&lt;&gt;"",ISNUMBER(A657)),VLOOKUP(A657,Studies!A:BR,5,FALSE),"")</f>
        <v>Triazolam</v>
      </c>
      <c r="F657" s="78" t="s">
        <v>2940</v>
      </c>
    </row>
    <row r="658" spans="1:6" hidden="1" x14ac:dyDescent="0.2">
      <c r="A658" s="78">
        <v>727</v>
      </c>
      <c r="B658" s="188" t="str">
        <f>IF(AND(A658&lt;&gt;"",ISNUMBER(A658)),VLOOKUP(A658,Studies!A:BR,2,FALSE),"")</f>
        <v>Villikka 1998</v>
      </c>
      <c r="C658" s="188" t="str">
        <f>IF(AND(A658&lt;&gt;"",ISNUMBER(A658)),VLOOKUP(A658,Studies!A:BR,3,FALSE),"")</f>
        <v>https://www.ncbi.nlm.nih.gov/pubmed/9783333</v>
      </c>
      <c r="D658" s="252" t="str">
        <f>IF(AND(A658&lt;&gt;"",ISNUMBER(A658)),VLOOKUP(A658,Studies!A:BR,4,FALSE),"")</f>
        <v>Triazolam + placebo</v>
      </c>
      <c r="E658" s="188" t="str">
        <f>IF(AND(A658&lt;&gt;"",ISNUMBER(A658)),VLOOKUP(A658,Studies!A:BR,5,FALSE),"")</f>
        <v>Triazolam</v>
      </c>
      <c r="F658" s="78" t="s">
        <v>1974</v>
      </c>
    </row>
    <row r="659" spans="1:6" hidden="1" x14ac:dyDescent="0.2">
      <c r="A659" s="78">
        <v>728</v>
      </c>
      <c r="B659" s="188" t="str">
        <f>IF(AND(A659&lt;&gt;"",ISNUMBER(A659)),VLOOKUP(A659,Studies!A:BR,2,FALSE),"")</f>
        <v>Adams 1984</v>
      </c>
      <c r="C659" s="188" t="str">
        <f>IF(AND(A659&lt;&gt;"",ISNUMBER(A659)),VLOOKUP(A659,Studies!A:BR,3,FALSE),"")</f>
        <v>https://www.ncbi.nlm.nih.gov/pubmed/6486443</v>
      </c>
      <c r="D659" s="252" t="str">
        <f>IF(AND(A659&lt;&gt;"",ISNUMBER(A659)),VLOOKUP(A659,Studies!A:BR,4,FALSE),"")</f>
        <v>0.25 mg, Individual 1</v>
      </c>
      <c r="E659" s="188" t="str">
        <f>IF(AND(A659&lt;&gt;"",ISNUMBER(A659)),VLOOKUP(A659,Studies!A:BR,5,FALSE),"")</f>
        <v>Alprazolam</v>
      </c>
      <c r="F659" s="78" t="s">
        <v>2053</v>
      </c>
    </row>
    <row r="660" spans="1:6" hidden="1" x14ac:dyDescent="0.2">
      <c r="A660" s="78">
        <v>729</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2</v>
      </c>
      <c r="E660" s="188" t="str">
        <f>IF(AND(A660&lt;&gt;"",ISNUMBER(A660)),VLOOKUP(A660,Studies!A:BR,5,FALSE),"")</f>
        <v>Alprazolam</v>
      </c>
      <c r="F660" s="78" t="s">
        <v>2053</v>
      </c>
    </row>
    <row r="661" spans="1:6" hidden="1" x14ac:dyDescent="0.2">
      <c r="A661" s="78">
        <v>730</v>
      </c>
      <c r="B661" s="188" t="str">
        <f>IF(AND(A661&lt;&gt;"",ISNUMBER(A661)),VLOOKUP(A661,Studies!A:BR,2,FALSE),"")</f>
        <v>Adams 1984</v>
      </c>
      <c r="C661" s="188" t="str">
        <f>IF(AND(A661&lt;&gt;"",ISNUMBER(A661)),VLOOKUP(A661,Studies!A:BR,3,FALSE),"")</f>
        <v>https://www.ncbi.nlm.nih.gov/pubmed/6486443</v>
      </c>
      <c r="D661" s="252" t="str">
        <f>IF(AND(A661&lt;&gt;"",ISNUMBER(A661)),VLOOKUP(A661,Studies!A:BR,4,FALSE),"")</f>
        <v>4 mg, Individual 1</v>
      </c>
      <c r="E661" s="188" t="str">
        <f>IF(AND(A661&lt;&gt;"",ISNUMBER(A661)),VLOOKUP(A661,Studies!A:BR,5,FALSE),"")</f>
        <v>Alprazolam</v>
      </c>
      <c r="F661" s="78" t="s">
        <v>2053</v>
      </c>
    </row>
    <row r="662" spans="1:6" hidden="1" x14ac:dyDescent="0.2">
      <c r="A662" s="78">
        <v>731</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2</v>
      </c>
      <c r="E662" s="188" t="str">
        <f>IF(AND(A662&lt;&gt;"",ISNUMBER(A662)),VLOOKUP(A662,Studies!A:BR,5,FALSE),"")</f>
        <v>Alprazolam</v>
      </c>
      <c r="F662" s="78" t="s">
        <v>2053</v>
      </c>
    </row>
    <row r="663" spans="1:6" hidden="1" x14ac:dyDescent="0.2">
      <c r="A663" s="78">
        <v>732</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3</v>
      </c>
      <c r="E663" s="188" t="str">
        <f>IF(AND(A663&lt;&gt;"",ISNUMBER(A663)),VLOOKUP(A663,Studies!A:BR,5,FALSE),"")</f>
        <v>Alprazolam</v>
      </c>
      <c r="F663" s="78" t="s">
        <v>2053</v>
      </c>
    </row>
    <row r="664" spans="1:6" hidden="1" x14ac:dyDescent="0.2">
      <c r="A664" s="78">
        <v>733</v>
      </c>
      <c r="B664" s="188" t="str">
        <f>IF(AND(A664&lt;&gt;"",ISNUMBER(A664)),VLOOKUP(A664,Studies!A:BR,2,FALSE),"")</f>
        <v>Bertz 1997</v>
      </c>
      <c r="C664" s="188" t="str">
        <f>IF(AND(A664&lt;&gt;"",ISNUMBER(A664)),VLOOKUP(A664,Studies!A:BR,3,FALSE),"")</f>
        <v>https://www.ncbi.nlm.nih.gov/pubmed/9190868</v>
      </c>
      <c r="D664" s="252" t="str">
        <f>IF(AND(A664&lt;&gt;"",ISNUMBER(A664)),VLOOKUP(A664,Studies!A:BR,4,FALSE),"")</f>
        <v>2 mg, young subjects</v>
      </c>
      <c r="E664" s="188" t="str">
        <f>IF(AND(A664&lt;&gt;"",ISNUMBER(A664)),VLOOKUP(A664,Studies!A:BR,5,FALSE),"")</f>
        <v>Alprazolam</v>
      </c>
      <c r="F664" s="78" t="s">
        <v>2053</v>
      </c>
    </row>
    <row r="665" spans="1:6" hidden="1" x14ac:dyDescent="0.2">
      <c r="A665" s="78">
        <v>734</v>
      </c>
      <c r="B665" s="188" t="str">
        <f>IF(AND(A665&lt;&gt;"",ISNUMBER(A665)),VLOOKUP(A665,Studies!A:BR,2,FALSE),"")</f>
        <v>Eller 1990</v>
      </c>
      <c r="C665" s="188" t="str">
        <f>IF(AND(A665&lt;&gt;"",ISNUMBER(A665)),VLOOKUP(A665,Studies!A:BR,3,FALSE),"")</f>
        <v>https://www.ncbi.nlm.nih.gov/pubmed/2322635</v>
      </c>
      <c r="D665" s="252" t="str">
        <f>IF(AND(A665&lt;&gt;"",ISNUMBER(A665)),VLOOKUP(A665,Studies!A:BR,4,FALSE),"")</f>
        <v>Treatment C (fasting IR)</v>
      </c>
      <c r="E665" s="188" t="str">
        <f>IF(AND(A665&lt;&gt;"",ISNUMBER(A665)),VLOOKUP(A665,Studies!A:BR,5,FALSE),"")</f>
        <v>Alprazolam</v>
      </c>
      <c r="F665" s="78" t="s">
        <v>2053</v>
      </c>
    </row>
    <row r="666" spans="1:6" hidden="1" x14ac:dyDescent="0.2">
      <c r="A666" s="78">
        <v>735</v>
      </c>
      <c r="B666" s="188" t="str">
        <f>IF(AND(A666&lt;&gt;"",ISNUMBER(A666)),VLOOKUP(A666,Studies!A:BR,2,FALSE),"")</f>
        <v>Fleishaker 1989</v>
      </c>
      <c r="C666" s="188" t="str">
        <f>IF(AND(A666&lt;&gt;"",ISNUMBER(A666)),VLOOKUP(A666,Studies!A:BR,3,FALSE),"")</f>
        <v>https://www.ncbi.nlm.nih.gov/pubmed/2754023</v>
      </c>
      <c r="D666" s="252" t="str">
        <f>IF(AND(A666&lt;&gt;"",ISNUMBER(A666)),VLOOKUP(A666,Studies!A:BR,4,FALSE),"")</f>
        <v>Treatment A (IV administration)</v>
      </c>
      <c r="E666" s="188" t="str">
        <f>IF(AND(A666&lt;&gt;"",ISNUMBER(A666)),VLOOKUP(A666,Studies!A:BR,5,FALSE),"")</f>
        <v>Alprazolam</v>
      </c>
      <c r="F666" s="78" t="s">
        <v>2053</v>
      </c>
    </row>
    <row r="667" spans="1:6" hidden="1" x14ac:dyDescent="0.2">
      <c r="A667" s="78">
        <v>736</v>
      </c>
      <c r="B667" s="188" t="str">
        <f>IF(AND(A667&lt;&gt;"",ISNUMBER(A667)),VLOOKUP(A667,Studies!A:BR,2,FALSE),"")</f>
        <v>Friedman 1991</v>
      </c>
      <c r="C667" s="188" t="str">
        <f>IF(AND(A667&lt;&gt;"",ISNUMBER(A667)),VLOOKUP(A667,Studies!A:BR,3,FALSE),"")</f>
        <v>https://www.ncbi.nlm.nih.gov/pubmed/1881994</v>
      </c>
      <c r="D667" s="252" t="str">
        <f>IF(AND(A667&lt;&gt;"",ISNUMBER(A667)),VLOOKUP(A667,Studies!A:BR,4,FALSE),"")</f>
        <v>Alprazolam group</v>
      </c>
      <c r="E667" s="188" t="str">
        <f>IF(AND(A667&lt;&gt;"",ISNUMBER(A667)),VLOOKUP(A667,Studies!A:BR,5,FALSE),"")</f>
        <v>Alprazolam</v>
      </c>
      <c r="F667" s="78" t="s">
        <v>2053</v>
      </c>
    </row>
    <row r="668" spans="1:6" hidden="1" x14ac:dyDescent="0.2">
      <c r="A668" s="78">
        <v>737</v>
      </c>
      <c r="B668" s="188" t="str">
        <f>IF(AND(A668&lt;&gt;"",ISNUMBER(A668)),VLOOKUP(A668,Studies!A:BR,2,FALSE),"")</f>
        <v>Greenblatt 1988</v>
      </c>
      <c r="C668" s="188" t="str">
        <f>IF(AND(A668&lt;&gt;"",ISNUMBER(A668)),VLOOKUP(A668,Studies!A:BR,3,FALSE),"")</f>
        <v>https://www.ncbi.nlm.nih.gov/pubmed/3138056</v>
      </c>
      <c r="D668" s="252" t="str">
        <f>IF(AND(A668&lt;&gt;"",ISNUMBER(A668)),VLOOKUP(A668,Studies!A:BR,4,FALSE),"")</f>
        <v>Alprazolam group</v>
      </c>
      <c r="E668" s="188" t="str">
        <f>IF(AND(A668&lt;&gt;"",ISNUMBER(A668)),VLOOKUP(A668,Studies!A:BR,5,FALSE),"")</f>
        <v>Alprazolam</v>
      </c>
      <c r="F668" s="78" t="s">
        <v>2053</v>
      </c>
    </row>
    <row r="669" spans="1:6" hidden="1" x14ac:dyDescent="0.2">
      <c r="A669" s="78">
        <v>738</v>
      </c>
      <c r="B669" s="188" t="str">
        <f>IF(AND(A669&lt;&gt;"",ISNUMBER(A669)),VLOOKUP(A669,Studies!A:BR,2,FALSE),"")</f>
        <v>Greenblatt 1992</v>
      </c>
      <c r="C669" s="188" t="str">
        <f>IF(AND(A669&lt;&gt;"",ISNUMBER(A669)),VLOOKUP(A669,Studies!A:BR,3,FALSE),"")</f>
        <v>https://www.ncbi.nlm.nih.gov/pubmed/1424422</v>
      </c>
      <c r="D669" s="252" t="str">
        <f>IF(AND(A669&lt;&gt;"",ISNUMBER(A669)),VLOOKUP(A669,Studies!A:BR,4,FALSE),"")</f>
        <v>Alprazolam group, Placebo first, Fluoxetine second</v>
      </c>
      <c r="E669" s="188" t="str">
        <f>IF(AND(A669&lt;&gt;"",ISNUMBER(A669)),VLOOKUP(A669,Studies!A:BR,5,FALSE),"")</f>
        <v>Alprazolam</v>
      </c>
      <c r="F669" s="78" t="s">
        <v>2053</v>
      </c>
    </row>
    <row r="670" spans="1:6" hidden="1" x14ac:dyDescent="0.2">
      <c r="A670" s="78">
        <v>739</v>
      </c>
      <c r="B670" s="188" t="str">
        <f>IF(AND(A670&lt;&gt;"",ISNUMBER(A670)),VLOOKUP(A670,Studies!A:BR,2,FALSE),"")</f>
        <v>Greenblatt 1998b</v>
      </c>
      <c r="C670" s="188" t="str">
        <f>IF(AND(A670&lt;&gt;"",ISNUMBER(A670)),VLOOKUP(A670,Studies!A:BR,3,FALSE),"")</f>
        <v>https://www.ncbi.nlm.nih.gov/pubmed/9757147</v>
      </c>
      <c r="D670" s="252" t="str">
        <f>IF(AND(A670&lt;&gt;"",ISNUMBER(A670)),VLOOKUP(A670,Studies!A:BR,4,FALSE),"")</f>
        <v>Alprazolam alone (Trial A)</v>
      </c>
      <c r="E670" s="188" t="str">
        <f>IF(AND(A670&lt;&gt;"",ISNUMBER(A670)),VLOOKUP(A670,Studies!A:BR,5,FALSE),"")</f>
        <v>Alprazolam</v>
      </c>
      <c r="F670" s="78" t="s">
        <v>2053</v>
      </c>
    </row>
    <row r="671" spans="1:6" hidden="1" x14ac:dyDescent="0.2">
      <c r="A671" s="78">
        <v>740</v>
      </c>
      <c r="B671" s="188" t="str">
        <f>IF(AND(A671&lt;&gt;"",ISNUMBER(A671)),VLOOKUP(A671,Studies!A:BR,2,FALSE),"")</f>
        <v>Greenblatt 2000</v>
      </c>
      <c r="C671" s="188" t="str">
        <f>IF(AND(A671&lt;&gt;"",ISNUMBER(A671)),VLOOKUP(A671,Studies!A:BR,3,FALSE),"")</f>
        <v>https://www.ncbi.nlm.nih.gov/pubmed/10801241</v>
      </c>
      <c r="D671" s="252" t="str">
        <f>IF(AND(A671&lt;&gt;"",ISNUMBER(A671)),VLOOKUP(A671,Studies!A:BR,4,FALSE),"")</f>
        <v>Control</v>
      </c>
      <c r="E671" s="188" t="str">
        <f>IF(AND(A671&lt;&gt;"",ISNUMBER(A671)),VLOOKUP(A671,Studies!A:BR,5,FALSE),"")</f>
        <v>Alprazolam</v>
      </c>
      <c r="F671" s="78" t="s">
        <v>2053</v>
      </c>
    </row>
    <row r="672" spans="1:6" hidden="1" x14ac:dyDescent="0.2">
      <c r="A672" s="78">
        <v>741</v>
      </c>
      <c r="B672" s="188" t="str">
        <f>IF(AND(A672&lt;&gt;"",ISNUMBER(A672)),VLOOKUP(A672,Studies!A:BR,2,FALSE),"")</f>
        <v>Juhl 1984</v>
      </c>
      <c r="C672" s="188" t="str">
        <f>IF(AND(A672&lt;&gt;"",ISNUMBER(A672)),VLOOKUP(A672,Studies!A:BR,3,FALSE),"")</f>
        <v>https://www.ncbi.nlm.nih.gov/pubmed/6143766</v>
      </c>
      <c r="D672" s="252" t="str">
        <f>IF(AND(A672&lt;&gt;"",ISNUMBER(A672)),VLOOKUP(A672,Studies!A:BR,4,FALSE),"")</f>
        <v>Healthy control group</v>
      </c>
      <c r="E672" s="188" t="str">
        <f>IF(AND(A672&lt;&gt;"",ISNUMBER(A672)),VLOOKUP(A672,Studies!A:BR,5,FALSE),"")</f>
        <v>Alprazolam</v>
      </c>
      <c r="F672" s="78" t="s">
        <v>2053</v>
      </c>
    </row>
    <row r="673" spans="1:6" hidden="1" x14ac:dyDescent="0.2">
      <c r="A673" s="78">
        <v>742</v>
      </c>
      <c r="B673" s="188" t="str">
        <f>IF(AND(A673&lt;&gt;"",ISNUMBER(A673)),VLOOKUP(A673,Studies!A:BR,2,FALSE),"")</f>
        <v>Kaplan 1998</v>
      </c>
      <c r="C673" s="188" t="str">
        <f>IF(AND(A673&lt;&gt;"",ISNUMBER(A673)),VLOOKUP(A673,Studies!A:BR,3,FALSE),"")</f>
        <v>https://www.ncbi.nlm.nih.gov/pubmed/9597554</v>
      </c>
      <c r="D673" s="252" t="str">
        <f>IF(AND(A673&lt;&gt;"",ISNUMBER(A673)),VLOOKUP(A673,Studies!A:BR,4,FALSE),"")</f>
        <v>Young</v>
      </c>
      <c r="E673" s="188" t="str">
        <f>IF(AND(A673&lt;&gt;"",ISNUMBER(A673)),VLOOKUP(A673,Studies!A:BR,5,FALSE),"")</f>
        <v>Alprazolam</v>
      </c>
      <c r="F673" s="78" t="s">
        <v>2053</v>
      </c>
    </row>
    <row r="674" spans="1:6" hidden="1" x14ac:dyDescent="0.2">
      <c r="A674" s="78">
        <v>743</v>
      </c>
      <c r="B674" s="188" t="str">
        <f>IF(AND(A674&lt;&gt;"",ISNUMBER(A674)),VLOOKUP(A674,Studies!A:BR,2,FALSE),"")</f>
        <v>Kirkwood 1991</v>
      </c>
      <c r="C674" s="188" t="str">
        <f>IF(AND(A674&lt;&gt;"",ISNUMBER(A674)),VLOOKUP(A674,Studies!A:BR,3,FALSE),"")</f>
        <v>https://www.ncbi.nlm.nih.gov/pubmed/1914376</v>
      </c>
      <c r="D674" s="252" t="str">
        <f>IF(AND(A674&lt;&gt;"",ISNUMBER(A674)),VLOOKUP(A674,Studies!A:BR,4,FALSE),"")</f>
        <v>Men</v>
      </c>
      <c r="E674" s="188" t="str">
        <f>IF(AND(A674&lt;&gt;"",ISNUMBER(A674)),VLOOKUP(A674,Studies!A:BR,5,FALSE),"")</f>
        <v>Alprazolam</v>
      </c>
      <c r="F674" s="78" t="s">
        <v>2053</v>
      </c>
    </row>
    <row r="675" spans="1:6" hidden="1" x14ac:dyDescent="0.2">
      <c r="A675" s="78">
        <v>744</v>
      </c>
      <c r="B675" s="188" t="str">
        <f>IF(AND(A675&lt;&gt;"",ISNUMBER(A675)),VLOOKUP(A675,Studies!A:BR,2,FALSE),"")</f>
        <v>Kroboth 1988</v>
      </c>
      <c r="C675" s="188" t="str">
        <f>IF(AND(A675&lt;&gt;"",ISNUMBER(A675)),VLOOKUP(A675,Studies!A:BR,3,FALSE),"")</f>
        <v>https://www.ncbi.nlm.nih.gov/pubmed/3345619</v>
      </c>
      <c r="D675" s="252" t="str">
        <f>IF(AND(A675&lt;&gt;"",ISNUMBER(A675)),VLOOKUP(A675,Studies!A:BR,4,FALSE),"")</f>
        <v>0.5 mg/2 min</v>
      </c>
      <c r="E675" s="188" t="str">
        <f>IF(AND(A675&lt;&gt;"",ISNUMBER(A675)),VLOOKUP(A675,Studies!A:BR,5,FALSE),"")</f>
        <v>Alprazolam</v>
      </c>
      <c r="F675" s="78" t="s">
        <v>2053</v>
      </c>
    </row>
    <row r="676" spans="1:6" hidden="1" x14ac:dyDescent="0.2">
      <c r="A676" s="78">
        <v>745</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2.0 mg/2 min</v>
      </c>
      <c r="E676" s="188" t="str">
        <f>IF(AND(A676&lt;&gt;"",ISNUMBER(A676)),VLOOKUP(A676,Studies!A:BR,5,FALSE),"")</f>
        <v>Alprazolam</v>
      </c>
      <c r="F676" s="78" t="s">
        <v>2053</v>
      </c>
    </row>
    <row r="677" spans="1:6" hidden="1" x14ac:dyDescent="0.2">
      <c r="A677" s="78">
        <v>746</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1.0 mg/2 min, then 72 µg/hr for 8 hours</v>
      </c>
      <c r="E677" s="188" t="str">
        <f>IF(AND(A677&lt;&gt;"",ISNUMBER(A677)),VLOOKUP(A677,Studies!A:BR,5,FALSE),"")</f>
        <v>Alprazolam</v>
      </c>
      <c r="F677" s="78" t="s">
        <v>2053</v>
      </c>
    </row>
    <row r="678" spans="1:6" hidden="1" x14ac:dyDescent="0.2">
      <c r="A678" s="78">
        <v>747</v>
      </c>
      <c r="B678" s="188" t="str">
        <f>IF(AND(A678&lt;&gt;"",ISNUMBER(A678)),VLOOKUP(A678,Studies!A:BR,2,FALSE),"")</f>
        <v>Lin 1988</v>
      </c>
      <c r="C678" s="188" t="str">
        <f>IF(AND(A678&lt;&gt;"",ISNUMBER(A678)),VLOOKUP(A678,Studies!A:BR,3,FALSE),"")</f>
        <v>https://www.ncbi.nlm.nih.gov/pubmed/3146770</v>
      </c>
      <c r="D678" s="252" t="str">
        <f>IF(AND(A678&lt;&gt;"",ISNUMBER(A678)),VLOOKUP(A678,Studies!A:BR,4,FALSE),"")</f>
        <v>IV administration, Caucasian subjects</v>
      </c>
      <c r="E678" s="188" t="str">
        <f>IF(AND(A678&lt;&gt;"",ISNUMBER(A678)),VLOOKUP(A678,Studies!A:BR,5,FALSE),"")</f>
        <v>Alprazolam</v>
      </c>
      <c r="F678" s="78" t="s">
        <v>2053</v>
      </c>
    </row>
    <row r="679" spans="1:6" hidden="1" x14ac:dyDescent="0.2">
      <c r="A679" s="78">
        <v>748</v>
      </c>
      <c r="B679" s="188" t="str">
        <f>IF(AND(A679&lt;&gt;"",ISNUMBER(A679)),VLOOKUP(A679,Studies!A:BR,2,FALSE),"")</f>
        <v>Lin 1988</v>
      </c>
      <c r="C679" s="188" t="str">
        <f>IF(AND(A679&lt;&gt;"",ISNUMBER(A679)),VLOOKUP(A679,Studies!A:BR,3,FALSE),"")</f>
        <v>https://www.ncbi.nlm.nih.gov/pubmed/3146770</v>
      </c>
      <c r="D679" s="252" t="str">
        <f>IF(AND(A679&lt;&gt;"",ISNUMBER(A679)),VLOOKUP(A679,Studies!A:BR,4,FALSE),"")</f>
        <v>Oral administration, Caucasian subjects</v>
      </c>
      <c r="E679" s="188" t="str">
        <f>IF(AND(A679&lt;&gt;"",ISNUMBER(A679)),VLOOKUP(A679,Studies!A:BR,5,FALSE),"")</f>
        <v>Alprazolam</v>
      </c>
      <c r="F679" s="78" t="s">
        <v>2053</v>
      </c>
    </row>
    <row r="680" spans="1:6" hidden="1" x14ac:dyDescent="0.2">
      <c r="A680" s="78">
        <v>749</v>
      </c>
      <c r="B680" s="188" t="str">
        <f>IF(AND(A680&lt;&gt;"",ISNUMBER(A680)),VLOOKUP(A680,Studies!A:BR,2,FALSE),"")</f>
        <v>Schmider 1999</v>
      </c>
      <c r="C680" s="188" t="str">
        <f>IF(AND(A680&lt;&gt;"",ISNUMBER(A680)),VLOOKUP(A680,Studies!A:BR,3,FALSE),"")</f>
        <v>https://www.ncbi.nlm.nih.gov/pubmed/10634135</v>
      </c>
      <c r="D680" s="252" t="str">
        <f>IF(AND(A680&lt;&gt;"",ISNUMBER(A680)),VLOOKUP(A680,Studies!A:BR,4,FALSE),"")</f>
        <v>Alprazolam alone</v>
      </c>
      <c r="E680" s="188" t="str">
        <f>IF(AND(A680&lt;&gt;"",ISNUMBER(A680)),VLOOKUP(A680,Studies!A:BR,5,FALSE),"")</f>
        <v>Alprazolam</v>
      </c>
      <c r="F680" s="78" t="s">
        <v>2855</v>
      </c>
    </row>
    <row r="681" spans="1:6" hidden="1" x14ac:dyDescent="0.2">
      <c r="A681" s="78">
        <v>750</v>
      </c>
      <c r="B681" s="188" t="str">
        <f>IF(AND(A681&lt;&gt;"",ISNUMBER(A681)),VLOOKUP(A681,Studies!A:BR,2,FALSE),"")</f>
        <v>Schmith 1991</v>
      </c>
      <c r="C681" s="188" t="str">
        <f>IF(AND(A681&lt;&gt;"",ISNUMBER(A681)),VLOOKUP(A681,Studies!A:BR,3,FALSE),"")</f>
        <v>https://www.ncbi.nlm.nih.gov/pubmed/1880224</v>
      </c>
      <c r="D681" s="252" t="str">
        <f>IF(AND(A681&lt;&gt;"",ISNUMBER(A681)),VLOOKUP(A681,Studies!A:BR,4,FALSE),"")</f>
        <v>Normal subjects 0.5 mg</v>
      </c>
      <c r="E681" s="188" t="str">
        <f>IF(AND(A681&lt;&gt;"",ISNUMBER(A681)),VLOOKUP(A681,Studies!A:BR,5,FALSE),"")</f>
        <v>Alprazolam</v>
      </c>
      <c r="F681" s="78" t="s">
        <v>2053</v>
      </c>
    </row>
    <row r="682" spans="1:6" hidden="1" x14ac:dyDescent="0.2">
      <c r="A682" s="78">
        <v>751</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2 mg</v>
      </c>
      <c r="E682" s="188" t="str">
        <f>IF(AND(A682&lt;&gt;"",ISNUMBER(A682)),VLOOKUP(A682,Studies!A:BR,5,FALSE),"")</f>
        <v>Alprazolam</v>
      </c>
      <c r="F682" s="78" t="s">
        <v>2053</v>
      </c>
    </row>
    <row r="683" spans="1:6" hidden="1" x14ac:dyDescent="0.2">
      <c r="A683" s="78">
        <v>752</v>
      </c>
      <c r="B683" s="188" t="str">
        <f>IF(AND(A683&lt;&gt;"",ISNUMBER(A683)),VLOOKUP(A683,Studies!A:BR,2,FALSE),"")</f>
        <v>Smith 1984</v>
      </c>
      <c r="C683" s="188" t="str">
        <f>IF(AND(A683&lt;&gt;"",ISNUMBER(A683)),VLOOKUP(A683,Studies!A:BR,3,FALSE),"")</f>
        <v>https://www.ncbi.nlm.nih.gov/pubmed/6152055</v>
      </c>
      <c r="D683" s="252" t="str">
        <f>IF(AND(A683&lt;&gt;"",ISNUMBER(A683)),VLOOKUP(A683,Studies!A:BR,4,FALSE),"")</f>
        <v>IV administration</v>
      </c>
      <c r="E683" s="188" t="str">
        <f>IF(AND(A683&lt;&gt;"",ISNUMBER(A683)),VLOOKUP(A683,Studies!A:BR,5,FALSE),"")</f>
        <v>Alprazolam</v>
      </c>
      <c r="F683" s="78" t="s">
        <v>2053</v>
      </c>
    </row>
    <row r="684" spans="1:6" hidden="1" x14ac:dyDescent="0.2">
      <c r="A684" s="78">
        <v>753</v>
      </c>
      <c r="B684" s="188" t="str">
        <f>IF(AND(A684&lt;&gt;"",ISNUMBER(A684)),VLOOKUP(A684,Studies!A:BR,2,FALSE),"")</f>
        <v>Smith 1984</v>
      </c>
      <c r="C684" s="188" t="str">
        <f>IF(AND(A684&lt;&gt;"",ISNUMBER(A684)),VLOOKUP(A684,Studies!A:BR,3,FALSE),"")</f>
        <v>https://www.ncbi.nlm.nih.gov/pubmed/6152055</v>
      </c>
      <c r="D684" s="252" t="str">
        <f>IF(AND(A684&lt;&gt;"",ISNUMBER(A684)),VLOOKUP(A684,Studies!A:BR,4,FALSE),"")</f>
        <v>Oral administration</v>
      </c>
      <c r="E684" s="188" t="str">
        <f>IF(AND(A684&lt;&gt;"",ISNUMBER(A684)),VLOOKUP(A684,Studies!A:BR,5,FALSE),"")</f>
        <v>Alprazolam</v>
      </c>
      <c r="F684" s="78" t="s">
        <v>2053</v>
      </c>
    </row>
    <row r="685" spans="1:6" hidden="1" x14ac:dyDescent="0.2">
      <c r="A685" s="78">
        <v>754</v>
      </c>
      <c r="B685" s="188" t="str">
        <f>IF(AND(A685&lt;&gt;"",ISNUMBER(A685)),VLOOKUP(A685,Studies!A:BR,2,FALSE),"")</f>
        <v>Wennerholm 2005</v>
      </c>
      <c r="C685" s="188" t="str">
        <f>IF(AND(A685&lt;&gt;"",ISNUMBER(A685)),VLOOKUP(A685,Studies!A:BR,3,FALSE),"")</f>
        <v>https://www.ncbi.nlm.nih.gov/pubmed/15806426</v>
      </c>
      <c r="D685" s="252" t="str">
        <f>IF(AND(A685&lt;&gt;"",ISNUMBER(A685)),VLOOKUP(A685,Studies!A:BR,4,FALSE),"")</f>
        <v>Figure 1</v>
      </c>
      <c r="E685" s="188" t="str">
        <f>IF(AND(A685&lt;&gt;"",ISNUMBER(A685)),VLOOKUP(A685,Studies!A:BR,5,FALSE),"")</f>
        <v>Alprazolam</v>
      </c>
      <c r="F685" s="78" t="s">
        <v>2053</v>
      </c>
    </row>
    <row r="686" spans="1:6" hidden="1" x14ac:dyDescent="0.2">
      <c r="A686" s="78">
        <v>755</v>
      </c>
      <c r="B686" s="188" t="str">
        <f>IF(AND(A686&lt;&gt;"",ISNUMBER(A686)),VLOOKUP(A686,Studies!A:BR,2,FALSE),"")</f>
        <v>Venkatakrishnan 2005</v>
      </c>
      <c r="C686" s="188" t="str">
        <f>IF(AND(A686&lt;&gt;"",ISNUMBER(A686)),VLOOKUP(A686,Studies!A:BR,3,FALSE),"")</f>
        <v>https://www.ncbi.nlm.nih.gov/pubmed/15831776</v>
      </c>
      <c r="D686" s="252" t="str">
        <f>IF(AND(A686&lt;&gt;"",ISNUMBER(A686)),VLOOKUP(A686,Studies!A:BR,4,FALSE),"")</f>
        <v>Alprazolam</v>
      </c>
      <c r="E686" s="188" t="str">
        <f>IF(AND(A686&lt;&gt;"",ISNUMBER(A686)),VLOOKUP(A686,Studies!A:BR,5,FALSE),"")</f>
        <v>Alprazolam</v>
      </c>
      <c r="F686" s="78" t="s">
        <v>2053</v>
      </c>
    </row>
    <row r="687" spans="1:6" hidden="1" x14ac:dyDescent="0.2">
      <c r="A687" s="78">
        <v>756</v>
      </c>
      <c r="B687" s="188" t="str">
        <f>IF(AND(A687&lt;&gt;"",ISNUMBER(A687)),VLOOKUP(A687,Studies!A:BR,2,FALSE),"")</f>
        <v>Eberts 1980</v>
      </c>
      <c r="C687" s="188" t="str">
        <f>IF(AND(A687&lt;&gt;"",ISNUMBER(A687)),VLOOKUP(A687,Studies!A:BR,3,FALSE),"")</f>
        <v>Eberts, F. S., Philopoulos, Y., Reineke, L. M., &amp; Vliek, R. W. (1980). Disposition of 14C-alprazolam, a new anxiolytic-antidepressant, in man. Pharmacologist, 22, 279.</v>
      </c>
      <c r="D687" s="252" t="str">
        <f>IF(AND(A687&lt;&gt;"",ISNUMBER(A687)),VLOOKUP(A687,Studies!A:BR,4,FALSE),"")</f>
        <v>14C-Alprazolam</v>
      </c>
      <c r="E687" s="188" t="str">
        <f>IF(AND(A687&lt;&gt;"",ISNUMBER(A687)),VLOOKUP(A687,Studies!A:BR,5,FALSE),"")</f>
        <v>Alprazolam</v>
      </c>
      <c r="F687" s="78" t="s">
        <v>2053</v>
      </c>
    </row>
    <row r="688" spans="1:6" hidden="1" x14ac:dyDescent="0.2">
      <c r="A688" s="78">
        <v>757</v>
      </c>
      <c r="B688" s="188" t="str">
        <f>IF(AND(A688&lt;&gt;"",ISNUMBER(A688)),VLOOKUP(A688,Studies!A:BR,2,FALSE),"")</f>
        <v>Phillips 1986</v>
      </c>
      <c r="C688" s="188" t="str">
        <f>IF(AND(A688&lt;&gt;"",ISNUMBER(A688)),VLOOKUP(A688,Studies!A:BR,3,FALSE),"")</f>
        <v>https://www.ncbi.nlm.nih.gov/pubmed/3771812</v>
      </c>
      <c r="D688" s="252" t="str">
        <f>IF(AND(A688&lt;&gt;"",ISNUMBER(A688)),VLOOKUP(A688,Studies!A:BR,4,FALSE),"")</f>
        <v>Triazolam after 3 days of erythromycin</v>
      </c>
      <c r="E688" s="188" t="str">
        <f>IF(AND(A688&lt;&gt;"",ISNUMBER(A688)),VLOOKUP(A688,Studies!A:BR,5,FALSE),"")</f>
        <v>Triazolam</v>
      </c>
      <c r="F688" s="78" t="s">
        <v>2193</v>
      </c>
    </row>
    <row r="689" spans="1:6" hidden="1" x14ac:dyDescent="0.2">
      <c r="A689" s="78">
        <v>758</v>
      </c>
      <c r="B689" s="188" t="str">
        <f>IF(AND(A689&lt;&gt;"",ISNUMBER(A689)),VLOOKUP(A689,Studies!A:BR,2,FALSE),"")</f>
        <v>Ferrier 1985</v>
      </c>
      <c r="C689" s="188" t="str">
        <f>IF(AND(A689&lt;&gt;"",ISNUMBER(A689)),VLOOKUP(A689,Studies!A:BR,3,FALSE),"")</f>
        <v>https://www.ncbi.nlm.nih.gov/pubmed/3920934</v>
      </c>
      <c r="D689" s="252" t="str">
        <f>IF(AND(A689&lt;&gt;"",ISNUMBER(A689)),VLOOKUP(A689,Studies!A:BR,4,FALSE),"")</f>
        <v>healthy control patients</v>
      </c>
      <c r="E689" s="188" t="str">
        <f>IF(AND(A689&lt;&gt;"",ISNUMBER(A689)),VLOOKUP(A689,Studies!A:BR,5,FALSE),"")</f>
        <v>Alfentanil</v>
      </c>
      <c r="F689" s="78" t="s">
        <v>339</v>
      </c>
    </row>
    <row r="690" spans="1:6" hidden="1" x14ac:dyDescent="0.2">
      <c r="A690" s="78">
        <v>759</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cirrhosis patients patients</v>
      </c>
      <c r="E690" s="188" t="str">
        <f>IF(AND(A690&lt;&gt;"",ISNUMBER(A690)),VLOOKUP(A690,Studies!A:BR,5,FALSE),"")</f>
        <v>Alfentanil</v>
      </c>
      <c r="F690" s="78" t="s">
        <v>339</v>
      </c>
    </row>
    <row r="691" spans="1:6" hidden="1" x14ac:dyDescent="0.2">
      <c r="A691" s="78">
        <v>760</v>
      </c>
      <c r="B691" s="188" t="str">
        <f>IF(AND(A691&lt;&gt;"",ISNUMBER(A691)),VLOOKUP(A691,Studies!A:BR,2,FALSE),"")</f>
        <v>Kharasch 2011b</v>
      </c>
      <c r="C691" s="188" t="str">
        <f>IF(AND(A691&lt;&gt;"",ISNUMBER(A691)),VLOOKUP(A691,Studies!A:BR,3,FALSE),"")</f>
        <v>https://www.ncbi.nlm.nih.gov/pmc/articles/PMC3584707/</v>
      </c>
      <c r="D691" s="252" t="str">
        <f>IF(AND(A691&lt;&gt;"",ISNUMBER(A691)),VLOOKUP(A691,Studies!A:BR,4,FALSE),"")</f>
        <v>Alfentanil IV Control sequential</v>
      </c>
      <c r="E691" s="188" t="str">
        <f>IF(AND(A691&lt;&gt;"",ISNUMBER(A691)),VLOOKUP(A691,Studies!A:BR,5,FALSE),"")</f>
        <v>Alfentanil</v>
      </c>
      <c r="F691" s="78" t="s">
        <v>2168</v>
      </c>
    </row>
    <row r="692" spans="1:6" hidden="1" x14ac:dyDescent="0.2">
      <c r="A692" s="78">
        <v>761</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Grapefruit coadmin sequential</v>
      </c>
      <c r="E692" s="188" t="str">
        <f>IF(AND(A692&lt;&gt;"",ISNUMBER(A692)),VLOOKUP(A692,Studies!A:BR,5,FALSE),"")</f>
        <v>Alfentanil</v>
      </c>
      <c r="F692" s="78" t="s">
        <v>339</v>
      </c>
    </row>
    <row r="693" spans="1:6" hidden="1" x14ac:dyDescent="0.2">
      <c r="A693" s="78">
        <v>762</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Ketoconazole coadmin sequential</v>
      </c>
      <c r="E693" s="188" t="str">
        <f>IF(AND(A693&lt;&gt;"",ISNUMBER(A693)),VLOOKUP(A693,Studies!A:BR,5,FALSE),"")</f>
        <v>Alfentanil</v>
      </c>
      <c r="F693" s="78" t="s">
        <v>2169</v>
      </c>
    </row>
    <row r="694" spans="1:6" hidden="1" x14ac:dyDescent="0.2">
      <c r="A694" s="78">
        <v>763</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Rifampin coadmin sequential</v>
      </c>
      <c r="E694" s="188" t="str">
        <f>IF(AND(A694&lt;&gt;"",ISNUMBER(A694)),VLOOKUP(A694,Studies!A:BR,5,FALSE),"")</f>
        <v>Alfentanil</v>
      </c>
      <c r="F694" s="78" t="s">
        <v>1287</v>
      </c>
    </row>
    <row r="695" spans="1:6" hidden="1" x14ac:dyDescent="0.2">
      <c r="A695" s="91">
        <v>764</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Control simultaneous</v>
      </c>
      <c r="E695" s="188" t="str">
        <f>IF(AND(A695&lt;&gt;"",ISNUMBER(A695)),VLOOKUP(A695,Studies!A:BR,5,FALSE),"")</f>
        <v>Alfentanil</v>
      </c>
      <c r="F695" s="78" t="s">
        <v>2168</v>
      </c>
    </row>
    <row r="696" spans="1:6" hidden="1" x14ac:dyDescent="0.2">
      <c r="A696" s="91">
        <v>765</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Grapefruit coadmin simultaneous</v>
      </c>
      <c r="E696" s="188" t="str">
        <f>IF(AND(A696&lt;&gt;"",ISNUMBER(A696)),VLOOKUP(A696,Studies!A:BR,5,FALSE),"")</f>
        <v>Alfentanil</v>
      </c>
      <c r="F696" s="78" t="s">
        <v>339</v>
      </c>
    </row>
    <row r="697" spans="1:6" hidden="1" x14ac:dyDescent="0.2">
      <c r="A697" s="91">
        <v>766</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Ketoconazole coadmin simultaneous</v>
      </c>
      <c r="E697" s="188" t="str">
        <f>IF(AND(A697&lt;&gt;"",ISNUMBER(A697)),VLOOKUP(A697,Studies!A:BR,5,FALSE),"")</f>
        <v>Alfentanil</v>
      </c>
      <c r="F697" s="78" t="s">
        <v>2169</v>
      </c>
    </row>
    <row r="698" spans="1:6" hidden="1" x14ac:dyDescent="0.2">
      <c r="A698" s="91">
        <v>767</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Rifampin coadmin simultaneous</v>
      </c>
      <c r="E698" s="188" t="str">
        <f>IF(AND(A698&lt;&gt;"",ISNUMBER(A698)),VLOOKUP(A698,Studies!A:BR,5,FALSE),"")</f>
        <v>Alfentanil</v>
      </c>
      <c r="F698" s="78" t="s">
        <v>1287</v>
      </c>
    </row>
    <row r="699" spans="1:6" hidden="1" x14ac:dyDescent="0.2">
      <c r="A699" s="91">
        <v>768</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PO Control sequential</v>
      </c>
      <c r="E699" s="188" t="str">
        <f>IF(AND(A699&lt;&gt;"",ISNUMBER(A699)),VLOOKUP(A699,Studies!A:BR,5,FALSE),"")</f>
        <v>Alfentanil</v>
      </c>
      <c r="F699" s="78" t="s">
        <v>2168</v>
      </c>
    </row>
    <row r="700" spans="1:6" hidden="1" x14ac:dyDescent="0.2">
      <c r="A700" s="91">
        <v>769</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Grapefruit coadmin sequential</v>
      </c>
      <c r="E700" s="188" t="str">
        <f>IF(AND(A700&lt;&gt;"",ISNUMBER(A700)),VLOOKUP(A700,Studies!A:BR,5,FALSE),"")</f>
        <v>Alfentanil</v>
      </c>
      <c r="F700" s="78" t="s">
        <v>339</v>
      </c>
    </row>
    <row r="701" spans="1:6" hidden="1" x14ac:dyDescent="0.2">
      <c r="A701" s="91">
        <v>770</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Ketoconazole coadmin sequential</v>
      </c>
      <c r="E701" s="188" t="str">
        <f>IF(AND(A701&lt;&gt;"",ISNUMBER(A701)),VLOOKUP(A701,Studies!A:BR,5,FALSE),"")</f>
        <v>Alfentanil</v>
      </c>
      <c r="F701" s="78" t="s">
        <v>2169</v>
      </c>
    </row>
    <row r="702" spans="1:6" hidden="1" x14ac:dyDescent="0.2">
      <c r="A702" s="91">
        <v>771</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Rifampin coadmin sequential</v>
      </c>
      <c r="E702" s="188" t="str">
        <f>IF(AND(A702&lt;&gt;"",ISNUMBER(A702)),VLOOKUP(A702,Studies!A:BR,5,FALSE),"")</f>
        <v>Alfentanil</v>
      </c>
      <c r="F702" s="78" t="s">
        <v>1287</v>
      </c>
    </row>
    <row r="703" spans="1:6" hidden="1" x14ac:dyDescent="0.2">
      <c r="A703" s="91">
        <v>772</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Control simultaneous</v>
      </c>
      <c r="E703" s="188" t="str">
        <f>IF(AND(A703&lt;&gt;"",ISNUMBER(A703)),VLOOKUP(A703,Studies!A:BR,5,FALSE),"")</f>
        <v>Alfentanil</v>
      </c>
      <c r="F703" s="78" t="s">
        <v>2168</v>
      </c>
    </row>
    <row r="704" spans="1:6" hidden="1" x14ac:dyDescent="0.2">
      <c r="A704" s="91">
        <v>773</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Grapefruit coadmin simultaneous</v>
      </c>
      <c r="E704" s="188" t="str">
        <f>IF(AND(A704&lt;&gt;"",ISNUMBER(A704)),VLOOKUP(A704,Studies!A:BR,5,FALSE),"")</f>
        <v>Alfentanil</v>
      </c>
      <c r="F704" s="78" t="s">
        <v>339</v>
      </c>
    </row>
    <row r="705" spans="1:6" hidden="1" x14ac:dyDescent="0.2">
      <c r="A705" s="91">
        <v>774</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Ketoconazole coadmin simultaneous</v>
      </c>
      <c r="E705" s="188" t="str">
        <f>IF(AND(A705&lt;&gt;"",ISNUMBER(A705)),VLOOKUP(A705,Studies!A:BR,5,FALSE),"")</f>
        <v>Alfentanil</v>
      </c>
      <c r="F705" s="78" t="s">
        <v>2169</v>
      </c>
    </row>
    <row r="706" spans="1:6" hidden="1" x14ac:dyDescent="0.2">
      <c r="A706" s="91">
        <v>775</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Rifampin coadmin simultaneous</v>
      </c>
      <c r="E706" s="188" t="str">
        <f>IF(AND(A706&lt;&gt;"",ISNUMBER(A706)),VLOOKUP(A706,Studies!A:BR,5,FALSE),"")</f>
        <v>Alfentanil</v>
      </c>
      <c r="F706" s="78" t="s">
        <v>1287</v>
      </c>
    </row>
    <row r="707" spans="1:6" hidden="1" x14ac:dyDescent="0.2">
      <c r="A707" s="91">
        <v>776</v>
      </c>
      <c r="B707" s="188" t="str">
        <f>IF(AND(A707&lt;&gt;"",ISNUMBER(A707)),VLOOKUP(A707,Studies!A:BR,2,FALSE),"")</f>
        <v>Yasui 1996</v>
      </c>
      <c r="C707" s="188" t="str">
        <f>IF(AND(A707&lt;&gt;"",ISNUMBER(A707)),VLOOKUP(A707,Studies!A:BR,3,FALSE),"")</f>
        <v>https://www.ncbi.nlm.nih.gov/pubmed/8646822</v>
      </c>
      <c r="D707" s="252" t="str">
        <f>IF(AND(A707&lt;&gt;"",ISNUMBER(A707)),VLOOKUP(A707,Studies!A:BR,4,FALSE),"")</f>
        <v>Treatment with placebo</v>
      </c>
      <c r="E707" s="188" t="str">
        <f>IF(AND(A707&lt;&gt;"",ISNUMBER(A707)),VLOOKUP(A707,Studies!A:BR,5,FALSE),"")</f>
        <v>Alprazolam</v>
      </c>
      <c r="F707" s="78" t="s">
        <v>2053</v>
      </c>
    </row>
    <row r="708" spans="1:6" hidden="1" x14ac:dyDescent="0.2">
      <c r="A708" s="91">
        <v>777</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erythromycin</v>
      </c>
      <c r="E708" s="188" t="str">
        <f>IF(AND(A708&lt;&gt;"",ISNUMBER(A708)),VLOOKUP(A708,Studies!A:BR,5,FALSE),"")</f>
        <v>Alprazolam</v>
      </c>
      <c r="F708" s="78" t="s">
        <v>2194</v>
      </c>
    </row>
    <row r="709" spans="1:6" hidden="1" x14ac:dyDescent="0.2">
      <c r="A709" s="91">
        <v>778</v>
      </c>
      <c r="B709" s="188" t="str">
        <f>IF(AND(A709&lt;&gt;"",ISNUMBER(A709)),VLOOKUP(A709,Studies!A:BR,2,FALSE),"")</f>
        <v>Bartkowski 1989</v>
      </c>
      <c r="C709" s="188" t="str">
        <f>IF(AND(A709&lt;&gt;"",ISNUMBER(A709)),VLOOKUP(A709,Studies!A:BR,3,FALSE),"")</f>
        <v>https://www.ncbi.nlm.nih.gov/pubmed/2501060</v>
      </c>
      <c r="D709" s="252" t="str">
        <f>IF(AND(A709&lt;&gt;"",ISNUMBER(A709)),VLOOKUP(A709,Studies!A:BR,4,FALSE),"")</f>
        <v>Control</v>
      </c>
      <c r="E709" s="188" t="str">
        <f>IF(AND(A709&lt;&gt;"",ISNUMBER(A709)),VLOOKUP(A709,Studies!A:BR,5,FALSE),"")</f>
        <v>Alfentanil</v>
      </c>
      <c r="F709" s="78" t="s">
        <v>2195</v>
      </c>
    </row>
    <row r="710" spans="1:6" hidden="1" x14ac:dyDescent="0.2">
      <c r="A710" s="91">
        <v>779</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Treatment Day 1</v>
      </c>
      <c r="E710" s="188" t="str">
        <f>IF(AND(A710&lt;&gt;"",ISNUMBER(A710)),VLOOKUP(A710,Studies!A:BR,5,FALSE),"")</f>
        <v>Alfentanil</v>
      </c>
      <c r="F710" s="78" t="s">
        <v>2195</v>
      </c>
    </row>
    <row r="711" spans="1:6" hidden="1" x14ac:dyDescent="0.2">
      <c r="A711" s="91">
        <v>780</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7</v>
      </c>
      <c r="E711" s="188" t="str">
        <f>IF(AND(A711&lt;&gt;"",ISNUMBER(A711)),VLOOKUP(A711,Studies!A:BR,5,FALSE),"")</f>
        <v>Alfentanil</v>
      </c>
      <c r="F711" s="78" t="s">
        <v>2195</v>
      </c>
    </row>
    <row r="712" spans="1:6" hidden="1" x14ac:dyDescent="0.2">
      <c r="A712" s="91">
        <v>781</v>
      </c>
      <c r="B712" s="188" t="str">
        <f>IF(AND(A712&lt;&gt;"",ISNUMBER(A712)),VLOOKUP(A712,Studies!A:BR,2,FALSE),"")</f>
        <v>Greenblatt 1998a</v>
      </c>
      <c r="C712" s="188" t="str">
        <f>IF(AND(A712&lt;&gt;"",ISNUMBER(A712)),VLOOKUP(A712,Studies!A:BR,3,FALSE),"")</f>
        <v>https://www.ncbi.nlm.nih.gov/pubmed/9757151</v>
      </c>
      <c r="D712" s="252" t="str">
        <f>IF(AND(A712&lt;&gt;"",ISNUMBER(A712)),VLOOKUP(A712,Studies!A:BR,4,FALSE),"")</f>
        <v>Triazolam + Erythromycin (Trial D)</v>
      </c>
      <c r="E712" s="188" t="str">
        <f>IF(AND(A712&lt;&gt;"",ISNUMBER(A712)),VLOOKUP(A712,Studies!A:BR,5,FALSE),"")</f>
        <v>Triazolam</v>
      </c>
      <c r="F712" s="78" t="s">
        <v>2193</v>
      </c>
    </row>
    <row r="713" spans="1:6" hidden="1" x14ac:dyDescent="0.2">
      <c r="A713" s="91">
        <v>782</v>
      </c>
      <c r="B713" s="188" t="str">
        <f>IF(AND(A713&lt;&gt;"",ISNUMBER(A713)),VLOOKUP(A713,Studies!A:BR,2,FALSE),"")</f>
        <v>Dooley 2012</v>
      </c>
      <c r="C713" s="188" t="str">
        <f>IF(AND(A713&lt;&gt;"",ISNUMBER(A713)),VLOOKUP(A713,Studies!A:BR,3,FALSE),"")</f>
        <v>https://www.ncbi.nlm.nih.gov/pubmed/22126739</v>
      </c>
      <c r="D713" s="252" t="str">
        <f>IF(AND(A713&lt;&gt;"",ISNUMBER(A713)),VLOOKUP(A713,Studies!A:BR,4,FALSE),"")</f>
        <v>Extensive metabolizer</v>
      </c>
      <c r="E713" s="188" t="str">
        <f>IF(AND(A713&lt;&gt;"",ISNUMBER(A713)),VLOOKUP(A713,Studies!A:BR,5,FALSE),"")</f>
        <v>Efavirenz</v>
      </c>
      <c r="F713" s="78" t="s">
        <v>2201</v>
      </c>
    </row>
    <row r="714" spans="1:6" hidden="1" x14ac:dyDescent="0.2">
      <c r="A714" s="91">
        <v>783</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Intermediate metabolizer</v>
      </c>
      <c r="E714" s="188" t="str">
        <f>IF(AND(A714&lt;&gt;"",ISNUMBER(A714)),VLOOKUP(A714,Studies!A:BR,5,FALSE),"")</f>
        <v>Efavirenz</v>
      </c>
      <c r="F714" s="78" t="s">
        <v>2201</v>
      </c>
    </row>
    <row r="715" spans="1:6" hidden="1" x14ac:dyDescent="0.2">
      <c r="A715" s="91">
        <v>784</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Slow metabolizer</v>
      </c>
      <c r="E715" s="188" t="str">
        <f>IF(AND(A715&lt;&gt;"",ISNUMBER(A715)),VLOOKUP(A715,Studies!A:BR,5,FALSE),"")</f>
        <v>Efavirenz</v>
      </c>
      <c r="F715" s="78" t="s">
        <v>2201</v>
      </c>
    </row>
    <row r="716" spans="1:6" hidden="1" x14ac:dyDescent="0.2">
      <c r="A716" s="91">
        <v>785</v>
      </c>
      <c r="B716" s="188" t="str">
        <f>IF(AND(A716&lt;&gt;"",ISNUMBER(A716)),VLOOKUP(A716,Studies!A:BR,2,FALSE),"")</f>
        <v>Garg 2013</v>
      </c>
      <c r="C716" s="188" t="str">
        <f>IF(AND(A716&lt;&gt;"",ISNUMBER(A716)),VLOOKUP(A716,Studies!A:BR,3,FALSE),"")</f>
        <v>https://www.ncbi.nlm.nih.gov/pubmed/22642697</v>
      </c>
      <c r="D716" s="252" t="str">
        <f>IF(AND(A716&lt;&gt;"",ISNUMBER(A716)),VLOOKUP(A716,Studies!A:BR,4,FALSE),"")</f>
        <v>Efavirenz without telaprevir</v>
      </c>
      <c r="E716" s="188" t="str">
        <f>IF(AND(A716&lt;&gt;"",ISNUMBER(A716)),VLOOKUP(A716,Studies!A:BR,5,FALSE),"")</f>
        <v>Efavirenz</v>
      </c>
      <c r="F716" s="78" t="s">
        <v>2201</v>
      </c>
    </row>
    <row r="717" spans="1:6" hidden="1" x14ac:dyDescent="0.2">
      <c r="A717" s="91">
        <v>786</v>
      </c>
      <c r="B717" s="188" t="str">
        <f>IF(AND(A717&lt;&gt;"",ISNUMBER(A717)),VLOOKUP(A717,Studies!A:BR,2,FALSE),"")</f>
        <v>Huang 2013</v>
      </c>
      <c r="C717" s="188" t="str">
        <f>IF(AND(A717&lt;&gt;"",ISNUMBER(A717)),VLOOKUP(A717,Studies!A:BR,3,FALSE),"")</f>
        <v>https://www.ncbi.nlm.nih.gov/pubmed/22918158</v>
      </c>
      <c r="D717" s="252" t="str">
        <f>IF(AND(A717&lt;&gt;"",ISNUMBER(A717)),VLOOKUP(A717,Studies!A:BR,4,FALSE),"")</f>
        <v>EFV administration alone</v>
      </c>
      <c r="E717" s="188" t="str">
        <f>IF(AND(A717&lt;&gt;"",ISNUMBER(A717)),VLOOKUP(A717,Studies!A:BR,5,FALSE),"")</f>
        <v>Efavirenz</v>
      </c>
      <c r="F717" s="78" t="s">
        <v>2201</v>
      </c>
    </row>
    <row r="718" spans="1:6" hidden="1" x14ac:dyDescent="0.2">
      <c r="A718" s="91">
        <v>787</v>
      </c>
      <c r="B718" s="188" t="str">
        <f>IF(AND(A718&lt;&gt;"",ISNUMBER(A718)),VLOOKUP(A718,Studies!A:BR,2,FALSE),"")</f>
        <v>Mouly 2002</v>
      </c>
      <c r="C718" s="188" t="str">
        <f>IF(AND(A718&lt;&gt;"",ISNUMBER(A718)),VLOOKUP(A718,Studies!A:BR,3,FALSE),"")</f>
        <v>https://www.ncbi.nlm.nih.gov/pubmed/12151999</v>
      </c>
      <c r="D718" s="252" t="str">
        <f>IF(AND(A718&lt;&gt;"",ISNUMBER(A718)),VLOOKUP(A718,Studies!A:BR,4,FALSE),"")</f>
        <v>200 mg, Day 1</v>
      </c>
      <c r="E718" s="188" t="str">
        <f>IF(AND(A718&lt;&gt;"",ISNUMBER(A718)),VLOOKUP(A718,Studies!A:BR,5,FALSE),"")</f>
        <v>Efavirenz</v>
      </c>
      <c r="F718" s="78" t="s">
        <v>2201</v>
      </c>
    </row>
    <row r="719" spans="1:6" hidden="1" x14ac:dyDescent="0.2">
      <c r="A719" s="91">
        <v>788</v>
      </c>
      <c r="B719" s="188" t="str">
        <f>IF(AND(A719&lt;&gt;"",ISNUMBER(A719)),VLOOKUP(A719,Studies!A:BR,2,FALSE),"")</f>
        <v>Mouly 2002</v>
      </c>
      <c r="C719" s="188" t="str">
        <f>IF(AND(A719&lt;&gt;"",ISNUMBER(A719)),VLOOKUP(A719,Studies!A:BR,3,FALSE),"")</f>
        <v>https://www.ncbi.nlm.nih.gov/pubmed/12151999</v>
      </c>
      <c r="D719" s="252" t="str">
        <f>IF(AND(A719&lt;&gt;"",ISNUMBER(A719)),VLOOKUP(A719,Studies!A:BR,4,FALSE),"")</f>
        <v>400 mg, Day 1</v>
      </c>
      <c r="E719" s="188" t="str">
        <f>IF(AND(A719&lt;&gt;"",ISNUMBER(A719)),VLOOKUP(A719,Studies!A:BR,5,FALSE),"")</f>
        <v>Efavirenz</v>
      </c>
      <c r="F719" s="78" t="s">
        <v>2201</v>
      </c>
    </row>
    <row r="720" spans="1:6" hidden="1" x14ac:dyDescent="0.2">
      <c r="A720" s="91">
        <v>789</v>
      </c>
      <c r="B720" s="188" t="str">
        <f>IF(AND(A720&lt;&gt;"",ISNUMBER(A720)),VLOOKUP(A720,Studies!A:BR,2,FALSE),"")</f>
        <v>Mouly 2002</v>
      </c>
      <c r="C720" s="188" t="str">
        <f>IF(AND(A720&lt;&gt;"",ISNUMBER(A720)),VLOOKUP(A720,Studies!A:BR,3,FALSE),"")</f>
        <v>https://www.ncbi.nlm.nih.gov/pubmed/12151999</v>
      </c>
      <c r="D720" s="252" t="str">
        <f>IF(AND(A720&lt;&gt;"",ISNUMBER(A720)),VLOOKUP(A720,Studies!A:BR,4,FALSE),"")</f>
        <v>200 mg, Day 10</v>
      </c>
      <c r="E720" s="188" t="str">
        <f>IF(AND(A720&lt;&gt;"",ISNUMBER(A720)),VLOOKUP(A720,Studies!A:BR,5,FALSE),"")</f>
        <v>Efavirenz</v>
      </c>
      <c r="F720" s="78" t="s">
        <v>2201</v>
      </c>
    </row>
    <row r="721" spans="1:6" hidden="1" x14ac:dyDescent="0.2">
      <c r="A721" s="91">
        <v>790</v>
      </c>
      <c r="B721" s="188" t="str">
        <f>IF(AND(A721&lt;&gt;"",ISNUMBER(A721)),VLOOKUP(A721,Studies!A:BR,2,FALSE),"")</f>
        <v>Mouly 2002</v>
      </c>
      <c r="C721" s="188" t="str">
        <f>IF(AND(A721&lt;&gt;"",ISNUMBER(A721)),VLOOKUP(A721,Studies!A:BR,3,FALSE),"")</f>
        <v>https://www.ncbi.nlm.nih.gov/pubmed/12151999</v>
      </c>
      <c r="D721" s="252" t="str">
        <f>IF(AND(A721&lt;&gt;"",ISNUMBER(A721)),VLOOKUP(A721,Studies!A:BR,4,FALSE),"")</f>
        <v>400 mg, Day 10</v>
      </c>
      <c r="E721" s="188" t="str">
        <f>IF(AND(A721&lt;&gt;"",ISNUMBER(A721)),VLOOKUP(A721,Studies!A:BR,5,FALSE),"")</f>
        <v>Efavirenz</v>
      </c>
      <c r="F721" s="78" t="s">
        <v>2201</v>
      </c>
    </row>
    <row r="722" spans="1:6" hidden="1" x14ac:dyDescent="0.2">
      <c r="A722" s="91">
        <v>791</v>
      </c>
      <c r="B722" s="188" t="str">
        <f>IF(AND(A722&lt;&gt;"",ISNUMBER(A722)),VLOOKUP(A722,Studies!A:BR,2,FALSE),"")</f>
        <v>Xu 2013</v>
      </c>
      <c r="C722" s="188" t="str">
        <f>IF(AND(A722&lt;&gt;"",ISNUMBER(A722)),VLOOKUP(A722,Studies!A:BR,3,FALSE),"")</f>
        <v>https://www.ncbi.nlm.nih.gov/pubmed/23846872</v>
      </c>
      <c r="D722" s="252" t="str">
        <f>IF(AND(A722&lt;&gt;"",ISNUMBER(A722)),VLOOKUP(A722,Studies!A:BR,4,FALSE),"")</f>
        <v>CYP2B6*1/*1 genotype</v>
      </c>
      <c r="E722" s="188" t="str">
        <f>IF(AND(A722&lt;&gt;"",ISNUMBER(A722)),VLOOKUP(A722,Studies!A:BR,5,FALSE),"")</f>
        <v>Efavirenz</v>
      </c>
      <c r="F722" s="78" t="s">
        <v>2201</v>
      </c>
    </row>
    <row r="723" spans="1:6" hidden="1" x14ac:dyDescent="0.2">
      <c r="A723" s="91">
        <v>792</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CYP2B6*1/*6 genotype</v>
      </c>
      <c r="E723" s="188" t="str">
        <f>IF(AND(A723&lt;&gt;"",ISNUMBER(A723)),VLOOKUP(A723,Studies!A:BR,5,FALSE),"")</f>
        <v>Efavirenz</v>
      </c>
      <c r="F723" s="78" t="s">
        <v>2201</v>
      </c>
    </row>
    <row r="724" spans="1:6" hidden="1" x14ac:dyDescent="0.2">
      <c r="A724" s="91">
        <v>793</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CYP2B6*6/*6 genotype</v>
      </c>
      <c r="E724" s="188" t="str">
        <f>IF(AND(A724&lt;&gt;"",ISNUMBER(A724)),VLOOKUP(A724,Studies!A:BR,5,FALSE),"")</f>
        <v>Efavirenz</v>
      </c>
      <c r="F724" s="78" t="s">
        <v>2201</v>
      </c>
    </row>
    <row r="725" spans="1:6" hidden="1" x14ac:dyDescent="0.2">
      <c r="A725" s="91">
        <v>794</v>
      </c>
      <c r="B725" s="188" t="str">
        <f>IF(AND(A725&lt;&gt;"",ISNUMBER(A725)),VLOOKUP(A725,Studies!A:BR,2,FALSE),"")</f>
        <v>Damle 2008</v>
      </c>
      <c r="C725" s="188" t="str">
        <f>IF(AND(A725&lt;&gt;"",ISNUMBER(A725)),VLOOKUP(A725,Studies!A:BR,3,FALSE),"")</f>
        <v>https://www.ncbi.nlm.nih.gov/pubmed/18294336</v>
      </c>
      <c r="D725" s="252" t="str">
        <f>IF(AND(A725&lt;&gt;"",ISNUMBER(A725)),VLOOKUP(A725,Studies!A:BR,4,FALSE),"")</f>
        <v>Efavirenz alone</v>
      </c>
      <c r="E725" s="188" t="str">
        <f>IF(AND(A725&lt;&gt;"",ISNUMBER(A725)),VLOOKUP(A725,Studies!A:BR,5,FALSE),"")</f>
        <v>Efavirenz</v>
      </c>
      <c r="F725" s="78" t="s">
        <v>2201</v>
      </c>
    </row>
    <row r="726" spans="1:6" hidden="1" x14ac:dyDescent="0.2">
      <c r="A726" s="91">
        <v>795</v>
      </c>
      <c r="B726" s="188" t="str">
        <f>IF(AND(A726&lt;&gt;"",ISNUMBER(A726)),VLOOKUP(A726,Studies!A:BR,2,FALSE),"")</f>
        <v>Liu 2008</v>
      </c>
      <c r="C726" s="188" t="str">
        <f>IF(AND(A726&lt;&gt;"",ISNUMBER(A726)),VLOOKUP(A726,Studies!A:BR,3,FALSE),"")</f>
        <v>https://www.ncbi.nlm.nih.gov/pubmed/18025525</v>
      </c>
      <c r="D726" s="252" t="str">
        <f>IF(AND(A726&lt;&gt;"",ISNUMBER(A726)),VLOOKUP(A726,Studies!A:BR,4,FALSE),"")</f>
        <v>Group 1, efavirenz alone</v>
      </c>
      <c r="E726" s="188" t="str">
        <f>IF(AND(A726&lt;&gt;"",ISNUMBER(A726)),VLOOKUP(A726,Studies!A:BR,5,FALSE),"")</f>
        <v>Efavirenz</v>
      </c>
      <c r="F726" s="78" t="s">
        <v>2201</v>
      </c>
    </row>
    <row r="727" spans="1:6" hidden="1" x14ac:dyDescent="0.2">
      <c r="A727" s="91">
        <v>796</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2, efavirenz alone</v>
      </c>
      <c r="E727" s="188" t="str">
        <f>IF(AND(A727&lt;&gt;"",ISNUMBER(A727)),VLOOKUP(A727,Studies!A:BR,5,FALSE),"")</f>
        <v>Efavirenz</v>
      </c>
      <c r="F727" s="78" t="s">
        <v>2201</v>
      </c>
    </row>
    <row r="728" spans="1:6" hidden="1" x14ac:dyDescent="0.2">
      <c r="A728" s="91">
        <v>797</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 placebo</v>
      </c>
      <c r="E728" s="188" t="str">
        <f>IF(AND(A728&lt;&gt;"",ISNUMBER(A728)),VLOOKUP(A728,Studies!A:BR,5,FALSE),"")</f>
        <v>Efavirenz</v>
      </c>
      <c r="F728" s="78" t="s">
        <v>2201</v>
      </c>
    </row>
    <row r="729" spans="1:6" hidden="1" x14ac:dyDescent="0.2">
      <c r="A729" s="91">
        <v>798</v>
      </c>
      <c r="B729" s="188" t="str">
        <f>IF(AND(A729&lt;&gt;"",ISNUMBER(A729)),VLOOKUP(A729,Studies!A:BR,2,FALSE),"")</f>
        <v>Malvestutto 2014</v>
      </c>
      <c r="C729" s="188" t="str">
        <f>IF(AND(A729&lt;&gt;"",ISNUMBER(A729)),VLOOKUP(A729,Studies!A:BR,3,FALSE),"")</f>
        <v>https://www.ncbi.nlm.nih.gov/pubmed/25202920</v>
      </c>
      <c r="D729" s="252" t="str">
        <f>IF(AND(A729&lt;&gt;"",ISNUMBER(A729)),VLOOKUP(A729,Studies!A:BR,4,FALSE),"")</f>
        <v>Efavirenz alone</v>
      </c>
      <c r="E729" s="188" t="str">
        <f>IF(AND(A729&lt;&gt;"",ISNUMBER(A729)),VLOOKUP(A729,Studies!A:BR,5,FALSE),"")</f>
        <v>Efavirenz</v>
      </c>
      <c r="F729" s="78" t="s">
        <v>2201</v>
      </c>
    </row>
    <row r="730" spans="1:6" hidden="1" x14ac:dyDescent="0.2">
      <c r="A730" s="91">
        <v>799</v>
      </c>
      <c r="B730" s="188" t="str">
        <f>IF(AND(A730&lt;&gt;"",ISNUMBER(A730)),VLOOKUP(A730,Studies!A:BR,2,FALSE),"")</f>
        <v>Soon 2010</v>
      </c>
      <c r="C730" s="188" t="str">
        <f>IF(AND(A730&lt;&gt;"",ISNUMBER(A730)),VLOOKUP(A730,Studies!A:BR,3,FALSE),"")</f>
        <v>https://www.ncbi.nlm.nih.gov/pubmed/20385850</v>
      </c>
      <c r="D730" s="252" t="str">
        <f>IF(AND(A730&lt;&gt;"",ISNUMBER(A730)),VLOOKUP(A730,Studies!A:BR,4,FALSE),"")</f>
        <v>Efavirenz alone</v>
      </c>
      <c r="E730" s="188" t="str">
        <f>IF(AND(A730&lt;&gt;"",ISNUMBER(A730)),VLOOKUP(A730,Studies!A:BR,5,FALSE),"")</f>
        <v>Efavirenz</v>
      </c>
      <c r="F730" s="78" t="s">
        <v>2201</v>
      </c>
    </row>
    <row r="731" spans="1:6" hidden="1" x14ac:dyDescent="0.2">
      <c r="A731" s="91">
        <v>800</v>
      </c>
      <c r="B731" s="188" t="str">
        <f>IF(AND(A731&lt;&gt;"",ISNUMBER(A731)),VLOOKUP(A731,Studies!A:BR,2,FALSE),"")</f>
        <v>Kharasch 2012</v>
      </c>
      <c r="C731" s="188" t="str">
        <f>IF(AND(A731&lt;&gt;"",ISNUMBER(A731)),VLOOKUP(A731,Studies!A:BR,3,FALSE),"")</f>
        <v>https://www.ncbi.nlm.nih.gov/pubmed/22398970</v>
      </c>
      <c r="D731" s="252" t="str">
        <f>IF(AND(A731&lt;&gt;"",ISNUMBER(A731)),VLOOKUP(A731,Studies!A:BR,4,FALSE),"")</f>
        <v>Alfenatil PO alone</v>
      </c>
      <c r="E731" s="188" t="str">
        <f>IF(AND(A731&lt;&gt;"",ISNUMBER(A731)),VLOOKUP(A731,Studies!A:BR,5,FALSE),"")</f>
        <v>Alfentanil</v>
      </c>
      <c r="F731" s="78" t="s">
        <v>2270</v>
      </c>
    </row>
    <row r="732" spans="1:6" hidden="1" x14ac:dyDescent="0.2">
      <c r="A732" s="91">
        <v>801</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 efavirenz</v>
      </c>
      <c r="E732" s="188" t="str">
        <f>IF(AND(A732&lt;&gt;"",ISNUMBER(A732)),VLOOKUP(A732,Studies!A:BR,5,FALSE),"")</f>
        <v>Alfentanil</v>
      </c>
      <c r="F732" s="78" t="s">
        <v>2270</v>
      </c>
    </row>
    <row r="733" spans="1:6" hidden="1" x14ac:dyDescent="0.2">
      <c r="A733" s="91">
        <v>802</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IV alone</v>
      </c>
      <c r="E733" s="188" t="str">
        <f>IF(AND(A733&lt;&gt;"",ISNUMBER(A733)),VLOOKUP(A733,Studies!A:BR,5,FALSE),"")</f>
        <v>Alfentanil</v>
      </c>
      <c r="F733" s="78" t="s">
        <v>2270</v>
      </c>
    </row>
    <row r="734" spans="1:6" hidden="1" x14ac:dyDescent="0.2">
      <c r="A734" s="91">
        <v>803</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 efavirenz</v>
      </c>
      <c r="E734" s="188" t="str">
        <f>IF(AND(A734&lt;&gt;"",ISNUMBER(A734)),VLOOKUP(A734,Studies!A:BR,5,FALSE),"")</f>
        <v>Alfentanil</v>
      </c>
      <c r="F734" s="78" t="s">
        <v>2270</v>
      </c>
    </row>
    <row r="735" spans="1:6" hidden="1" x14ac:dyDescent="0.2">
      <c r="A735" s="91">
        <v>804</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Day 1</v>
      </c>
      <c r="E735" s="188" t="str">
        <f>IF(AND(A735&lt;&gt;"",ISNUMBER(A735)),VLOOKUP(A735,Studies!A:BR,5,FALSE),"")</f>
        <v>Efavirenz</v>
      </c>
      <c r="F735" s="78" t="s">
        <v>2201</v>
      </c>
    </row>
    <row r="736" spans="1:6" hidden="1" x14ac:dyDescent="0.2">
      <c r="A736" s="91">
        <v>805</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14</v>
      </c>
      <c r="E736" s="188" t="str">
        <f>IF(AND(A736&lt;&gt;"",ISNUMBER(A736)),VLOOKUP(A736,Studies!A:BR,5,FALSE),"")</f>
        <v>Efavirenz</v>
      </c>
      <c r="F736" s="78" t="s">
        <v>2201</v>
      </c>
    </row>
    <row r="737" spans="1:6" hidden="1" x14ac:dyDescent="0.2">
      <c r="A737" s="78">
        <v>1001</v>
      </c>
      <c r="B737" s="188" t="str">
        <f>IF(AND(A737&lt;&gt;"",ISNUMBER(A737)),VLOOKUP(A737,Studies!A:BR,2,FALSE),"")</f>
        <v>Schmider 1999</v>
      </c>
      <c r="C737" s="188" t="str">
        <f>IF(AND(A737&lt;&gt;"",ISNUMBER(A737)),VLOOKUP(A737,Studies!A:BR,3,FALSE),"")</f>
        <v>https://www.ncbi.nlm.nih.gov/pubmed/10634135</v>
      </c>
      <c r="D737" s="252" t="str">
        <f>IF(AND(A737&lt;&gt;"",ISNUMBER(A737)),VLOOKUP(A737,Studies!A:BR,4,FALSE),"")</f>
        <v>Alprazolam + Rifampin</v>
      </c>
      <c r="E737" s="188" t="str">
        <f>IF(AND(A737&lt;&gt;"",ISNUMBER(A737)),VLOOKUP(A737,Studies!A:BR,5,FALSE),"")</f>
        <v>Alprazolam</v>
      </c>
      <c r="F737" s="78" t="s">
        <v>2856</v>
      </c>
    </row>
    <row r="738" spans="1:6" hidden="1" x14ac:dyDescent="0.2">
      <c r="A738" s="78">
        <v>1002</v>
      </c>
      <c r="B738" s="188" t="str">
        <f>IF(AND(A738&lt;&gt;"",ISNUMBER(A738)),VLOOKUP(A738,Studies!A:BR,2,FALSE),"")</f>
        <v>Schmider 1999</v>
      </c>
      <c r="C738" s="188" t="str">
        <f>IF(AND(A738&lt;&gt;"",ISNUMBER(A738)),VLOOKUP(A738,Studies!A:BR,3,FALSE),"")</f>
        <v>https://www.ncbi.nlm.nih.gov/pubmed/10634135</v>
      </c>
      <c r="D738" s="252" t="str">
        <f>IF(AND(A738&lt;&gt;"",ISNUMBER(A738)),VLOOKUP(A738,Studies!A:BR,4,FALSE),"")</f>
        <v>Alprazolam + Ketoconazole</v>
      </c>
      <c r="E738" s="188" t="str">
        <f>IF(AND(A738&lt;&gt;"",ISNUMBER(A738)),VLOOKUP(A738,Studies!A:BR,5,FALSE),"")</f>
        <v>Alprazolam</v>
      </c>
      <c r="F738" s="78" t="s">
        <v>2857</v>
      </c>
    </row>
    <row r="739" spans="1:6" hidden="1" x14ac:dyDescent="0.2">
      <c r="A739" s="78">
        <v>1004</v>
      </c>
      <c r="B739" s="188" t="str">
        <f>IF(AND(A739&lt;&gt;"",ISNUMBER(A739)),VLOOKUP(A739,Studies!A:BR,2,FALSE),"")</f>
        <v>Villikka 1997</v>
      </c>
      <c r="C739" s="188" t="str">
        <f>IF(AND(A739&lt;&gt;"",ISNUMBER(A739)),VLOOKUP(A739,Studies!A:BR,3,FALSE),"")</f>
        <v>https://www.ncbi.nlm.nih.gov/pubmed/9024169</v>
      </c>
      <c r="D739" s="252" t="str">
        <f>IF(AND(A739&lt;&gt;"",ISNUMBER(A739)),VLOOKUP(A739,Studies!A:BR,4,FALSE),"")</f>
        <v>Treatment arm (pretreatment with rifampin; 600 mg; 5 days)</v>
      </c>
      <c r="E739" s="188" t="str">
        <f>IF(AND(A739&lt;&gt;"",ISNUMBER(A739)),VLOOKUP(A739,Studies!A:BR,5,FALSE),"")</f>
        <v>Triazolam</v>
      </c>
      <c r="F739" s="78" t="s">
        <v>2941</v>
      </c>
    </row>
    <row r="740" spans="1:6" hidden="1" x14ac:dyDescent="0.2">
      <c r="A740" s="78">
        <v>1005</v>
      </c>
      <c r="B740" s="188" t="str">
        <f>IF(AND(A740&lt;&gt;"",ISNUMBER(A740)),VLOOKUP(A740,Studies!A:BR,2,FALSE),"")</f>
        <v>Villikka 1997</v>
      </c>
      <c r="C740" s="188" t="str">
        <f>IF(AND(A740&lt;&gt;"",ISNUMBER(A740)),VLOOKUP(A740,Studies!A:BR,3,FALSE),"")</f>
        <v>https://www.ncbi.nlm.nih.gov/pubmed/9024169</v>
      </c>
      <c r="D740" s="252" t="str">
        <f>IF(AND(A740&lt;&gt;"",ISNUMBER(A740)),VLOOKUP(A740,Studies!A:BR,4,FALSE),"")</f>
        <v>Control arm (pretreatment with placebo for 5 days); Subject 1</v>
      </c>
      <c r="E740" s="188" t="str">
        <f>IF(AND(A740&lt;&gt;"",ISNUMBER(A740)),VLOOKUP(A740,Studies!A:BR,5,FALSE),"")</f>
        <v>Triazolam</v>
      </c>
      <c r="F740" s="78" t="s">
        <v>2940</v>
      </c>
    </row>
    <row r="741" spans="1:6" hidden="1" x14ac:dyDescent="0.2">
      <c r="A741" s="78">
        <v>1006</v>
      </c>
      <c r="B741" s="188" t="str">
        <f>IF(AND(A741&lt;&gt;"",ISNUMBER(A741)),VLOOKUP(A741,Studies!A:BR,2,FALSE),"")</f>
        <v>Villikka 1997</v>
      </c>
      <c r="C741" s="188" t="str">
        <f>IF(AND(A741&lt;&gt;"",ISNUMBER(A741)),VLOOKUP(A741,Studies!A:BR,3,FALSE),"")</f>
        <v>https://www.ncbi.nlm.nih.gov/pubmed/9024169</v>
      </c>
      <c r="D741" s="252" t="str">
        <f>IF(AND(A741&lt;&gt;"",ISNUMBER(A741)),VLOOKUP(A741,Studies!A:BR,4,FALSE),"")</f>
        <v>Control arm (pretreatment with placebo for 5 days); Subject 2</v>
      </c>
      <c r="E741" s="188" t="str">
        <f>IF(AND(A741&lt;&gt;"",ISNUMBER(A741)),VLOOKUP(A741,Studies!A:BR,5,FALSE),"")</f>
        <v>Triazolam</v>
      </c>
      <c r="F741" s="78" t="s">
        <v>2940</v>
      </c>
    </row>
    <row r="742" spans="1:6" hidden="1" x14ac:dyDescent="0.2">
      <c r="A742" s="78">
        <v>1007</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Control arm (pretreatment with placebo for 5 days); Subject 3</v>
      </c>
      <c r="E742" s="188" t="str">
        <f>IF(AND(A742&lt;&gt;"",ISNUMBER(A742)),VLOOKUP(A742,Studies!A:BR,5,FALSE),"")</f>
        <v>Triazolam</v>
      </c>
      <c r="F742" s="78" t="s">
        <v>2940</v>
      </c>
    </row>
    <row r="743" spans="1:6" hidden="1" x14ac:dyDescent="0.2">
      <c r="A743" s="78">
        <v>1008</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4</v>
      </c>
      <c r="E743" s="188" t="str">
        <f>IF(AND(A743&lt;&gt;"",ISNUMBER(A743)),VLOOKUP(A743,Studies!A:BR,5,FALSE),"")</f>
        <v>Triazolam</v>
      </c>
      <c r="F743" s="78" t="s">
        <v>2940</v>
      </c>
    </row>
    <row r="744" spans="1:6" hidden="1" x14ac:dyDescent="0.2">
      <c r="A744" s="78">
        <v>1009</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5</v>
      </c>
      <c r="E744" s="188" t="str">
        <f>IF(AND(A744&lt;&gt;"",ISNUMBER(A744)),VLOOKUP(A744,Studies!A:BR,5,FALSE),"")</f>
        <v>Triazolam</v>
      </c>
      <c r="F744" s="78" t="s">
        <v>2940</v>
      </c>
    </row>
    <row r="745" spans="1:6" hidden="1" x14ac:dyDescent="0.2">
      <c r="A745" s="78">
        <v>1010</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6</v>
      </c>
      <c r="E745" s="188" t="str">
        <f>IF(AND(A745&lt;&gt;"",ISNUMBER(A745)),VLOOKUP(A745,Studies!A:BR,5,FALSE),"")</f>
        <v>Triazolam</v>
      </c>
      <c r="F745" s="78" t="s">
        <v>2940</v>
      </c>
    </row>
    <row r="746" spans="1:6" hidden="1" x14ac:dyDescent="0.2">
      <c r="A746" s="78">
        <v>1011</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7</v>
      </c>
      <c r="E746" s="188" t="str">
        <f>IF(AND(A746&lt;&gt;"",ISNUMBER(A746)),VLOOKUP(A746,Studies!A:BR,5,FALSE),"")</f>
        <v>Triazolam</v>
      </c>
      <c r="F746" s="78" t="s">
        <v>2940</v>
      </c>
    </row>
    <row r="747" spans="1:6" hidden="1" x14ac:dyDescent="0.2">
      <c r="A747" s="78">
        <v>1012</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8</v>
      </c>
      <c r="E747" s="188" t="str">
        <f>IF(AND(A747&lt;&gt;"",ISNUMBER(A747)),VLOOKUP(A747,Studies!A:BR,5,FALSE),"")</f>
        <v>Triazolam</v>
      </c>
      <c r="F747" s="78" t="s">
        <v>2940</v>
      </c>
    </row>
    <row r="748" spans="1:6" hidden="1" x14ac:dyDescent="0.2">
      <c r="A748" s="78">
        <v>1013</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9</v>
      </c>
      <c r="E748" s="188" t="str">
        <f>IF(AND(A748&lt;&gt;"",ISNUMBER(A748)),VLOOKUP(A748,Studies!A:BR,5,FALSE),"")</f>
        <v>Triazolam</v>
      </c>
      <c r="F748" s="78" t="s">
        <v>2940</v>
      </c>
    </row>
    <row r="749" spans="1:6" hidden="1" x14ac:dyDescent="0.2">
      <c r="A749" s="78">
        <v>1014</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10</v>
      </c>
      <c r="E749" s="188" t="str">
        <f>IF(AND(A749&lt;&gt;"",ISNUMBER(A749)),VLOOKUP(A749,Studies!A:BR,5,FALSE),"")</f>
        <v>Triazolam</v>
      </c>
      <c r="F749" s="78" t="s">
        <v>2940</v>
      </c>
    </row>
    <row r="750" spans="1:6" hidden="1" x14ac:dyDescent="0.2">
      <c r="A750" s="78">
        <v>1015</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Treatment arm (pretreatment with rifampin; 600 mg; 5 days); Subject 1</v>
      </c>
      <c r="E750" s="188" t="str">
        <f>IF(AND(A750&lt;&gt;"",ISNUMBER(A750)),VLOOKUP(A750,Studies!A:BR,5,FALSE),"")</f>
        <v>Triazolam</v>
      </c>
      <c r="F750" s="78" t="s">
        <v>2941</v>
      </c>
    </row>
    <row r="751" spans="1:6" hidden="1" x14ac:dyDescent="0.2">
      <c r="A751" s="78">
        <v>1016</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Treatment arm (pretreatment with rifampin; 600 mg; 5 days); Subject 2</v>
      </c>
      <c r="E751" s="188" t="str">
        <f>IF(AND(A751&lt;&gt;"",ISNUMBER(A751)),VLOOKUP(A751,Studies!A:BR,5,FALSE),"")</f>
        <v>Triazolam</v>
      </c>
      <c r="F751" s="78" t="s">
        <v>2941</v>
      </c>
    </row>
    <row r="752" spans="1:6" hidden="1" x14ac:dyDescent="0.2">
      <c r="A752" s="78">
        <v>1017</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Treatment arm (pretreatment with rifampin; 600 mg; 5 days); Subject 3</v>
      </c>
      <c r="E752" s="188" t="str">
        <f>IF(AND(A752&lt;&gt;"",ISNUMBER(A752)),VLOOKUP(A752,Studies!A:BR,5,FALSE),"")</f>
        <v>Triazolam</v>
      </c>
      <c r="F752" s="78" t="s">
        <v>2941</v>
      </c>
    </row>
    <row r="753" spans="1:6" hidden="1" x14ac:dyDescent="0.2">
      <c r="A753" s="78">
        <v>1018</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4</v>
      </c>
      <c r="E753" s="188" t="str">
        <f>IF(AND(A753&lt;&gt;"",ISNUMBER(A753)),VLOOKUP(A753,Studies!A:BR,5,FALSE),"")</f>
        <v>Triazolam</v>
      </c>
      <c r="F753" s="78" t="s">
        <v>2941</v>
      </c>
    </row>
    <row r="754" spans="1:6" hidden="1" x14ac:dyDescent="0.2">
      <c r="A754" s="78">
        <v>1019</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5</v>
      </c>
      <c r="E754" s="188" t="str">
        <f>IF(AND(A754&lt;&gt;"",ISNUMBER(A754)),VLOOKUP(A754,Studies!A:BR,5,FALSE),"")</f>
        <v>Triazolam</v>
      </c>
      <c r="F754" s="78" t="s">
        <v>2941</v>
      </c>
    </row>
    <row r="755" spans="1:6" hidden="1" x14ac:dyDescent="0.2">
      <c r="A755" s="78">
        <v>1020</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6</v>
      </c>
      <c r="E755" s="188" t="str">
        <f>IF(AND(A755&lt;&gt;"",ISNUMBER(A755)),VLOOKUP(A755,Studies!A:BR,5,FALSE),"")</f>
        <v>Triazolam</v>
      </c>
      <c r="F755" s="78" t="s">
        <v>2941</v>
      </c>
    </row>
    <row r="756" spans="1:6" hidden="1" x14ac:dyDescent="0.2">
      <c r="A756" s="78">
        <v>1021</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7</v>
      </c>
      <c r="E756" s="188" t="str">
        <f>IF(AND(A756&lt;&gt;"",ISNUMBER(A756)),VLOOKUP(A756,Studies!A:BR,5,FALSE),"")</f>
        <v>Triazolam</v>
      </c>
      <c r="F756" s="78" t="s">
        <v>2941</v>
      </c>
    </row>
    <row r="757" spans="1:6" hidden="1" x14ac:dyDescent="0.2">
      <c r="A757" s="78">
        <v>1022</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8</v>
      </c>
      <c r="E757" s="188" t="str">
        <f>IF(AND(A757&lt;&gt;"",ISNUMBER(A757)),VLOOKUP(A757,Studies!A:BR,5,FALSE),"")</f>
        <v>Triazolam</v>
      </c>
      <c r="F757" s="78" t="s">
        <v>2941</v>
      </c>
    </row>
    <row r="758" spans="1:6" hidden="1" x14ac:dyDescent="0.2">
      <c r="A758" s="78">
        <v>1023</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9</v>
      </c>
      <c r="E758" s="188" t="str">
        <f>IF(AND(A758&lt;&gt;"",ISNUMBER(A758)),VLOOKUP(A758,Studies!A:BR,5,FALSE),"")</f>
        <v>Triazolam</v>
      </c>
      <c r="F758" s="78" t="s">
        <v>2941</v>
      </c>
    </row>
    <row r="759" spans="1:6" hidden="1" x14ac:dyDescent="0.2">
      <c r="A759" s="78">
        <v>1024</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10</v>
      </c>
      <c r="E759" s="188" t="str">
        <f>IF(AND(A759&lt;&gt;"",ISNUMBER(A759)),VLOOKUP(A759,Studies!A:BR,5,FALSE),"")</f>
        <v>Triazolam</v>
      </c>
      <c r="F759" s="78" t="s">
        <v>2941</v>
      </c>
    </row>
    <row r="760" spans="1:6" hidden="1" x14ac:dyDescent="0.2">
      <c r="A760" s="78">
        <v>1025</v>
      </c>
      <c r="B760" s="188" t="str">
        <f>IF(AND(A760&lt;&gt;"",ISNUMBER(A760)),VLOOKUP(A760,Studies!A:BR,2,FALSE),"")</f>
        <v>Yasui 1998</v>
      </c>
      <c r="C760" s="188" t="str">
        <f>IF(AND(A760&lt;&gt;"",ISNUMBER(A760)),VLOOKUP(A760,Studies!A:BR,3,FALSE),"")</f>
        <v>https://www.ncbi.nlm.nih.gov/pubmed/9784084</v>
      </c>
      <c r="D760" s="252" t="str">
        <f>IF(AND(A760&lt;&gt;"",ISNUMBER(A760)),VLOOKUP(A760,Studies!A:BR,4,FALSE),"")</f>
        <v>Alprazolam with placebo</v>
      </c>
      <c r="E760" s="188" t="str">
        <f>IF(AND(A760&lt;&gt;"",ISNUMBER(A760)),VLOOKUP(A760,Studies!A:BR,5,FALSE),"")</f>
        <v>Alprazolam</v>
      </c>
      <c r="F760" s="78" t="s">
        <v>2926</v>
      </c>
    </row>
    <row r="761" spans="1:6" hidden="1" x14ac:dyDescent="0.2">
      <c r="A761" s="78">
        <v>1026</v>
      </c>
      <c r="B761" s="188" t="str">
        <f>IF(AND(A761&lt;&gt;"",ISNUMBER(A761)),VLOOKUP(A761,Studies!A:BR,2,FALSE),"")</f>
        <v>Yasui 1998</v>
      </c>
      <c r="C761" s="188" t="str">
        <f>IF(AND(A761&lt;&gt;"",ISNUMBER(A761)),VLOOKUP(A761,Studies!A:BR,3,FALSE),"")</f>
        <v>https://www.ncbi.nlm.nih.gov/pubmed/9784084</v>
      </c>
      <c r="D761" s="252" t="str">
        <f>IF(AND(A761&lt;&gt;"",ISNUMBER(A761)),VLOOKUP(A761,Studies!A:BR,4,FALSE),"")</f>
        <v>Alprazolam with itraconazole</v>
      </c>
      <c r="E761" s="188" t="str">
        <f>IF(AND(A761&lt;&gt;"",ISNUMBER(A761)),VLOOKUP(A761,Studies!A:BR,5,FALSE),"")</f>
        <v>Alprazolam</v>
      </c>
      <c r="F761" s="78" t="s">
        <v>2926</v>
      </c>
    </row>
    <row r="762" spans="1:6" hidden="1" x14ac:dyDescent="0.2">
      <c r="A762" s="78">
        <v>1027</v>
      </c>
      <c r="B762" s="188" t="str">
        <f>IF(AND(A762&lt;&gt;"",ISNUMBER(A762)),VLOOKUP(A762,Studies!A:BR,2,FALSE),"")</f>
        <v>Varhe 1994</v>
      </c>
      <c r="C762" s="188" t="str">
        <f>IF(AND(A762&lt;&gt;"",ISNUMBER(A762)),VLOOKUP(A762,Studies!A:BR,3,FALSE),"")</f>
        <v>https://www.ncbi.nlm.nih.gov/pubmed/7995001</v>
      </c>
      <c r="D762" s="252" t="str">
        <f>IF(AND(A762&lt;&gt;"",ISNUMBER(A762)),VLOOKUP(A762,Studies!A:BR,4,FALSE),"")</f>
        <v>Triazolam with placebo</v>
      </c>
      <c r="E762" s="188" t="str">
        <f>IF(AND(A762&lt;&gt;"",ISNUMBER(A762)),VLOOKUP(A762,Studies!A:BR,5,FALSE),"")</f>
        <v>Triazolam</v>
      </c>
      <c r="F762" s="78" t="s">
        <v>2928</v>
      </c>
    </row>
    <row r="763" spans="1:6" hidden="1" x14ac:dyDescent="0.2">
      <c r="A763" s="78">
        <v>1028</v>
      </c>
      <c r="B763" s="188" t="str">
        <f>IF(AND(A763&lt;&gt;"",ISNUMBER(A763)),VLOOKUP(A763,Studies!A:BR,2,FALSE),"")</f>
        <v>Varhe 1994</v>
      </c>
      <c r="C763" s="188" t="str">
        <f>IF(AND(A763&lt;&gt;"",ISNUMBER(A763)),VLOOKUP(A763,Studies!A:BR,3,FALSE),"")</f>
        <v>https://www.ncbi.nlm.nih.gov/pubmed/7995001</v>
      </c>
      <c r="D763" s="252" t="str">
        <f>IF(AND(A763&lt;&gt;"",ISNUMBER(A763)),VLOOKUP(A763,Studies!A:BR,4,FALSE),"")</f>
        <v>Triazolam with ketoconazole</v>
      </c>
      <c r="E763" s="188" t="str">
        <f>IF(AND(A763&lt;&gt;"",ISNUMBER(A763)),VLOOKUP(A763,Studies!A:BR,5,FALSE),"")</f>
        <v>Triazolam</v>
      </c>
      <c r="F763" s="78" t="s">
        <v>2925</v>
      </c>
    </row>
    <row r="764" spans="1:6" hidden="1" x14ac:dyDescent="0.2">
      <c r="A764" s="78">
        <v>1029</v>
      </c>
      <c r="B764" s="188" t="str">
        <f>IF(AND(A764&lt;&gt;"",ISNUMBER(A764)),VLOOKUP(A764,Studies!A:BR,2,FALSE),"")</f>
        <v>Varhe 1994</v>
      </c>
      <c r="C764" s="188" t="str">
        <f>IF(AND(A764&lt;&gt;"",ISNUMBER(A764)),VLOOKUP(A764,Studies!A:BR,3,FALSE),"")</f>
        <v>https://www.ncbi.nlm.nih.gov/pubmed/7995001</v>
      </c>
      <c r="D764" s="252" t="str">
        <f>IF(AND(A764&lt;&gt;"",ISNUMBER(A764)),VLOOKUP(A764,Studies!A:BR,4,FALSE),"")</f>
        <v>Triazolam with Itraconazole</v>
      </c>
      <c r="E764" s="188" t="str">
        <f>IF(AND(A764&lt;&gt;"",ISNUMBER(A764)),VLOOKUP(A764,Studies!A:BR,5,FALSE),"")</f>
        <v>Triazolam</v>
      </c>
      <c r="F764" s="78" t="s">
        <v>2927</v>
      </c>
    </row>
    <row r="765" spans="1:6" hidden="1" x14ac:dyDescent="0.2">
      <c r="A765" s="78">
        <v>1030</v>
      </c>
      <c r="B765" s="188" t="str">
        <f>IF(AND(A765&lt;&gt;"",ISNUMBER(A765)),VLOOKUP(A765,Studies!A:BR,2,FALSE),"")</f>
        <v>Varhe 1994</v>
      </c>
      <c r="C765" s="188" t="str">
        <f>IF(AND(A765&lt;&gt;"",ISNUMBER(A765)),VLOOKUP(A765,Studies!A:BR,3,FALSE),"")</f>
        <v>https://www.ncbi.nlm.nih.gov/pubmed/7995001</v>
      </c>
      <c r="D765" s="252" t="str">
        <f>IF(AND(A765&lt;&gt;"",ISNUMBER(A765)),VLOOKUP(A765,Studies!A:BR,4,FALSE),"")</f>
        <v>Ketoconazole on day 4</v>
      </c>
      <c r="E765" s="188" t="str">
        <f>IF(AND(A765&lt;&gt;"",ISNUMBER(A765)),VLOOKUP(A765,Studies!A:BR,5,FALSE),"")</f>
        <v>Ketoconazole</v>
      </c>
      <c r="F765" s="78" t="s">
        <v>2925</v>
      </c>
    </row>
    <row r="766" spans="1:6" hidden="1" x14ac:dyDescent="0.2">
      <c r="A766" s="78">
        <v>1031</v>
      </c>
      <c r="B766" s="188" t="str">
        <f>IF(AND(A766&lt;&gt;"",ISNUMBER(A766)),VLOOKUP(A766,Studies!A:BR,2,FALSE),"")</f>
        <v>Varhe 1994</v>
      </c>
      <c r="C766" s="188" t="str">
        <f>IF(AND(A766&lt;&gt;"",ISNUMBER(A766)),VLOOKUP(A766,Studies!A:BR,3,FALSE),"")</f>
        <v>https://www.ncbi.nlm.nih.gov/pubmed/7995001</v>
      </c>
      <c r="D766" s="252" t="str">
        <f>IF(AND(A766&lt;&gt;"",ISNUMBER(A766)),VLOOKUP(A766,Studies!A:BR,4,FALSE),"")</f>
        <v>Ketoconazole on day 4 Subject 1</v>
      </c>
      <c r="E766" s="188" t="str">
        <f>IF(AND(A766&lt;&gt;"",ISNUMBER(A766)),VLOOKUP(A766,Studies!A:BR,5,FALSE),"")</f>
        <v>Ketoconazole</v>
      </c>
      <c r="F766" s="78" t="s">
        <v>2925</v>
      </c>
    </row>
    <row r="767" spans="1:6" hidden="1" x14ac:dyDescent="0.2">
      <c r="A767" s="78">
        <v>1032</v>
      </c>
      <c r="B767" s="188" t="str">
        <f>IF(AND(A767&lt;&gt;"",ISNUMBER(A767)),VLOOKUP(A767,Studies!A:BR,2,FALSE),"")</f>
        <v>Varhe 1994</v>
      </c>
      <c r="C767" s="188" t="str">
        <f>IF(AND(A767&lt;&gt;"",ISNUMBER(A767)),VLOOKUP(A767,Studies!A:BR,3,FALSE),"")</f>
        <v>https://www.ncbi.nlm.nih.gov/pubmed/7995001</v>
      </c>
      <c r="D767" s="252" t="str">
        <f>IF(AND(A767&lt;&gt;"",ISNUMBER(A767)),VLOOKUP(A767,Studies!A:BR,4,FALSE),"")</f>
        <v>Ketoconazole on day 4 Subject 2</v>
      </c>
      <c r="E767" s="188" t="str">
        <f>IF(AND(A767&lt;&gt;"",ISNUMBER(A767)),VLOOKUP(A767,Studies!A:BR,5,FALSE),"")</f>
        <v>Ketoconazole</v>
      </c>
      <c r="F767" s="78" t="s">
        <v>2925</v>
      </c>
    </row>
    <row r="768" spans="1:6" hidden="1" x14ac:dyDescent="0.2">
      <c r="A768" s="78">
        <v>1033</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 Subject 3</v>
      </c>
      <c r="E768" s="188" t="str">
        <f>IF(AND(A768&lt;&gt;"",ISNUMBER(A768)),VLOOKUP(A768,Studies!A:BR,5,FALSE),"")</f>
        <v>Ketoconazole</v>
      </c>
      <c r="F768" s="78" t="s">
        <v>2925</v>
      </c>
    </row>
    <row r="769" spans="1:6" hidden="1" x14ac:dyDescent="0.2">
      <c r="A769" s="78">
        <v>1034</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4</v>
      </c>
      <c r="E769" s="188" t="str">
        <f>IF(AND(A769&lt;&gt;"",ISNUMBER(A769)),VLOOKUP(A769,Studies!A:BR,5,FALSE),"")</f>
        <v>Ketoconazole</v>
      </c>
      <c r="F769" s="78" t="s">
        <v>2925</v>
      </c>
    </row>
    <row r="770" spans="1:6" hidden="1" x14ac:dyDescent="0.2">
      <c r="A770" s="78">
        <v>1035</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5</v>
      </c>
      <c r="E770" s="188" t="str">
        <f>IF(AND(A770&lt;&gt;"",ISNUMBER(A770)),VLOOKUP(A770,Studies!A:BR,5,FALSE),"")</f>
        <v>Ketoconazole</v>
      </c>
      <c r="F770" s="78" t="s">
        <v>2925</v>
      </c>
    </row>
    <row r="771" spans="1:6" hidden="1" x14ac:dyDescent="0.2">
      <c r="A771" s="78">
        <v>1036</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6</v>
      </c>
      <c r="E771" s="188" t="str">
        <f>IF(AND(A771&lt;&gt;"",ISNUMBER(A771)),VLOOKUP(A771,Studies!A:BR,5,FALSE),"")</f>
        <v>Ketoconazole</v>
      </c>
      <c r="F771" s="78" t="s">
        <v>2925</v>
      </c>
    </row>
    <row r="772" spans="1:6" hidden="1" x14ac:dyDescent="0.2">
      <c r="A772" s="78">
        <v>1037</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7</v>
      </c>
      <c r="E772" s="188" t="str">
        <f>IF(AND(A772&lt;&gt;"",ISNUMBER(A772)),VLOOKUP(A772,Studies!A:BR,5,FALSE),"")</f>
        <v>Ketoconazole</v>
      </c>
      <c r="F772" s="78" t="s">
        <v>2925</v>
      </c>
    </row>
    <row r="773" spans="1:6" hidden="1" x14ac:dyDescent="0.2">
      <c r="A773" s="78">
        <v>1038</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8</v>
      </c>
      <c r="E773" s="188" t="str">
        <f>IF(AND(A773&lt;&gt;"",ISNUMBER(A773)),VLOOKUP(A773,Studies!A:BR,5,FALSE),"")</f>
        <v>Ketoconazole</v>
      </c>
      <c r="F773" s="78" t="s">
        <v>2925</v>
      </c>
    </row>
    <row r="774" spans="1:6" hidden="1" x14ac:dyDescent="0.2">
      <c r="A774" s="78">
        <v>1039</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9</v>
      </c>
      <c r="E774" s="188" t="str">
        <f>IF(AND(A774&lt;&gt;"",ISNUMBER(A774)),VLOOKUP(A774,Studies!A:BR,5,FALSE),"")</f>
        <v>Ketoconazole</v>
      </c>
      <c r="F774" s="78" t="s">
        <v>2925</v>
      </c>
    </row>
    <row r="775" spans="1:6" hidden="1" x14ac:dyDescent="0.2">
      <c r="A775" s="78">
        <v>1040</v>
      </c>
      <c r="B775" s="188" t="str">
        <f>IF(AND(A775&lt;&gt;"",ISNUMBER(A775)),VLOOKUP(A775,Studies!A:BR,2,FALSE),"")</f>
        <v>Varhe 1994</v>
      </c>
      <c r="C775" s="188" t="str">
        <f>IF(AND(A775&lt;&gt;"",ISNUMBER(A775)),VLOOKUP(A775,Studies!A:BR,3,FALSE),"")</f>
        <v>https://www.ncbi.nlm.nih.gov/pubmed/7995001</v>
      </c>
      <c r="D775" s="252" t="str">
        <f>IF(AND(A775&lt;&gt;"",ISNUMBER(A775)),VLOOKUP(A775,Studies!A:BR,4,FALSE),"")</f>
        <v>Itraconazole on day 4</v>
      </c>
      <c r="E775" s="188" t="str">
        <f>IF(AND(A775&lt;&gt;"",ISNUMBER(A775)),VLOOKUP(A775,Studies!A:BR,5,FALSE),"")</f>
        <v>Itraconazole</v>
      </c>
      <c r="F775" s="78" t="s">
        <v>2927</v>
      </c>
    </row>
    <row r="776" spans="1:6" hidden="1" x14ac:dyDescent="0.2">
      <c r="A776" s="78">
        <v>1041</v>
      </c>
      <c r="B776" s="188" t="str">
        <f>IF(AND(A776&lt;&gt;"",ISNUMBER(A776)),VLOOKUP(A776,Studies!A:BR,2,FALSE),"")</f>
        <v>Varhe 1994</v>
      </c>
      <c r="C776" s="188" t="str">
        <f>IF(AND(A776&lt;&gt;"",ISNUMBER(A776)),VLOOKUP(A776,Studies!A:BR,3,FALSE),"")</f>
        <v>https://www.ncbi.nlm.nih.gov/pubmed/7995001</v>
      </c>
      <c r="D776" s="252" t="str">
        <f>IF(AND(A776&lt;&gt;"",ISNUMBER(A776)),VLOOKUP(A776,Studies!A:BR,4,FALSE),"")</f>
        <v>Itraconazole on day 4 Subject 1</v>
      </c>
      <c r="E776" s="188" t="str">
        <f>IF(AND(A776&lt;&gt;"",ISNUMBER(A776)),VLOOKUP(A776,Studies!A:BR,5,FALSE),"")</f>
        <v>Itraconazole</v>
      </c>
      <c r="F776" s="78" t="s">
        <v>2927</v>
      </c>
    </row>
    <row r="777" spans="1:6" hidden="1" x14ac:dyDescent="0.2">
      <c r="A777" s="78">
        <v>1042</v>
      </c>
      <c r="B777" s="188" t="str">
        <f>IF(AND(A777&lt;&gt;"",ISNUMBER(A777)),VLOOKUP(A777,Studies!A:BR,2,FALSE),"")</f>
        <v>Varhe 1994</v>
      </c>
      <c r="C777" s="188" t="str">
        <f>IF(AND(A777&lt;&gt;"",ISNUMBER(A777)),VLOOKUP(A777,Studies!A:BR,3,FALSE),"")</f>
        <v>https://www.ncbi.nlm.nih.gov/pubmed/7995001</v>
      </c>
      <c r="D777" s="252" t="str">
        <f>IF(AND(A777&lt;&gt;"",ISNUMBER(A777)),VLOOKUP(A777,Studies!A:BR,4,FALSE),"")</f>
        <v>Itraconazole on day 4 Subject 2</v>
      </c>
      <c r="E777" s="188" t="str">
        <f>IF(AND(A777&lt;&gt;"",ISNUMBER(A777)),VLOOKUP(A777,Studies!A:BR,5,FALSE),"")</f>
        <v>Itraconazole</v>
      </c>
      <c r="F777" s="78" t="s">
        <v>2927</v>
      </c>
    </row>
    <row r="778" spans="1:6" hidden="1" x14ac:dyDescent="0.2">
      <c r="A778" s="78">
        <v>1043</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 Subject 3</v>
      </c>
      <c r="E778" s="188" t="str">
        <f>IF(AND(A778&lt;&gt;"",ISNUMBER(A778)),VLOOKUP(A778,Studies!A:BR,5,FALSE),"")</f>
        <v>Itraconazole</v>
      </c>
      <c r="F778" s="78" t="s">
        <v>2927</v>
      </c>
    </row>
    <row r="779" spans="1:6" hidden="1" x14ac:dyDescent="0.2">
      <c r="A779" s="78">
        <v>1044</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4</v>
      </c>
      <c r="E779" s="188" t="str">
        <f>IF(AND(A779&lt;&gt;"",ISNUMBER(A779)),VLOOKUP(A779,Studies!A:BR,5,FALSE),"")</f>
        <v>Itraconazole</v>
      </c>
      <c r="F779" s="78" t="s">
        <v>2927</v>
      </c>
    </row>
    <row r="780" spans="1:6" hidden="1" x14ac:dyDescent="0.2">
      <c r="A780" s="78">
        <v>1045</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5</v>
      </c>
      <c r="E780" s="188" t="str">
        <f>IF(AND(A780&lt;&gt;"",ISNUMBER(A780)),VLOOKUP(A780,Studies!A:BR,5,FALSE),"")</f>
        <v>Itraconazole</v>
      </c>
      <c r="F780" s="78" t="s">
        <v>2927</v>
      </c>
    </row>
    <row r="781" spans="1:6" hidden="1" x14ac:dyDescent="0.2">
      <c r="A781" s="78">
        <v>1046</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6</v>
      </c>
      <c r="E781" s="188" t="str">
        <f>IF(AND(A781&lt;&gt;"",ISNUMBER(A781)),VLOOKUP(A781,Studies!A:BR,5,FALSE),"")</f>
        <v>Itraconazole</v>
      </c>
      <c r="F781" s="78" t="s">
        <v>2927</v>
      </c>
    </row>
    <row r="782" spans="1:6" hidden="1" x14ac:dyDescent="0.2">
      <c r="A782" s="78">
        <v>1047</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7</v>
      </c>
      <c r="E782" s="188" t="str">
        <f>IF(AND(A782&lt;&gt;"",ISNUMBER(A782)),VLOOKUP(A782,Studies!A:BR,5,FALSE),"")</f>
        <v>Itraconazole</v>
      </c>
      <c r="F782" s="78" t="s">
        <v>2927</v>
      </c>
    </row>
    <row r="783" spans="1:6" hidden="1" x14ac:dyDescent="0.2">
      <c r="A783" s="78">
        <v>1048</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8</v>
      </c>
      <c r="E783" s="188" t="str">
        <f>IF(AND(A783&lt;&gt;"",ISNUMBER(A783)),VLOOKUP(A783,Studies!A:BR,5,FALSE),"")</f>
        <v>Itraconazole</v>
      </c>
      <c r="F783" s="78" t="s">
        <v>2927</v>
      </c>
    </row>
    <row r="784" spans="1:6" hidden="1" x14ac:dyDescent="0.2">
      <c r="A784" s="78">
        <v>1049</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9</v>
      </c>
      <c r="E784" s="188" t="str">
        <f>IF(AND(A784&lt;&gt;"",ISNUMBER(A784)),VLOOKUP(A784,Studies!A:BR,5,FALSE),"")</f>
        <v>Itraconazole</v>
      </c>
      <c r="F784" s="78" t="s">
        <v>2927</v>
      </c>
    </row>
    <row r="785" spans="1:6" hidden="1" x14ac:dyDescent="0.2">
      <c r="A785" s="78">
        <v>1050</v>
      </c>
      <c r="B785" s="188" t="str">
        <f>IF(AND(A785&lt;&gt;"",ISNUMBER(A785)),VLOOKUP(A785,Studies!A:BR,2,FALSE),"")</f>
        <v>Varhe 1994</v>
      </c>
      <c r="C785" s="188" t="str">
        <f>IF(AND(A785&lt;&gt;"",ISNUMBER(A785)),VLOOKUP(A785,Studies!A:BR,3,FALSE),"")</f>
        <v>https://www.ncbi.nlm.nih.gov/pubmed/7995001</v>
      </c>
      <c r="D785" s="252" t="str">
        <f>IF(AND(A785&lt;&gt;"",ISNUMBER(A785)),VLOOKUP(A785,Studies!A:BR,4,FALSE),"")</f>
        <v>Triazolam with placebo Subject 1</v>
      </c>
      <c r="E785" s="188" t="str">
        <f>IF(AND(A785&lt;&gt;"",ISNUMBER(A785)),VLOOKUP(A785,Studies!A:BR,5,FALSE),"")</f>
        <v>Triazolam</v>
      </c>
      <c r="F785" s="78" t="s">
        <v>2928</v>
      </c>
    </row>
    <row r="786" spans="1:6" hidden="1" x14ac:dyDescent="0.2">
      <c r="A786" s="78">
        <v>1051</v>
      </c>
      <c r="B786" s="188" t="str">
        <f>IF(AND(A786&lt;&gt;"",ISNUMBER(A786)),VLOOKUP(A786,Studies!A:BR,2,FALSE),"")</f>
        <v>Varhe 1994</v>
      </c>
      <c r="C786" s="188" t="str">
        <f>IF(AND(A786&lt;&gt;"",ISNUMBER(A786)),VLOOKUP(A786,Studies!A:BR,3,FALSE),"")</f>
        <v>https://www.ncbi.nlm.nih.gov/pubmed/7995001</v>
      </c>
      <c r="D786" s="252" t="str">
        <f>IF(AND(A786&lt;&gt;"",ISNUMBER(A786)),VLOOKUP(A786,Studies!A:BR,4,FALSE),"")</f>
        <v>Triazolam with placebo Subject 2</v>
      </c>
      <c r="E786" s="188" t="str">
        <f>IF(AND(A786&lt;&gt;"",ISNUMBER(A786)),VLOOKUP(A786,Studies!A:BR,5,FALSE),"")</f>
        <v>Triazolam</v>
      </c>
      <c r="F786" s="78" t="s">
        <v>2928</v>
      </c>
    </row>
    <row r="787" spans="1:6" hidden="1" x14ac:dyDescent="0.2">
      <c r="A787" s="78">
        <v>1052</v>
      </c>
      <c r="B787" s="188" t="str">
        <f>IF(AND(A787&lt;&gt;"",ISNUMBER(A787)),VLOOKUP(A787,Studies!A:BR,2,FALSE),"")</f>
        <v>Varhe 1994</v>
      </c>
      <c r="C787" s="188" t="str">
        <f>IF(AND(A787&lt;&gt;"",ISNUMBER(A787)),VLOOKUP(A787,Studies!A:BR,3,FALSE),"")</f>
        <v>https://www.ncbi.nlm.nih.gov/pubmed/7995001</v>
      </c>
      <c r="D787" s="252" t="str">
        <f>IF(AND(A787&lt;&gt;"",ISNUMBER(A787)),VLOOKUP(A787,Studies!A:BR,4,FALSE),"")</f>
        <v>Triazolam with placebo Subject 3</v>
      </c>
      <c r="E787" s="188" t="str">
        <f>IF(AND(A787&lt;&gt;"",ISNUMBER(A787)),VLOOKUP(A787,Studies!A:BR,5,FALSE),"")</f>
        <v>Triazolam</v>
      </c>
      <c r="F787" s="78" t="s">
        <v>2928</v>
      </c>
    </row>
    <row r="788" spans="1:6" hidden="1" x14ac:dyDescent="0.2">
      <c r="A788" s="78">
        <v>1053</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4</v>
      </c>
      <c r="E788" s="188" t="str">
        <f>IF(AND(A788&lt;&gt;"",ISNUMBER(A788)),VLOOKUP(A788,Studies!A:BR,5,FALSE),"")</f>
        <v>Triazolam</v>
      </c>
      <c r="F788" s="78" t="s">
        <v>2928</v>
      </c>
    </row>
    <row r="789" spans="1:6" hidden="1" x14ac:dyDescent="0.2">
      <c r="A789" s="78">
        <v>1054</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5</v>
      </c>
      <c r="E789" s="188" t="str">
        <f>IF(AND(A789&lt;&gt;"",ISNUMBER(A789)),VLOOKUP(A789,Studies!A:BR,5,FALSE),"")</f>
        <v>Triazolam</v>
      </c>
      <c r="F789" s="78" t="s">
        <v>2928</v>
      </c>
    </row>
    <row r="790" spans="1:6" hidden="1" x14ac:dyDescent="0.2">
      <c r="A790" s="78">
        <v>1055</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6</v>
      </c>
      <c r="E790" s="188" t="str">
        <f>IF(AND(A790&lt;&gt;"",ISNUMBER(A790)),VLOOKUP(A790,Studies!A:BR,5,FALSE),"")</f>
        <v>Triazolam</v>
      </c>
      <c r="F790" s="78" t="s">
        <v>2928</v>
      </c>
    </row>
    <row r="791" spans="1:6" hidden="1" x14ac:dyDescent="0.2">
      <c r="A791" s="78">
        <v>1056</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7</v>
      </c>
      <c r="E791" s="188" t="str">
        <f>IF(AND(A791&lt;&gt;"",ISNUMBER(A791)),VLOOKUP(A791,Studies!A:BR,5,FALSE),"")</f>
        <v>Triazolam</v>
      </c>
      <c r="F791" s="78" t="s">
        <v>2928</v>
      </c>
    </row>
    <row r="792" spans="1:6" hidden="1" x14ac:dyDescent="0.2">
      <c r="A792" s="78">
        <v>1057</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8</v>
      </c>
      <c r="E792" s="188" t="str">
        <f>IF(AND(A792&lt;&gt;"",ISNUMBER(A792)),VLOOKUP(A792,Studies!A:BR,5,FALSE),"")</f>
        <v>Triazolam</v>
      </c>
      <c r="F792" s="78" t="s">
        <v>2928</v>
      </c>
    </row>
    <row r="793" spans="1:6" hidden="1" x14ac:dyDescent="0.2">
      <c r="A793" s="78">
        <v>1058</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9</v>
      </c>
      <c r="E793" s="188" t="str">
        <f>IF(AND(A793&lt;&gt;"",ISNUMBER(A793)),VLOOKUP(A793,Studies!A:BR,5,FALSE),"")</f>
        <v>Triazolam</v>
      </c>
      <c r="F793" s="78" t="s">
        <v>2928</v>
      </c>
    </row>
    <row r="794" spans="1:6" hidden="1" x14ac:dyDescent="0.2">
      <c r="A794" s="78">
        <v>1059</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ketoconazole Subject 1</v>
      </c>
      <c r="E794" s="188" t="str">
        <f>IF(AND(A794&lt;&gt;"",ISNUMBER(A794)),VLOOKUP(A794,Studies!A:BR,5,FALSE),"")</f>
        <v>Triazolam</v>
      </c>
      <c r="F794" s="78" t="s">
        <v>2925</v>
      </c>
    </row>
    <row r="795" spans="1:6" hidden="1" x14ac:dyDescent="0.2">
      <c r="A795" s="78">
        <v>1060</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ketoconazole Subject 2</v>
      </c>
      <c r="E795" s="188" t="str">
        <f>IF(AND(A795&lt;&gt;"",ISNUMBER(A795)),VLOOKUP(A795,Studies!A:BR,5,FALSE),"")</f>
        <v>Triazolam</v>
      </c>
      <c r="F795" s="78" t="s">
        <v>2925</v>
      </c>
    </row>
    <row r="796" spans="1:6" hidden="1" x14ac:dyDescent="0.2">
      <c r="A796" s="78">
        <v>1061</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ketoconazole Subject 3</v>
      </c>
      <c r="E796" s="188" t="str">
        <f>IF(AND(A796&lt;&gt;"",ISNUMBER(A796)),VLOOKUP(A796,Studies!A:BR,5,FALSE),"")</f>
        <v>Triazolam</v>
      </c>
      <c r="F796" s="78" t="s">
        <v>2925</v>
      </c>
    </row>
    <row r="797" spans="1:6" hidden="1" x14ac:dyDescent="0.2">
      <c r="A797" s="78">
        <v>1062</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4</v>
      </c>
      <c r="E797" s="188" t="str">
        <f>IF(AND(A797&lt;&gt;"",ISNUMBER(A797)),VLOOKUP(A797,Studies!A:BR,5,FALSE),"")</f>
        <v>Triazolam</v>
      </c>
      <c r="F797" s="78" t="s">
        <v>2925</v>
      </c>
    </row>
    <row r="798" spans="1:6" hidden="1" x14ac:dyDescent="0.2">
      <c r="A798" s="78">
        <v>1063</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5</v>
      </c>
      <c r="E798" s="188" t="str">
        <f>IF(AND(A798&lt;&gt;"",ISNUMBER(A798)),VLOOKUP(A798,Studies!A:BR,5,FALSE),"")</f>
        <v>Triazolam</v>
      </c>
      <c r="F798" s="78" t="s">
        <v>2925</v>
      </c>
    </row>
    <row r="799" spans="1:6" hidden="1" x14ac:dyDescent="0.2">
      <c r="A799" s="78">
        <v>1064</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6</v>
      </c>
      <c r="E799" s="188" t="str">
        <f>IF(AND(A799&lt;&gt;"",ISNUMBER(A799)),VLOOKUP(A799,Studies!A:BR,5,FALSE),"")</f>
        <v>Triazolam</v>
      </c>
      <c r="F799" s="78" t="s">
        <v>2925</v>
      </c>
    </row>
    <row r="800" spans="1:6" hidden="1" x14ac:dyDescent="0.2">
      <c r="A800" s="78">
        <v>1065</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7</v>
      </c>
      <c r="E800" s="188" t="str">
        <f>IF(AND(A800&lt;&gt;"",ISNUMBER(A800)),VLOOKUP(A800,Studies!A:BR,5,FALSE),"")</f>
        <v>Triazolam</v>
      </c>
      <c r="F800" s="78" t="s">
        <v>2925</v>
      </c>
    </row>
    <row r="801" spans="1:6" hidden="1" x14ac:dyDescent="0.2">
      <c r="A801" s="78">
        <v>1066</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8</v>
      </c>
      <c r="E801" s="188" t="str">
        <f>IF(AND(A801&lt;&gt;"",ISNUMBER(A801)),VLOOKUP(A801,Studies!A:BR,5,FALSE),"")</f>
        <v>Triazolam</v>
      </c>
      <c r="F801" s="78" t="s">
        <v>2925</v>
      </c>
    </row>
    <row r="802" spans="1:6" hidden="1" x14ac:dyDescent="0.2">
      <c r="A802" s="78">
        <v>1067</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9</v>
      </c>
      <c r="E802" s="188" t="str">
        <f>IF(AND(A802&lt;&gt;"",ISNUMBER(A802)),VLOOKUP(A802,Studies!A:BR,5,FALSE),"")</f>
        <v>Triazolam</v>
      </c>
      <c r="F802" s="78" t="s">
        <v>2925</v>
      </c>
    </row>
    <row r="803" spans="1:6" hidden="1" x14ac:dyDescent="0.2">
      <c r="A803" s="78">
        <v>1068</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Itraconazole Subject 1</v>
      </c>
      <c r="E803" s="188" t="str">
        <f>IF(AND(A803&lt;&gt;"",ISNUMBER(A803)),VLOOKUP(A803,Studies!A:BR,5,FALSE),"")</f>
        <v>Triazolam</v>
      </c>
      <c r="F803" s="78" t="s">
        <v>2927</v>
      </c>
    </row>
    <row r="804" spans="1:6" hidden="1" x14ac:dyDescent="0.2">
      <c r="A804" s="78">
        <v>1069</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Itraconazole Subject 2</v>
      </c>
      <c r="E804" s="188" t="str">
        <f>IF(AND(A804&lt;&gt;"",ISNUMBER(A804)),VLOOKUP(A804,Studies!A:BR,5,FALSE),"")</f>
        <v>Triazolam</v>
      </c>
      <c r="F804" s="78" t="s">
        <v>2927</v>
      </c>
    </row>
    <row r="805" spans="1:6" hidden="1" x14ac:dyDescent="0.2">
      <c r="A805" s="78">
        <v>1070</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Itraconazole Subject 3</v>
      </c>
      <c r="E805" s="188" t="str">
        <f>IF(AND(A805&lt;&gt;"",ISNUMBER(A805)),VLOOKUP(A805,Studies!A:BR,5,FALSE),"")</f>
        <v>Triazolam</v>
      </c>
      <c r="F805" s="78" t="s">
        <v>2927</v>
      </c>
    </row>
    <row r="806" spans="1:6" hidden="1" x14ac:dyDescent="0.2">
      <c r="A806" s="78">
        <v>1071</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4</v>
      </c>
      <c r="E806" s="188" t="str">
        <f>IF(AND(A806&lt;&gt;"",ISNUMBER(A806)),VLOOKUP(A806,Studies!A:BR,5,FALSE),"")</f>
        <v>Triazolam</v>
      </c>
      <c r="F806" s="78" t="s">
        <v>2927</v>
      </c>
    </row>
    <row r="807" spans="1:6" hidden="1" x14ac:dyDescent="0.2">
      <c r="A807" s="78">
        <v>1072</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5</v>
      </c>
      <c r="E807" s="188" t="str">
        <f>IF(AND(A807&lt;&gt;"",ISNUMBER(A807)),VLOOKUP(A807,Studies!A:BR,5,FALSE),"")</f>
        <v>Triazolam</v>
      </c>
      <c r="F807" s="78" t="s">
        <v>2927</v>
      </c>
    </row>
    <row r="808" spans="1:6" hidden="1" x14ac:dyDescent="0.2">
      <c r="A808" s="78">
        <v>1073</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6</v>
      </c>
      <c r="E808" s="188" t="str">
        <f>IF(AND(A808&lt;&gt;"",ISNUMBER(A808)),VLOOKUP(A808,Studies!A:BR,5,FALSE),"")</f>
        <v>Triazolam</v>
      </c>
      <c r="F808" s="78" t="s">
        <v>2927</v>
      </c>
    </row>
    <row r="809" spans="1:6" hidden="1" x14ac:dyDescent="0.2">
      <c r="A809" s="78">
        <v>1074</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7</v>
      </c>
      <c r="E809" s="188" t="str">
        <f>IF(AND(A809&lt;&gt;"",ISNUMBER(A809)),VLOOKUP(A809,Studies!A:BR,5,FALSE),"")</f>
        <v>Triazolam</v>
      </c>
      <c r="F809" s="78" t="s">
        <v>2927</v>
      </c>
    </row>
    <row r="810" spans="1:6" hidden="1" x14ac:dyDescent="0.2">
      <c r="A810" s="78">
        <v>1075</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8</v>
      </c>
      <c r="E810" s="188" t="str">
        <f>IF(AND(A810&lt;&gt;"",ISNUMBER(A810)),VLOOKUP(A810,Studies!A:BR,5,FALSE),"")</f>
        <v>Triazolam</v>
      </c>
      <c r="F810" s="78" t="s">
        <v>2927</v>
      </c>
    </row>
    <row r="811" spans="1:6" hidden="1" x14ac:dyDescent="0.2">
      <c r="A811" s="78">
        <v>1076</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9</v>
      </c>
      <c r="E811" s="188" t="str">
        <f>IF(AND(A811&lt;&gt;"",ISNUMBER(A811)),VLOOKUP(A811,Studies!A:BR,5,FALSE),"")</f>
        <v>Triazolam</v>
      </c>
      <c r="F811" s="78" t="s">
        <v>2927</v>
      </c>
    </row>
    <row r="812" spans="1:6" hidden="1" x14ac:dyDescent="0.2">
      <c r="A812" s="78">
        <v>1077</v>
      </c>
      <c r="B812" s="188" t="str">
        <f>IF(AND(A812&lt;&gt;"",ISNUMBER(A812)),VLOOKUP(A812,Studies!A:BR,2,FALSE),"")</f>
        <v>Neuvonen 1996</v>
      </c>
      <c r="C812" s="188" t="str">
        <f>IF(AND(A812&lt;&gt;"",ISNUMBER(A812)),VLOOKUP(A812,Studies!A:BR,3,FALSE),"")</f>
        <v>https://www.ncbi.nlm.nih.gov/pubmed/8841155</v>
      </c>
      <c r="D812" s="252" t="str">
        <f>IF(AND(A812&lt;&gt;"",ISNUMBER(A812)),VLOOKUP(A812,Studies!A:BR,4,FALSE),"")</f>
        <v>Control phase (Triazolam without Itraconazole)</v>
      </c>
      <c r="E812" s="188" t="str">
        <f>IF(AND(A812&lt;&gt;"",ISNUMBER(A812)),VLOOKUP(A812,Studies!A:BR,5,FALSE),"")</f>
        <v>Triazolam</v>
      </c>
      <c r="F812" s="78" t="s">
        <v>2927</v>
      </c>
    </row>
    <row r="813" spans="1:6" hidden="1" x14ac:dyDescent="0.2">
      <c r="A813" s="78">
        <v>1078</v>
      </c>
      <c r="B813" s="188" t="str">
        <f>IF(AND(A813&lt;&gt;"",ISNUMBER(A813)),VLOOKUP(A813,Studies!A:BR,2,FALSE),"")</f>
        <v>Neuvonen 1996</v>
      </c>
      <c r="C813" s="188" t="str">
        <f>IF(AND(A813&lt;&gt;"",ISNUMBER(A813)),VLOOKUP(A813,Studies!A:BR,3,FALSE),"")</f>
        <v>https://www.ncbi.nlm.nih.gov/pubmed/8841155</v>
      </c>
      <c r="D813" s="252" t="str">
        <f>IF(AND(A813&lt;&gt;"",ISNUMBER(A813)),VLOOKUP(A813,Studies!A:BR,4,FALSE),"")</f>
        <v>Treatment phase (triazolam + ITZ simultaneously)</v>
      </c>
      <c r="E813" s="188" t="str">
        <f>IF(AND(A813&lt;&gt;"",ISNUMBER(A813)),VLOOKUP(A813,Studies!A:BR,5,FALSE),"")</f>
        <v>Triazolam</v>
      </c>
      <c r="F813" s="78" t="s">
        <v>2927</v>
      </c>
    </row>
    <row r="814" spans="1:6" hidden="1" x14ac:dyDescent="0.2">
      <c r="A814" s="78">
        <v>1079</v>
      </c>
      <c r="B814" s="188" t="str">
        <f>IF(AND(A814&lt;&gt;"",ISNUMBER(A814)),VLOOKUP(A814,Studies!A:BR,2,FALSE),"")</f>
        <v>Neuvonen 1996</v>
      </c>
      <c r="C814" s="188" t="str">
        <f>IF(AND(A814&lt;&gt;"",ISNUMBER(A814)),VLOOKUP(A814,Studies!A:BR,3,FALSE),"")</f>
        <v>https://www.ncbi.nlm.nih.gov/pubmed/8841155</v>
      </c>
      <c r="D814" s="252" t="str">
        <f>IF(AND(A814&lt;&gt;"",ISNUMBER(A814)),VLOOKUP(A814,Studies!A:BR,4,FALSE),"")</f>
        <v>Treatment phase (triazolam + ITZ 3 hr before)</v>
      </c>
      <c r="E814" s="188" t="str">
        <f>IF(AND(A814&lt;&gt;"",ISNUMBER(A814)),VLOOKUP(A814,Studies!A:BR,5,FALSE),"")</f>
        <v>Triazolam</v>
      </c>
      <c r="F814" s="78" t="s">
        <v>2927</v>
      </c>
    </row>
    <row r="815" spans="1:6" hidden="1" x14ac:dyDescent="0.2">
      <c r="A815" s="78">
        <v>1080</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Treatment phase (triazolam + ITZ 12 hr before)</v>
      </c>
      <c r="E815" s="188" t="str">
        <f>IF(AND(A815&lt;&gt;"",ISNUMBER(A815)),VLOOKUP(A815,Studies!A:BR,5,FALSE),"")</f>
        <v>Triazolam</v>
      </c>
      <c r="F815" s="78" t="s">
        <v>2927</v>
      </c>
    </row>
    <row r="816" spans="1:6" hidden="1" x14ac:dyDescent="0.2">
      <c r="A816" s="78">
        <v>1081</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24 hr before)</v>
      </c>
      <c r="E816" s="188" t="str">
        <f>IF(AND(A816&lt;&gt;"",ISNUMBER(A816)),VLOOKUP(A816,Studies!A:BR,5,FALSE),"")</f>
        <v>Triazolam</v>
      </c>
      <c r="F816" s="78" t="s">
        <v>2927</v>
      </c>
    </row>
    <row r="817" spans="1:6" hidden="1" x14ac:dyDescent="0.2">
      <c r="A817" s="78">
        <v>1082</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ITZ simultaneously with triazolam</v>
      </c>
      <c r="E817" s="188" t="str">
        <f>IF(AND(A817&lt;&gt;"",ISNUMBER(A817)),VLOOKUP(A817,Studies!A:BR,5,FALSE),"")</f>
        <v>Itraconazole</v>
      </c>
      <c r="F817" s="78" t="s">
        <v>2927</v>
      </c>
    </row>
    <row r="818" spans="1:6" hidden="1" x14ac:dyDescent="0.2">
      <c r="A818" s="78">
        <v>1083</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ITZ 3 hr before triazolam</v>
      </c>
      <c r="E818" s="188" t="str">
        <f>IF(AND(A818&lt;&gt;"",ISNUMBER(A818)),VLOOKUP(A818,Studies!A:BR,5,FALSE),"")</f>
        <v>Itraconazole</v>
      </c>
      <c r="F818" s="78" t="s">
        <v>2927</v>
      </c>
    </row>
    <row r="819" spans="1:6" hidden="1" x14ac:dyDescent="0.2">
      <c r="A819" s="78">
        <v>1084</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ITZ 12 hr before triazolam</v>
      </c>
      <c r="E819" s="188" t="str">
        <f>IF(AND(A819&lt;&gt;"",ISNUMBER(A819)),VLOOKUP(A819,Studies!A:BR,5,FALSE),"")</f>
        <v>Itraconazole</v>
      </c>
      <c r="F819" s="78" t="s">
        <v>2927</v>
      </c>
    </row>
    <row r="820" spans="1:6" hidden="1" x14ac:dyDescent="0.2">
      <c r="A820" s="78">
        <v>1085</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24 hr before triazolam</v>
      </c>
      <c r="E820" s="188" t="str">
        <f>IF(AND(A820&lt;&gt;"",ISNUMBER(A820)),VLOOKUP(A820,Studies!A:BR,5,FALSE),"")</f>
        <v>Itraconazole</v>
      </c>
      <c r="F820" s="78" t="s">
        <v>2927</v>
      </c>
    </row>
    <row r="821" spans="1:6" hidden="1" x14ac:dyDescent="0.2">
      <c r="A821" s="78">
        <v>1086</v>
      </c>
      <c r="B821" s="188" t="str">
        <f>IF(AND(A821&lt;&gt;"",ISNUMBER(A821)),VLOOKUP(A821,Studies!A:BR,2,FALSE),"")</f>
        <v>Lam 2003</v>
      </c>
      <c r="C821" s="188" t="str">
        <f>IF(AND(A821&lt;&gt;"",ISNUMBER(A821)),VLOOKUP(A821,Studies!A:BR,3,FALSE),"")</f>
        <v>https://www.ncbi.nlm.nih.gov/pubmed/14551182</v>
      </c>
      <c r="D821" s="252" t="str">
        <f>IF(AND(A821&lt;&gt;"",ISNUMBER(A821)),VLOOKUP(A821,Studies!A:BR,4,FALSE),"")</f>
        <v>Midazolam before Ketoconazole</v>
      </c>
      <c r="E821" s="188" t="str">
        <f>IF(AND(A821&lt;&gt;"",ISNUMBER(A821)),VLOOKUP(A821,Studies!A:BR,5,FALSE),"")</f>
        <v>Midazolam</v>
      </c>
      <c r="F821" s="79" t="s">
        <v>1311</v>
      </c>
    </row>
    <row r="822" spans="1:6" hidden="1" x14ac:dyDescent="0.2">
      <c r="A822" s="78">
        <v>1087</v>
      </c>
      <c r="B822" s="188" t="str">
        <f>IF(AND(A822&lt;&gt;"",ISNUMBER(A822)),VLOOKUP(A822,Studies!A:BR,2,FALSE),"")</f>
        <v>Lam 2003</v>
      </c>
      <c r="C822" s="188" t="str">
        <f>IF(AND(A822&lt;&gt;"",ISNUMBER(A822)),VLOOKUP(A822,Studies!A:BR,3,FALSE),"")</f>
        <v>https://www.ncbi.nlm.nih.gov/pubmed/14551182</v>
      </c>
      <c r="D822" s="252" t="str">
        <f>IF(AND(A822&lt;&gt;"",ISNUMBER(A822)),VLOOKUP(A822,Studies!A:BR,4,FALSE),"")</f>
        <v>Midazolam after Ketoconazole</v>
      </c>
      <c r="E822" s="188" t="str">
        <f>IF(AND(A822&lt;&gt;"",ISNUMBER(A822)),VLOOKUP(A822,Studies!A:BR,5,FALSE),"")</f>
        <v>Midazolam</v>
      </c>
      <c r="F822" s="79" t="s">
        <v>1276</v>
      </c>
    </row>
    <row r="823" spans="1:6" hidden="1" x14ac:dyDescent="0.2">
      <c r="A823" s="78">
        <v>1088</v>
      </c>
      <c r="B823" s="188" t="str">
        <f>IF(AND(A823&lt;&gt;"",ISNUMBER(A823)),VLOOKUP(A823,Studies!A:BR,2,FALSE),"")</f>
        <v>Lam 2003</v>
      </c>
      <c r="C823" s="188" t="str">
        <f>IF(AND(A823&lt;&gt;"",ISNUMBER(A823)),VLOOKUP(A823,Studies!A:BR,3,FALSE),"")</f>
        <v>https://www.ncbi.nlm.nih.gov/pubmed/14551182</v>
      </c>
      <c r="D823" s="252" t="str">
        <f>IF(AND(A823&lt;&gt;"",ISNUMBER(A823)),VLOOKUP(A823,Studies!A:BR,4,FALSE),"")</f>
        <v>Midazolam before Fluvoxamine</v>
      </c>
      <c r="E823" s="188" t="str">
        <f>IF(AND(A823&lt;&gt;"",ISNUMBER(A823)),VLOOKUP(A823,Studies!A:BR,5,FALSE),"")</f>
        <v>Midazolam</v>
      </c>
      <c r="F823" s="79" t="s">
        <v>2776</v>
      </c>
    </row>
    <row r="824" spans="1:6" hidden="1" x14ac:dyDescent="0.2">
      <c r="A824" s="78">
        <v>1089</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after Fluvoxamine</v>
      </c>
      <c r="E824" s="188" t="str">
        <f>IF(AND(A824&lt;&gt;"",ISNUMBER(A824)),VLOOKUP(A824,Studies!A:BR,5,FALSE),"")</f>
        <v>Midazolam</v>
      </c>
      <c r="F824" s="79" t="s">
        <v>2777</v>
      </c>
    </row>
    <row r="825" spans="1:6" hidden="1" x14ac:dyDescent="0.2">
      <c r="A825" s="78">
        <v>1090</v>
      </c>
      <c r="B825" s="188" t="str">
        <f>IF(AND(A825&lt;&gt;"",ISNUMBER(A825)),VLOOKUP(A825,Studies!A:BR,2,FALSE),"")</f>
        <v>Shin 2013</v>
      </c>
      <c r="C825" s="188" t="str">
        <f>IF(AND(A825&lt;&gt;"",ISNUMBER(A825)),VLOOKUP(A825,Studies!A:BR,3,FALSE),"")</f>
        <v>https://www.ncbi.nlm.nih.gov/pubmed/23784264</v>
      </c>
      <c r="D825" s="252" t="str">
        <f>IF(AND(A825&lt;&gt;"",ISNUMBER(A825)),VLOOKUP(A825,Studies!A:BR,4,FALSE),"")</f>
        <v>Control phase (Midazolam alone)</v>
      </c>
      <c r="E825" s="188" t="str">
        <f>IF(AND(A825&lt;&gt;"",ISNUMBER(A825)),VLOOKUP(A825,Studies!A:BR,5,FALSE),"")</f>
        <v>Midazolam</v>
      </c>
      <c r="F825" s="78" t="s">
        <v>2801</v>
      </c>
    </row>
    <row r="826" spans="1:6" hidden="1" x14ac:dyDescent="0.2">
      <c r="A826" s="78">
        <v>1091</v>
      </c>
      <c r="B826" s="188" t="str">
        <f>IF(AND(A826&lt;&gt;"",ISNUMBER(A826)),VLOOKUP(A826,Studies!A:BR,2,FALSE),"")</f>
        <v>Shin 2013</v>
      </c>
      <c r="C826" s="188" t="str">
        <f>IF(AND(A826&lt;&gt;"",ISNUMBER(A826)),VLOOKUP(A826,Studies!A:BR,3,FALSE),"")</f>
        <v>https://www.ncbi.nlm.nih.gov/pubmed/23784264</v>
      </c>
      <c r="D826" s="252" t="str">
        <f>IF(AND(A826&lt;&gt;"",ISNUMBER(A826)),VLOOKUP(A826,Studies!A:BR,4,FALSE),"")</f>
        <v>CYP3A4 inhibited phase (Midazolam + ketoconazole)</v>
      </c>
      <c r="E826" s="188" t="str">
        <f>IF(AND(A826&lt;&gt;"",ISNUMBER(A826)),VLOOKUP(A826,Studies!A:BR,5,FALSE),"")</f>
        <v>Midazolam</v>
      </c>
      <c r="F826" s="78" t="s">
        <v>1276</v>
      </c>
    </row>
    <row r="827" spans="1:6" hidden="1" x14ac:dyDescent="0.2">
      <c r="A827" s="78">
        <v>1092</v>
      </c>
      <c r="B827" s="188" t="str">
        <f>IF(AND(A827&lt;&gt;"",ISNUMBER(A827)),VLOOKUP(A827,Studies!A:BR,2,FALSE),"")</f>
        <v>Shin 2013</v>
      </c>
      <c r="C827" s="188" t="str">
        <f>IF(AND(A827&lt;&gt;"",ISNUMBER(A827)),VLOOKUP(A827,Studies!A:BR,3,FALSE),"")</f>
        <v>https://www.ncbi.nlm.nih.gov/pubmed/23784264</v>
      </c>
      <c r="D827" s="252" t="str">
        <f>IF(AND(A827&lt;&gt;"",ISNUMBER(A827)),VLOOKUP(A827,Studies!A:BR,4,FALSE),"")</f>
        <v>CYP3A4 induced phase (Midazolam + rifampicin)</v>
      </c>
      <c r="E827" s="188" t="str">
        <f>IF(AND(A827&lt;&gt;"",ISNUMBER(A827)),VLOOKUP(A827,Studies!A:BR,5,FALSE),"")</f>
        <v>Midazolam</v>
      </c>
      <c r="F827" s="78" t="s">
        <v>1273</v>
      </c>
    </row>
    <row r="828" spans="1:6" hidden="1" x14ac:dyDescent="0.2">
      <c r="A828" s="78">
        <v>1093</v>
      </c>
      <c r="B828" s="188" t="str">
        <f>IF(AND(A828&lt;&gt;"",ISNUMBER(A828)),VLOOKUP(A828,Studies!A:BR,2,FALSE),"")</f>
        <v>Shin 2016</v>
      </c>
      <c r="C828" s="188" t="str">
        <f>IF(AND(A828&lt;&gt;"",ISNUMBER(A828)),VLOOKUP(A828,Studies!A:BR,3,FALSE),"")</f>
        <v>https://www.ncbi.nlm.nih.gov/pubmed/27317471</v>
      </c>
      <c r="D828" s="252" t="str">
        <f>IF(AND(A828&lt;&gt;"",ISNUMBER(A828)),VLOOKUP(A828,Studies!A:BR,4,FALSE),"")</f>
        <v>Midazolam alone</v>
      </c>
      <c r="E828" s="188" t="str">
        <f>IF(AND(A828&lt;&gt;"",ISNUMBER(A828)),VLOOKUP(A828,Studies!A:BR,5,FALSE),"")</f>
        <v>Midazolam</v>
      </c>
      <c r="F828" s="78" t="s">
        <v>2801</v>
      </c>
    </row>
    <row r="829" spans="1:6" hidden="1" x14ac:dyDescent="0.2">
      <c r="A829" s="78">
        <v>1094</v>
      </c>
      <c r="B829" s="188" t="str">
        <f>IF(AND(A829&lt;&gt;"",ISNUMBER(A829)),VLOOKUP(A829,Studies!A:BR,2,FALSE),"")</f>
        <v>Shin 2016</v>
      </c>
      <c r="C829" s="188" t="str">
        <f>IF(AND(A829&lt;&gt;"",ISNUMBER(A829)),VLOOKUP(A829,Studies!A:BR,3,FALSE),"")</f>
        <v>https://www.ncbi.nlm.nih.gov/pubmed/27317471</v>
      </c>
      <c r="D829" s="252" t="str">
        <f>IF(AND(A829&lt;&gt;"",ISNUMBER(A829)),VLOOKUP(A829,Studies!A:BR,4,FALSE),"")</f>
        <v>Midazolam + ketoconazole</v>
      </c>
      <c r="E829" s="188" t="str">
        <f>IF(AND(A829&lt;&gt;"",ISNUMBER(A829)),VLOOKUP(A829,Studies!A:BR,5,FALSE),"")</f>
        <v>Midazolam</v>
      </c>
      <c r="F829" s="78" t="s">
        <v>1276</v>
      </c>
    </row>
    <row r="830" spans="1:6" hidden="1" x14ac:dyDescent="0.2">
      <c r="A830" s="78">
        <v>1095</v>
      </c>
      <c r="B830" s="188" t="str">
        <f>IF(AND(A830&lt;&gt;"",ISNUMBER(A830)),VLOOKUP(A830,Studies!A:BR,2,FALSE),"")</f>
        <v>Shin 2016</v>
      </c>
      <c r="C830" s="188" t="str">
        <f>IF(AND(A830&lt;&gt;"",ISNUMBER(A830)),VLOOKUP(A830,Studies!A:BR,3,FALSE),"")</f>
        <v>https://www.ncbi.nlm.nih.gov/pubmed/27317471</v>
      </c>
      <c r="D830" s="252" t="str">
        <f>IF(AND(A830&lt;&gt;"",ISNUMBER(A830)),VLOOKUP(A830,Studies!A:BR,4,FALSE),"")</f>
        <v>Midazolam + rifampicin</v>
      </c>
      <c r="E830" s="188" t="str">
        <f>IF(AND(A830&lt;&gt;"",ISNUMBER(A830)),VLOOKUP(A830,Studies!A:BR,5,FALSE),"")</f>
        <v>Midazolam</v>
      </c>
      <c r="F830" s="78" t="s">
        <v>1273</v>
      </c>
    </row>
    <row r="831" spans="1:6" hidden="1" x14ac:dyDescent="0.2">
      <c r="A831" s="78">
        <v>1096</v>
      </c>
      <c r="B831" s="188" t="str">
        <f>IF(AND(A831&lt;&gt;"",ISNUMBER(A831)),VLOOKUP(A831,Studies!A:BR,2,FALSE),"")</f>
        <v>Prueksaritanont 2017</v>
      </c>
      <c r="C831" s="188" t="str">
        <f>IF(AND(A831&lt;&gt;"",ISNUMBER(A831)),VLOOKUP(A831,Studies!A:BR,3,FALSE),"")</f>
        <v>https://www.ncbi.nlm.nih.gov/pubmed/27943276</v>
      </c>
      <c r="D831" s="252" t="str">
        <f>IF(AND(A831&lt;&gt;"",ISNUMBER(A831)),VLOOKUP(A831,Studies!A:BR,4,FALSE),"")</f>
        <v>Midazolam in microdosecocktail alone</v>
      </c>
      <c r="E831" s="188" t="str">
        <f>IF(AND(A831&lt;&gt;"",ISNUMBER(A831)),VLOOKUP(A831,Studies!A:BR,5,FALSE),"")</f>
        <v>Midazolam</v>
      </c>
      <c r="F831" s="78" t="s">
        <v>2779</v>
      </c>
    </row>
    <row r="832" spans="1:6" hidden="1" x14ac:dyDescent="0.2">
      <c r="A832" s="78">
        <v>1097</v>
      </c>
      <c r="B832" s="188" t="str">
        <f>IF(AND(A832&lt;&gt;"",ISNUMBER(A832)),VLOOKUP(A832,Studies!A:BR,2,FALSE),"")</f>
        <v>Prueksaritanont 2017</v>
      </c>
      <c r="C832" s="188" t="str">
        <f>IF(AND(A832&lt;&gt;"",ISNUMBER(A832)),VLOOKUP(A832,Studies!A:BR,3,FALSE),"")</f>
        <v>https://www.ncbi.nlm.nih.gov/pubmed/27943276</v>
      </c>
      <c r="D832" s="252" t="str">
        <f>IF(AND(A832&lt;&gt;"",ISNUMBER(A832)),VLOOKUP(A832,Studies!A:BR,4,FALSE),"")</f>
        <v>Midazolam in microdosecocktail + Itraconazole</v>
      </c>
      <c r="E832" s="188" t="str">
        <f>IF(AND(A832&lt;&gt;"",ISNUMBER(A832)),VLOOKUP(A832,Studies!A:BR,5,FALSE),"")</f>
        <v>Midazolam</v>
      </c>
      <c r="F832" s="78" t="s">
        <v>1271</v>
      </c>
    </row>
    <row r="833" spans="1:6" hidden="1" x14ac:dyDescent="0.2">
      <c r="A833" s="78">
        <v>1098</v>
      </c>
      <c r="B833" s="188" t="str">
        <f>IF(AND(A833&lt;&gt;"",ISNUMBER(A833)),VLOOKUP(A833,Studies!A:BR,2,FALSE),"")</f>
        <v>Prueksaritanont 2017</v>
      </c>
      <c r="C833" s="188" t="str">
        <f>IF(AND(A833&lt;&gt;"",ISNUMBER(A833)),VLOOKUP(A833,Studies!A:BR,3,FALSE),"")</f>
        <v>https://www.ncbi.nlm.nih.gov/pubmed/27943276</v>
      </c>
      <c r="D833" s="252" t="str">
        <f>IF(AND(A833&lt;&gt;"",ISNUMBER(A833)),VLOOKUP(A833,Studies!A:BR,4,FALSE),"")</f>
        <v>Midazolam in microdosecocktail + Rifampin</v>
      </c>
      <c r="E833" s="188" t="str">
        <f>IF(AND(A833&lt;&gt;"",ISNUMBER(A833)),VLOOKUP(A833,Studies!A:BR,5,FALSE),"")</f>
        <v>Midazolam</v>
      </c>
      <c r="F833" s="78" t="s">
        <v>2780</v>
      </c>
    </row>
    <row r="834" spans="1:6" hidden="1" x14ac:dyDescent="0.2">
      <c r="A834" s="78">
        <v>1099</v>
      </c>
      <c r="B834" s="188" t="str">
        <f>IF(AND(A834&lt;&gt;"",ISNUMBER(A834)),VLOOKUP(A834,Studies!A:BR,2,FALSE),"")</f>
        <v>Prueksaritanont 2017</v>
      </c>
      <c r="C834" s="188" t="str">
        <f>IF(AND(A834&lt;&gt;"",ISNUMBER(A834)),VLOOKUP(A834,Studies!A:BR,3,FALSE),"")</f>
        <v>https://www.ncbi.nlm.nih.gov/pubmed/27943276</v>
      </c>
      <c r="D834" s="252" t="str">
        <f>IF(AND(A834&lt;&gt;"",ISNUMBER(A834)),VLOOKUP(A834,Studies!A:BR,4,FALSE),"")</f>
        <v>Midazolam in microdosecocktail + Clarithromycin</v>
      </c>
      <c r="E834" s="188" t="str">
        <f>IF(AND(A834&lt;&gt;"",ISNUMBER(A834)),VLOOKUP(A834,Studies!A:BR,5,FALSE),"")</f>
        <v>Midazolam</v>
      </c>
      <c r="F834" s="78" t="s">
        <v>1280</v>
      </c>
    </row>
    <row r="835" spans="1:6" hidden="1" x14ac:dyDescent="0.2">
      <c r="A835" s="78">
        <v>1102</v>
      </c>
      <c r="B835" s="188" t="str">
        <f>IF(AND(A835&lt;&gt;"",ISNUMBER(A835)),VLOOKUP(A835,Studies!A:BR,2,FALSE),"")</f>
        <v>Greenblatt 1998a</v>
      </c>
      <c r="C835" s="188" t="str">
        <f>IF(AND(A835&lt;&gt;"",ISNUMBER(A835)),VLOOKUP(A835,Studies!A:BR,3,FALSE),"")</f>
        <v>https://www.ncbi.nlm.nih.gov/pubmed/9757151</v>
      </c>
      <c r="D835" s="252" t="str">
        <f>IF(AND(A835&lt;&gt;"",ISNUMBER(A835)),VLOOKUP(A835,Studies!A:BR,4,FALSE),"")</f>
        <v>Triazolam + Clarithromycin (Trial E)</v>
      </c>
      <c r="E835" s="188" t="str">
        <f>IF(AND(A835&lt;&gt;"",ISNUMBER(A835)),VLOOKUP(A835,Studies!A:BR,5,FALSE),"")</f>
        <v>Triazolam</v>
      </c>
      <c r="F835" s="78" t="s">
        <v>2929</v>
      </c>
    </row>
    <row r="836" spans="1:6" hidden="1" x14ac:dyDescent="0.2">
      <c r="A836" s="78">
        <v>1103</v>
      </c>
      <c r="B836" s="188" t="str">
        <f>IF(AND(A836&lt;&gt;"",ISNUMBER(A836)),VLOOKUP(A836,Studies!A:BR,2,FALSE),"")</f>
        <v>Fleishaker 1994</v>
      </c>
      <c r="C836" s="188" t="str">
        <f>IF(AND(A836&lt;&gt;"",ISNUMBER(A836)),VLOOKUP(A836,Studies!A:BR,3,FALSE),"")</f>
        <v>https://www.ncbi.nlm.nih.gov/pubmed/8005185</v>
      </c>
      <c r="D836" s="252" t="str">
        <f>IF(AND(A836&lt;&gt;"",ISNUMBER(A836)),VLOOKUP(A836,Studies!A:BR,4,FALSE),"")</f>
        <v>Alprazolam alone</v>
      </c>
      <c r="E836" s="188" t="str">
        <f>IF(AND(A836&lt;&gt;"",ISNUMBER(A836)),VLOOKUP(A836,Studies!A:BR,5,FALSE),"")</f>
        <v>Alprazolam</v>
      </c>
      <c r="F836" s="78" t="s">
        <v>2930</v>
      </c>
    </row>
    <row r="837" spans="1:6" hidden="1" x14ac:dyDescent="0.2">
      <c r="A837" s="78">
        <v>1104</v>
      </c>
      <c r="B837" s="188" t="str">
        <f>IF(AND(A837&lt;&gt;"",ISNUMBER(A837)),VLOOKUP(A837,Studies!A:BR,2,FALSE),"")</f>
        <v>Fleishaker 1994</v>
      </c>
      <c r="C837" s="188" t="str">
        <f>IF(AND(A837&lt;&gt;"",ISNUMBER(A837)),VLOOKUP(A837,Studies!A:BR,3,FALSE),"")</f>
        <v>https://www.ncbi.nlm.nih.gov/pubmed/8005185</v>
      </c>
      <c r="D837" s="252" t="str">
        <f>IF(AND(A837&lt;&gt;"",ISNUMBER(A837)),VLOOKUP(A837,Studies!A:BR,4,FALSE),"")</f>
        <v>Alprazolam + fluvoxamine</v>
      </c>
      <c r="E837" s="188" t="str">
        <f>IF(AND(A837&lt;&gt;"",ISNUMBER(A837)),VLOOKUP(A837,Studies!A:BR,5,FALSE),"")</f>
        <v>Alprazolam</v>
      </c>
      <c r="F837" s="78" t="s">
        <v>2930</v>
      </c>
    </row>
    <row r="838" spans="1:6" hidden="1" x14ac:dyDescent="0.2">
      <c r="A838" s="78">
        <v>1105</v>
      </c>
      <c r="B838" s="188" t="str">
        <f>IF(AND(A838&lt;&gt;"",ISNUMBER(A838)),VLOOKUP(A838,Studies!A:BR,2,FALSE),"")</f>
        <v>Fleishaker 1994</v>
      </c>
      <c r="C838" s="188" t="str">
        <f>IF(AND(A838&lt;&gt;"",ISNUMBER(A838)),VLOOKUP(A838,Studies!A:BR,3,FALSE),"")</f>
        <v>https://www.ncbi.nlm.nih.gov/pubmed/8005185</v>
      </c>
      <c r="D838" s="252" t="str">
        <f>IF(AND(A838&lt;&gt;"",ISNUMBER(A838)),VLOOKUP(A838,Studies!A:BR,4,FALSE),"")</f>
        <v>Fluvoxamine alone</v>
      </c>
      <c r="E838" s="188" t="str">
        <f>IF(AND(A838&lt;&gt;"",ISNUMBER(A838)),VLOOKUP(A838,Studies!A:BR,5,FALSE),"")</f>
        <v>Fluvoxamine</v>
      </c>
      <c r="F838" s="78" t="s">
        <v>2930</v>
      </c>
    </row>
    <row r="839" spans="1:6" hidden="1" x14ac:dyDescent="0.2">
      <c r="A839" s="78">
        <v>1106</v>
      </c>
      <c r="B839" s="188" t="str">
        <f>IF(AND(A839&lt;&gt;"",ISNUMBER(A839)),VLOOKUP(A839,Studies!A:BR,2,FALSE),"")</f>
        <v>Fleishaker 1994</v>
      </c>
      <c r="C839" s="188" t="str">
        <f>IF(AND(A839&lt;&gt;"",ISNUMBER(A839)),VLOOKUP(A839,Studies!A:BR,3,FALSE),"")</f>
        <v>https://www.ncbi.nlm.nih.gov/pubmed/8005185</v>
      </c>
      <c r="D839" s="252" t="str">
        <f>IF(AND(A839&lt;&gt;"",ISNUMBER(A839)),VLOOKUP(A839,Studies!A:BR,4,FALSE),"")</f>
        <v>Fluvoxamine + alprazolam</v>
      </c>
      <c r="E839" s="188" t="str">
        <f>IF(AND(A839&lt;&gt;"",ISNUMBER(A839)),VLOOKUP(A839,Studies!A:BR,5,FALSE),"")</f>
        <v>Fluvoxamine</v>
      </c>
      <c r="F839" s="78" t="s">
        <v>2930</v>
      </c>
    </row>
    <row r="840" spans="1:6" hidden="1" x14ac:dyDescent="0.2">
      <c r="A840" s="78">
        <v>1107</v>
      </c>
      <c r="B840" s="188" t="str">
        <f>IF(AND(A840&lt;&gt;"",ISNUMBER(A840)),VLOOKUP(A840,Studies!A:BR,2,FALSE),"")</f>
        <v>Backman 1994</v>
      </c>
      <c r="C840" s="188" t="str">
        <f>IF(AND(A840&lt;&gt;"",ISNUMBER(A840)),VLOOKUP(A840,Studies!A:BR,3,FALSE),"")</f>
        <v>https://www.ncbi.nlm.nih.gov/pubmed/8198928</v>
      </c>
      <c r="D840" s="252" t="str">
        <f>IF(AND(A840&lt;&gt;"",ISNUMBER(A840)),VLOOKUP(A840,Studies!A:BR,4,FALSE),"")</f>
        <v>Midazolam with placebo</v>
      </c>
      <c r="E840" s="188" t="str">
        <f>IF(AND(A840&lt;&gt;"",ISNUMBER(A840)),VLOOKUP(A840,Studies!A:BR,5,FALSE),"")</f>
        <v>Midazolam</v>
      </c>
      <c r="F840" s="78" t="s">
        <v>2785</v>
      </c>
    </row>
    <row r="841" spans="1:6" hidden="1" x14ac:dyDescent="0.2">
      <c r="A841" s="78">
        <v>1108</v>
      </c>
      <c r="B841" s="188" t="str">
        <f>IF(AND(A841&lt;&gt;"",ISNUMBER(A841)),VLOOKUP(A841,Studies!A:BR,2,FALSE),"")</f>
        <v>Backman 1994</v>
      </c>
      <c r="C841" s="188" t="str">
        <f>IF(AND(A841&lt;&gt;"",ISNUMBER(A841)),VLOOKUP(A841,Studies!A:BR,3,FALSE),"")</f>
        <v>https://www.ncbi.nlm.nih.gov/pubmed/8198928</v>
      </c>
      <c r="D841" s="252" t="str">
        <f>IF(AND(A841&lt;&gt;"",ISNUMBER(A841)),VLOOKUP(A841,Studies!A:BR,4,FALSE),"")</f>
        <v>Midazolam with verapamil</v>
      </c>
      <c r="E841" s="188" t="str">
        <f>IF(AND(A841&lt;&gt;"",ISNUMBER(A841)),VLOOKUP(A841,Studies!A:BR,5,FALSE),"")</f>
        <v>Midazolam</v>
      </c>
      <c r="F841" s="78" t="s">
        <v>2786</v>
      </c>
    </row>
    <row r="842" spans="1:6" hidden="1" x14ac:dyDescent="0.2">
      <c r="A842" s="78">
        <v>1109</v>
      </c>
      <c r="B842" s="188" t="str">
        <f>IF(AND(A842&lt;&gt;"",ISNUMBER(A842)),VLOOKUP(A842,Studies!A:BR,2,FALSE),"")</f>
        <v>Backman 1994</v>
      </c>
      <c r="C842" s="188" t="str">
        <f>IF(AND(A842&lt;&gt;"",ISNUMBER(A842)),VLOOKUP(A842,Studies!A:BR,3,FALSE),"")</f>
        <v>https://www.ncbi.nlm.nih.gov/pubmed/8198928</v>
      </c>
      <c r="D842" s="252" t="str">
        <f>IF(AND(A842&lt;&gt;"",ISNUMBER(A842)),VLOOKUP(A842,Studies!A:BR,4,FALSE),"")</f>
        <v>Verapamil</v>
      </c>
      <c r="E842" s="188" t="str">
        <f>IF(AND(A842&lt;&gt;"",ISNUMBER(A842)),VLOOKUP(A842,Studies!A:BR,5,FALSE),"")</f>
        <v>Verapamil</v>
      </c>
      <c r="F842" s="78" t="s">
        <v>2787</v>
      </c>
    </row>
    <row r="843" spans="1:6" hidden="1" x14ac:dyDescent="0.2">
      <c r="A843" s="78">
        <v>1110</v>
      </c>
      <c r="B843" s="188" t="str">
        <f>IF(AND(A843&lt;&gt;"",ISNUMBER(A843)),VLOOKUP(A843,Studies!A:BR,2,FALSE),"")</f>
        <v>Wang 2005</v>
      </c>
      <c r="C843" s="188" t="str">
        <f>IF(AND(A843&lt;&gt;"",ISNUMBER(A843)),VLOOKUP(A843,Studies!A:BR,3,FALSE),"")</f>
        <v>https://ascpt.onlinelibrary.wiley.com/doi/abs/10.1016/j.clpt.2004.11.014</v>
      </c>
      <c r="D843" s="252" t="str">
        <f>IF(AND(A843&lt;&gt;"",ISNUMBER(A843)),VLOOKUP(A843,Studies!A:BR,4,FALSE),"")</f>
        <v>Midazolam before treatment</v>
      </c>
      <c r="E843" s="188" t="str">
        <f>IF(AND(A843&lt;&gt;"",ISNUMBER(A843)),VLOOKUP(A843,Studies!A:BR,5,FALSE),"")</f>
        <v>Midazolam</v>
      </c>
      <c r="F843" s="78" t="s">
        <v>2785</v>
      </c>
    </row>
    <row r="844" spans="1:6" hidden="1" x14ac:dyDescent="0.2">
      <c r="A844" s="78">
        <v>1111</v>
      </c>
      <c r="B844" s="188" t="str">
        <f>IF(AND(A844&lt;&gt;"",ISNUMBER(A844)),VLOOKUP(A844,Studies!A:BR,2,FALSE),"")</f>
        <v>Wang 2005</v>
      </c>
      <c r="C844" s="188" t="str">
        <f>IF(AND(A844&lt;&gt;"",ISNUMBER(A844)),VLOOKUP(A844,Studies!A:BR,3,FALSE),"")</f>
        <v>https://ascpt.onlinelibrary.wiley.com/doi/abs/10.1016/j.clpt.2004.11.014</v>
      </c>
      <c r="D844" s="252" t="str">
        <f>IF(AND(A844&lt;&gt;"",ISNUMBER(A844)),VLOOKUP(A844,Studies!A:BR,4,FALSE),"")</f>
        <v>Midazolam after VER treatment</v>
      </c>
      <c r="E844" s="188" t="str">
        <f>IF(AND(A844&lt;&gt;"",ISNUMBER(A844)),VLOOKUP(A844,Studies!A:BR,5,FALSE),"")</f>
        <v>Midazolam</v>
      </c>
      <c r="F844" s="78" t="s">
        <v>2786</v>
      </c>
    </row>
    <row r="845" spans="1:6" hidden="1" x14ac:dyDescent="0.2">
      <c r="A845" s="78">
        <v>1112</v>
      </c>
      <c r="B845" s="188" t="str">
        <f>IF(AND(A845&lt;&gt;"",ISNUMBER(A845)),VLOOKUP(A845,Studies!A:BR,2,FALSE),"")</f>
        <v>Yeates 1997</v>
      </c>
      <c r="C845" s="188" t="str">
        <f>IF(AND(A845&lt;&gt;"",ISNUMBER(A845)),VLOOKUP(A845,Studies!A:BR,3,FALSE),"")</f>
        <v>https://www.ncbi.nlm.nih.gov/pubmed/9455717</v>
      </c>
      <c r="D845" s="252" t="str">
        <f>IF(AND(A845&lt;&gt;"",ISNUMBER(A845)),VLOOKUP(A845,Studies!A:BR,4,FALSE),"")</f>
        <v>EXCLUDED</v>
      </c>
      <c r="E845" s="188">
        <f>IF(AND(A845&lt;&gt;"",ISNUMBER(A845)),VLOOKUP(A845,Studies!A:BR,5,FALSE),"")</f>
        <v>0</v>
      </c>
    </row>
    <row r="846" spans="1:6" hidden="1" x14ac:dyDescent="0.2">
      <c r="A846" s="78">
        <v>1113</v>
      </c>
      <c r="B846" s="188" t="str">
        <f>IF(AND(A846&lt;&gt;"",ISNUMBER(A846)),VLOOKUP(A846,Studies!A:BR,2,FALSE),"")</f>
        <v>Fleishaker 1994</v>
      </c>
      <c r="C846" s="188" t="str">
        <f>IF(AND(A846&lt;&gt;"",ISNUMBER(A846)),VLOOKUP(A846,Studies!A:BR,3,FALSE),"")</f>
        <v>https://www.ncbi.nlm.nih.gov/pubmed/8005185</v>
      </c>
      <c r="D846" s="252" t="str">
        <f>IF(AND(A846&lt;&gt;"",ISNUMBER(A846)),VLOOKUP(A846,Studies!A:BR,4,FALSE),"")</f>
        <v>Alprazolam + fluvoxamine (day 10)</v>
      </c>
      <c r="E846" s="188" t="str">
        <f>IF(AND(A846&lt;&gt;"",ISNUMBER(A846)),VLOOKUP(A846,Studies!A:BR,5,FALSE),"")</f>
        <v>Alprazolam</v>
      </c>
      <c r="F846" s="78" t="s">
        <v>2930</v>
      </c>
    </row>
    <row r="847" spans="1:6" hidden="1" x14ac:dyDescent="0.2">
      <c r="A847" s="78">
        <v>1114</v>
      </c>
      <c r="B847" s="188" t="str">
        <f>IF(AND(A847&lt;&gt;"",ISNUMBER(A847)),VLOOKUP(A847,Studies!A:BR,2,FALSE),"")</f>
        <v>Fleishaker 1994</v>
      </c>
      <c r="C847" s="188" t="str">
        <f>IF(AND(A847&lt;&gt;"",ISNUMBER(A847)),VLOOKUP(A847,Studies!A:BR,3,FALSE),"")</f>
        <v>https://www.ncbi.nlm.nih.gov/pubmed/8005185</v>
      </c>
      <c r="D847" s="252" t="str">
        <f>IF(AND(A847&lt;&gt;"",ISNUMBER(A847)),VLOOKUP(A847,Studies!A:BR,4,FALSE),"")</f>
        <v>Fluvoxamine + alprazolam (day 10)</v>
      </c>
      <c r="E847" s="188" t="str">
        <f>IF(AND(A847&lt;&gt;"",ISNUMBER(A847)),VLOOKUP(A847,Studies!A:BR,5,FALSE),"")</f>
        <v>Fluvoxamine</v>
      </c>
      <c r="F847" s="78" t="s">
        <v>2930</v>
      </c>
    </row>
    <row r="848" spans="1:6" hidden="1" x14ac:dyDescent="0.2">
      <c r="A848" s="78">
        <v>1115</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2785</v>
      </c>
    </row>
    <row r="849" spans="1:6" hidden="1" x14ac:dyDescent="0.2">
      <c r="A849" s="78">
        <v>1116</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2786</v>
      </c>
    </row>
    <row r="850" spans="1:6" hidden="1" x14ac:dyDescent="0.2">
      <c r="A850" s="78">
        <v>2000</v>
      </c>
      <c r="B850" s="188" t="str">
        <f>IF(AND(A850&lt;&gt;"",ISNUMBER(A850)),VLOOKUP(A850,Studies!A:BR,2,FALSE),"")</f>
        <v>van Dyk 2018</v>
      </c>
      <c r="C850" s="188" t="str">
        <f>IF(AND(A850&lt;&gt;"",ISNUMBER(A850)),VLOOKUP(A850,Studies!A:BR,3,FALSE),"")</f>
        <v>https://www.ncbi.nlm.nih.gov/pubmed/29572563</v>
      </c>
      <c r="D850" s="252" t="str">
        <f>IF(AND(A850&lt;&gt;"",ISNUMBER(A850)),VLOOKUP(A850,Studies!A:BR,4,FALSE),"")</f>
        <v xml:space="preserve">Midazolam in Caucasian at baseline </v>
      </c>
      <c r="E850" s="188" t="str">
        <f>IF(AND(A850&lt;&gt;"",ISNUMBER(A850)),VLOOKUP(A850,Studies!A:BR,5,FALSE),"")</f>
        <v>Midazolam</v>
      </c>
      <c r="F850" s="78" t="s">
        <v>2932</v>
      </c>
    </row>
    <row r="851" spans="1:6" hidden="1" x14ac:dyDescent="0.2">
      <c r="A851" s="78">
        <v>2001</v>
      </c>
      <c r="B851" s="188" t="str">
        <f>IF(AND(A851&lt;&gt;"",ISNUMBER(A851)),VLOOKUP(A851,Studies!A:BR,2,FALSE),"")</f>
        <v>van Dyk 2018</v>
      </c>
      <c r="C851" s="188" t="str">
        <f>IF(AND(A851&lt;&gt;"",ISNUMBER(A851)),VLOOKUP(A851,Studies!A:BR,3,FALSE),"")</f>
        <v>https://www.ncbi.nlm.nih.gov/pubmed/29572563</v>
      </c>
      <c r="D851" s="252" t="str">
        <f>IF(AND(A851&lt;&gt;"",ISNUMBER(A851)),VLOOKUP(A851,Studies!A:BR,4,FALSE),"")</f>
        <v>Midazolam in South Asian at baseline</v>
      </c>
      <c r="E851" s="188" t="str">
        <f>IF(AND(A851&lt;&gt;"",ISNUMBER(A851)),VLOOKUP(A851,Studies!A:BR,5,FALSE),"")</f>
        <v>Midazolam</v>
      </c>
      <c r="F851" s="78" t="s">
        <v>2932</v>
      </c>
    </row>
    <row r="852" spans="1:6" hidden="1" x14ac:dyDescent="0.2">
      <c r="A852" s="78">
        <v>2002</v>
      </c>
      <c r="B852" s="188" t="str">
        <f>IF(AND(A852&lt;&gt;"",ISNUMBER(A852)),VLOOKUP(A852,Studies!A:BR,2,FALSE),"")</f>
        <v>van Dyk 2018</v>
      </c>
      <c r="C852" s="188" t="str">
        <f>IF(AND(A852&lt;&gt;"",ISNUMBER(A852)),VLOOKUP(A852,Studies!A:BR,3,FALSE),"")</f>
        <v>https://www.ncbi.nlm.nih.gov/pubmed/29572563</v>
      </c>
      <c r="D852" s="252" t="str">
        <f>IF(AND(A852&lt;&gt;"",ISNUMBER(A852)),VLOOKUP(A852,Studies!A:BR,4,FALSE),"")</f>
        <v>Midazolam in Caucasian following 7d of Rifampicin (between day 1 and 8)</v>
      </c>
      <c r="E852" s="188" t="str">
        <f>IF(AND(A852&lt;&gt;"",ISNUMBER(A852)),VLOOKUP(A852,Studies!A:BR,5,FALSE),"")</f>
        <v>Midazolam</v>
      </c>
      <c r="F852" s="78" t="s">
        <v>1273</v>
      </c>
    </row>
    <row r="853" spans="1:6" hidden="1" x14ac:dyDescent="0.2">
      <c r="A853" s="78">
        <v>2003</v>
      </c>
      <c r="B853" s="188" t="str">
        <f>IF(AND(A853&lt;&gt;"",ISNUMBER(A853)),VLOOKUP(A853,Studies!A:BR,2,FALSE),"")</f>
        <v>van Dyk 2018</v>
      </c>
      <c r="C853" s="188" t="str">
        <f>IF(AND(A853&lt;&gt;"",ISNUMBER(A853)),VLOOKUP(A853,Studies!A:BR,3,FALSE),"")</f>
        <v>https://www.ncbi.nlm.nih.gov/pubmed/29572563</v>
      </c>
      <c r="D853" s="252" t="str">
        <f>IF(AND(A853&lt;&gt;"",ISNUMBER(A853)),VLOOKUP(A853,Studies!A:BR,4,FALSE),"")</f>
        <v>Midazolam in South Asian following 7d of Rifampicin (between day 1 and 8)</v>
      </c>
      <c r="E853" s="188" t="str">
        <f>IF(AND(A853&lt;&gt;"",ISNUMBER(A853)),VLOOKUP(A853,Studies!A:BR,5,FALSE),"")</f>
        <v>Midazolam</v>
      </c>
      <c r="F853" s="78" t="s">
        <v>1273</v>
      </c>
    </row>
    <row r="854" spans="1:6" hidden="1" x14ac:dyDescent="0.2">
      <c r="A854" s="78">
        <v>2004</v>
      </c>
      <c r="B854" s="188" t="str">
        <f>IF(AND(A854&lt;&gt;"",ISNUMBER(A854)),VLOOKUP(A854,Studies!A:BR,2,FALSE),"")</f>
        <v>van Dyk 2018</v>
      </c>
      <c r="C854" s="188" t="str">
        <f>IF(AND(A854&lt;&gt;"",ISNUMBER(A854)),VLOOKUP(A854,Studies!A:BR,3,FALSE),"")</f>
        <v>https://www.ncbi.nlm.nih.gov/pubmed/29572563</v>
      </c>
      <c r="D854" s="252" t="str">
        <f>IF(AND(A854&lt;&gt;"",ISNUMBER(A854)),VLOOKUP(A854,Studies!A:BR,4,FALSE),"")</f>
        <v>Midazolam in Caucasian following 3d of Clarithromycin (between day 12 and 14)</v>
      </c>
      <c r="E854" s="188" t="str">
        <f>IF(AND(A854&lt;&gt;"",ISNUMBER(A854)),VLOOKUP(A854,Studies!A:BR,5,FALSE),"")</f>
        <v>Midazolam</v>
      </c>
      <c r="F854" s="78" t="s">
        <v>1280</v>
      </c>
    </row>
    <row r="855" spans="1:6" hidden="1" x14ac:dyDescent="0.2">
      <c r="A855" s="78">
        <v>2005</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Midazolam in South Asian following 3d of Clarithromycin (between day 12 and 14)</v>
      </c>
      <c r="E855" s="188" t="str">
        <f>IF(AND(A855&lt;&gt;"",ISNUMBER(A855)),VLOOKUP(A855,Studies!A:BR,5,FALSE),"")</f>
        <v>Midazolam</v>
      </c>
      <c r="F855" s="78" t="s">
        <v>1280</v>
      </c>
    </row>
    <row r="856" spans="1:6" hidden="1" x14ac:dyDescent="0.2">
      <c r="A856" s="78">
        <v>2006</v>
      </c>
      <c r="B856" s="188" t="str">
        <f>IF(AND(A856&lt;&gt;"",ISNUMBER(A856)),VLOOKUP(A856,Studies!A:BR,2,FALSE),"")</f>
        <v>Kashuba 1998</v>
      </c>
      <c r="C856" s="188" t="str">
        <f>IF(AND(A856&lt;&gt;"",ISNUMBER(A856)),VLOOKUP(A856,Studies!A:BR,3,FALSE),"")</f>
        <v>https://www.ncbi.nlm.nih.gov/pubmed/9757149</v>
      </c>
      <c r="D856" s="252" t="str">
        <f>IF(AND(A856&lt;&gt;"",ISNUMBER(A856)),VLOOKUP(A856,Studies!A:BR,4,FALSE),"")</f>
        <v>Midazolam at baseline</v>
      </c>
      <c r="E856" s="188" t="str">
        <f>IF(AND(A856&lt;&gt;"",ISNUMBER(A856)),VLOOKUP(A856,Studies!A:BR,5,FALSE),"")</f>
        <v>Midazolam</v>
      </c>
      <c r="F856" s="78" t="s">
        <v>2776</v>
      </c>
    </row>
    <row r="857" spans="1:6" hidden="1" x14ac:dyDescent="0.2">
      <c r="A857" s="78">
        <v>2007</v>
      </c>
      <c r="B857" s="188" t="str">
        <f>IF(AND(A857&lt;&gt;"",ISNUMBER(A857)),VLOOKUP(A857,Studies!A:BR,2,FALSE),"")</f>
        <v>Kashuba 1998</v>
      </c>
      <c r="C857" s="188" t="str">
        <f>IF(AND(A857&lt;&gt;"",ISNUMBER(A857)),VLOOKUP(A857,Studies!A:BR,3,FALSE),"")</f>
        <v>https://www.ncbi.nlm.nih.gov/pubmed/9757149</v>
      </c>
      <c r="D857" s="252" t="str">
        <f>IF(AND(A857&lt;&gt;"",ISNUMBER(A857)),VLOOKUP(A857,Studies!A:BR,4,FALSE),"")</f>
        <v>Midazolam after Fluvoxamine</v>
      </c>
      <c r="E857" s="188" t="str">
        <f>IF(AND(A857&lt;&gt;"",ISNUMBER(A857)),VLOOKUP(A857,Studies!A:BR,5,FALSE),"")</f>
        <v>Midazolam</v>
      </c>
      <c r="F857" s="78" t="s">
        <v>2777</v>
      </c>
    </row>
    <row r="858" spans="1:6" hidden="1" x14ac:dyDescent="0.2">
      <c r="A858" s="78">
        <v>2008</v>
      </c>
      <c r="B858" s="188" t="str">
        <f>IF(AND(A858&lt;&gt;"",ISNUMBER(A858)),VLOOKUP(A858,Studies!A:BR,2,FALSE),"")</f>
        <v>Gashaw 2003</v>
      </c>
      <c r="C858" s="188" t="str">
        <f>IF(AND(A858&lt;&gt;"",ISNUMBER(A858)),VLOOKUP(A858,Studies!A:BR,3,FALSE),"")</f>
        <v>https://www.ncbi.nlm.nih.gov/pubmed/?term=14586385</v>
      </c>
      <c r="D858" s="252" t="str">
        <f>IF(AND(A858&lt;&gt;"",ISNUMBER(A858)),VLOOKUP(A858,Studies!A:BR,4,FALSE),"")</f>
        <v>Alprazolam 10h concentration before Rifampin treatment (control conditions, day 2)</v>
      </c>
      <c r="E858" s="188" t="str">
        <f>IF(AND(A858&lt;&gt;"",ISNUMBER(A858)),VLOOKUP(A858,Studies!A:BR,5,FALSE),"")</f>
        <v>Alprazolam</v>
      </c>
      <c r="F858" s="78" t="s">
        <v>2856</v>
      </c>
    </row>
    <row r="859" spans="1:6" hidden="1" x14ac:dyDescent="0.2">
      <c r="A859" s="78">
        <v>2009</v>
      </c>
      <c r="B859" s="188" t="str">
        <f>IF(AND(A859&lt;&gt;"",ISNUMBER(A859)),VLOOKUP(A859,Studies!A:BR,2,FALSE),"")</f>
        <v>Gashaw 2003</v>
      </c>
      <c r="C859" s="188" t="str">
        <f>IF(AND(A859&lt;&gt;"",ISNUMBER(A859)),VLOOKUP(A859,Studies!A:BR,3,FALSE),"")</f>
        <v>https://www.ncbi.nlm.nih.gov/pubmed/?term=14586385</v>
      </c>
      <c r="D859" s="252" t="str">
        <f>IF(AND(A859&lt;&gt;"",ISNUMBER(A859)),VLOOKUP(A859,Studies!A:BR,4,FALSE),"")</f>
        <v>Alprazolam 10h concentration after Rifampin treatment (5 day rifampin treatment, day 7)</v>
      </c>
      <c r="E859" s="188" t="str">
        <f>IF(AND(A859&lt;&gt;"",ISNUMBER(A859)),VLOOKUP(A859,Studies!A:BR,5,FALSE),"")</f>
        <v>Alprazolam</v>
      </c>
      <c r="F859" s="78" t="s">
        <v>2856</v>
      </c>
    </row>
    <row r="860" spans="1:6" hidden="1" x14ac:dyDescent="0.2">
      <c r="A860" s="78">
        <v>2010</v>
      </c>
      <c r="B860" s="188" t="str">
        <f>IF(AND(A860&lt;&gt;"",ISNUMBER(A860)),VLOOKUP(A860,Studies!A:BR,2,FALSE),"")</f>
        <v>Gashaw 2003</v>
      </c>
      <c r="C860" s="188" t="str">
        <f>IF(AND(A860&lt;&gt;"",ISNUMBER(A860)),VLOOKUP(A860,Studies!A:BR,3,FALSE),"")</f>
        <v>https://www.ncbi.nlm.nih.gov/pubmed/?term=14586385</v>
      </c>
      <c r="D860" s="252" t="str">
        <f>IF(AND(A860&lt;&gt;"",ISNUMBER(A860)),VLOOKUP(A860,Studies!A:BR,4,FALSE),"")</f>
        <v>Alprazolam 10h concentration after wash out (day 22)</v>
      </c>
      <c r="E860" s="188" t="str">
        <f>IF(AND(A860&lt;&gt;"",ISNUMBER(A860)),VLOOKUP(A860,Studies!A:BR,5,FALSE),"")</f>
        <v>Alprazolam</v>
      </c>
      <c r="F860" s="78" t="s">
        <v>2856</v>
      </c>
    </row>
    <row r="861" spans="1:6" hidden="1" x14ac:dyDescent="0.2">
      <c r="A861" s="78">
        <v>2011</v>
      </c>
      <c r="B861" s="188" t="str">
        <f>IF(AND(A861&lt;&gt;"",ISNUMBER(A861)),VLOOKUP(A861,Studies!A:BR,2,FALSE),"")</f>
        <v>Chen 2006</v>
      </c>
      <c r="C861" s="188" t="str">
        <f>IF(AND(A861&lt;&gt;"",ISNUMBER(A861)),VLOOKUP(A861,Studies!A:BR,3,FALSE),"")</f>
        <v>https://www.ncbi.nlm.nih.gov/pubmed/16842393</v>
      </c>
      <c r="D861" s="252" t="str">
        <f>IF(AND(A861&lt;&gt;"",ISNUMBER(A861)),VLOOKUP(A861,Studies!A:BR,4,FALSE),"")</f>
        <v>Midazolam at baseline overall</v>
      </c>
      <c r="E861" s="188" t="str">
        <f>IF(AND(A861&lt;&gt;"",ISNUMBER(A861)),VLOOKUP(A861,Studies!A:BR,5,FALSE),"")</f>
        <v>Midazolam</v>
      </c>
      <c r="F861" s="78" t="s">
        <v>2776</v>
      </c>
    </row>
    <row r="862" spans="1:6" hidden="1" x14ac:dyDescent="0.2">
      <c r="A862" s="78">
        <v>2012</v>
      </c>
      <c r="B862" s="188" t="str">
        <f>IF(AND(A862&lt;&gt;"",ISNUMBER(A862)),VLOOKUP(A862,Studies!A:BR,2,FALSE),"")</f>
        <v>Chen 2006</v>
      </c>
      <c r="C862" s="188" t="str">
        <f>IF(AND(A862&lt;&gt;"",ISNUMBER(A862)),VLOOKUP(A862,Studies!A:BR,3,FALSE),"")</f>
        <v>https://www.ncbi.nlm.nih.gov/pubmed/16842393</v>
      </c>
      <c r="D862" s="252" t="str">
        <f>IF(AND(A862&lt;&gt;"",ISNUMBER(A862)),VLOOKUP(A862,Studies!A:BR,4,FALSE),"")</f>
        <v>Midazolam post treatment with fluvoxamine (28 days of fluvoxamine) overall</v>
      </c>
      <c r="E862" s="188" t="str">
        <f>IF(AND(A862&lt;&gt;"",ISNUMBER(A862)),VLOOKUP(A862,Studies!A:BR,5,FALSE),"")</f>
        <v>Midazolam</v>
      </c>
      <c r="F862" s="78" t="s">
        <v>2777</v>
      </c>
    </row>
    <row r="863" spans="1:6" hidden="1" x14ac:dyDescent="0.2">
      <c r="A863" s="78">
        <v>2013</v>
      </c>
      <c r="B863" s="188" t="str">
        <f>IF(AND(A863&lt;&gt;"",ISNUMBER(A863)),VLOOKUP(A863,Studies!A:BR,2,FALSE),"")</f>
        <v>Chen 2006</v>
      </c>
      <c r="C863" s="188" t="str">
        <f>IF(AND(A863&lt;&gt;"",ISNUMBER(A863)),VLOOKUP(A863,Studies!A:BR,3,FALSE),"")</f>
        <v>https://www.ncbi.nlm.nih.gov/pubmed/16842393</v>
      </c>
      <c r="D863" s="252" t="str">
        <f>IF(AND(A863&lt;&gt;"",ISNUMBER(A863)),VLOOKUP(A863,Studies!A:BR,4,FALSE),"")</f>
        <v>Midazolam at baseline Male</v>
      </c>
      <c r="E863" s="188" t="str">
        <f>IF(AND(A863&lt;&gt;"",ISNUMBER(A863)),VLOOKUP(A863,Studies!A:BR,5,FALSE),"")</f>
        <v>Midazolam</v>
      </c>
      <c r="F863" s="78" t="s">
        <v>2776</v>
      </c>
    </row>
    <row r="864" spans="1:6" hidden="1" x14ac:dyDescent="0.2">
      <c r="A864" s="78">
        <v>2014</v>
      </c>
      <c r="B864" s="188" t="str">
        <f>IF(AND(A864&lt;&gt;"",ISNUMBER(A864)),VLOOKUP(A864,Studies!A:BR,2,FALSE),"")</f>
        <v>Chen 2006</v>
      </c>
      <c r="C864" s="188" t="str">
        <f>IF(AND(A864&lt;&gt;"",ISNUMBER(A864)),VLOOKUP(A864,Studies!A:BR,3,FALSE),"")</f>
        <v>https://www.ncbi.nlm.nih.gov/pubmed/16842393</v>
      </c>
      <c r="D864" s="252" t="str">
        <f>IF(AND(A864&lt;&gt;"",ISNUMBER(A864)),VLOOKUP(A864,Studies!A:BR,4,FALSE),"")</f>
        <v>Midazolam post treatment with fluvoxamine (28 days of fluvoxamine) Male</v>
      </c>
      <c r="E864" s="188" t="str">
        <f>IF(AND(A864&lt;&gt;"",ISNUMBER(A864)),VLOOKUP(A864,Studies!A:BR,5,FALSE),"")</f>
        <v>Midazolam</v>
      </c>
      <c r="F864" s="78" t="s">
        <v>2777</v>
      </c>
    </row>
    <row r="865" spans="1:6" hidden="1" x14ac:dyDescent="0.2">
      <c r="A865" s="78">
        <v>2015</v>
      </c>
      <c r="B865" s="188" t="str">
        <f>IF(AND(A865&lt;&gt;"",ISNUMBER(A865)),VLOOKUP(A865,Studies!A:BR,2,FALSE),"")</f>
        <v>Chen 2006</v>
      </c>
      <c r="C865" s="188" t="str">
        <f>IF(AND(A865&lt;&gt;"",ISNUMBER(A865)),VLOOKUP(A865,Studies!A:BR,3,FALSE),"")</f>
        <v>https://www.ncbi.nlm.nih.gov/pubmed/16842393</v>
      </c>
      <c r="D865" s="252" t="str">
        <f>IF(AND(A865&lt;&gt;"",ISNUMBER(A865)),VLOOKUP(A865,Studies!A:BR,4,FALSE),"")</f>
        <v>Midazolam at baseline female</v>
      </c>
      <c r="E865" s="188" t="str">
        <f>IF(AND(A865&lt;&gt;"",ISNUMBER(A865)),VLOOKUP(A865,Studies!A:BR,5,FALSE),"")</f>
        <v>Midazolam</v>
      </c>
      <c r="F865" s="78" t="s">
        <v>2776</v>
      </c>
    </row>
    <row r="866" spans="1:6" hidden="1" x14ac:dyDescent="0.2">
      <c r="A866" s="78">
        <v>2016</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post treatment with fluvoxamine (28 days of fluvoxamine) female</v>
      </c>
      <c r="E866" s="188" t="str">
        <f>IF(AND(A866&lt;&gt;"",ISNUMBER(A866)),VLOOKUP(A866,Studies!A:BR,5,FALSE),"")</f>
        <v>Midazolam</v>
      </c>
      <c r="F866" s="78" t="s">
        <v>2777</v>
      </c>
    </row>
    <row r="867" spans="1:6" hidden="1" x14ac:dyDescent="0.2">
      <c r="A867" s="78">
        <v>2017</v>
      </c>
      <c r="B867" s="188" t="str">
        <f>IF(AND(A867&lt;&gt;"",ISNUMBER(A867)),VLOOKUP(A867,Studies!A:BR,2,FALSE),"")</f>
        <v>Suzuki 2003</v>
      </c>
      <c r="C867" s="188" t="str">
        <f>IF(AND(A867&lt;&gt;"",ISNUMBER(A867)),VLOOKUP(A867,Studies!A:BR,3,FALSE),"")</f>
        <v>https://www.ncbi.nlm.nih.gov/pubmed/12698310</v>
      </c>
      <c r="D867" s="252" t="str">
        <f>IF(AND(A867&lt;&gt;"",ISNUMBER(A867)),VLOOKUP(A867,Studies!A:BR,4,FALSE),"")</f>
        <v>Alprazolam without fluvoxamine (Japanese)</v>
      </c>
      <c r="E867" s="188" t="str">
        <f>IF(AND(A867&lt;&gt;"",ISNUMBER(A867)),VLOOKUP(A867,Studies!A:BR,5,FALSE),"")</f>
        <v>Alprazolam</v>
      </c>
    </row>
    <row r="868" spans="1:6" hidden="1" x14ac:dyDescent="0.2">
      <c r="A868" s="78">
        <v>2018</v>
      </c>
      <c r="B868" s="188" t="str">
        <f>IF(AND(A868&lt;&gt;"",ISNUMBER(A868)),VLOOKUP(A868,Studies!A:BR,2,FALSE),"")</f>
        <v>Suzuki 2003</v>
      </c>
      <c r="C868" s="188" t="str">
        <f>IF(AND(A868&lt;&gt;"",ISNUMBER(A868)),VLOOKUP(A868,Studies!A:BR,3,FALSE),"")</f>
        <v>https://www.ncbi.nlm.nih.gov/pubmed/12698310</v>
      </c>
      <c r="D868" s="252" t="str">
        <f>IF(AND(A868&lt;&gt;"",ISNUMBER(A868)),VLOOKUP(A868,Studies!A:BR,4,FALSE),"")</f>
        <v>Alprazolam with fluvoxamine (Japanese)</v>
      </c>
      <c r="E868" s="188" t="str">
        <f>IF(AND(A868&lt;&gt;"",ISNUMBER(A868)),VLOOKUP(A868,Studies!A:BR,5,FALSE),"")</f>
        <v>Alprazolam</v>
      </c>
    </row>
    <row r="869" spans="1:6" hidden="1" x14ac:dyDescent="0.2">
      <c r="A869" s="78">
        <v>2019</v>
      </c>
      <c r="B869" s="188" t="str">
        <f>IF(AND(A869&lt;&gt;"",ISNUMBER(A869)),VLOOKUP(A869,Studies!A:BR,2,FALSE),"")</f>
        <v>Quinney 2008</v>
      </c>
      <c r="C869" s="188" t="str">
        <f>IF(AND(A869&lt;&gt;"",ISNUMBER(A869)),VLOOKUP(A869,Studies!A:BR,3,FALSE),"")</f>
        <v>https://www.ncbi.nlm.nih.gov/pubmed/17635500</v>
      </c>
      <c r="D869" s="252" t="str">
        <f>IF(AND(A869&lt;&gt;"",ISNUMBER(A869)),VLOOKUP(A869,Studies!A:BR,4,FALSE),"")</f>
        <v>Control iv Midazolam Female</v>
      </c>
      <c r="E869" s="188" t="str">
        <f>IF(AND(A869&lt;&gt;"",ISNUMBER(A869)),VLOOKUP(A869,Studies!A:BR,5,FALSE),"")</f>
        <v>Midazolam</v>
      </c>
      <c r="F869" s="78" t="s">
        <v>1279</v>
      </c>
    </row>
    <row r="870" spans="1:6" hidden="1" x14ac:dyDescent="0.2">
      <c r="A870" s="78">
        <v>2020</v>
      </c>
      <c r="B870" s="188" t="str">
        <f>IF(AND(A870&lt;&gt;"",ISNUMBER(A870)),VLOOKUP(A870,Studies!A:BR,2,FALSE),"")</f>
        <v>Quinney 2008</v>
      </c>
      <c r="C870" s="188" t="str">
        <f>IF(AND(A870&lt;&gt;"",ISNUMBER(A870)),VLOOKUP(A870,Studies!A:BR,3,FALSE),"")</f>
        <v>https://www.ncbi.nlm.nih.gov/pubmed/17635500</v>
      </c>
      <c r="D870" s="252" t="str">
        <f>IF(AND(A870&lt;&gt;"",ISNUMBER(A870)),VLOOKUP(A870,Studies!A:BR,4,FALSE),"")</f>
        <v>Control iv Midazolam Male</v>
      </c>
      <c r="E870" s="188" t="str">
        <f>IF(AND(A870&lt;&gt;"",ISNUMBER(A870)),VLOOKUP(A870,Studies!A:BR,5,FALSE),"")</f>
        <v>Midazolam</v>
      </c>
      <c r="F870" s="78" t="s">
        <v>1279</v>
      </c>
    </row>
    <row r="871" spans="1:6" hidden="1" x14ac:dyDescent="0.2">
      <c r="A871" s="78">
        <v>2021</v>
      </c>
      <c r="B871" s="188" t="str">
        <f>IF(AND(A871&lt;&gt;"",ISNUMBER(A871)),VLOOKUP(A871,Studies!A:BR,2,FALSE),"")</f>
        <v>Quinney 2008</v>
      </c>
      <c r="C871" s="188" t="str">
        <f>IF(AND(A871&lt;&gt;"",ISNUMBER(A871)),VLOOKUP(A871,Studies!A:BR,3,FALSE),"")</f>
        <v>https://www.ncbi.nlm.nih.gov/pubmed/17635500</v>
      </c>
      <c r="D871" s="252" t="str">
        <f>IF(AND(A871&lt;&gt;"",ISNUMBER(A871)),VLOOKUP(A871,Studies!A:BR,4,FALSE),"")</f>
        <v>Control iv Midazolam All</v>
      </c>
      <c r="E871" s="188" t="str">
        <f>IF(AND(A871&lt;&gt;"",ISNUMBER(A871)),VLOOKUP(A871,Studies!A:BR,5,FALSE),"")</f>
        <v>Midazolam</v>
      </c>
      <c r="F871" s="78" t="s">
        <v>1279</v>
      </c>
    </row>
    <row r="872" spans="1:6" hidden="1" x14ac:dyDescent="0.2">
      <c r="A872" s="78">
        <v>2022</v>
      </c>
      <c r="B872" s="188" t="str">
        <f>IF(AND(A872&lt;&gt;"",ISNUMBER(A872)),VLOOKUP(A872,Studies!A:BR,2,FALSE),"")</f>
        <v>Quinney 2008</v>
      </c>
      <c r="C872" s="188" t="str">
        <f>IF(AND(A872&lt;&gt;"",ISNUMBER(A872)),VLOOKUP(A872,Studies!A:BR,3,FALSE),"")</f>
        <v>https://www.ncbi.nlm.nih.gov/pubmed/17635500</v>
      </c>
      <c r="D872" s="252" t="str">
        <f>IF(AND(A872&lt;&gt;"",ISNUMBER(A872)),VLOOKUP(A872,Studies!A:BR,4,FALSE),"")</f>
        <v>Control po Midazolam Female</v>
      </c>
      <c r="E872" s="188" t="str">
        <f>IF(AND(A872&lt;&gt;"",ISNUMBER(A872)),VLOOKUP(A872,Studies!A:BR,5,FALSE),"")</f>
        <v>Midazolam</v>
      </c>
      <c r="F872" s="78" t="s">
        <v>1279</v>
      </c>
    </row>
    <row r="873" spans="1:6" hidden="1" x14ac:dyDescent="0.2">
      <c r="A873" s="78">
        <v>2023</v>
      </c>
      <c r="B873" s="188" t="str">
        <f>IF(AND(A873&lt;&gt;"",ISNUMBER(A873)),VLOOKUP(A873,Studies!A:BR,2,FALSE),"")</f>
        <v>Quinney 2008</v>
      </c>
      <c r="C873" s="188" t="str">
        <f>IF(AND(A873&lt;&gt;"",ISNUMBER(A873)),VLOOKUP(A873,Studies!A:BR,3,FALSE),"")</f>
        <v>https://www.ncbi.nlm.nih.gov/pubmed/17635500</v>
      </c>
      <c r="D873" s="252" t="str">
        <f>IF(AND(A873&lt;&gt;"",ISNUMBER(A873)),VLOOKUP(A873,Studies!A:BR,4,FALSE),"")</f>
        <v>Control po Midazolam Male</v>
      </c>
      <c r="E873" s="188" t="str">
        <f>IF(AND(A873&lt;&gt;"",ISNUMBER(A873)),VLOOKUP(A873,Studies!A:BR,5,FALSE),"")</f>
        <v>Midazolam</v>
      </c>
      <c r="F873" s="78" t="s">
        <v>1279</v>
      </c>
    </row>
    <row r="874" spans="1:6" hidden="1" x14ac:dyDescent="0.2">
      <c r="A874" s="78">
        <v>2024</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po Midazolam All</v>
      </c>
      <c r="E874" s="188" t="str">
        <f>IF(AND(A874&lt;&gt;"",ISNUMBER(A874)),VLOOKUP(A874,Studies!A:BR,5,FALSE),"")</f>
        <v>Midazolam</v>
      </c>
      <c r="F874" s="78" t="s">
        <v>1279</v>
      </c>
    </row>
    <row r="875" spans="1:6" hidden="1" x14ac:dyDescent="0.2">
      <c r="A875" s="78">
        <v>2025</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iv Midazolam Female after clarithromycin</v>
      </c>
      <c r="E875" s="188" t="str">
        <f>IF(AND(A875&lt;&gt;"",ISNUMBER(A875)),VLOOKUP(A875,Studies!A:BR,5,FALSE),"")</f>
        <v>Midazolam</v>
      </c>
      <c r="F875" s="78" t="s">
        <v>1280</v>
      </c>
    </row>
    <row r="876" spans="1:6" hidden="1" x14ac:dyDescent="0.2">
      <c r="A876" s="78">
        <v>2026</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iv Midazolam Male after clarithromycin</v>
      </c>
      <c r="E876" s="188" t="str">
        <f>IF(AND(A876&lt;&gt;"",ISNUMBER(A876)),VLOOKUP(A876,Studies!A:BR,5,FALSE),"")</f>
        <v>Midazolam</v>
      </c>
      <c r="F876" s="78" t="s">
        <v>1280</v>
      </c>
    </row>
    <row r="877" spans="1:6" hidden="1" x14ac:dyDescent="0.2">
      <c r="A877" s="78">
        <v>2027</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iv Midazolam All after clarithromycin</v>
      </c>
      <c r="E877" s="188" t="str">
        <f>IF(AND(A877&lt;&gt;"",ISNUMBER(A877)),VLOOKUP(A877,Studies!A:BR,5,FALSE),"")</f>
        <v>Midazolam</v>
      </c>
      <c r="F877" s="78" t="s">
        <v>1280</v>
      </c>
    </row>
    <row r="878" spans="1:6" hidden="1" x14ac:dyDescent="0.2">
      <c r="A878" s="78">
        <v>2028</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po Midazolam Female after clarithromycin</v>
      </c>
      <c r="E878" s="188" t="str">
        <f>IF(AND(A878&lt;&gt;"",ISNUMBER(A878)),VLOOKUP(A878,Studies!A:BR,5,FALSE),"")</f>
        <v>Midazolam</v>
      </c>
      <c r="F878" s="78" t="s">
        <v>1280</v>
      </c>
    </row>
    <row r="879" spans="1:6" hidden="1" x14ac:dyDescent="0.2">
      <c r="A879" s="78">
        <v>2029</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po Midazolam Male after clarithromycin</v>
      </c>
      <c r="E879" s="188" t="str">
        <f>IF(AND(A879&lt;&gt;"",ISNUMBER(A879)),VLOOKUP(A879,Studies!A:BR,5,FALSE),"")</f>
        <v>Midazolam</v>
      </c>
      <c r="F879" s="78" t="s">
        <v>1280</v>
      </c>
    </row>
    <row r="880" spans="1:6" hidden="1" x14ac:dyDescent="0.2">
      <c r="A880" s="78">
        <v>2030</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po Midazolam All after clarithromycin</v>
      </c>
      <c r="E880" s="188" t="str">
        <f>IF(AND(A880&lt;&gt;"",ISNUMBER(A880)),VLOOKUP(A880,Studies!A:BR,5,FALSE),"")</f>
        <v>Midazolam</v>
      </c>
      <c r="F880" s="78" t="s">
        <v>1280</v>
      </c>
    </row>
    <row r="881" spans="1:6" hidden="1" x14ac:dyDescent="0.2">
      <c r="A881" s="78">
        <v>2031</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Clarithromycin</v>
      </c>
      <c r="E881" s="188" t="str">
        <f>IF(AND(A881&lt;&gt;"",ISNUMBER(A881)),VLOOKUP(A881,Studies!A:BR,5,FALSE),"")</f>
        <v>Clarithromycin</v>
      </c>
      <c r="F881" s="78" t="s">
        <v>2931</v>
      </c>
    </row>
    <row r="882" spans="1:6" hidden="1" x14ac:dyDescent="0.2">
      <c r="A882" s="78">
        <v>2032</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14-hydroxyclarithromycin</v>
      </c>
      <c r="E882" s="188" t="str">
        <f>IF(AND(A882&lt;&gt;"",ISNUMBER(A882)),VLOOKUP(A882,Studies!A:BR,5,FALSE),"")</f>
        <v>14-hydroxyclarithromycin</v>
      </c>
      <c r="F882" s="78" t="s">
        <v>2931</v>
      </c>
    </row>
    <row r="883" spans="1:6" hidden="1" x14ac:dyDescent="0.2">
      <c r="A883" s="78">
        <v>2033</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N-desmethylclarithromycin</v>
      </c>
      <c r="E883" s="188" t="str">
        <f>IF(AND(A883&lt;&gt;"",ISNUMBER(A883)),VLOOKUP(A883,Studies!A:BR,5,FALSE),"")</f>
        <v>N-desmethylclarithromycin</v>
      </c>
      <c r="F883" s="78" t="s">
        <v>1280</v>
      </c>
    </row>
    <row r="884" spans="1:6" hidden="1" x14ac:dyDescent="0.2">
      <c r="A884" s="78">
        <v>2034</v>
      </c>
      <c r="B884" s="188" t="str">
        <f>IF(AND(A884&lt;&gt;"",ISNUMBER(A884)),VLOOKUP(A884,Studies!A:BR,2,FALSE),"")</f>
        <v>Kim 2018</v>
      </c>
      <c r="C884" s="188" t="str">
        <f>IF(AND(A884&lt;&gt;"",ISNUMBER(A884)),VLOOKUP(A884,Studies!A:BR,3,FALSE),"")</f>
        <v>https://www.ncbi.nlm.nih.gov/pubmed/28877336</v>
      </c>
      <c r="D884" s="252" t="str">
        <f>IF(AND(A884&lt;&gt;"",ISNUMBER(A884)),VLOOKUP(A884,Studies!A:BR,4,FALSE),"")</f>
        <v>Midazolam alone Male</v>
      </c>
      <c r="E884" s="188" t="str">
        <f>IF(AND(A884&lt;&gt;"",ISNUMBER(A884)),VLOOKUP(A884,Studies!A:BR,5,FALSE),"")</f>
        <v>Midazolam</v>
      </c>
      <c r="F884" s="78" t="s">
        <v>1311</v>
      </c>
    </row>
    <row r="885" spans="1:6" hidden="1" x14ac:dyDescent="0.2">
      <c r="A885" s="78">
        <v>2035</v>
      </c>
      <c r="B885" s="188" t="str">
        <f>IF(AND(A885&lt;&gt;"",ISNUMBER(A885)),VLOOKUP(A885,Studies!A:BR,2,FALSE),"")</f>
        <v>Kim 2018</v>
      </c>
      <c r="C885" s="188" t="str">
        <f>IF(AND(A885&lt;&gt;"",ISNUMBER(A885)),VLOOKUP(A885,Studies!A:BR,3,FALSE),"")</f>
        <v>https://www.ncbi.nlm.nih.gov/pubmed/28877336</v>
      </c>
      <c r="D885" s="252" t="str">
        <f>IF(AND(A885&lt;&gt;"",ISNUMBER(A885)),VLOOKUP(A885,Studies!A:BR,4,FALSE),"")</f>
        <v>Midazolam + Ketoconazole Male</v>
      </c>
      <c r="E885" s="188" t="str">
        <f>IF(AND(A885&lt;&gt;"",ISNUMBER(A885)),VLOOKUP(A885,Studies!A:BR,5,FALSE),"")</f>
        <v>Midazolam</v>
      </c>
      <c r="F885" s="78" t="s">
        <v>1276</v>
      </c>
    </row>
    <row r="886" spans="1:6" hidden="1" x14ac:dyDescent="0.2">
      <c r="A886" s="78">
        <v>2036</v>
      </c>
      <c r="B886" s="188" t="str">
        <f>IF(AND(A886&lt;&gt;"",ISNUMBER(A886)),VLOOKUP(A886,Studies!A:BR,2,FALSE),"")</f>
        <v>Kim 2018</v>
      </c>
      <c r="C886" s="188" t="str">
        <f>IF(AND(A886&lt;&gt;"",ISNUMBER(A886)),VLOOKUP(A886,Studies!A:BR,3,FALSE),"")</f>
        <v>https://www.ncbi.nlm.nih.gov/pubmed/28877336</v>
      </c>
      <c r="D886" s="252" t="str">
        <f>IF(AND(A886&lt;&gt;"",ISNUMBER(A886)),VLOOKUP(A886,Studies!A:BR,4,FALSE),"")</f>
        <v>Midazolam + Rifampicin Male</v>
      </c>
      <c r="E886" s="188" t="str">
        <f>IF(AND(A886&lt;&gt;"",ISNUMBER(A886)),VLOOKUP(A886,Studies!A:BR,5,FALSE),"")</f>
        <v>Midazolam</v>
      </c>
      <c r="F886" s="78" t="s">
        <v>1273</v>
      </c>
    </row>
    <row r="887" spans="1:6" hidden="1" x14ac:dyDescent="0.2">
      <c r="A887" s="78">
        <v>2037</v>
      </c>
      <c r="B887" s="188" t="str">
        <f>IF(AND(A887&lt;&gt;"",ISNUMBER(A887)),VLOOKUP(A887,Studies!A:BR,2,FALSE),"")</f>
        <v>Kim 2018</v>
      </c>
      <c r="C887" s="188" t="str">
        <f>IF(AND(A887&lt;&gt;"",ISNUMBER(A887)),VLOOKUP(A887,Studies!A:BR,3,FALSE),"")</f>
        <v>https://www.ncbi.nlm.nih.gov/pubmed/28877336</v>
      </c>
      <c r="D887" s="252" t="str">
        <f>IF(AND(A887&lt;&gt;"",ISNUMBER(A887)),VLOOKUP(A887,Studies!A:BR,4,FALSE),"")</f>
        <v>Midazolam alone Female</v>
      </c>
      <c r="E887" s="188" t="str">
        <f>IF(AND(A887&lt;&gt;"",ISNUMBER(A887)),VLOOKUP(A887,Studies!A:BR,5,FALSE),"")</f>
        <v>Midazolam</v>
      </c>
      <c r="F887" s="78" t="s">
        <v>1311</v>
      </c>
    </row>
    <row r="888" spans="1:6" hidden="1" x14ac:dyDescent="0.2">
      <c r="A888" s="78">
        <v>2038</v>
      </c>
      <c r="B888" s="188" t="str">
        <f>IF(AND(A888&lt;&gt;"",ISNUMBER(A888)),VLOOKUP(A888,Studies!A:BR,2,FALSE),"")</f>
        <v>Kim 2018</v>
      </c>
      <c r="C888" s="188" t="str">
        <f>IF(AND(A888&lt;&gt;"",ISNUMBER(A888)),VLOOKUP(A888,Studies!A:BR,3,FALSE),"")</f>
        <v>https://www.ncbi.nlm.nih.gov/pubmed/28877336</v>
      </c>
      <c r="D888" s="252" t="str">
        <f>IF(AND(A888&lt;&gt;"",ISNUMBER(A888)),VLOOKUP(A888,Studies!A:BR,4,FALSE),"")</f>
        <v>Midazolam + Ketoconazole Female</v>
      </c>
      <c r="E888" s="188" t="str">
        <f>IF(AND(A888&lt;&gt;"",ISNUMBER(A888)),VLOOKUP(A888,Studies!A:BR,5,FALSE),"")</f>
        <v>Midazolam</v>
      </c>
      <c r="F888" s="78" t="s">
        <v>1276</v>
      </c>
    </row>
    <row r="889" spans="1:6" hidden="1" x14ac:dyDescent="0.2">
      <c r="A889" s="78">
        <v>2039</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 Rifampicin Female</v>
      </c>
      <c r="E889" s="188" t="str">
        <f>IF(AND(A889&lt;&gt;"",ISNUMBER(A889)),VLOOKUP(A889,Studies!A:BR,5,FALSE),"")</f>
        <v>Midazolam</v>
      </c>
      <c r="F889" s="78" t="s">
        <v>1273</v>
      </c>
    </row>
    <row r="890" spans="1:6" hidden="1" x14ac:dyDescent="0.2">
      <c r="A890" s="78">
        <v>2040</v>
      </c>
      <c r="B890" s="188" t="str">
        <f>IF(AND(A890&lt;&gt;"",ISNUMBER(A890)),VLOOKUP(A890,Studies!A:BR,2,FALSE),"")</f>
        <v>Katzenmaier 2010</v>
      </c>
      <c r="C890" s="188" t="str">
        <f>IF(AND(A890&lt;&gt;"",ISNUMBER(A890)),VLOOKUP(A890,Studies!A:BR,3,FALSE),"")</f>
        <v>https://www.ncbi.nlm.nih.gov/pubmed/20680253</v>
      </c>
      <c r="D890" s="252" t="str">
        <f>IF(AND(A890&lt;&gt;"",ISNUMBER(A890)),VLOOKUP(A890,Studies!A:BR,4,FALSE),"")</f>
        <v>Midazolam control</v>
      </c>
      <c r="E890" s="188" t="str">
        <f>IF(AND(A890&lt;&gt;"",ISNUMBER(A890)),VLOOKUP(A890,Studies!A:BR,5,FALSE),"")</f>
        <v>Midazolam</v>
      </c>
      <c r="F890" s="78" t="s">
        <v>2750</v>
      </c>
    </row>
    <row r="891" spans="1:6" hidden="1" x14ac:dyDescent="0.2">
      <c r="A891" s="78">
        <v>2041</v>
      </c>
      <c r="B891" s="188" t="str">
        <f>IF(AND(A891&lt;&gt;"",ISNUMBER(A891)),VLOOKUP(A891,Studies!A:BR,2,FALSE),"")</f>
        <v>Katzenmaier 2010</v>
      </c>
      <c r="C891" s="188" t="str">
        <f>IF(AND(A891&lt;&gt;"",ISNUMBER(A891)),VLOOKUP(A891,Studies!A:BR,3,FALSE),"")</f>
        <v>https://www.ncbi.nlm.nih.gov/pubmed/20680253</v>
      </c>
      <c r="D891" s="252" t="str">
        <f>IF(AND(A891&lt;&gt;"",ISNUMBER(A891)),VLOOKUP(A891,Studies!A:BR,4,FALSE),"")</f>
        <v>Midazolam + Efavirenz</v>
      </c>
      <c r="E891" s="188" t="str">
        <f>IF(AND(A891&lt;&gt;"",ISNUMBER(A891)),VLOOKUP(A891,Studies!A:BR,5,FALSE),"")</f>
        <v>Midazolam</v>
      </c>
      <c r="F891" s="78" t="s">
        <v>2751</v>
      </c>
    </row>
    <row r="892" spans="1:6" hidden="1" x14ac:dyDescent="0.2">
      <c r="A892" s="91">
        <v>2042</v>
      </c>
      <c r="B892" s="188" t="str">
        <f>IF(AND(A892&lt;&gt;"",ISNUMBER(A892)),VLOOKUP(A892,Studies!A:BR,2,FALSE),"")</f>
        <v>Mikus 2017</v>
      </c>
      <c r="C892" s="188" t="str">
        <f>IF(AND(A892&lt;&gt;"",ISNUMBER(A892)),VLOOKUP(A892,Studies!A:BR,3,FALSE),"")</f>
        <v>https://www.ncbi.nlm.nih.gov/pubmed/28194792</v>
      </c>
      <c r="D892" s="252" t="str">
        <f>IF(AND(A892&lt;&gt;"",ISNUMBER(A892)),VLOOKUP(A892,Studies!A:BR,4,FALSE),"")</f>
        <v>Midazolam control PO</v>
      </c>
      <c r="E892" s="188" t="str">
        <f>IF(AND(A892&lt;&gt;"",ISNUMBER(A892)),VLOOKUP(A892,Studies!A:BR,5,FALSE),"")</f>
        <v>Midazolam</v>
      </c>
      <c r="F892" s="78" t="s">
        <v>2750</v>
      </c>
    </row>
    <row r="893" spans="1:6" hidden="1" x14ac:dyDescent="0.2">
      <c r="A893" s="91">
        <v>2043</v>
      </c>
      <c r="B893" s="188" t="str">
        <f>IF(AND(A893&lt;&gt;"",ISNUMBER(A893)),VLOOKUP(A893,Studies!A:BR,2,FALSE),"")</f>
        <v>Mikus 2017</v>
      </c>
      <c r="C893" s="188" t="str">
        <f>IF(AND(A893&lt;&gt;"",ISNUMBER(A893)),VLOOKUP(A893,Studies!A:BR,3,FALSE),"")</f>
        <v>https://www.ncbi.nlm.nih.gov/pubmed/28194792</v>
      </c>
      <c r="D893" s="252" t="str">
        <f>IF(AND(A893&lt;&gt;"",ISNUMBER(A893)),VLOOKUP(A893,Studies!A:BR,4,FALSE),"")</f>
        <v>Midazolam control IV</v>
      </c>
      <c r="E893" s="188" t="str">
        <f>IF(AND(A893&lt;&gt;"",ISNUMBER(A893)),VLOOKUP(A893,Studies!A:BR,5,FALSE),"")</f>
        <v>Midazolam</v>
      </c>
      <c r="F893" s="78" t="s">
        <v>2750</v>
      </c>
    </row>
    <row r="894" spans="1:6" hidden="1" x14ac:dyDescent="0.2">
      <c r="A894" s="91">
        <v>2044</v>
      </c>
      <c r="B894" s="188" t="str">
        <f>IF(AND(A894&lt;&gt;"",ISNUMBER(A894)),VLOOKUP(A894,Studies!A:BR,2,FALSE),"")</f>
        <v>Mikus 2017</v>
      </c>
      <c r="C894" s="188" t="str">
        <f>IF(AND(A894&lt;&gt;"",ISNUMBER(A894)),VLOOKUP(A894,Studies!A:BR,3,FALSE),"")</f>
        <v>https://www.ncbi.nlm.nih.gov/pubmed/28194792</v>
      </c>
      <c r="D894" s="252" t="str">
        <f>IF(AND(A894&lt;&gt;"",ISNUMBER(A894)),VLOOKUP(A894,Studies!A:BR,4,FALSE),"")</f>
        <v>Efavirenz + Midazolam PO day 1</v>
      </c>
      <c r="E894" s="188" t="str">
        <f>IF(AND(A894&lt;&gt;"",ISNUMBER(A894)),VLOOKUP(A894,Studies!A:BR,5,FALSE),"")</f>
        <v>Midazolam</v>
      </c>
      <c r="F894" s="78" t="s">
        <v>2751</v>
      </c>
    </row>
    <row r="895" spans="1:6" hidden="1" x14ac:dyDescent="0.2">
      <c r="A895" s="91">
        <v>2045</v>
      </c>
      <c r="B895" s="188" t="str">
        <f>IF(AND(A895&lt;&gt;"",ISNUMBER(A895)),VLOOKUP(A895,Studies!A:BR,2,FALSE),"")</f>
        <v>Mikus 2017</v>
      </c>
      <c r="C895" s="188" t="str">
        <f>IF(AND(A895&lt;&gt;"",ISNUMBER(A895)),VLOOKUP(A895,Studies!A:BR,3,FALSE),"")</f>
        <v>https://www.ncbi.nlm.nih.gov/pubmed/28194792</v>
      </c>
      <c r="D895" s="252" t="str">
        <f>IF(AND(A895&lt;&gt;"",ISNUMBER(A895)),VLOOKUP(A895,Studies!A:BR,4,FALSE),"")</f>
        <v>Efavirenz + Midazolam IV day 1</v>
      </c>
      <c r="E895" s="188" t="str">
        <f>IF(AND(A895&lt;&gt;"",ISNUMBER(A895)),VLOOKUP(A895,Studies!A:BR,5,FALSE),"")</f>
        <v>Midazolam</v>
      </c>
      <c r="F895" s="78" t="s">
        <v>2751</v>
      </c>
    </row>
    <row r="896" spans="1:6" hidden="1" x14ac:dyDescent="0.2">
      <c r="A896" s="91">
        <v>2046</v>
      </c>
      <c r="B896" s="188" t="str">
        <f>IF(AND(A896&lt;&gt;"",ISNUMBER(A896)),VLOOKUP(A896,Studies!A:BR,2,FALSE),"")</f>
        <v>Mikus 2017</v>
      </c>
      <c r="C896" s="188" t="str">
        <f>IF(AND(A896&lt;&gt;"",ISNUMBER(A896)),VLOOKUP(A896,Studies!A:BR,3,FALSE),"")</f>
        <v>https://www.ncbi.nlm.nih.gov/pubmed/28194792</v>
      </c>
      <c r="D896" s="252" t="str">
        <f>IF(AND(A896&lt;&gt;"",ISNUMBER(A896)),VLOOKUP(A896,Studies!A:BR,4,FALSE),"")</f>
        <v>Midazolam + Efavirenz</v>
      </c>
      <c r="E896" s="188" t="str">
        <f>IF(AND(A896&lt;&gt;"",ISNUMBER(A896)),VLOOKUP(A896,Studies!A:BR,5,FALSE),"")</f>
        <v>Efavirenz</v>
      </c>
      <c r="F896" s="78" t="s">
        <v>2812</v>
      </c>
    </row>
    <row r="897" spans="1:6" hidden="1" x14ac:dyDescent="0.2">
      <c r="A897" s="174">
        <v>2047</v>
      </c>
      <c r="B897" s="188" t="str">
        <f>IF(AND(A897&lt;&gt;"",ISNUMBER(A897)),VLOOKUP(A897,Studies!A:BR,2,FALSE),"")</f>
        <v>Mikus 2017</v>
      </c>
      <c r="C897" s="188" t="str">
        <f>IF(AND(A897&lt;&gt;"",ISNUMBER(A897)),VLOOKUP(A897,Studies!A:BR,3,FALSE),"")</f>
        <v>https://www.ncbi.nlm.nih.gov/pubmed/28194792</v>
      </c>
      <c r="D897" s="252" t="str">
        <f>IF(AND(A897&lt;&gt;"",ISNUMBER(A897)),VLOOKUP(A897,Studies!A:BR,4,FALSE),"")</f>
        <v>Efavirenz + Midazolam PO day 6</v>
      </c>
      <c r="E897" s="188" t="str">
        <f>IF(AND(A897&lt;&gt;"",ISNUMBER(A897)),VLOOKUP(A897,Studies!A:BR,5,FALSE),"")</f>
        <v>Midazolam</v>
      </c>
      <c r="F897" s="78" t="s">
        <v>2751</v>
      </c>
    </row>
    <row r="898" spans="1:6" hidden="1" x14ac:dyDescent="0.2">
      <c r="A898" s="174">
        <v>2048</v>
      </c>
      <c r="B898" s="188" t="str">
        <f>IF(AND(A898&lt;&gt;"",ISNUMBER(A898)),VLOOKUP(A898,Studies!A:BR,2,FALSE),"")</f>
        <v>Mikus 2017</v>
      </c>
      <c r="C898" s="188" t="str">
        <f>IF(AND(A898&lt;&gt;"",ISNUMBER(A898)),VLOOKUP(A898,Studies!A:BR,3,FALSE),"")</f>
        <v>https://www.ncbi.nlm.nih.gov/pubmed/28194792</v>
      </c>
      <c r="D898" s="252" t="str">
        <f>IF(AND(A898&lt;&gt;"",ISNUMBER(A898)),VLOOKUP(A898,Studies!A:BR,4,FALSE),"")</f>
        <v>Efavirenz + Midazolam IV day 6</v>
      </c>
      <c r="E898" s="188" t="str">
        <f>IF(AND(A898&lt;&gt;"",ISNUMBER(A898)),VLOOKUP(A898,Studies!A:BR,5,FALSE),"")</f>
        <v>Midazolam</v>
      </c>
      <c r="F898" s="78" t="s">
        <v>2751</v>
      </c>
    </row>
    <row r="899" spans="1:6" hidden="1" x14ac:dyDescent="0.2">
      <c r="A899" s="174">
        <v>2049</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11</v>
      </c>
      <c r="E899" s="188" t="str">
        <f>IF(AND(A899&lt;&gt;"",ISNUMBER(A899)),VLOOKUP(A899,Studies!A:BR,5,FALSE),"")</f>
        <v>Midazolam</v>
      </c>
      <c r="F899" s="78" t="s">
        <v>2751</v>
      </c>
    </row>
    <row r="900" spans="1:6" hidden="1" x14ac:dyDescent="0.2">
      <c r="A900" s="174">
        <v>2050</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11</v>
      </c>
      <c r="E900" s="188" t="str">
        <f>IF(AND(A900&lt;&gt;"",ISNUMBER(A900)),VLOOKUP(A900,Studies!A:BR,5,FALSE),"")</f>
        <v>Midazolam</v>
      </c>
      <c r="F900" s="78" t="s">
        <v>2751</v>
      </c>
    </row>
    <row r="901" spans="1:6" hidden="1" x14ac:dyDescent="0.2">
      <c r="A901" s="174">
        <v>2051</v>
      </c>
      <c r="B901" s="188" t="str">
        <f>IF(AND(A901&lt;&gt;"",ISNUMBER(A901)),VLOOKUP(A901,Studies!A:BR,2,FALSE),"")</f>
        <v>Mikus 2017</v>
      </c>
      <c r="C901" s="188" t="str">
        <f>IF(AND(A901&lt;&gt;"",ISNUMBER(A901)),VLOOKUP(A901,Studies!A:BR,3,FALSE),"")</f>
        <v>https://www.ncbi.nlm.nih.gov/pubmed/28194792</v>
      </c>
      <c r="D901" s="252" t="str">
        <f>IF(AND(A901&lt;&gt;"",ISNUMBER(A901)),VLOOKUP(A901,Studies!A:BR,4,FALSE),"")</f>
        <v>Efavirenz + Midazolam PO day 16</v>
      </c>
      <c r="E901" s="188" t="str">
        <f>IF(AND(A901&lt;&gt;"",ISNUMBER(A901)),VLOOKUP(A901,Studies!A:BR,5,FALSE),"")</f>
        <v>Midazolam</v>
      </c>
      <c r="F901" s="78" t="s">
        <v>2751</v>
      </c>
    </row>
    <row r="902" spans="1:6" hidden="1" x14ac:dyDescent="0.2">
      <c r="A902" s="174">
        <v>2052</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IV day 16</v>
      </c>
      <c r="E902" s="188" t="str">
        <f>IF(AND(A902&lt;&gt;"",ISNUMBER(A902)),VLOOKUP(A902,Studies!A:BR,5,FALSE),"")</f>
        <v>Midazolam</v>
      </c>
      <c r="F902" s="78" t="s">
        <v>2751</v>
      </c>
    </row>
    <row r="903" spans="1:6" hidden="1" x14ac:dyDescent="0.2">
      <c r="A903" s="174">
        <v>2053</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PO  day 22</v>
      </c>
      <c r="E903" s="188" t="str">
        <f>IF(AND(A903&lt;&gt;"",ISNUMBER(A903)),VLOOKUP(A903,Studies!A:BR,5,FALSE),"")</f>
        <v>Midazolam</v>
      </c>
      <c r="F903" s="78" t="s">
        <v>2751</v>
      </c>
    </row>
    <row r="904" spans="1:6" hidden="1" x14ac:dyDescent="0.2">
      <c r="A904" s="174">
        <v>2054</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IV  day 22</v>
      </c>
      <c r="E904" s="188" t="str">
        <f>IF(AND(A904&lt;&gt;"",ISNUMBER(A904)),VLOOKUP(A904,Studies!A:BR,5,FALSE),"")</f>
        <v>Midazolam</v>
      </c>
      <c r="F904" s="78" t="s">
        <v>2751</v>
      </c>
    </row>
    <row r="905" spans="1:6" hidden="1" x14ac:dyDescent="0.2">
      <c r="A905" s="78">
        <v>806</v>
      </c>
      <c r="B905" s="188" t="str">
        <f>IF(AND(A905&lt;&gt;"",ISNUMBER(A905)),VLOOKUP(A905,Studies!A:BR,2,FALSE),"")</f>
        <v>Olkkola 1993</v>
      </c>
      <c r="C905" s="188" t="str">
        <f>IF(AND(A905&lt;&gt;"",ISNUMBER(A905)),VLOOKUP(A905,Studies!A:BR,3,FALSE),"")</f>
        <v>https://www.ncbi.nlm.nih.gov/pubmed/8453848</v>
      </c>
      <c r="D905" s="252" t="str">
        <f>IF(AND(A905&lt;&gt;"",ISNUMBER(A905)),VLOOKUP(A905,Studies!A:BR,4,FALSE),"")</f>
        <v>iv with Perpetrator, mean</v>
      </c>
      <c r="E905" s="188" t="str">
        <f>IF(AND(A905&lt;&gt;"",ISNUMBER(A905)),VLOOKUP(A905,Studies!A:BR,5,FALSE),"")</f>
        <v>Erythromycin</v>
      </c>
      <c r="F905" s="78" t="s">
        <v>2924</v>
      </c>
    </row>
    <row r="906" spans="1:6" hidden="1" x14ac:dyDescent="0.2">
      <c r="A906" s="78">
        <v>807</v>
      </c>
      <c r="B906" s="188" t="str">
        <f>IF(AND(A906&lt;&gt;"",ISNUMBER(A906)),VLOOKUP(A906,Studies!A:BR,2,FALSE),"")</f>
        <v>Olkkola 1993</v>
      </c>
      <c r="C906" s="188" t="str">
        <f>IF(AND(A906&lt;&gt;"",ISNUMBER(A906)),VLOOKUP(A906,Studies!A:BR,3,FALSE),"")</f>
        <v>https://www.ncbi.nlm.nih.gov/pubmed/8453848</v>
      </c>
      <c r="D906" s="252" t="str">
        <f>IF(AND(A906&lt;&gt;"",ISNUMBER(A906)),VLOOKUP(A906,Studies!A:BR,4,FALSE),"")</f>
        <v>iv with Perpetrator, Ind01</v>
      </c>
      <c r="E906" s="188" t="str">
        <f>IF(AND(A906&lt;&gt;"",ISNUMBER(A906)),VLOOKUP(A906,Studies!A:BR,5,FALSE),"")</f>
        <v>Erythromycin</v>
      </c>
      <c r="F906" s="78" t="s">
        <v>2924</v>
      </c>
    </row>
    <row r="907" spans="1:6" hidden="1" x14ac:dyDescent="0.2">
      <c r="A907" s="78">
        <v>808</v>
      </c>
      <c r="B907" s="188" t="str">
        <f>IF(AND(A907&lt;&gt;"",ISNUMBER(A907)),VLOOKUP(A907,Studies!A:BR,2,FALSE),"")</f>
        <v>Olkkola 1993</v>
      </c>
      <c r="C907" s="188" t="str">
        <f>IF(AND(A907&lt;&gt;"",ISNUMBER(A907)),VLOOKUP(A907,Studies!A:BR,3,FALSE),"")</f>
        <v>https://www.ncbi.nlm.nih.gov/pubmed/8453848</v>
      </c>
      <c r="D907" s="252" t="str">
        <f>IF(AND(A907&lt;&gt;"",ISNUMBER(A907)),VLOOKUP(A907,Studies!A:BR,4,FALSE),"")</f>
        <v>iv with Perpetrator, Ind02</v>
      </c>
      <c r="E907" s="188" t="str">
        <f>IF(AND(A907&lt;&gt;"",ISNUMBER(A907)),VLOOKUP(A907,Studies!A:BR,5,FALSE),"")</f>
        <v>Erythromycin</v>
      </c>
      <c r="F907" s="78" t="s">
        <v>2924</v>
      </c>
    </row>
    <row r="908" spans="1:6" hidden="1" x14ac:dyDescent="0.2">
      <c r="A908" s="78">
        <v>809</v>
      </c>
      <c r="B908" s="188" t="str">
        <f>IF(AND(A908&lt;&gt;"",ISNUMBER(A908)),VLOOKUP(A908,Studies!A:BR,2,FALSE),"")</f>
        <v>Olkkola 1993</v>
      </c>
      <c r="C908" s="188" t="str">
        <f>IF(AND(A908&lt;&gt;"",ISNUMBER(A908)),VLOOKUP(A908,Studies!A:BR,3,FALSE),"")</f>
        <v>https://www.ncbi.nlm.nih.gov/pubmed/8453848</v>
      </c>
      <c r="D908" s="252" t="str">
        <f>IF(AND(A908&lt;&gt;"",ISNUMBER(A908)),VLOOKUP(A908,Studies!A:BR,4,FALSE),"")</f>
        <v>iv with Perpetrator, Ind03</v>
      </c>
      <c r="E908" s="188" t="str">
        <f>IF(AND(A908&lt;&gt;"",ISNUMBER(A908)),VLOOKUP(A908,Studies!A:BR,5,FALSE),"")</f>
        <v>Erythromycin</v>
      </c>
      <c r="F908" s="78" t="s">
        <v>2924</v>
      </c>
    </row>
    <row r="909" spans="1:6" hidden="1" x14ac:dyDescent="0.2">
      <c r="A909" s="78">
        <v>810</v>
      </c>
      <c r="B909" s="188" t="str">
        <f>IF(AND(A909&lt;&gt;"",ISNUMBER(A909)),VLOOKUP(A909,Studies!A:BR,2,FALSE),"")</f>
        <v>Olkkola 1993</v>
      </c>
      <c r="C909" s="188" t="str">
        <f>IF(AND(A909&lt;&gt;"",ISNUMBER(A909)),VLOOKUP(A909,Studies!A:BR,3,FALSE),"")</f>
        <v>https://www.ncbi.nlm.nih.gov/pubmed/8453848</v>
      </c>
      <c r="D909" s="252" t="str">
        <f>IF(AND(A909&lt;&gt;"",ISNUMBER(A909)),VLOOKUP(A909,Studies!A:BR,4,FALSE),"")</f>
        <v>iv with Perpetrator, Ind04</v>
      </c>
      <c r="E909" s="188" t="str">
        <f>IF(AND(A909&lt;&gt;"",ISNUMBER(A909)),VLOOKUP(A909,Studies!A:BR,5,FALSE),"")</f>
        <v>Erythromycin</v>
      </c>
      <c r="F909" s="78" t="s">
        <v>2924</v>
      </c>
    </row>
    <row r="910" spans="1:6" hidden="1" x14ac:dyDescent="0.2">
      <c r="A910" s="78">
        <v>811</v>
      </c>
      <c r="B910" s="188" t="str">
        <f>IF(AND(A910&lt;&gt;"",ISNUMBER(A910)),VLOOKUP(A910,Studies!A:BR,2,FALSE),"")</f>
        <v>Olkkola 1993</v>
      </c>
      <c r="C910" s="188" t="str">
        <f>IF(AND(A910&lt;&gt;"",ISNUMBER(A910)),VLOOKUP(A910,Studies!A:BR,3,FALSE),"")</f>
        <v>https://www.ncbi.nlm.nih.gov/pubmed/8453848</v>
      </c>
      <c r="D910" s="252" t="str">
        <f>IF(AND(A910&lt;&gt;"",ISNUMBER(A910)),VLOOKUP(A910,Studies!A:BR,4,FALSE),"")</f>
        <v>iv with Perpetrator, Ind05</v>
      </c>
      <c r="E910" s="188" t="str">
        <f>IF(AND(A910&lt;&gt;"",ISNUMBER(A910)),VLOOKUP(A910,Studies!A:BR,5,FALSE),"")</f>
        <v>Erythromycin</v>
      </c>
      <c r="F910" s="78" t="s">
        <v>2924</v>
      </c>
    </row>
    <row r="911" spans="1:6" hidden="1" x14ac:dyDescent="0.2">
      <c r="A911" s="78">
        <v>812</v>
      </c>
      <c r="B911" s="188" t="str">
        <f>IF(AND(A911&lt;&gt;"",ISNUMBER(A911)),VLOOKUP(A911,Studies!A:BR,2,FALSE),"")</f>
        <v>Olkkola 1993</v>
      </c>
      <c r="C911" s="188" t="str">
        <f>IF(AND(A911&lt;&gt;"",ISNUMBER(A911)),VLOOKUP(A911,Studies!A:BR,3,FALSE),"")</f>
        <v>https://www.ncbi.nlm.nih.gov/pubmed/8453848</v>
      </c>
      <c r="D911" s="252" t="str">
        <f>IF(AND(A911&lt;&gt;"",ISNUMBER(A911)),VLOOKUP(A911,Studies!A:BR,4,FALSE),"")</f>
        <v>iv with Perpetrator, Ind06</v>
      </c>
      <c r="E911" s="188" t="str">
        <f>IF(AND(A911&lt;&gt;"",ISNUMBER(A911)),VLOOKUP(A911,Studies!A:BR,5,FALSE),"")</f>
        <v>Erythromycin</v>
      </c>
      <c r="F911" s="78" t="s">
        <v>2924</v>
      </c>
    </row>
    <row r="912" spans="1:6" hidden="1" x14ac:dyDescent="0.2">
      <c r="A912" s="78">
        <v>813</v>
      </c>
      <c r="B912" s="188" t="str">
        <f>IF(AND(A912&lt;&gt;"",ISNUMBER(A912)),VLOOKUP(A912,Studies!A:BR,2,FALSE),"")</f>
        <v>Olkkola 1993</v>
      </c>
      <c r="C912" s="188" t="str">
        <f>IF(AND(A912&lt;&gt;"",ISNUMBER(A912)),VLOOKUP(A912,Studies!A:BR,3,FALSE),"")</f>
        <v>https://www.ncbi.nlm.nih.gov/pubmed/8453848</v>
      </c>
      <c r="D912" s="252" t="str">
        <f>IF(AND(A912&lt;&gt;"",ISNUMBER(A912)),VLOOKUP(A912,Studies!A:BR,4,FALSE),"")</f>
        <v>po with Perpetrator, mean</v>
      </c>
      <c r="E912" s="188" t="str">
        <f>IF(AND(A912&lt;&gt;"",ISNUMBER(A912)),VLOOKUP(A912,Studies!A:BR,5,FALSE),"")</f>
        <v>Erythromycin</v>
      </c>
      <c r="F912" s="78" t="s">
        <v>2924</v>
      </c>
    </row>
    <row r="913" spans="1:6" hidden="1" x14ac:dyDescent="0.2">
      <c r="A913" s="78">
        <v>814</v>
      </c>
      <c r="B913" s="188" t="str">
        <f>IF(AND(A913&lt;&gt;"",ISNUMBER(A913)),VLOOKUP(A913,Studies!A:BR,2,FALSE),"")</f>
        <v>Olkkola 1993</v>
      </c>
      <c r="C913" s="188" t="str">
        <f>IF(AND(A913&lt;&gt;"",ISNUMBER(A913)),VLOOKUP(A913,Studies!A:BR,3,FALSE),"")</f>
        <v>https://www.ncbi.nlm.nih.gov/pubmed/8453849</v>
      </c>
      <c r="D913" s="252" t="str">
        <f>IF(AND(A913&lt;&gt;"",ISNUMBER(A913)),VLOOKUP(A913,Studies!A:BR,4,FALSE),"")</f>
        <v>po with Perpetrator, Ind01</v>
      </c>
      <c r="E913" s="188" t="str">
        <f>IF(AND(A913&lt;&gt;"",ISNUMBER(A913)),VLOOKUP(A913,Studies!A:BR,5,FALSE),"")</f>
        <v>Erythromycin</v>
      </c>
      <c r="F913" s="78" t="s">
        <v>2924</v>
      </c>
    </row>
    <row r="914" spans="1:6" hidden="1" x14ac:dyDescent="0.2">
      <c r="A914" s="78">
        <v>815</v>
      </c>
      <c r="B914" s="188" t="str">
        <f>IF(AND(A914&lt;&gt;"",ISNUMBER(A914)),VLOOKUP(A914,Studies!A:BR,2,FALSE),"")</f>
        <v>Olkkola 1993</v>
      </c>
      <c r="C914" s="188" t="str">
        <f>IF(AND(A914&lt;&gt;"",ISNUMBER(A914)),VLOOKUP(A914,Studies!A:BR,3,FALSE),"")</f>
        <v>https://www.ncbi.nlm.nih.gov/pubmed/8453850</v>
      </c>
      <c r="D914" s="252" t="str">
        <f>IF(AND(A914&lt;&gt;"",ISNUMBER(A914)),VLOOKUP(A914,Studies!A:BR,4,FALSE),"")</f>
        <v>po with Perpetrator, Ind02</v>
      </c>
      <c r="E914" s="188" t="str">
        <f>IF(AND(A914&lt;&gt;"",ISNUMBER(A914)),VLOOKUP(A914,Studies!A:BR,5,FALSE),"")</f>
        <v>Erythromycin</v>
      </c>
      <c r="F914" s="78" t="s">
        <v>2924</v>
      </c>
    </row>
    <row r="915" spans="1:6" hidden="1" x14ac:dyDescent="0.2">
      <c r="A915" s="78">
        <v>816</v>
      </c>
      <c r="B915" s="188" t="str">
        <f>IF(AND(A915&lt;&gt;"",ISNUMBER(A915)),VLOOKUP(A915,Studies!A:BR,2,FALSE),"")</f>
        <v>Olkkola 1993</v>
      </c>
      <c r="C915" s="188" t="str">
        <f>IF(AND(A915&lt;&gt;"",ISNUMBER(A915)),VLOOKUP(A915,Studies!A:BR,3,FALSE),"")</f>
        <v>https://www.ncbi.nlm.nih.gov/pubmed/8453851</v>
      </c>
      <c r="D915" s="252" t="str">
        <f>IF(AND(A915&lt;&gt;"",ISNUMBER(A915)),VLOOKUP(A915,Studies!A:BR,4,FALSE),"")</f>
        <v>po with Perpetrator, Ind03</v>
      </c>
      <c r="E915" s="188" t="str">
        <f>IF(AND(A915&lt;&gt;"",ISNUMBER(A915)),VLOOKUP(A915,Studies!A:BR,5,FALSE),"")</f>
        <v>Erythromycin</v>
      </c>
      <c r="F915" s="78" t="s">
        <v>2924</v>
      </c>
    </row>
    <row r="916" spans="1:6" hidden="1" x14ac:dyDescent="0.2">
      <c r="A916" s="78">
        <v>817</v>
      </c>
      <c r="B916" s="188" t="str">
        <f>IF(AND(A916&lt;&gt;"",ISNUMBER(A916)),VLOOKUP(A916,Studies!A:BR,2,FALSE),"")</f>
        <v>Olkkola 1993</v>
      </c>
      <c r="C916" s="188" t="str">
        <f>IF(AND(A916&lt;&gt;"",ISNUMBER(A916)),VLOOKUP(A916,Studies!A:BR,3,FALSE),"")</f>
        <v>https://www.ncbi.nlm.nih.gov/pubmed/8453852</v>
      </c>
      <c r="D916" s="252" t="str">
        <f>IF(AND(A916&lt;&gt;"",ISNUMBER(A916)),VLOOKUP(A916,Studies!A:BR,4,FALSE),"")</f>
        <v>po with Perpetrator, Ind04</v>
      </c>
      <c r="E916" s="188" t="str">
        <f>IF(AND(A916&lt;&gt;"",ISNUMBER(A916)),VLOOKUP(A916,Studies!A:BR,5,FALSE),"")</f>
        <v>Erythromycin</v>
      </c>
      <c r="F916" s="78" t="s">
        <v>2924</v>
      </c>
    </row>
    <row r="917" spans="1:6" hidden="1" x14ac:dyDescent="0.2">
      <c r="A917" s="78">
        <v>818</v>
      </c>
      <c r="B917" s="188" t="str">
        <f>IF(AND(A917&lt;&gt;"",ISNUMBER(A917)),VLOOKUP(A917,Studies!A:BR,2,FALSE),"")</f>
        <v>Olkkola 1993</v>
      </c>
      <c r="C917" s="188" t="str">
        <f>IF(AND(A917&lt;&gt;"",ISNUMBER(A917)),VLOOKUP(A917,Studies!A:BR,3,FALSE),"")</f>
        <v>https://www.ncbi.nlm.nih.gov/pubmed/8453853</v>
      </c>
      <c r="D917" s="252" t="str">
        <f>IF(AND(A917&lt;&gt;"",ISNUMBER(A917)),VLOOKUP(A917,Studies!A:BR,4,FALSE),"")</f>
        <v>po with Perpetrator, Ind05</v>
      </c>
      <c r="E917" s="188" t="str">
        <f>IF(AND(A917&lt;&gt;"",ISNUMBER(A917)),VLOOKUP(A917,Studies!A:BR,5,FALSE),"")</f>
        <v>Erythromycin</v>
      </c>
      <c r="F917" s="78" t="s">
        <v>2924</v>
      </c>
    </row>
    <row r="918" spans="1:6" hidden="1" x14ac:dyDescent="0.2">
      <c r="A918" s="78">
        <v>819</v>
      </c>
      <c r="B918" s="188" t="str">
        <f>IF(AND(A918&lt;&gt;"",ISNUMBER(A918)),VLOOKUP(A918,Studies!A:BR,2,FALSE),"")</f>
        <v>Olkkola 1993</v>
      </c>
      <c r="C918" s="188" t="str">
        <f>IF(AND(A918&lt;&gt;"",ISNUMBER(A918)),VLOOKUP(A918,Studies!A:BR,3,FALSE),"")</f>
        <v>https://www.ncbi.nlm.nih.gov/pubmed/8453854</v>
      </c>
      <c r="D918" s="252" t="str">
        <f>IF(AND(A918&lt;&gt;"",ISNUMBER(A918)),VLOOKUP(A918,Studies!A:BR,4,FALSE),"")</f>
        <v>po with Perpetrator, Ind06</v>
      </c>
      <c r="E918" s="188" t="str">
        <f>IF(AND(A918&lt;&gt;"",ISNUMBER(A918)),VLOOKUP(A918,Studies!A:BR,5,FALSE),"")</f>
        <v>Erythromycin</v>
      </c>
      <c r="F918" s="78" t="s">
        <v>2924</v>
      </c>
    </row>
    <row r="919" spans="1:6" hidden="1" x14ac:dyDescent="0.2">
      <c r="A919" s="78">
        <v>820</v>
      </c>
      <c r="B919" s="188" t="str">
        <f>IF(AND(A919&lt;&gt;"",ISNUMBER(A919)),VLOOKUP(A919,Studies!A:BR,2,FALSE),"")</f>
        <v>Olkkola 1993</v>
      </c>
      <c r="C919" s="188" t="str">
        <f>IF(AND(A919&lt;&gt;"",ISNUMBER(A919)),VLOOKUP(A919,Studies!A:BR,3,FALSE),"")</f>
        <v>https://www.ncbi.nlm.nih.gov/pubmed/8453855</v>
      </c>
      <c r="D919" s="252" t="str">
        <f>IF(AND(A919&lt;&gt;"",ISNUMBER(A919)),VLOOKUP(A919,Studies!A:BR,4,FALSE),"")</f>
        <v>po with Perpetrator, Ind07</v>
      </c>
      <c r="E919" s="188" t="str">
        <f>IF(AND(A919&lt;&gt;"",ISNUMBER(A919)),VLOOKUP(A919,Studies!A:BR,5,FALSE),"")</f>
        <v>Erythromycin</v>
      </c>
      <c r="F919" s="78" t="s">
        <v>2924</v>
      </c>
    </row>
    <row r="920" spans="1:6" hidden="1" x14ac:dyDescent="0.2">
      <c r="A920" s="78">
        <v>821</v>
      </c>
      <c r="B920" s="188" t="str">
        <f>IF(AND(A920&lt;&gt;"",ISNUMBER(A920)),VLOOKUP(A920,Studies!A:BR,2,FALSE),"")</f>
        <v>Olkkola 1993</v>
      </c>
      <c r="C920" s="188" t="str">
        <f>IF(AND(A920&lt;&gt;"",ISNUMBER(A920)),VLOOKUP(A920,Studies!A:BR,3,FALSE),"")</f>
        <v>https://www.ncbi.nlm.nih.gov/pubmed/8453856</v>
      </c>
      <c r="D920" s="252" t="str">
        <f>IF(AND(A920&lt;&gt;"",ISNUMBER(A920)),VLOOKUP(A920,Studies!A:BR,4,FALSE),"")</f>
        <v>po with Perpetrator, Ind08</v>
      </c>
      <c r="E920" s="188" t="str">
        <f>IF(AND(A920&lt;&gt;"",ISNUMBER(A920)),VLOOKUP(A920,Studies!A:BR,5,FALSE),"")</f>
        <v>Erythromycin</v>
      </c>
      <c r="F920" s="78" t="s">
        <v>2924</v>
      </c>
    </row>
    <row r="921" spans="1:6" hidden="1" x14ac:dyDescent="0.2">
      <c r="A921" s="78">
        <v>822</v>
      </c>
      <c r="B921" s="188" t="str">
        <f>IF(AND(A921&lt;&gt;"",ISNUMBER(A921)),VLOOKUP(A921,Studies!A:BR,2,FALSE),"")</f>
        <v>Olkkola 1993</v>
      </c>
      <c r="C921" s="188" t="str">
        <f>IF(AND(A921&lt;&gt;"",ISNUMBER(A921)),VLOOKUP(A921,Studies!A:BR,3,FALSE),"")</f>
        <v>https://www.ncbi.nlm.nih.gov/pubmed/8453857</v>
      </c>
      <c r="D921" s="252" t="str">
        <f>IF(AND(A921&lt;&gt;"",ISNUMBER(A921)),VLOOKUP(A921,Studies!A:BR,4,FALSE),"")</f>
        <v>po with Perpetrator, Ind09</v>
      </c>
      <c r="E921" s="188" t="str">
        <f>IF(AND(A921&lt;&gt;"",ISNUMBER(A921)),VLOOKUP(A921,Studies!A:BR,5,FALSE),"")</f>
        <v>Erythromycin</v>
      </c>
      <c r="F921" s="78" t="s">
        <v>2924</v>
      </c>
    </row>
    <row r="922" spans="1:6" hidden="1" x14ac:dyDescent="0.2">
      <c r="A922" s="78">
        <v>823</v>
      </c>
      <c r="B922" s="188" t="str">
        <f>IF(AND(A922&lt;&gt;"",ISNUMBER(A922)),VLOOKUP(A922,Studies!A:BR,2,FALSE),"")</f>
        <v>Olkkola 1993</v>
      </c>
      <c r="C922" s="188" t="str">
        <f>IF(AND(A922&lt;&gt;"",ISNUMBER(A922)),VLOOKUP(A922,Studies!A:BR,3,FALSE),"")</f>
        <v>https://www.ncbi.nlm.nih.gov/pubmed/8453858</v>
      </c>
      <c r="D922" s="252" t="str">
        <f>IF(AND(A922&lt;&gt;"",ISNUMBER(A922)),VLOOKUP(A922,Studies!A:BR,4,FALSE),"")</f>
        <v>po with Perpetrator, Ind10</v>
      </c>
      <c r="E922" s="188" t="str">
        <f>IF(AND(A922&lt;&gt;"",ISNUMBER(A922)),VLOOKUP(A922,Studies!A:BR,5,FALSE),"")</f>
        <v>Erythromycin</v>
      </c>
      <c r="F922" s="78" t="s">
        <v>2924</v>
      </c>
    </row>
    <row r="923" spans="1:6" hidden="1" x14ac:dyDescent="0.2">
      <c r="A923" s="78">
        <v>824</v>
      </c>
      <c r="B923" s="188" t="str">
        <f>IF(AND(A923&lt;&gt;"",ISNUMBER(A923)),VLOOKUP(A923,Studies!A:BR,2,FALSE),"")</f>
        <v>Olkkola 1993</v>
      </c>
      <c r="C923" s="188" t="str">
        <f>IF(AND(A923&lt;&gt;"",ISNUMBER(A923)),VLOOKUP(A923,Studies!A:BR,3,FALSE),"")</f>
        <v>https://www.ncbi.nlm.nih.gov/pubmed/8453859</v>
      </c>
      <c r="D923" s="252" t="str">
        <f>IF(AND(A923&lt;&gt;"",ISNUMBER(A923)),VLOOKUP(A923,Studies!A:BR,4,FALSE),"")</f>
        <v>po with Perpetrator, Ind11</v>
      </c>
      <c r="E923" s="188" t="str">
        <f>IF(AND(A923&lt;&gt;"",ISNUMBER(A923)),VLOOKUP(A923,Studies!A:BR,5,FALSE),"")</f>
        <v>Erythromycin</v>
      </c>
      <c r="F923" s="78" t="s">
        <v>2924</v>
      </c>
    </row>
    <row r="924" spans="1:6" hidden="1" x14ac:dyDescent="0.2">
      <c r="A924" s="78">
        <v>825</v>
      </c>
      <c r="B924" s="188" t="str">
        <f>IF(AND(A924&lt;&gt;"",ISNUMBER(A924)),VLOOKUP(A924,Studies!A:BR,2,FALSE),"")</f>
        <v>Olkkola 1993</v>
      </c>
      <c r="C924" s="188" t="str">
        <f>IF(AND(A924&lt;&gt;"",ISNUMBER(A924)),VLOOKUP(A924,Studies!A:BR,3,FALSE),"")</f>
        <v>https://www.ncbi.nlm.nih.gov/pubmed/8453860</v>
      </c>
      <c r="D924" s="252" t="str">
        <f>IF(AND(A924&lt;&gt;"",ISNUMBER(A924)),VLOOKUP(A924,Studies!A:BR,4,FALSE),"")</f>
        <v>po with Perpetrator, Ind12</v>
      </c>
      <c r="E924" s="188" t="str">
        <f>IF(AND(A924&lt;&gt;"",ISNUMBER(A924)),VLOOKUP(A924,Studies!A:BR,5,FALSE),"")</f>
        <v>Erythromycin</v>
      </c>
      <c r="F924" s="78" t="s">
        <v>2924</v>
      </c>
    </row>
    <row r="925" spans="1:6" hidden="1" x14ac:dyDescent="0.2">
      <c r="B925" s="188" t="str">
        <f>IF(AND(A925&lt;&gt;"",ISNUMBER(A925)),VLOOKUP(A925,Studies!A:BR,2,FALSE),"")</f>
        <v/>
      </c>
      <c r="C925" s="188" t="str">
        <f>IF(AND(A925&lt;&gt;"",ISNUMBER(A925)),VLOOKUP(A925,Studies!A:BR,3,FALSE),"")</f>
        <v/>
      </c>
      <c r="D925" s="252" t="str">
        <f>IF(AND(A925&lt;&gt;"",ISNUMBER(A925)),VLOOKUP(A925,Studies!A:BR,4,FALSE),"")</f>
        <v/>
      </c>
      <c r="E925" s="188" t="str">
        <f>IF(AND(A925&lt;&gt;"",ISNUMBER(A925)),VLOOKUP(A925,Studies!A:BR,5,FALSE),"")</f>
        <v/>
      </c>
    </row>
  </sheetData>
  <autoFilter ref="A1:F925" xr:uid="{00000000-0009-0000-0000-000006000000}">
    <filterColumn colId="1">
      <filters>
        <filter val="Gorski 1998"/>
      </filters>
    </filterColumn>
  </autoFilter>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1312</v>
      </c>
      <c r="C1" s="174" t="s">
        <v>1313</v>
      </c>
      <c r="D1" s="174" t="s">
        <v>1314</v>
      </c>
      <c r="E1" s="174" t="s">
        <v>1315</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1349</v>
      </c>
    </row>
    <row r="132" spans="1:5" x14ac:dyDescent="0.2">
      <c r="A132" s="205">
        <v>314</v>
      </c>
      <c r="B132" s="120" t="str">
        <f>VLOOKUP(A132,Studies!A:B,2,FALSE)</f>
        <v>Kirby 2012</v>
      </c>
      <c r="C132" s="174">
        <v>1</v>
      </c>
      <c r="D132" s="174"/>
      <c r="E132" s="174" t="s">
        <v>1349</v>
      </c>
    </row>
    <row r="133" spans="1:5" x14ac:dyDescent="0.2">
      <c r="A133" s="205">
        <v>315</v>
      </c>
      <c r="B133" s="120" t="str">
        <f>VLOOKUP(A133,Studies!A:B,2,FALSE)</f>
        <v>Kirby 2012</v>
      </c>
      <c r="C133" s="174">
        <v>1</v>
      </c>
      <c r="D133" s="174"/>
      <c r="E133" s="174" t="s">
        <v>1349</v>
      </c>
    </row>
    <row r="134" spans="1:5" x14ac:dyDescent="0.2">
      <c r="A134" s="205">
        <v>316</v>
      </c>
      <c r="B134" s="120" t="str">
        <f>VLOOKUP(A134,Studies!A:B,2,FALSE)</f>
        <v>Kirby 2012</v>
      </c>
      <c r="C134" s="174">
        <v>1</v>
      </c>
      <c r="D134" s="174"/>
      <c r="E134" s="174" t="s">
        <v>1349</v>
      </c>
    </row>
    <row r="135" spans="1:5" x14ac:dyDescent="0.2">
      <c r="A135" s="205">
        <v>336</v>
      </c>
      <c r="B135" s="120" t="str">
        <f>VLOOKUP(A135,Studies!A:B,2,FALSE)</f>
        <v>Larsen 2007</v>
      </c>
      <c r="C135" s="174">
        <v>1</v>
      </c>
      <c r="D135" s="174"/>
      <c r="E135" s="174" t="s">
        <v>1349</v>
      </c>
    </row>
    <row r="136" spans="1:5" x14ac:dyDescent="0.2">
      <c r="A136" s="205">
        <v>337</v>
      </c>
      <c r="B136" s="120" t="str">
        <f>VLOOKUP(A136,Studies!A:B,2,FALSE)</f>
        <v>Larsen 2007</v>
      </c>
      <c r="C136" s="174">
        <v>1</v>
      </c>
      <c r="D136" s="174"/>
      <c r="E136" s="174" t="s">
        <v>1349</v>
      </c>
    </row>
    <row r="137" spans="1:5" x14ac:dyDescent="0.2">
      <c r="A137" s="205">
        <v>338</v>
      </c>
      <c r="B137" s="120" t="str">
        <f>VLOOKUP(A137,Studies!A:B,2,FALSE)</f>
        <v>Larsen 2007</v>
      </c>
      <c r="C137" s="174">
        <v>1</v>
      </c>
      <c r="D137" s="174"/>
      <c r="E137" s="174" t="s">
        <v>1349</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1349</v>
      </c>
    </row>
    <row r="189" spans="1:5" x14ac:dyDescent="0.2">
      <c r="A189" s="205">
        <v>420</v>
      </c>
      <c r="B189" s="120" t="str">
        <f>VLOOKUP(A189,Studies!A:B,2,FALSE)</f>
        <v>Swart 2002</v>
      </c>
      <c r="C189" s="174">
        <v>1</v>
      </c>
      <c r="D189" s="174"/>
      <c r="E189" s="174" t="s">
        <v>1349</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xr:uid="{00000000-0009-0000-0000-000007000000}"/>
  <pageMargins left="0.7" right="0.7" top="0.78740157499999996" bottom="0.78740157499999996" header="0.3" footer="0.3"/>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purl.org/dc/dcmitype/"/>
    <ds:schemaRef ds:uri="http://schemas.microsoft.com/office/infopath/2007/PartnerControls"/>
    <ds:schemaRef ds:uri="aecc70ee-2d6e-4d6b-a98f-0dfc4d2572dc"/>
    <ds:schemaRef ds:uri="http://schemas.microsoft.com/office/2006/documentManagement/typ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2019-12-05T12:41:14Z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