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397FA8BF-B6C9-45A1-BE58-E6775EB909CC}"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Projects!$A$1:$F$943</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6" i="4" l="1"/>
  <c r="J96" i="4"/>
  <c r="L94" i="4"/>
  <c r="J94" i="4"/>
  <c r="J148" i="4" l="1"/>
  <c r="J149" i="4" l="1"/>
  <c r="J156" i="4" l="1"/>
  <c r="J154" i="4"/>
  <c r="N61" i="4" l="1"/>
  <c r="N60" i="4"/>
  <c r="N59" i="4"/>
  <c r="L61" i="4"/>
  <c r="L60" i="4"/>
  <c r="L59" i="4"/>
  <c r="J61" i="4"/>
  <c r="J60" i="4"/>
  <c r="J59"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69" i="4"/>
  <c r="J168" i="4"/>
  <c r="G168" i="4"/>
  <c r="I168" i="4"/>
  <c r="G169" i="4"/>
  <c r="I169" i="4"/>
  <c r="B168" i="4" l="1"/>
  <c r="C168" i="4"/>
  <c r="D168" i="4"/>
  <c r="E168" i="4"/>
  <c r="B169" i="4"/>
  <c r="C169" i="4"/>
  <c r="D169" i="4"/>
  <c r="E169"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35" i="4" l="1"/>
  <c r="N15" i="4" l="1"/>
  <c r="N14" i="4"/>
  <c r="N13" i="4"/>
  <c r="N12" i="4"/>
  <c r="L13" i="4"/>
  <c r="L12" i="4"/>
  <c r="J13" i="4"/>
  <c r="J12" i="4"/>
  <c r="L77" i="4" l="1"/>
  <c r="J77" i="4"/>
  <c r="T77"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3" i="4"/>
  <c r="I67" i="4"/>
  <c r="I68" i="4"/>
  <c r="I69" i="4"/>
  <c r="I70" i="4"/>
  <c r="I71" i="4"/>
  <c r="I72" i="4"/>
  <c r="I73" i="4"/>
  <c r="I74" i="4"/>
  <c r="I75" i="4"/>
  <c r="I76" i="4"/>
  <c r="G153" i="4"/>
  <c r="G67" i="4"/>
  <c r="G68" i="4"/>
  <c r="G69" i="4"/>
  <c r="G70" i="4"/>
  <c r="G71" i="4"/>
  <c r="G72" i="4"/>
  <c r="G73" i="4"/>
  <c r="G74" i="4"/>
  <c r="G75" i="4"/>
  <c r="G76" i="4"/>
  <c r="B67" i="4"/>
  <c r="C67" i="4"/>
  <c r="D67" i="4"/>
  <c r="E67" i="4"/>
  <c r="B68" i="4"/>
  <c r="C68" i="4"/>
  <c r="D68" i="4"/>
  <c r="E68"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I89" i="4" l="1"/>
  <c r="I85" i="4"/>
  <c r="I84" i="4"/>
  <c r="I82" i="4"/>
  <c r="I83" i="4"/>
  <c r="I161" i="4"/>
  <c r="I162" i="4"/>
  <c r="I163" i="4"/>
  <c r="I164" i="4"/>
  <c r="I127" i="4"/>
  <c r="I128" i="4"/>
  <c r="I129" i="4"/>
  <c r="I130" i="4"/>
  <c r="I31" i="4"/>
  <c r="I32" i="4"/>
  <c r="I33" i="4"/>
  <c r="I34" i="4"/>
  <c r="I35" i="4"/>
  <c r="I36" i="4"/>
  <c r="I77" i="4"/>
  <c r="I4" i="4"/>
  <c r="I2" i="4"/>
  <c r="I176" i="4"/>
  <c r="I172" i="4"/>
  <c r="I173" i="4"/>
  <c r="I174" i="4"/>
  <c r="I175" i="4"/>
  <c r="I158" i="4"/>
  <c r="I159" i="4"/>
  <c r="I160" i="4"/>
  <c r="I148" i="4"/>
  <c r="I149" i="4"/>
  <c r="I142" i="4"/>
  <c r="I143" i="4"/>
  <c r="I140" i="4"/>
  <c r="I141" i="4"/>
  <c r="I138" i="4"/>
  <c r="I139" i="4"/>
  <c r="I111" i="4"/>
  <c r="I112" i="4"/>
  <c r="I113" i="4"/>
  <c r="I114" i="4"/>
  <c r="I115" i="4"/>
  <c r="I116" i="4"/>
  <c r="I117" i="4"/>
  <c r="I118" i="4"/>
  <c r="I119" i="4"/>
  <c r="I120" i="4"/>
  <c r="I121" i="4"/>
  <c r="I122" i="4"/>
  <c r="I123" i="4"/>
  <c r="I124" i="4"/>
  <c r="I125" i="4"/>
  <c r="I126" i="4"/>
  <c r="I78" i="4"/>
  <c r="I79" i="4"/>
  <c r="I47" i="4"/>
  <c r="I46" i="4"/>
  <c r="I20" i="4"/>
  <c r="I144" i="4"/>
  <c r="I145" i="4"/>
  <c r="I80" i="4"/>
  <c r="I81" i="4"/>
  <c r="I91" i="4"/>
  <c r="I92" i="4"/>
  <c r="I136" i="4"/>
  <c r="I150" i="4"/>
  <c r="I151" i="4"/>
  <c r="I131" i="4"/>
  <c r="I132" i="4"/>
  <c r="I49" i="4"/>
  <c r="I50" i="4"/>
  <c r="I51" i="4"/>
  <c r="I52" i="4"/>
  <c r="I53" i="4"/>
  <c r="I54" i="4"/>
  <c r="I55" i="4"/>
  <c r="I56" i="4"/>
  <c r="I57" i="4"/>
  <c r="I58" i="4"/>
  <c r="I29" i="4"/>
  <c r="I30" i="4"/>
  <c r="I21" i="4"/>
  <c r="I59" i="4"/>
  <c r="I60" i="4"/>
  <c r="I61" i="4"/>
  <c r="I17" i="4"/>
  <c r="I18" i="4"/>
  <c r="I19" i="4"/>
  <c r="I16" i="4"/>
  <c r="I178" i="4"/>
  <c r="I137" i="4"/>
  <c r="I66" i="4"/>
  <c r="I88" i="4"/>
  <c r="I3" i="4"/>
  <c r="I134" i="4"/>
  <c r="I133" i="4"/>
  <c r="I99" i="4"/>
  <c r="I100" i="4"/>
  <c r="I101" i="4"/>
  <c r="I102" i="4"/>
  <c r="I103" i="4"/>
  <c r="I104" i="4"/>
  <c r="I105" i="4"/>
  <c r="I106" i="4"/>
  <c r="I107" i="4"/>
  <c r="I108" i="4"/>
  <c r="I109" i="4"/>
  <c r="I110" i="4"/>
  <c r="I6" i="4"/>
  <c r="I170" i="4"/>
  <c r="I171" i="4"/>
  <c r="I146" i="4"/>
  <c r="I48" i="4"/>
  <c r="I97" i="4"/>
  <c r="I98" i="4"/>
  <c r="I177" i="4"/>
  <c r="I154" i="4"/>
  <c r="I155" i="4"/>
  <c r="I157" i="4"/>
  <c r="I147" i="4"/>
  <c r="I86" i="4"/>
  <c r="I87" i="4"/>
  <c r="I62" i="4"/>
  <c r="I63" i="4"/>
  <c r="I64" i="4"/>
  <c r="I65" i="4"/>
  <c r="I43" i="4"/>
  <c r="I44" i="4"/>
  <c r="I45" i="4"/>
  <c r="I27" i="4"/>
  <c r="I28" i="4"/>
  <c r="I25" i="4"/>
  <c r="I26" i="4"/>
  <c r="I23" i="4"/>
  <c r="I24" i="4"/>
  <c r="I10" i="4"/>
  <c r="I11" i="4"/>
  <c r="I9" i="4"/>
  <c r="I7" i="4"/>
  <c r="I8" i="4"/>
  <c r="I5" i="4"/>
  <c r="I165" i="4"/>
  <c r="I166" i="4"/>
  <c r="I167" i="4"/>
  <c r="I93" i="4"/>
  <c r="I94" i="4"/>
  <c r="I95" i="4"/>
  <c r="I96" i="4"/>
  <c r="I152" i="4"/>
  <c r="I37" i="4"/>
  <c r="I38" i="4"/>
  <c r="I39" i="4"/>
  <c r="I40" i="4"/>
  <c r="I41" i="4"/>
  <c r="I42" i="4"/>
  <c r="I12" i="4"/>
  <c r="I13" i="4"/>
  <c r="I14" i="4"/>
  <c r="I15" i="4"/>
  <c r="I135" i="4"/>
  <c r="I22" i="4"/>
  <c r="I156" i="4"/>
  <c r="G89" i="4"/>
  <c r="G85" i="4"/>
  <c r="G84" i="4"/>
  <c r="G82" i="4"/>
  <c r="G83" i="4"/>
  <c r="G161" i="4"/>
  <c r="G162" i="4"/>
  <c r="G163" i="4"/>
  <c r="G164" i="4"/>
  <c r="G127" i="4"/>
  <c r="G128" i="4"/>
  <c r="G129" i="4"/>
  <c r="G130" i="4"/>
  <c r="G31" i="4"/>
  <c r="G32" i="4"/>
  <c r="G33" i="4"/>
  <c r="G34" i="4"/>
  <c r="G35" i="4"/>
  <c r="G36" i="4"/>
  <c r="G77" i="4"/>
  <c r="G4" i="4"/>
  <c r="G2" i="4"/>
  <c r="G176" i="4"/>
  <c r="G172" i="4"/>
  <c r="G173" i="4"/>
  <c r="G174" i="4"/>
  <c r="G175" i="4"/>
  <c r="G158" i="4"/>
  <c r="G159" i="4"/>
  <c r="G160" i="4"/>
  <c r="G148" i="4"/>
  <c r="G149" i="4"/>
  <c r="G142" i="4"/>
  <c r="G143" i="4"/>
  <c r="G140" i="4"/>
  <c r="G141" i="4"/>
  <c r="G138" i="4"/>
  <c r="G139" i="4"/>
  <c r="G111" i="4"/>
  <c r="G112" i="4"/>
  <c r="G113" i="4"/>
  <c r="G114" i="4"/>
  <c r="G115" i="4"/>
  <c r="G116" i="4"/>
  <c r="G117" i="4"/>
  <c r="G118" i="4"/>
  <c r="G119" i="4"/>
  <c r="G120" i="4"/>
  <c r="G121" i="4"/>
  <c r="G122" i="4"/>
  <c r="G123" i="4"/>
  <c r="G124" i="4"/>
  <c r="G125" i="4"/>
  <c r="G126" i="4"/>
  <c r="G78" i="4"/>
  <c r="G79" i="4"/>
  <c r="G47" i="4"/>
  <c r="G46" i="4"/>
  <c r="G20" i="4"/>
  <c r="G144" i="4"/>
  <c r="G145" i="4"/>
  <c r="G80" i="4"/>
  <c r="G81" i="4"/>
  <c r="G91" i="4"/>
  <c r="G92" i="4"/>
  <c r="G136" i="4"/>
  <c r="G150" i="4"/>
  <c r="G151" i="4"/>
  <c r="G131" i="4"/>
  <c r="G132" i="4"/>
  <c r="G49" i="4"/>
  <c r="G50" i="4"/>
  <c r="G51" i="4"/>
  <c r="G52" i="4"/>
  <c r="G53" i="4"/>
  <c r="G54" i="4"/>
  <c r="G55" i="4"/>
  <c r="G56" i="4"/>
  <c r="G57" i="4"/>
  <c r="G58" i="4"/>
  <c r="G29" i="4"/>
  <c r="G30" i="4"/>
  <c r="G21" i="4"/>
  <c r="G59" i="4"/>
  <c r="G60" i="4"/>
  <c r="G61" i="4"/>
  <c r="G17" i="4"/>
  <c r="G18" i="4"/>
  <c r="G19" i="4"/>
  <c r="G16" i="4"/>
  <c r="G178" i="4"/>
  <c r="G137" i="4"/>
  <c r="G66" i="4"/>
  <c r="G88" i="4"/>
  <c r="G3" i="4"/>
  <c r="G134" i="4"/>
  <c r="G133" i="4"/>
  <c r="G99" i="4"/>
  <c r="G100" i="4"/>
  <c r="G101" i="4"/>
  <c r="G102" i="4"/>
  <c r="G103" i="4"/>
  <c r="G104" i="4"/>
  <c r="G105" i="4"/>
  <c r="G106" i="4"/>
  <c r="G107" i="4"/>
  <c r="G108" i="4"/>
  <c r="G109" i="4"/>
  <c r="G110" i="4"/>
  <c r="G6" i="4"/>
  <c r="G170" i="4"/>
  <c r="G171" i="4"/>
  <c r="G146" i="4"/>
  <c r="G48" i="4"/>
  <c r="G97" i="4"/>
  <c r="G98" i="4"/>
  <c r="G177" i="4"/>
  <c r="G154" i="4"/>
  <c r="G155" i="4"/>
  <c r="G157" i="4"/>
  <c r="G147" i="4"/>
  <c r="G86" i="4"/>
  <c r="G87" i="4"/>
  <c r="G62" i="4"/>
  <c r="G63" i="4"/>
  <c r="G64" i="4"/>
  <c r="G65" i="4"/>
  <c r="G43" i="4"/>
  <c r="G44" i="4"/>
  <c r="G45" i="4"/>
  <c r="G27" i="4"/>
  <c r="G28" i="4"/>
  <c r="G25" i="4"/>
  <c r="G26" i="4"/>
  <c r="G23" i="4"/>
  <c r="G24" i="4"/>
  <c r="G10" i="4"/>
  <c r="G11" i="4"/>
  <c r="G9" i="4"/>
  <c r="G7" i="4"/>
  <c r="G8" i="4"/>
  <c r="G5" i="4"/>
  <c r="G165" i="4"/>
  <c r="G166" i="4"/>
  <c r="G167" i="4"/>
  <c r="G93" i="4"/>
  <c r="G94" i="4"/>
  <c r="G95" i="4"/>
  <c r="G96" i="4"/>
  <c r="G152" i="4"/>
  <c r="G37" i="4"/>
  <c r="G38" i="4"/>
  <c r="G39" i="4"/>
  <c r="G40" i="4"/>
  <c r="G41" i="4"/>
  <c r="G42" i="4"/>
  <c r="G12" i="4"/>
  <c r="G13" i="4"/>
  <c r="G14" i="4"/>
  <c r="G15" i="4"/>
  <c r="G135" i="4"/>
  <c r="G22" i="4"/>
  <c r="G156" i="4"/>
  <c r="E89" i="4"/>
  <c r="E85" i="4"/>
  <c r="E84" i="4"/>
  <c r="E82" i="4"/>
  <c r="E83" i="4"/>
  <c r="E161" i="4"/>
  <c r="E162" i="4"/>
  <c r="E163" i="4"/>
  <c r="E164" i="4"/>
  <c r="E127" i="4"/>
  <c r="E128" i="4"/>
  <c r="E129" i="4"/>
  <c r="E130" i="4"/>
  <c r="E31" i="4"/>
  <c r="E32" i="4"/>
  <c r="E33" i="4"/>
  <c r="E34" i="4"/>
  <c r="E35" i="4"/>
  <c r="E36" i="4"/>
  <c r="E77" i="4"/>
  <c r="E4" i="4"/>
  <c r="E2" i="4"/>
  <c r="E176" i="4"/>
  <c r="E172" i="4"/>
  <c r="E173" i="4"/>
  <c r="E174" i="4"/>
  <c r="E175" i="4"/>
  <c r="E158" i="4"/>
  <c r="E159" i="4"/>
  <c r="E160" i="4"/>
  <c r="E148" i="4"/>
  <c r="E149" i="4"/>
  <c r="E142" i="4"/>
  <c r="E143" i="4"/>
  <c r="E140" i="4"/>
  <c r="E141" i="4"/>
  <c r="E138" i="4"/>
  <c r="E139" i="4"/>
  <c r="E111" i="4"/>
  <c r="E112" i="4"/>
  <c r="E113" i="4"/>
  <c r="E114" i="4"/>
  <c r="E115" i="4"/>
  <c r="E116" i="4"/>
  <c r="E117" i="4"/>
  <c r="E118" i="4"/>
  <c r="E119" i="4"/>
  <c r="E120" i="4"/>
  <c r="E121" i="4"/>
  <c r="E122" i="4"/>
  <c r="E123" i="4"/>
  <c r="E124" i="4"/>
  <c r="E125" i="4"/>
  <c r="E126" i="4"/>
  <c r="E78" i="4"/>
  <c r="E79" i="4"/>
  <c r="E47" i="4"/>
  <c r="E46" i="4"/>
  <c r="E20" i="4"/>
  <c r="E144" i="4"/>
  <c r="E145" i="4"/>
  <c r="E80" i="4"/>
  <c r="E81" i="4"/>
  <c r="E91" i="4"/>
  <c r="E92" i="4"/>
  <c r="E136" i="4"/>
  <c r="E150" i="4"/>
  <c r="E151" i="4"/>
  <c r="E131" i="4"/>
  <c r="E132" i="4"/>
  <c r="E49" i="4"/>
  <c r="E50" i="4"/>
  <c r="E51" i="4"/>
  <c r="E52" i="4"/>
  <c r="E53" i="4"/>
  <c r="E54" i="4"/>
  <c r="E55" i="4"/>
  <c r="E56" i="4"/>
  <c r="E57" i="4"/>
  <c r="E58" i="4"/>
  <c r="E29" i="4"/>
  <c r="E30" i="4"/>
  <c r="E21" i="4"/>
  <c r="E59" i="4"/>
  <c r="E60" i="4"/>
  <c r="E61" i="4"/>
  <c r="E17" i="4"/>
  <c r="E18" i="4"/>
  <c r="E19" i="4"/>
  <c r="E16" i="4"/>
  <c r="E178" i="4"/>
  <c r="E137" i="4"/>
  <c r="E66" i="4"/>
  <c r="E88" i="4"/>
  <c r="E3" i="4"/>
  <c r="E134" i="4"/>
  <c r="E133" i="4"/>
  <c r="E99" i="4"/>
  <c r="E100" i="4"/>
  <c r="E101" i="4"/>
  <c r="E102" i="4"/>
  <c r="E103" i="4"/>
  <c r="E104" i="4"/>
  <c r="E105" i="4"/>
  <c r="E106" i="4"/>
  <c r="E107" i="4"/>
  <c r="E108" i="4"/>
  <c r="E109" i="4"/>
  <c r="E110" i="4"/>
  <c r="E6" i="4"/>
  <c r="E170" i="4"/>
  <c r="E171" i="4"/>
  <c r="E146" i="4"/>
  <c r="E48" i="4"/>
  <c r="E97" i="4"/>
  <c r="E98" i="4"/>
  <c r="E177" i="4"/>
  <c r="E154" i="4"/>
  <c r="E155" i="4"/>
  <c r="E157" i="4"/>
  <c r="E147" i="4"/>
  <c r="E86" i="4"/>
  <c r="E87" i="4"/>
  <c r="E62" i="4"/>
  <c r="E63" i="4"/>
  <c r="E64" i="4"/>
  <c r="E65" i="4"/>
  <c r="E43" i="4"/>
  <c r="E44" i="4"/>
  <c r="E45" i="4"/>
  <c r="E27" i="4"/>
  <c r="E28" i="4"/>
  <c r="E25" i="4"/>
  <c r="E26" i="4"/>
  <c r="E23" i="4"/>
  <c r="E24" i="4"/>
  <c r="E10" i="4"/>
  <c r="E11" i="4"/>
  <c r="E9" i="4"/>
  <c r="E7" i="4"/>
  <c r="E8" i="4"/>
  <c r="E5" i="4"/>
  <c r="E165" i="4"/>
  <c r="E166" i="4"/>
  <c r="E167" i="4"/>
  <c r="E93" i="4"/>
  <c r="E94" i="4"/>
  <c r="E95" i="4"/>
  <c r="E96" i="4"/>
  <c r="E152" i="4"/>
  <c r="E37" i="4"/>
  <c r="E38" i="4"/>
  <c r="E39" i="4"/>
  <c r="E40" i="4"/>
  <c r="E41" i="4"/>
  <c r="E42" i="4"/>
  <c r="E12" i="4"/>
  <c r="E13" i="4"/>
  <c r="E14" i="4"/>
  <c r="E15" i="4"/>
  <c r="E135" i="4"/>
  <c r="E22" i="4"/>
  <c r="E156" i="4"/>
  <c r="E153" i="4"/>
  <c r="B89" i="4"/>
  <c r="C89" i="4"/>
  <c r="D89" i="4"/>
  <c r="B85" i="4"/>
  <c r="C85" i="4"/>
  <c r="D85" i="4"/>
  <c r="B84" i="4"/>
  <c r="C84" i="4"/>
  <c r="D84" i="4"/>
  <c r="B82" i="4"/>
  <c r="C82" i="4"/>
  <c r="D82" i="4"/>
  <c r="B83" i="4"/>
  <c r="C83" i="4"/>
  <c r="D83" i="4"/>
  <c r="B161" i="4"/>
  <c r="C161" i="4"/>
  <c r="D161" i="4"/>
  <c r="B162" i="4"/>
  <c r="C162" i="4"/>
  <c r="D162" i="4"/>
  <c r="B163" i="4"/>
  <c r="C163" i="4"/>
  <c r="D163" i="4"/>
  <c r="B164" i="4"/>
  <c r="C164" i="4"/>
  <c r="D164" i="4"/>
  <c r="B127" i="4"/>
  <c r="C127" i="4"/>
  <c r="D127" i="4"/>
  <c r="B128" i="4"/>
  <c r="C128" i="4"/>
  <c r="D128" i="4"/>
  <c r="B129" i="4"/>
  <c r="C129" i="4"/>
  <c r="D129" i="4"/>
  <c r="B130" i="4"/>
  <c r="C130" i="4"/>
  <c r="D130" i="4"/>
  <c r="B31" i="4"/>
  <c r="C31" i="4"/>
  <c r="D31" i="4"/>
  <c r="B32" i="4"/>
  <c r="C32" i="4"/>
  <c r="D32" i="4"/>
  <c r="B33" i="4"/>
  <c r="C33" i="4"/>
  <c r="D33" i="4"/>
  <c r="B34" i="4"/>
  <c r="C34" i="4"/>
  <c r="D34" i="4"/>
  <c r="B35" i="4"/>
  <c r="C35" i="4"/>
  <c r="D35" i="4"/>
  <c r="B36" i="4"/>
  <c r="C36" i="4"/>
  <c r="D36" i="4"/>
  <c r="B77" i="4"/>
  <c r="C77" i="4"/>
  <c r="D77" i="4"/>
  <c r="B4" i="4"/>
  <c r="C4" i="4"/>
  <c r="D4" i="4"/>
  <c r="B2" i="4"/>
  <c r="C2" i="4"/>
  <c r="D2" i="4"/>
  <c r="B176" i="4"/>
  <c r="C176" i="4"/>
  <c r="D176" i="4"/>
  <c r="B172" i="4"/>
  <c r="C172" i="4"/>
  <c r="D172" i="4"/>
  <c r="B173" i="4"/>
  <c r="C173" i="4"/>
  <c r="D173" i="4"/>
  <c r="B174" i="4"/>
  <c r="C174" i="4"/>
  <c r="D174" i="4"/>
  <c r="B175" i="4"/>
  <c r="C175" i="4"/>
  <c r="D175" i="4"/>
  <c r="B158" i="4"/>
  <c r="C158" i="4"/>
  <c r="D158" i="4"/>
  <c r="B159" i="4"/>
  <c r="C159" i="4"/>
  <c r="D159" i="4"/>
  <c r="B160" i="4"/>
  <c r="C160" i="4"/>
  <c r="D160" i="4"/>
  <c r="B148" i="4"/>
  <c r="C148" i="4"/>
  <c r="D148" i="4"/>
  <c r="B149" i="4"/>
  <c r="C149" i="4"/>
  <c r="D149" i="4"/>
  <c r="B142" i="4"/>
  <c r="C142" i="4"/>
  <c r="D142" i="4"/>
  <c r="B143" i="4"/>
  <c r="C143" i="4"/>
  <c r="D143" i="4"/>
  <c r="B140" i="4"/>
  <c r="C140" i="4"/>
  <c r="D140" i="4"/>
  <c r="B141" i="4"/>
  <c r="C141" i="4"/>
  <c r="D141" i="4"/>
  <c r="B138" i="4"/>
  <c r="C138" i="4"/>
  <c r="D138" i="4"/>
  <c r="B139" i="4"/>
  <c r="C139" i="4"/>
  <c r="D139" i="4"/>
  <c r="B111" i="4"/>
  <c r="C111" i="4"/>
  <c r="D111" i="4"/>
  <c r="B112" i="4"/>
  <c r="C112" i="4"/>
  <c r="D112" i="4"/>
  <c r="B113" i="4"/>
  <c r="C113" i="4"/>
  <c r="D113" i="4"/>
  <c r="B114" i="4"/>
  <c r="C114" i="4"/>
  <c r="D114" i="4"/>
  <c r="B115" i="4"/>
  <c r="C115" i="4"/>
  <c r="D115" i="4"/>
  <c r="B116" i="4"/>
  <c r="C116" i="4"/>
  <c r="D116" i="4"/>
  <c r="B117" i="4"/>
  <c r="C117" i="4"/>
  <c r="D117" i="4"/>
  <c r="B118" i="4"/>
  <c r="C118" i="4"/>
  <c r="D118" i="4"/>
  <c r="B119" i="4"/>
  <c r="C119" i="4"/>
  <c r="D119" i="4"/>
  <c r="B120" i="4"/>
  <c r="C120" i="4"/>
  <c r="D120" i="4"/>
  <c r="B121" i="4"/>
  <c r="C121" i="4"/>
  <c r="D121" i="4"/>
  <c r="B122" i="4"/>
  <c r="C122" i="4"/>
  <c r="D122" i="4"/>
  <c r="B123" i="4"/>
  <c r="C123" i="4"/>
  <c r="D123" i="4"/>
  <c r="B124" i="4"/>
  <c r="C124" i="4"/>
  <c r="D124" i="4"/>
  <c r="B125" i="4"/>
  <c r="C125" i="4"/>
  <c r="D125" i="4"/>
  <c r="B126" i="4"/>
  <c r="C126" i="4"/>
  <c r="D126" i="4"/>
  <c r="B78" i="4"/>
  <c r="C78" i="4"/>
  <c r="D78" i="4"/>
  <c r="B79" i="4"/>
  <c r="C79" i="4"/>
  <c r="D79" i="4"/>
  <c r="B47" i="4"/>
  <c r="C47" i="4"/>
  <c r="D47" i="4"/>
  <c r="B46" i="4"/>
  <c r="C46" i="4"/>
  <c r="D46" i="4"/>
  <c r="B20" i="4"/>
  <c r="C20" i="4"/>
  <c r="D20" i="4"/>
  <c r="B144" i="4"/>
  <c r="C144" i="4"/>
  <c r="D144" i="4"/>
  <c r="B145" i="4"/>
  <c r="C145" i="4"/>
  <c r="D145" i="4"/>
  <c r="B80" i="4"/>
  <c r="C80" i="4"/>
  <c r="D80" i="4"/>
  <c r="B81" i="4"/>
  <c r="C81" i="4"/>
  <c r="D81" i="4"/>
  <c r="B91" i="4"/>
  <c r="C91" i="4"/>
  <c r="D91" i="4"/>
  <c r="B92" i="4"/>
  <c r="C92" i="4"/>
  <c r="D92" i="4"/>
  <c r="B136" i="4"/>
  <c r="C136" i="4"/>
  <c r="D136" i="4"/>
  <c r="B150" i="4"/>
  <c r="C150" i="4"/>
  <c r="D150" i="4"/>
  <c r="B151" i="4"/>
  <c r="C151" i="4"/>
  <c r="D151" i="4"/>
  <c r="B131" i="4"/>
  <c r="C131" i="4"/>
  <c r="D131" i="4"/>
  <c r="B132" i="4"/>
  <c r="C132" i="4"/>
  <c r="D132"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29" i="4"/>
  <c r="C29" i="4"/>
  <c r="D29" i="4"/>
  <c r="B30" i="4"/>
  <c r="C30" i="4"/>
  <c r="D30" i="4"/>
  <c r="B21" i="4"/>
  <c r="C21" i="4"/>
  <c r="D21" i="4"/>
  <c r="B59" i="4"/>
  <c r="C59" i="4"/>
  <c r="D59" i="4"/>
  <c r="B60" i="4"/>
  <c r="C60" i="4"/>
  <c r="D60" i="4"/>
  <c r="B61" i="4"/>
  <c r="C61" i="4"/>
  <c r="D61" i="4"/>
  <c r="B17" i="4"/>
  <c r="C17" i="4"/>
  <c r="D17" i="4"/>
  <c r="B18" i="4"/>
  <c r="C18" i="4"/>
  <c r="D18" i="4"/>
  <c r="B19" i="4"/>
  <c r="C19" i="4"/>
  <c r="D19" i="4"/>
  <c r="B16" i="4"/>
  <c r="C16" i="4"/>
  <c r="D16" i="4"/>
  <c r="B178" i="4"/>
  <c r="C178" i="4"/>
  <c r="D178" i="4"/>
  <c r="B137" i="4"/>
  <c r="C137" i="4"/>
  <c r="D137" i="4"/>
  <c r="B66" i="4"/>
  <c r="C66" i="4"/>
  <c r="D66" i="4"/>
  <c r="B88" i="4"/>
  <c r="C88" i="4"/>
  <c r="D88" i="4"/>
  <c r="B3" i="4"/>
  <c r="C3" i="4"/>
  <c r="D3" i="4"/>
  <c r="B134" i="4"/>
  <c r="C134" i="4"/>
  <c r="D134" i="4"/>
  <c r="B133" i="4"/>
  <c r="C133" i="4"/>
  <c r="D133"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6" i="4"/>
  <c r="C6" i="4"/>
  <c r="D6" i="4"/>
  <c r="B170" i="4"/>
  <c r="C170" i="4"/>
  <c r="D170" i="4"/>
  <c r="B171" i="4"/>
  <c r="C171" i="4"/>
  <c r="D171" i="4"/>
  <c r="B146" i="4"/>
  <c r="C146" i="4"/>
  <c r="D146" i="4"/>
  <c r="B48" i="4"/>
  <c r="C48" i="4"/>
  <c r="D48" i="4"/>
  <c r="B97" i="4"/>
  <c r="C97" i="4"/>
  <c r="D97" i="4"/>
  <c r="B98" i="4"/>
  <c r="C98" i="4"/>
  <c r="D98" i="4"/>
  <c r="B177" i="4"/>
  <c r="C177" i="4"/>
  <c r="D177" i="4"/>
  <c r="B154" i="4"/>
  <c r="C154" i="4"/>
  <c r="D154" i="4"/>
  <c r="B155" i="4"/>
  <c r="C155" i="4"/>
  <c r="D155" i="4"/>
  <c r="B157" i="4"/>
  <c r="C157" i="4"/>
  <c r="D157" i="4"/>
  <c r="B147" i="4"/>
  <c r="C147" i="4"/>
  <c r="D147" i="4"/>
  <c r="B86" i="4"/>
  <c r="C86" i="4"/>
  <c r="D86" i="4"/>
  <c r="B87" i="4"/>
  <c r="C87" i="4"/>
  <c r="D87" i="4"/>
  <c r="B62" i="4"/>
  <c r="C62" i="4"/>
  <c r="D62" i="4"/>
  <c r="B63" i="4"/>
  <c r="C63" i="4"/>
  <c r="D63" i="4"/>
  <c r="B64" i="4"/>
  <c r="C64" i="4"/>
  <c r="D64" i="4"/>
  <c r="B65" i="4"/>
  <c r="C65" i="4"/>
  <c r="D65" i="4"/>
  <c r="B43" i="4"/>
  <c r="C43" i="4"/>
  <c r="D43" i="4"/>
  <c r="B44" i="4"/>
  <c r="C44" i="4"/>
  <c r="D44" i="4"/>
  <c r="B45" i="4"/>
  <c r="C45" i="4"/>
  <c r="D45" i="4"/>
  <c r="B27" i="4"/>
  <c r="C27" i="4"/>
  <c r="D27" i="4"/>
  <c r="B28" i="4"/>
  <c r="C28" i="4"/>
  <c r="D28" i="4"/>
  <c r="B25" i="4"/>
  <c r="C25" i="4"/>
  <c r="D25" i="4"/>
  <c r="B26" i="4"/>
  <c r="C26" i="4"/>
  <c r="D26" i="4"/>
  <c r="B23" i="4"/>
  <c r="C23" i="4"/>
  <c r="D23" i="4"/>
  <c r="B24" i="4"/>
  <c r="C24" i="4"/>
  <c r="D24" i="4"/>
  <c r="B10" i="4"/>
  <c r="C10" i="4"/>
  <c r="D10" i="4"/>
  <c r="B11" i="4"/>
  <c r="C11" i="4"/>
  <c r="D11" i="4"/>
  <c r="B9" i="4"/>
  <c r="C9" i="4"/>
  <c r="D9" i="4"/>
  <c r="B7" i="4"/>
  <c r="C7" i="4"/>
  <c r="D7" i="4"/>
  <c r="B8" i="4"/>
  <c r="C8" i="4"/>
  <c r="D8" i="4"/>
  <c r="B5" i="4"/>
  <c r="C5" i="4"/>
  <c r="D5" i="4"/>
  <c r="B165" i="4"/>
  <c r="C165" i="4"/>
  <c r="D165" i="4"/>
  <c r="B166" i="4"/>
  <c r="C166" i="4"/>
  <c r="D166" i="4"/>
  <c r="B167" i="4"/>
  <c r="C167" i="4"/>
  <c r="D167" i="4"/>
  <c r="B93" i="4"/>
  <c r="C93" i="4"/>
  <c r="D93" i="4"/>
  <c r="B94" i="4"/>
  <c r="C94" i="4"/>
  <c r="D94" i="4"/>
  <c r="B95" i="4"/>
  <c r="C95" i="4"/>
  <c r="D95" i="4"/>
  <c r="B96" i="4"/>
  <c r="C96" i="4"/>
  <c r="D96" i="4"/>
  <c r="B152" i="4"/>
  <c r="C152" i="4"/>
  <c r="D152" i="4"/>
  <c r="B37" i="4"/>
  <c r="C37" i="4"/>
  <c r="D37" i="4"/>
  <c r="B38" i="4"/>
  <c r="C38" i="4"/>
  <c r="D38" i="4"/>
  <c r="B39" i="4"/>
  <c r="C39" i="4"/>
  <c r="D39" i="4"/>
  <c r="B40" i="4"/>
  <c r="C40" i="4"/>
  <c r="D40" i="4"/>
  <c r="B41" i="4"/>
  <c r="C41" i="4"/>
  <c r="D41" i="4"/>
  <c r="B42" i="4"/>
  <c r="C42" i="4"/>
  <c r="D42" i="4"/>
  <c r="B12" i="4"/>
  <c r="C12" i="4"/>
  <c r="D12" i="4"/>
  <c r="B13" i="4"/>
  <c r="C13" i="4"/>
  <c r="D13" i="4"/>
  <c r="B14" i="4"/>
  <c r="C14" i="4"/>
  <c r="D14" i="4"/>
  <c r="B15" i="4"/>
  <c r="C15" i="4"/>
  <c r="D15" i="4"/>
  <c r="B135" i="4"/>
  <c r="C135" i="4"/>
  <c r="D135" i="4"/>
  <c r="B22" i="4"/>
  <c r="C22" i="4"/>
  <c r="D22" i="4"/>
  <c r="B156" i="4"/>
  <c r="C156" i="4"/>
  <c r="D156" i="4"/>
  <c r="B153" i="4"/>
  <c r="C153" i="4"/>
  <c r="D153"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56" i="4" l="1"/>
  <c r="N156" i="4"/>
  <c r="G548" i="9"/>
  <c r="G549" i="9"/>
  <c r="G547" i="9"/>
  <c r="J135" i="4" l="1"/>
  <c r="P24" i="4" l="1"/>
  <c r="N24" i="4"/>
  <c r="L24" i="4"/>
  <c r="L26" i="4"/>
  <c r="J24" i="4"/>
  <c r="S559" i="9"/>
  <c r="P559" i="9"/>
  <c r="L559" i="9"/>
  <c r="I559" i="9"/>
  <c r="J26" i="4"/>
  <c r="L556" i="9"/>
  <c r="I556" i="9"/>
  <c r="I504" i="9" l="1"/>
  <c r="L504" i="9"/>
  <c r="I507" i="9"/>
  <c r="L507" i="9"/>
  <c r="G523" i="9"/>
  <c r="G524" i="9"/>
  <c r="G525" i="9"/>
  <c r="L87" i="4"/>
  <c r="L86" i="4"/>
  <c r="P86" i="4"/>
  <c r="P87" i="4"/>
  <c r="N87" i="4"/>
  <c r="N86" i="4"/>
  <c r="J86" i="4"/>
  <c r="J87" i="4"/>
  <c r="AB823" i="1" l="1"/>
  <c r="AB824" i="1"/>
  <c r="AB825" i="1"/>
  <c r="AB822" i="1"/>
  <c r="N42" i="4" l="1"/>
  <c r="N41" i="4"/>
  <c r="N40" i="4"/>
  <c r="N39" i="4"/>
  <c r="N38" i="4"/>
  <c r="N3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80" i="4" l="1"/>
  <c r="H81" i="4"/>
  <c r="H91" i="4"/>
  <c r="H92" i="4"/>
  <c r="H150" i="4"/>
  <c r="H151" i="4"/>
  <c r="H131" i="4"/>
  <c r="H132" i="4"/>
  <c r="H49" i="4"/>
  <c r="H50" i="4"/>
  <c r="H51" i="4"/>
  <c r="H52" i="4"/>
  <c r="H53" i="4"/>
  <c r="H54" i="4"/>
  <c r="H55" i="4"/>
  <c r="H56" i="4"/>
  <c r="H57" i="4"/>
  <c r="H58" i="4"/>
  <c r="H29" i="4"/>
  <c r="H30" i="4"/>
  <c r="H21" i="4"/>
  <c r="H59" i="4"/>
  <c r="H60" i="4"/>
  <c r="H61" i="4"/>
  <c r="H17" i="4"/>
  <c r="H18" i="4"/>
  <c r="H19" i="4"/>
  <c r="H16" i="4"/>
  <c r="H178" i="4"/>
  <c r="H89" i="4"/>
  <c r="H85" i="4"/>
  <c r="H84" i="4"/>
  <c r="H82" i="4"/>
  <c r="H83" i="4"/>
  <c r="H161" i="4"/>
  <c r="H162" i="4"/>
  <c r="H163" i="4"/>
  <c r="H164" i="4"/>
  <c r="H127" i="4"/>
  <c r="H128" i="4"/>
  <c r="H129" i="4"/>
  <c r="H130" i="4"/>
  <c r="H31" i="4"/>
  <c r="H32" i="4"/>
  <c r="H33" i="4"/>
  <c r="H34" i="4"/>
  <c r="H35" i="4"/>
  <c r="H36" i="4"/>
  <c r="H4" i="4"/>
  <c r="H2" i="4"/>
  <c r="H176" i="4"/>
  <c r="H172" i="4"/>
  <c r="H173" i="4"/>
  <c r="H174" i="4"/>
  <c r="H175" i="4"/>
  <c r="H158" i="4"/>
  <c r="H159" i="4"/>
  <c r="H160" i="4"/>
  <c r="H148" i="4"/>
  <c r="H149" i="4"/>
  <c r="H142" i="4"/>
  <c r="H143" i="4"/>
  <c r="H140" i="4"/>
  <c r="H141" i="4"/>
  <c r="H138" i="4"/>
  <c r="H139" i="4"/>
  <c r="H111" i="4"/>
  <c r="H112" i="4"/>
  <c r="H113" i="4"/>
  <c r="H114" i="4"/>
  <c r="H115" i="4"/>
  <c r="H116" i="4"/>
  <c r="H117" i="4"/>
  <c r="H118" i="4"/>
  <c r="H119" i="4"/>
  <c r="H120" i="4"/>
  <c r="H121" i="4"/>
  <c r="H122" i="4"/>
  <c r="H123" i="4"/>
  <c r="H124" i="4"/>
  <c r="H125" i="4"/>
  <c r="H126" i="4"/>
  <c r="H78" i="4"/>
  <c r="H79" i="4"/>
  <c r="H47" i="4"/>
  <c r="H46" i="4"/>
  <c r="H20" i="4"/>
  <c r="H144" i="4"/>
  <c r="H145" i="4"/>
  <c r="H90" i="4" l="1"/>
  <c r="S277" i="9" l="1"/>
  <c r="S278" i="9"/>
  <c r="P278" i="9"/>
  <c r="P277" i="9"/>
  <c r="L277" i="9"/>
  <c r="L278" i="9"/>
  <c r="I278" i="9"/>
  <c r="I277" i="9"/>
  <c r="J50" i="4"/>
  <c r="J53" i="4"/>
  <c r="J16" i="4"/>
  <c r="G270" i="9"/>
  <c r="G273" i="9"/>
  <c r="N176" i="4"/>
  <c r="N148" i="4"/>
  <c r="J151" i="4"/>
  <c r="J150" i="4"/>
  <c r="T131" i="4"/>
  <c r="J132" i="4"/>
  <c r="J131" i="4"/>
  <c r="J20" i="4"/>
  <c r="T20" i="4"/>
  <c r="F186" i="9"/>
  <c r="F187" i="9"/>
  <c r="F188" i="9"/>
  <c r="F189" i="9"/>
  <c r="F190" i="9"/>
  <c r="F191" i="9"/>
  <c r="F192" i="9"/>
  <c r="F193" i="9"/>
  <c r="F194" i="9"/>
  <c r="F195" i="9"/>
  <c r="F196" i="9"/>
  <c r="F197" i="9"/>
  <c r="F198" i="9"/>
  <c r="F185" i="9"/>
  <c r="N128" i="4"/>
  <c r="N127" i="4"/>
  <c r="J129" i="4"/>
  <c r="N129" i="4"/>
  <c r="N130" i="4"/>
  <c r="J130" i="4"/>
  <c r="J128" i="4"/>
  <c r="J127" i="4"/>
  <c r="N2" i="4"/>
  <c r="J2" i="4"/>
  <c r="J4" i="4"/>
  <c r="N4" i="4"/>
  <c r="N402" i="1"/>
  <c r="G180" i="9"/>
  <c r="F180" i="9"/>
  <c r="G176" i="9"/>
  <c r="G175" i="9"/>
  <c r="G174" i="9"/>
  <c r="G173" i="9"/>
  <c r="N164" i="4"/>
  <c r="N163" i="4"/>
  <c r="N162" i="4"/>
  <c r="N161" i="4"/>
  <c r="J164" i="4"/>
  <c r="J163" i="4"/>
  <c r="J162" i="4"/>
  <c r="J161" i="4"/>
  <c r="N115" i="1"/>
  <c r="N114" i="1"/>
  <c r="N112" i="1"/>
  <c r="N111" i="1"/>
  <c r="F135" i="9"/>
  <c r="G135" i="9" s="1"/>
  <c r="G134" i="9"/>
  <c r="F136" i="9"/>
  <c r="G136" i="9" s="1"/>
  <c r="F120" i="9"/>
  <c r="G120" i="9" s="1"/>
  <c r="F119" i="9"/>
  <c r="G119" i="9" s="1"/>
  <c r="G118" i="9"/>
  <c r="G104" i="9"/>
  <c r="G102" i="9"/>
  <c r="G100" i="9"/>
  <c r="G98" i="9"/>
  <c r="G90" i="4"/>
  <c r="I90"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90" i="4"/>
  <c r="D90" i="4"/>
  <c r="C90" i="4"/>
  <c r="B90"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<sst xmlns="http://schemas.openxmlformats.org/spreadsheetml/2006/main" count="67102" uniqueCount="2993">
  <si>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</si>
  <si>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</si>
  <si>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</si>
  <si>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</si>
  <si>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</si>
  <si>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</si>
  <si>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</si>
  <si>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</si>
  <si>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</si>
  <si>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</si>
  <si>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</si>
  <si>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</si>
  <si>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</si>
  <si>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</si>
  <si>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</si>
  <si>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</si>
  <si>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</si>
  <si>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</si>
  <si>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</si>
  <si>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</si>
  <si>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</si>
  <si>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</si>
  <si>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</si>
  <si>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</si>
  <si>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</si>
  <si>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</si>
  <si>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</si>
  <si>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</si>
  <si>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</si>
  <si>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</si>
  <si>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</si>
  <si>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</si>
  <si>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</si>
  <si>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</si>
  <si>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</si>
  <si>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</si>
  <si>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</si>
  <si>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</si>
  <si>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</si>
  <si>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</si>
  <si>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</si>
  <si>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</si>
  <si>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</si>
  <si>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</si>
  <si>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</si>
  <si>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</si>
  <si>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</si>
  <si>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</si>
  <si>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</si>
  <si>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</si>
  <si>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</si>
  <si>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</si>
  <si>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</si>
  <si>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</si>
  <si>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</si>
  <si>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</si>
  <si>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</si>
  <si>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</si>
  <si>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</si>
  <si>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</si>
  <si>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</si>
  <si>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</si>
  <si>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</si>
  <si>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</si>
  <si>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</si>
  <si>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</si>
  <si>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</si>
  <si>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</si>
  <si>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</si>
  <si>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</si>
  <si>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</si>
  <si>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</si>
  <si>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</si>
  <si>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</si>
  <si>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</si>
  <si>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</si>
  <si>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</si>
  <si>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</si>
  <si>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</si>
  <si>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</si>
  <si>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</si>
  <si>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</si>
  <si>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</si>
  <si>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</si>
  <si>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</si>
  <si>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</si>
  <si>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</si>
  <si>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</si>
  <si>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</si>
  <si>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</si>
  <si>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</si>
  <si>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</si>
  <si>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</si>
  <si>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</si>
  <si>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</si>
  <si>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</si>
  <si>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</si>
  <si>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</si>
  <si>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</si>
  <si>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</si>
  <si>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</si>
  <si>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</si>
  <si>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</si>
  <si>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</si>
  <si>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</si>
  <si>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</si>
  <si>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</si>
  <si>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</si>
  <si>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</si>
  <si>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</si>
  <si>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</si>
  <si>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</si>
  <si>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</si>
  <si>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</si>
  <si>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</si>
  <si>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</si>
  <si>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</si>
  <si>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</si>
  <si>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</si>
  <si>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</si>
  <si>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</si>
  <si>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</si>
  <si>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</si>
  <si>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</si>
  <si>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</si>
  <si>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</si>
  <si>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</si>
  <si>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</si>
  <si>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</si>
  <si>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</si>
  <si>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</si>
  <si>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</si>
  <si>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</si>
  <si>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</si>
  <si>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</si>
  <si>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</si>
  <si>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</si>
  <si>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</si>
  <si>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</si>
  <si>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</si>
  <si>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</si>
  <si>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</si>
  <si>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</si>
  <si>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</si>
  <si>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</si>
  <si>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</si>
  <si>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</si>
  <si>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</si>
  <si>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</si>
  <si>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</si>
  <si>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</si>
  <si>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</si>
  <si>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</si>
  <si>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</si>
  <si>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</si>
  <si>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</si>
  <si>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</si>
  <si>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</si>
  <si>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</si>
  <si>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</si>
  <si>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</si>
  <si>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</si>
  <si>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</si>
  <si>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</si>
  <si>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</si>
  <si>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</si>
  <si>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</si>
  <si>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</si>
  <si>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</si>
  <si>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</si>
  <si>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</si>
  <si>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</si>
  <si>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</si>
  <si>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</si>
  <si>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</si>
  <si>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</si>
  <si>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</si>
  <si>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</si>
  <si>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</si>
  <si>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</si>
  <si>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</si>
  <si>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</si>
  <si>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</si>
  <si>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</si>
  <si>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</si>
  <si>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</si>
  <si>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</si>
  <si>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</si>
  <si>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</si>
  <si>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</si>
  <si>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</si>
  <si>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</si>
  <si>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</si>
  <si>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</si>
  <si>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</si>
  <si>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</si>
  <si>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</si>
  <si>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</si>
  <si>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</si>
  <si>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</si>
  <si>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</si>
  <si>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</si>
  <si>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</si>
  <si>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</si>
  <si>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</si>
  <si>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</si>
  <si>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</si>
  <si>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</si>
  <si>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</si>
  <si>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</si>
  <si>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</si>
  <si>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</si>
  <si>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</si>
  <si>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</si>
  <si>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</si>
  <si>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</si>
  <si>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</si>
  <si>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</si>
  <si>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</si>
  <si>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</si>
  <si>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</si>
  <si>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</si>
  <si>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</si>
  <si>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</si>
  <si>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</si>
  <si>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</si>
  <si>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</si>
  <si>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</si>
  <si>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</si>
  <si>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</si>
  <si>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</si>
  <si>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</si>
  <si>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</si>
  <si>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</si>
  <si>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</si>
  <si>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</si>
  <si>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</si>
  <si>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</si>
  <si>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</si>
  <si>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</si>
  <si>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</si>
  <si>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</si>
  <si>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</si>
  <si>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</si>
  <si>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</si>
  <si>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</si>
  <si>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</si>
  <si>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</si>
  <si>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</si>
  <si>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</si>
  <si>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</si>
  <si>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</si>
  <si>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</si>
  <si>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</si>
  <si>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</si>
  <si>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</si>
  <si>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</si>
  <si>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</si>
  <si>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</si>
  <si>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</si>
  <si>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</si>
  <si>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</si>
  <si>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</si>
  <si>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</si>
  <si>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</si>
  <si>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</si>
  <si>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</si>
  <si>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</si>
  <si>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</si>
  <si>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</si>
  <si>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</si>
  <si>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</si>
  <si>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</si>
  <si>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</si>
  <si>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</si>
  <si>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</si>
  <si>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</si>
  <si>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</si>
  <si>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</si>
  <si>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</si>
  <si>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</si>
  <si>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</si>
  <si>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</si>
  <si>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</si>
  <si>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</si>
  <si>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</si>
  <si>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</si>
  <si>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</si>
  <si>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</si>
  <si>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</si>
  <si>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</si>
  <si>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</si>
  <si>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</si>
  <si>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</si>
  <si>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</si>
  <si>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</si>
  <si>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</si>
  <si>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</si>
  <si>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</si>
  <si>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</si>
  <si>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</si>
  <si>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</si>
  <si>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</si>
  <si>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</si>
  <si>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</si>
  <si>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</si>
  <si>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</si>
  <si>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</si>
  <si>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</si>
  <si>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</si>
  <si>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</si>
  <si>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</si>
  <si>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</si>
  <si>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</si>
  <si>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</si>
  <si>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</si>
  <si>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</si>
  <si>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</si>
  <si>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</si>
  <si>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</si>
  <si>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</si>
  <si>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</si>
  <si>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</si>
  <si>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</si>
  <si>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</si>
  <si>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</si>
  <si>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</si>
  <si>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</si>
  <si>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</si>
  <si>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</si>
  <si>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</si>
  <si>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</si>
  <si>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</si>
  <si>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</si>
  <si>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</si>
  <si>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</si>
  <si>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</si>
  <si>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</si>
  <si>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</si>
  <si>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</si>
  <si>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</si>
  <si>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</si>
  <si>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</si>
  <si>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</si>
  <si>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</si>
  <si>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</si>
  <si>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</si>
  <si>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</si>
  <si>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</si>
  <si>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</si>
  <si>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</si>
  <si>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</si>
  <si>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</si>
  <si>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</si>
  <si>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</si>
  <si>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</si>
  <si>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</si>
  <si>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</si>
  <si>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</si>
  <si>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</si>
  <si>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</si>
  <si>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</si>
  <si>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</si>
  <si>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</si>
  <si>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</si>
  <si>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</si>
  <si>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</si>
  <si>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</si>
  <si>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</si>
  <si>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</si>
  <si>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</si>
  <si>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</si>
  <si>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</si>
  <si>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</si>
  <si>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</si>
  <si>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</si>
  <si>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</si>
  <si>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</si>
  <si>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</si>
  <si>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</si>
  <si>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</si>
  <si>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</si>
  <si>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</si>
  <si>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</si>
  <si>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</si>
  <si>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</si>
  <si>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</si>
  <si>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</si>
  <si>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</si>
  <si>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</si>
  <si>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</si>
  <si>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</si>
  <si>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</si>
  <si>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</si>
  <si>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</si>
  <si>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</si>
  <si>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</si>
  <si>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</si>
  <si>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</si>
  <si>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</si>
  <si>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</si>
  <si>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</si>
  <si>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</si>
  <si>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</si>
  <si>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</si>
  <si>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</si>
  <si>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</si>
  <si>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</si>
  <si>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</si>
  <si>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</si>
  <si>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</si>
  <si>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</si>
  <si>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</si>
  <si>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</si>
  <si>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</si>
  <si>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</si>
  <si>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</si>
  <si>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</si>
  <si>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</si>
  <si>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</si>
  <si>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</si>
  <si>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</si>
  <si>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</si>
  <si>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</si>
  <si>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</si>
  <si>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</si>
  <si>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</si>
  <si>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</si>
  <si>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</si>
  <si>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</si>
  <si>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</si>
  <si>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</si>
  <si>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</si>
  <si>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</si>
  <si>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</si>
  <si>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</si>
  <si>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</si>
  <si>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</si>
  <si>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</si>
  <si>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</si>
  <si>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</si>
  <si>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</si>
  <si>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</si>
  <si>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</si>
  <si>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</si>
  <si>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</si>
  <si>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</si>
  <si>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</si>
  <si>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</si>
  <si>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</si>
  <si>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</si>
  <si>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</si>
  <si>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</si>
  <si>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</si>
  <si>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</si>
  <si>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</si>
  <si>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</si>
  <si>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</si>
  <si>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</si>
  <si>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</si>
  <si>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</si>
  <si>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</si>
  <si>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</si>
  <si>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</si>
  <si>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</si>
  <si>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</si>
  <si>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</si>
  <si>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</si>
  <si>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</si>
  <si>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</si>
  <si>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</si>
  <si>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</si>
  <si>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</si>
  <si>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</si>
  <si>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</si>
  <si>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</si>
  <si>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</si>
  <si>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</si>
  <si>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</si>
  <si>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</si>
  <si>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</si>
  <si>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</si>
  <si>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</si>
  <si>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</si>
  <si>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</si>
  <si>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</si>
  <si>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</si>
  <si>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</si>
  <si>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</si>
  <si>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</si>
  <si>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</si>
  <si>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</si>
  <si>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</si>
  <si>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</si>
  <si>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</si>
  <si>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</si>
  <si>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</si>
  <si>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</si>
  <si>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</si>
  <si>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</si>
  <si>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</si>
  <si>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</si>
  <si>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</si>
  <si>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</si>
  <si>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</si>
  <si>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</si>
  <si>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</si>
  <si>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</si>
  <si>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</si>
  <si>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</si>
  <si>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</si>
  <si>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</si>
  <si>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</si>
  <si>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</si>
  <si>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</si>
  <si>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</si>
  <si>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</si>
  <si>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</si>
  <si>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</si>
  <si>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</si>
  <si>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</si>
  <si>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</si>
  <si>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</si>
  <si>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</si>
  <si>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</si>
  <si>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</si>
  <si>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</si>
  <si>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</si>
  <si>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</si>
  <si>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</si>
  <si>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</si>
  <si>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</si>
  <si>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</si>
  <si>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</si>
  <si>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</si>
  <si>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</si>
  <si>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</si>
  <si>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</si>
  <si>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</si>
  <si>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</si>
  <si>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</si>
  <si>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</si>
  <si>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</si>
  <si>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</si>
  <si>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</si>
  <si>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</si>
  <si>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</si>
  <si>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</si>
  <si>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</si>
  <si>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</si>
  <si>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</si>
  <si>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</si>
  <si>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</si>
  <si>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</si>
  <si>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</si>
  <si>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</si>
  <si>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</si>
  <si>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</si>
  <si>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</si>
  <si>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</si>
  <si>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</si>
  <si>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</si>
  <si>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</si>
  <si>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</si>
  <si>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</si>
  <si>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</si>
  <si>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</si>
  <si>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</si>
  <si>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</si>
  <si>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</si>
  <si>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</si>
  <si>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</si>
  <si>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</si>
  <si>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</si>
  <si>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</si>
  <si>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</si>
  <si>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</si>
  <si>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</si>
  <si>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</si>
  <si>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</si>
  <si>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</si>
  <si>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</si>
  <si>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</si>
  <si>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</si>
  <si>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</si>
  <si>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</si>
  <si>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</si>
  <si>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</si>
  <si>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</si>
  <si>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</si>
  <si>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</si>
  <si>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</si>
  <si>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</si>
  <si>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</si>
  <si>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</si>
  <si>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</si>
  <si>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</si>
  <si>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</si>
  <si>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</si>
  <si>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</si>
  <si>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</si>
  <si>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</si>
  <si>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</si>
  <si>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</si>
  <si>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</si>
  <si>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</si>
  <si>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</si>
  <si>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</si>
  <si>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</si>
  <si>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</si>
  <si>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</si>
  <si>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</si>
  <si>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</si>
  <si>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</si>
  <si>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</si>
  <si>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</si>
  <si>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</si>
  <si>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</si>
  <si>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</si>
  <si>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</si>
  <si>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</si>
  <si>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</si>
  <si>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</si>
  <si>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</si>
  <si>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</si>
  <si>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</si>
  <si>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</si>
  <si>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</si>
  <si>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</si>
  <si>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</si>
  <si>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</si>
  <si>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</si>
  <si>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</si>
  <si>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</si>
  <si>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</si>
  <si>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</si>
  <si>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</si>
  <si>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</si>
  <si>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</si>
  <si>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</si>
  <si>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</si>
  <si>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</si>
  <si>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</si>
  <si>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</si>
  <si>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</si>
  <si>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</si>
  <si>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</si>
  <si>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</si>
  <si>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</si>
  <si>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</si>
  <si>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</si>
  <si>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</si>
  <si>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</si>
  <si>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</si>
  <si>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</si>
  <si>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</si>
  <si>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</si>
  <si>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</si>
  <si>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</si>
  <si>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</si>
  <si>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</si>
  <si>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</si>
  <si>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</si>
  <si>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</si>
  <si>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</si>
  <si>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</si>
  <si>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</si>
  <si>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</si>
  <si>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</si>
  <si>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</si>
  <si>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</si>
  <si>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</si>
  <si>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</si>
  <si>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</si>
  <si>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</si>
  <si>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</si>
  <si>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</si>
  <si>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</si>
  <si>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</si>
  <si>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</si>
  <si>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</si>
  <si>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</si>
  <si>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</si>
  <si>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</si>
  <si>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</si>
  <si>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</si>
  <si>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</si>
  <si>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</si>
  <si>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</si>
  <si>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</si>
  <si>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</si>
  <si>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</si>
  <si>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</si>
  <si>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</si>
  <si>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</si>
  <si>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</si>
  <si>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</si>
  <si>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</si>
  <si>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</si>
  <si>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</si>
  <si>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</si>
  <si>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</si>
  <si>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</si>
  <si>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</si>
  <si>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</si>
  <si>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</si>
  <si>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</si>
  <si>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</si>
  <si>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</si>
  <si>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</si>
  <si>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</si>
  <si>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</si>
  <si>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</si>
  <si>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</si>
  <si>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</si>
  <si>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</si>
  <si>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</si>
  <si>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</si>
  <si>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</si>
  <si>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</si>
  <si>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</si>
  <si>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</si>
  <si>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</si>
  <si>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</si>
  <si>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</si>
  <si>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</si>
  <si>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</si>
  <si>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</si>
  <si>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</si>
  <si>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</si>
  <si>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</si>
  <si>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</si>
  <si>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</si>
  <si>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</si>
  <si>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</si>
  <si>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</si>
  <si>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</si>
  <si>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</si>
  <si>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</si>
  <si>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</si>
  <si>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</si>
  <si>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</si>
  <si>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</si>
  <si>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</si>
  <si>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</si>
  <si>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</si>
  <si>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</si>
  <si>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</si>
  <si>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</si>
  <si>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</si>
  <si>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</si>
  <si>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</si>
  <si>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</si>
  <si>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</si>
  <si>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</si>
  <si>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</si>
  <si>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</si>
  <si>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</si>
  <si>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</si>
  <si>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</si>
  <si>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</si>
  <si>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</si>
  <si>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</si>
  <si>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</si>
  <si>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</si>
  <si>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</si>
  <si>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</si>
  <si>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</si>
  <si>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</si>
  <si>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</si>
  <si>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</si>
  <si>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</si>
  <si>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</si>
  <si>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</si>
  <si>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</si>
  <si>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</si>
  <si>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</si>
  <si>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</si>
  <si>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</si>
  <si>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</si>
  <si>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</si>
  <si>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</si>
  <si>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</si>
  <si>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</si>
  <si>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</si>
  <si>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</si>
  <si>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</si>
  <si>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</si>
  <si>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</si>
  <si>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</si>
  <si>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</si>
  <si>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</si>
  <si>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</si>
  <si>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</si>
  <si>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</si>
  <si>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</si>
  <si>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</si>
  <si>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</si>
  <si>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</si>
  <si>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</si>
  <si>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</si>
  <si>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</si>
  <si>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</si>
  <si>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</si>
  <si>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</si>
  <si>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</si>
  <si>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</si>
  <si>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</si>
  <si>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</si>
  <si>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</si>
  <si>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</si>
  <si>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</si>
  <si>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</si>
  <si>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</si>
  <si>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</si>
  <si>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</si>
  <si>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</si>
  <si>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</si>
  <si>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</si>
  <si>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</si>
  <si>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</si>
  <si>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</si>
  <si>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</si>
  <si>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</si>
  <si>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</si>
  <si>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</si>
  <si>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</si>
  <si>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</si>
  <si>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</si>
  <si>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</si>
  <si>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</si>
  <si>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</si>
  <si>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</si>
  <si>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</si>
  <si>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</si>
  <si>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</si>
  <si>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</si>
  <si>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</si>
  <si>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</si>
  <si>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</si>
  <si>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</si>
  <si>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</si>
  <si>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</si>
  <si>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</si>
  <si>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</si>
  <si>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</si>
  <si>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</si>
  <si>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</si>
  <si>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</si>
  <si>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</si>
  <si>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</si>
  <si>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</si>
  <si>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</si>
  <si>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</si>
  <si>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</si>
  <si>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</si>
  <si>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</si>
  <si>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</si>
  <si>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</si>
  <si>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</si>
  <si>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</si>
  <si>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</si>
  <si>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</si>
  <si>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</si>
  <si>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</si>
  <si>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</si>
  <si>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</si>
  <si>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</si>
  <si>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</si>
  <si>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</si>
  <si>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</si>
  <si>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</si>
  <si>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</si>
  <si>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</si>
  <si>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</si>
  <si>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</si>
  <si>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</si>
  <si>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</si>
  <si>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</si>
  <si>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</si>
  <si>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</si>
  <si>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</si>
  <si>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</si>
  <si>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</si>
  <si>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</si>
  <si>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</si>
  <si>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</si>
  <si>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</si>
  <si>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</si>
  <si>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</si>
  <si>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</si>
  <si>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</si>
  <si>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</si>
  <si>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</si>
  <si>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</si>
  <si>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</si>
  <si>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</si>
  <si>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</si>
  <si>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</si>
  <si>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</si>
  <si>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</si>
  <si>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</si>
  <si>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</si>
  <si>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</si>
  <si>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</si>
  <si>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</si>
  <si>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</si>
  <si>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</si>
  <si>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</si>
  <si>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</si>
  <si>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</si>
  <si>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</si>
  <si>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</si>
  <si>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</si>
  <si>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</si>
  <si>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</si>
  <si>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</si>
  <si>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</si>
  <si>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</si>
  <si>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</si>
  <si>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</si>
  <si>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</si>
  <si>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</si>
  <si>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</si>
  <si>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</si>
  <si>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</si>
  <si>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</si>
  <si>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</si>
  <si>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</si>
  <si>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</si>
  <si>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</si>
  <si>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</si>
  <si>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</si>
  <si>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</si>
  <si>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</si>
  <si>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</si>
  <si>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</si>
  <si>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</si>
  <si>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</si>
  <si>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</si>
  <si>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</si>
  <si>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</si>
  <si>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</si>
  <si>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</si>
  <si>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</si>
  <si>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</si>
  <si>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</si>
  <si>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</si>
  <si>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</si>
  <si>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</si>
  <si>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</si>
  <si>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</si>
  <si>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</si>
  <si>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</si>
  <si>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</si>
  <si>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</si>
  <si>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</si>
  <si>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</si>
  <si>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</si>
  <si>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</si>
  <si>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</si>
  <si>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</si>
  <si>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</si>
  <si>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</si>
  <si>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</si>
  <si>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</si>
  <si>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</si>
  <si>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</si>
  <si>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</si>
  <si>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</si>
  <si>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</si>
  <si>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</si>
  <si>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</si>
  <si>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</si>
  <si>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</si>
  <si>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</si>
  <si>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</si>
  <si>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</si>
  <si>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</si>
  <si>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</si>
  <si>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</si>
  <si>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</si>
  <si>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</si>
  <si>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</si>
  <si>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</si>
  <si>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</si>
  <si>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</si>
  <si>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</si>
  <si>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</si>
  <si>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</si>
  <si>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</si>
  <si>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</si>
  <si>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</si>
  <si>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</si>
  <si>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</si>
  <si>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</si>
  <si>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</si>
  <si>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</si>
  <si>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</si>
  <si>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</si>
  <si>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</si>
  <si>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</si>
  <si>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</si>
  <si>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</si>
  <si>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</si>
  <si>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</si>
  <si>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</si>
  <si>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</si>
  <si>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</si>
  <si>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</si>
  <si>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</si>
  <si>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</si>
  <si>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</si>
  <si>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</si>
  <si>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</si>
  <si>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</si>
  <si>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</si>
  <si>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</si>
  <si>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</si>
  <si>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</si>
  <si>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</si>
  <si>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</si>
  <si>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</si>
  <si>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</si>
  <si>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</si>
  <si>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</si>
  <si>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</si>
  <si>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</si>
  <si>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</si>
  <si>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</si>
  <si>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</si>
  <si>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</si>
  <si>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</si>
  <si>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</si>
  <si>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</si>
  <si>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</si>
  <si>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</si>
  <si>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</si>
  <si>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</si>
  <si>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</si>
  <si>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</si>
  <si>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</si>
  <si>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</si>
  <si>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</si>
  <si>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</si>
  <si>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</si>
  <si>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</si>
  <si>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</si>
  <si>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</si>
  <si>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</si>
  <si>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</si>
  <si>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</si>
  <si>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</si>
  <si>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</si>
  <si>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</si>
  <si>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</si>
  <si>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</si>
  <si>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</si>
  <si>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</si>
  <si>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</si>
  <si>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</si>
  <si>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</si>
  <si>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</si>
  <si>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</si>
  <si>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</si>
  <si>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</si>
  <si>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</si>
  <si>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</si>
  <si>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</si>
  <si>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</si>
  <si>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</si>
  <si>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</si>
  <si>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</si>
  <si>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</si>
  <si>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</si>
  <si>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</si>
  <si>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</si>
  <si>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</si>
  <si>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</si>
  <si>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</si>
  <si>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</si>
  <si>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</si>
  <si>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</si>
  <si>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</si>
  <si>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</si>
  <si>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</si>
  <si>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</si>
  <si>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</si>
  <si>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</si>
  <si>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</si>
  <si>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</si>
  <si>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</si>
  <si>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</si>
  <si>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</si>
  <si>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</si>
  <si>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</si>
  <si>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</si>
  <si>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</si>
  <si>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</si>
  <si>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</si>
  <si>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</si>
  <si>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</si>
  <si>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</si>
  <si>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</si>
  <si>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</si>
  <si>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</si>
  <si>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</si>
  <si>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</si>
  <si>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</si>
  <si>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</si>
  <si>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</si>
  <si>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</si>
  <si>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</si>
  <si>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</si>
  <si>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</si>
  <si>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</si>
  <si>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</si>
  <si>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</si>
  <si>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</si>
  <si>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</si>
  <si>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</si>
  <si>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</si>
  <si>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</si>
  <si>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</si>
  <si>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</si>
  <si>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</si>
  <si>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</si>
  <si>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</si>
  <si>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</si>
  <si>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</si>
  <si>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</si>
  <si>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</si>
  <si>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</si>
  <si>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</si>
  <si>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</si>
  <si>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</si>
  <si>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</si>
  <si>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</si>
  <si>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</si>
  <si>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</si>
  <si>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</si>
  <si>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</si>
  <si>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</si>
  <si>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</si>
  <si>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</si>
  <si>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</si>
  <si>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</si>
  <si>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</si>
  <si>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</si>
  <si>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</si>
  <si>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</si>
  <si>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</si>
  <si>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</si>
  <si>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</si>
  <si>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</si>
  <si>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</si>
  <si>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</si>
  <si>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</si>
  <si>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</si>
  <si>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</si>
  <si>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</si>
  <si>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</si>
  <si>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</si>
  <si>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</si>
  <si>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</si>
  <si>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</si>
  <si>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</si>
  <si>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</si>
  <si>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</si>
  <si>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</si>
  <si>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</si>
  <si>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</si>
  <si>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</si>
  <si>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</si>
  <si>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</si>
  <si>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</si>
  <si>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</si>
  <si>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</si>
  <si>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</si>
  <si>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</si>
  <si>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</si>
  <si>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</si>
  <si>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</si>
  <si>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</si>
  <si>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</si>
  <si>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</si>
  <si>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</si>
  <si>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</si>
  <si>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</si>
  <si>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</si>
  <si>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</si>
  <si>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</si>
  <si>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</si>
  <si>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</si>
  <si>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</si>
  <si>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</si>
  <si>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</si>
  <si>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</si>
  <si>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</si>
  <si>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</si>
  <si>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</si>
  <si>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</si>
  <si>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</si>
  <si>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</si>
  <si>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</si>
  <si>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</si>
  <si>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</si>
  <si>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</si>
  <si>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</si>
  <si>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</si>
  <si>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</si>
  <si>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</si>
  <si>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</si>
  <si>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</si>
  <si>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</si>
  <si>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</si>
  <si>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</si>
  <si>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</si>
  <si>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</si>
  <si>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</si>
  <si>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</si>
  <si>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</si>
  <si>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</si>
  <si>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</si>
  <si>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</si>
  <si>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</si>
  <si>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</si>
  <si>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</si>
  <si>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</si>
  <si>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</si>
  <si>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</si>
  <si>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</si>
  <si>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</si>
  <si>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</si>
  <si>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</si>
  <si>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</si>
  <si>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</si>
  <si>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</si>
  <si>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</si>
  <si>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</si>
  <si>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</si>
  <si>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</si>
  <si>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</si>
  <si>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</si>
  <si>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</si>
  <si>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</si>
  <si>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</si>
  <si>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</si>
  <si>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</si>
  <si>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</si>
  <si>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</si>
  <si>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</si>
  <si>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</si>
  <si>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</si>
  <si>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</si>
  <si>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</si>
  <si>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</si>
  <si>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</si>
  <si>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</si>
  <si>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</si>
  <si>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</si>
  <si>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</si>
  <si>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</si>
  <si>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</si>
  <si>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</si>
  <si>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</si>
  <si>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</si>
  <si>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</si>
  <si>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</si>
  <si>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</si>
  <si>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</si>
  <si>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</si>
  <si>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</si>
  <si>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</si>
  <si>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</si>
  <si>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</si>
  <si>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</si>
  <si>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</si>
  <si>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</si>
  <si>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</si>
  <si>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</si>
  <si>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</si>
  <si>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</si>
  <si>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</si>
  <si>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</si>
  <si>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</si>
  <si>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</si>
  <si>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</si>
  <si>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</si>
  <si>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</si>
  <si>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</si>
  <si>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</si>
  <si>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</si>
  <si>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</si>
  <si>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</si>
  <si>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</si>
  <si>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</si>
  <si>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</si>
  <si>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</si>
  <si>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</si>
  <si>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</si>
  <si>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</si>
  <si>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</si>
  <si>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</si>
  <si>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</si>
  <si>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</si>
  <si>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</si>
  <si>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</si>
  <si>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</si>
  <si>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</si>
  <si>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</si>
  <si>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</si>
  <si>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</si>
  <si>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</si>
  <si>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</si>
  <si>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</si>
  <si>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</si>
  <si>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</si>
  <si>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</si>
  <si>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</si>
  <si>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</si>
  <si>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</si>
  <si>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</si>
  <si>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</si>
  <si>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</si>
  <si>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</si>
  <si>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</si>
  <si>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</si>
  <si>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</si>
  <si>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</si>
  <si>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</si>
  <si>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</si>
  <si>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</si>
  <si>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</si>
  <si>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</si>
  <si>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</si>
  <si>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</si>
  <si>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</si>
  <si>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</si>
  <si>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</si>
  <si>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</si>
  <si>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</si>
  <si>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</si>
  <si>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</si>
  <si>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</si>
  <si>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</si>
  <si>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</si>
  <si>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</si>
  <si>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</si>
  <si>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</si>
  <si>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</si>
  <si>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</si>
  <si>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</si>
  <si>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</si>
  <si>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</si>
  <si>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</si>
  <si>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</si>
  <si>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</si>
  <si>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</si>
  <si>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</si>
  <si>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</si>
  <si>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</si>
  <si>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</si>
  <si>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</si>
  <si>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</si>
  <si>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</si>
  <si>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</si>
  <si>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</si>
  <si>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</si>
  <si>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</si>
  <si>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</si>
  <si>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</si>
  <si>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</si>
  <si>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</si>
  <si>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</si>
  <si>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</si>
  <si>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</si>
  <si>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</si>
  <si>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</si>
  <si>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</si>
  <si>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</si>
  <si>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</si>
  <si>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</si>
  <si>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</si>
  <si>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</si>
  <si>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</si>
  <si>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</si>
  <si>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</si>
  <si>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</si>
  <si>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</si>
  <si>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</si>
  <si>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</si>
  <si>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</si>
  <si>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</si>
  <si>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</si>
  <si>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</si>
  <si>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</si>
  <si>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</si>
  <si>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</si>
  <si>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</si>
  <si>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</si>
  <si>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</si>
  <si>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</si>
  <si>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</si>
  <si>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</si>
  <si>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</si>
  <si>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</si>
  <si>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</si>
  <si>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</si>
  <si>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</si>
  <si>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</si>
  <si>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</si>
  <si>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</si>
  <si>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</si>
  <si>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</si>
  <si>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</si>
  <si>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</si>
  <si>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</si>
  <si>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</si>
  <si>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</si>
  <si>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</si>
  <si>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</si>
  <si>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</si>
  <si>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</si>
  <si>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</si>
  <si>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</si>
  <si>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</si>
  <si>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</si>
  <si>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</si>
  <si>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</si>
  <si>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</si>
  <si>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</si>
  <si>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</si>
  <si>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</si>
  <si>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</si>
  <si>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</si>
  <si>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</si>
  <si>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</si>
  <si>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</si>
  <si>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</si>
  <si>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</si>
  <si>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</si>
  <si>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</si>
  <si>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</si>
  <si>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</si>
  <si>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</si>
  <si>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</si>
  <si>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</si>
  <si>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</si>
  <si>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</si>
  <si>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</si>
  <si>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</si>
  <si>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</si>
  <si>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</si>
  <si>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</si>
  <si>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</si>
  <si>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</si>
  <si>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</si>
  <si>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</si>
  <si>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</si>
  <si>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</si>
  <si>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</si>
  <si>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</si>
  <si>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</si>
  <si>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</si>
  <si>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</si>
  <si>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</si>
  <si>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</si>
  <si>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</si>
  <si>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</si>
  <si>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</si>
  <si>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</si>
  <si>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</si>
  <si>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</si>
  <si>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</si>
  <si>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</si>
  <si>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</si>
  <si>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</si>
  <si>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</si>
  <si>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</si>
  <si>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</si>
  <si>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</si>
  <si>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</si>
  <si>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</si>
  <si>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</si>
  <si>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</si>
  <si>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</si>
  <si>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</si>
  <si>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</si>
  <si>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</si>
  <si>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</si>
  <si>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</si>
  <si>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</si>
  <si>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</si>
  <si>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</si>
  <si>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</si>
  <si>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</si>
  <si>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</si>
  <si>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</si>
  <si>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</si>
  <si>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</si>
  <si>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</si>
  <si>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</si>
  <si>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</si>
  <si>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</si>
  <si>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</si>
  <si>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</si>
  <si>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</si>
  <si>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</si>
  <si>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</si>
  <si>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</si>
  <si>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</si>
  <si>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</si>
  <si>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</si>
  <si>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</si>
  <si>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</si>
  <si>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</si>
  <si>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</si>
  <si>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</si>
  <si>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</si>
  <si>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</si>
  <si>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</si>
  <si>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</si>
  <si>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</si>
  <si>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</si>
  <si>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</si>
  <si>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</si>
  <si>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</si>
  <si>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</si>
  <si>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</si>
  <si>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</si>
  <si>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</si>
  <si>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</si>
  <si>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</si>
  <si>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</si>
  <si>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</si>
  <si>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</si>
  <si>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</si>
  <si>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</si>
  <si>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</si>
  <si>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</si>
  <si>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</si>
  <si>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</si>
  <si>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</si>
  <si>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</si>
  <si>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</si>
  <si>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</si>
  <si>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</si>
  <si>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</si>
  <si>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</si>
  <si>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</si>
  <si>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</si>
  <si>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</si>
  <si>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</si>
  <si>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</si>
  <si>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</si>
  <si>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</si>
  <si>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</si>
  <si>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</si>
  <si>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</si>
  <si>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</si>
  <si>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</si>
  <si>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</si>
  <si>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</si>
  <si>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</si>
  <si>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</si>
  <si>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</si>
  <si>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</si>
  <si>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</si>
  <si>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</si>
  <si>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</si>
  <si>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</si>
  <si>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</si>
  <si>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</si>
  <si>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</si>
  <si>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</si>
  <si>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</si>
  <si>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</si>
  <si>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</si>
  <si>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</si>
  <si>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</si>
  <si>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</si>
  <si>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</si>
  <si>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</si>
  <si>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</si>
  <si>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</si>
  <si>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</si>
  <si>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</si>
  <si>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</si>
  <si>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</si>
  <si>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</si>
  <si>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</si>
  <si>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</si>
  <si>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</si>
  <si>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</si>
  <si>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</si>
  <si>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</si>
  <si>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</si>
  <si>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</si>
  <si>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</si>
  <si>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</si>
  <si>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</si>
  <si>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</si>
  <si>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</si>
  <si>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</si>
  <si>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</si>
  <si>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</si>
  <si>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</si>
  <si>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</si>
  <si>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</si>
  <si>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</si>
  <si>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</si>
  <si>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</si>
  <si>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</si>
  <si>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</si>
  <si>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</si>
  <si>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</si>
  <si>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</si>
  <si>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</si>
  <si>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</si>
  <si>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</si>
  <si>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</si>
  <si>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</si>
  <si>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</si>
  <si>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</si>
  <si>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</si>
  <si>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</si>
  <si>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</si>
  <si>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</si>
  <si>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</si>
  <si>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</si>
  <si>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</si>
  <si>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</si>
  <si>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</si>
  <si>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</si>
  <si>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</si>
  <si>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</si>
  <si>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</si>
  <si>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</si>
  <si>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</si>
  <si>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</si>
  <si>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</si>
  <si>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</si>
  <si>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</si>
  <si>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</si>
  <si>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</si>
  <si>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</si>
  <si>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</si>
  <si>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</si>
  <si>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</si>
  <si>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</si>
  <si>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</si>
  <si>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</si>
  <si>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</si>
  <si>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</si>
  <si>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</si>
  <si>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</si>
  <si>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</si>
  <si>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</si>
  <si>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</si>
  <si>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</si>
  <si>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</si>
  <si>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</si>
  <si>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</si>
  <si>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</si>
  <si>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</si>
  <si>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</si>
  <si>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</si>
  <si>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</si>
  <si>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</si>
  <si>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</si>
  <si>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</si>
  <si>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</si>
  <si>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</si>
  <si>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</si>
  <si>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</si>
  <si>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</si>
  <si>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</si>
  <si>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</si>
  <si>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</si>
  <si>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</si>
  <si>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</si>
  <si>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</si>
  <si>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</si>
  <si>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</si>
  <si>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</si>
  <si>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</si>
  <si>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</si>
  <si>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</si>
  <si>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</si>
  <si>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</si>
  <si>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</si>
  <si>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</si>
  <si>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</si>
  <si>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</si>
  <si>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</si>
  <si>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</si>
  <si>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</si>
  <si>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</si>
  <si>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</si>
  <si>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</si>
  <si>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</si>
  <si>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</si>
  <si>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</si>
  <si>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</si>
  <si>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</si>
  <si>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</si>
  <si>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</si>
  <si>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</si>
  <si>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</si>
  <si>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</si>
  <si>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</si>
  <si>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</si>
  <si>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</si>
  <si>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</si>
  <si>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</si>
  <si>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</si>
  <si>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</si>
  <si>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</si>
  <si>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</si>
  <si>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</si>
  <si>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</si>
  <si>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</si>
  <si>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</si>
  <si>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</si>
  <si>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</si>
  <si>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</si>
  <si>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</si>
  <si>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</si>
  <si>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</si>
  <si>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</si>
  <si>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</si>
  <si>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</si>
  <si>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</si>
  <si>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</si>
  <si>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</si>
  <si>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</si>
  <si>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</si>
  <si>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</si>
  <si>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</si>
  <si>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</si>
  <si>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</si>
  <si>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</si>
  <si>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</si>
  <si>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</si>
  <si>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</si>
  <si>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</si>
  <si>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</si>
  <si>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</si>
  <si>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</si>
  <si>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</si>
  <si>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</si>
  <si>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</si>
  <si>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</si>
  <si>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</si>
  <si>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</si>
  <si>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</si>
  <si>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</si>
  <si>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</si>
  <si>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</si>
  <si>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</si>
  <si>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</si>
  <si>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</si>
  <si>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</si>
  <si>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</si>
  <si>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</si>
  <si>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</si>
  <si>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</si>
  <si>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</si>
  <si>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</si>
  <si>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</si>
  <si>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</si>
  <si>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</si>
  <si>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</si>
  <si>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</si>
  <si>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</si>
  <si>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</si>
  <si>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</si>
  <si>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</si>
  <si>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</si>
  <si>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</si>
  <si>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</si>
  <si>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</si>
  <si>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</si>
  <si>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</si>
  <si>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</si>
  <si>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</si>
  <si>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</si>
  <si>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</si>
  <si>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</si>
  <si>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</si>
  <si>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</si>
  <si>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</si>
  <si>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</si>
  <si>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</si>
  <si>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</si>
  <si>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</si>
  <si>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</si>
  <si>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</si>
  <si>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</si>
  <si>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</si>
  <si>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</si>
  <si>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</si>
  <si>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</si>
  <si>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</si>
  <si>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</si>
  <si>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</si>
  <si>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</si>
  <si>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</si>
  <si>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</si>
  <si>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</si>
  <si>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</si>
  <si>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</si>
  <si>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</si>
  <si>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</si>
  <si>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</si>
  <si>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</si>
  <si>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</si>
  <si>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</si>
  <si>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</si>
  <si>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</si>
  <si>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</si>
  <si>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</si>
  <si>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</si>
  <si>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</si>
  <si>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</si>
  <si>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</si>
  <si>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</si>
  <si>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</si>
  <si>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</si>
  <si>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</si>
  <si>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</si>
  <si>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</si>
  <si>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</si>
  <si>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</si>
  <si>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</si>
  <si>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</si>
  <si>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</si>
  <si>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</si>
  <si>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</si>
  <si>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</si>
  <si>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</si>
  <si>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</si>
  <si>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</si>
  <si>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</si>
  <si>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</si>
  <si>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</si>
  <si>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</si>
  <si>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</si>
  <si>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</si>
  <si>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</si>
  <si>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</si>
  <si>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</si>
  <si>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</si>
  <si>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</si>
  <si>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</si>
  <si>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</si>
  <si>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</si>
  <si>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</si>
  <si>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</si>
  <si>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</si>
  <si>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</si>
  <si>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</si>
  <si>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</si>
  <si>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</si>
  <si>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</si>
  <si>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</si>
  <si>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</si>
  <si>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</si>
  <si>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</si>
  <si>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</si>
  <si>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</si>
  <si>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</si>
  <si>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</si>
  <si>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</si>
  <si>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</si>
  <si>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</si>
  <si>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</si>
  <si>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</si>
  <si>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</si>
  <si>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</si>
  <si>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</si>
  <si>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</si>
  <si>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</si>
  <si>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</si>
  <si>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</si>
  <si>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</si>
  <si>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</si>
  <si>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</si>
  <si>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</si>
  <si>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</si>
  <si>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</si>
  <si>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</si>
  <si>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</si>
  <si>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</si>
  <si>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</si>
  <si>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</si>
  <si>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</si>
  <si>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</si>
  <si>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</si>
  <si>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</si>
  <si>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</si>
  <si>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</si>
  <si>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</si>
  <si>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</si>
  <si>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</si>
  <si>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</si>
  <si>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</si>
  <si>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</si>
  <si>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</si>
  <si>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</si>
  <si>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</si>
  <si>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</si>
  <si>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</si>
  <si>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</si>
  <si>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</si>
  <si>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</si>
  <si>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</si>
  <si>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</si>
  <si>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</si>
  <si>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</si>
  <si>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</si>
  <si>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</si>
  <si>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</si>
  <si>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</si>
  <si>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</si>
  <si>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</si>
  <si>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</si>
  <si>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</si>
  <si>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</si>
  <si>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</si>
  <si>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</si>
  <si>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</si>
  <si>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</si>
  <si>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</si>
  <si>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</si>
  <si>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</si>
  <si>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</si>
  <si>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</si>
  <si>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</si>
  <si>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</si>
  <si>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</si>
  <si>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</si>
  <si>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</si>
  <si>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</si>
  <si>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</si>
  <si>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</si>
  <si>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</si>
  <si>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</si>
  <si>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</si>
  <si>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</si>
  <si>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</si>
  <si>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</si>
  <si>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</si>
  <si>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</si>
  <si>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</si>
  <si>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</si>
  <si>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</si>
  <si>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</si>
  <si>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</si>
  <si>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</si>
  <si>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</si>
  <si>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</si>
  <si>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</si>
  <si>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</si>
  <si>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</si>
  <si>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</si>
  <si>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</si>
  <si>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</si>
  <si>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</si>
  <si>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</si>
  <si>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</si>
  <si>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</si>
  <si>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</si>
  <si>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</si>
  <si>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</si>
  <si>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</si>
  <si>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</si>
  <si>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</si>
  <si>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</si>
  <si>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</si>
  <si>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</si>
  <si>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</si>
  <si>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</si>
  <si>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</si>
  <si>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</si>
  <si>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</si>
  <si>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</si>
  <si>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</si>
  <si>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</si>
  <si>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</si>
  <si>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</si>
  <si>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</si>
  <si>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</si>
  <si>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</si>
  <si>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</si>
  <si>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</si>
  <si>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</si>
  <si>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</si>
  <si>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</si>
  <si>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</si>
  <si>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</si>
  <si>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</si>
  <si>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</si>
  <si>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</si>
  <si>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</si>
  <si>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</si>
  <si>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</si>
  <si>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</si>
  <si>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</si>
  <si>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</si>
  <si>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</si>
  <si>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</si>
  <si>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</si>
  <si>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</si>
  <si>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</si>
  <si>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</si>
  <si>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</si>
  <si>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</si>
  <si>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</si>
  <si>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</si>
  <si>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</si>
  <si>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</si>
  <si>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</si>
  <si>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</si>
  <si>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</si>
  <si>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</si>
  <si>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</si>
  <si>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</si>
  <si>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</si>
  <si>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</si>
  <si>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</si>
  <si>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</si>
  <si>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</si>
  <si>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</si>
  <si>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</si>
  <si>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</si>
  <si>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</si>
  <si>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</si>
  <si>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</si>
  <si>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</si>
  <si>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</si>
  <si>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</si>
  <si>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</si>
  <si>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</si>
  <si>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</si>
  <si>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</si>
  <si>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</si>
  <si>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</si>
  <si>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</si>
  <si>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</si>
  <si>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</si>
  <si>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</si>
  <si>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</si>
  <si>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</si>
  <si>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</si>
  <si>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</si>
  <si>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</si>
  <si>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</si>
  <si>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</si>
  <si>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</si>
  <si>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</si>
  <si>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</si>
  <si>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</si>
  <si>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</si>
  <si>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</si>
  <si>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</si>
  <si>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</si>
  <si>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</si>
  <si>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</si>
  <si>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</si>
  <si>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</si>
  <si>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</si>
  <si>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</si>
  <si>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</si>
  <si>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</si>
  <si>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</si>
  <si>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</si>
  <si>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</si>
  <si>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</si>
  <si>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</si>
  <si>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</si>
  <si>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</si>
  <si>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</si>
  <si>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</si>
  <si>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</si>
  <si>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</si>
  <si>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</si>
  <si>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</si>
  <si>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</si>
  <si>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</si>
  <si>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</si>
  <si>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</si>
  <si>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</si>
  <si>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</si>
  <si>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</si>
  <si>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</si>
  <si>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</si>
  <si>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</si>
  <si>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</si>
  <si>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</si>
  <si>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</si>
  <si>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</si>
  <si>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</si>
  <si>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</si>
  <si>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</si>
  <si>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</si>
  <si>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</si>
  <si>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</si>
  <si>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</si>
  <si>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</si>
  <si>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</si>
  <si>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</si>
  <si>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</si>
  <si>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</si>
  <si>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</si>
  <si>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</si>
  <si>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</si>
  <si>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</si>
  <si>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</si>
  <si>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</si>
  <si>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</si>
  <si>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</si>
  <si>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</si>
  <si>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</si>
  <si>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</si>
  <si>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</si>
  <si>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</si>
  <si>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</si>
  <si>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</si>
  <si>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</si>
  <si>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</si>
  <si>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</si>
  <si>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</si>
  <si>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</si>
  <si>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</si>
  <si>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</si>
  <si>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</si>
  <si>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</si>
  <si>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</si>
  <si>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</si>
  <si>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</si>
  <si>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</si>
  <si>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</si>
  <si>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</si>
  <si>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</si>
  <si>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</si>
  <si>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</si>
  <si>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</si>
  <si>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</si>
  <si>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</si>
  <si>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</si>
  <si>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</si>
  <si>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</si>
  <si>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</si>
  <si>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</si>
  <si>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</si>
  <si>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</si>
  <si>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</si>
  <si>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</si>
  <si>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</si>
  <si>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</si>
  <si>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</si>
  <si>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</si>
  <si>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</si>
  <si>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</si>
  <si>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</si>
  <si>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</si>
  <si>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</si>
  <si>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</si>
  <si>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</si>
  <si>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</si>
  <si>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</si>
  <si>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</si>
  <si>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</si>
  <si>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</si>
  <si>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</si>
  <si>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</si>
  <si>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</si>
  <si>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</si>
  <si>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</si>
  <si>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</si>
  <si>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</si>
  <si>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</si>
  <si>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</si>
  <si>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</si>
  <si>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</si>
  <si>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</si>
  <si>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</si>
  <si>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</si>
  <si>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</si>
  <si>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</si>
  <si>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</si>
  <si>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</si>
  <si>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</si>
  <si>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</si>
  <si>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</si>
  <si>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</si>
  <si>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</si>
  <si>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</si>
  <si>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</si>
  <si>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</si>
  <si>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</si>
  <si>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</si>
  <si>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</si>
  <si>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</si>
  <si>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</si>
  <si>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</si>
  <si>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</si>
  <si>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</si>
  <si>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</si>
  <si>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</si>
  <si>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</si>
  <si>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</si>
  <si>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</si>
  <si>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</si>
  <si>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</si>
  <si>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</si>
  <si>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</si>
  <si>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</si>
  <si>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</si>
  <si>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</si>
  <si>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</si>
  <si>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</si>
  <si>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</si>
  <si>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</si>
  <si>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</si>
  <si>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</si>
  <si>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</si>
  <si>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</si>
  <si>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</si>
  <si>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</si>
  <si>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</si>
  <si>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</si>
  <si>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</si>
  <si>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</si>
  <si>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</si>
  <si>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</si>
  <si>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</si>
  <si>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</si>
  <si>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</si>
  <si>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</si>
  <si>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</si>
  <si>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</si>
  <si>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</si>
  <si>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</si>
  <si>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</si>
  <si>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</si>
  <si>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</si>
  <si>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</si>
  <si>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</si>
  <si>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</si>
  <si>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</si>
  <si>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</si>
  <si>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</si>
  <si>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</si>
  <si>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</si>
  <si>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</si>
  <si>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</si>
  <si>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</si>
  <si>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</si>
  <si>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</si>
  <si>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</si>
  <si>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</si>
  <si>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</si>
  <si>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</si>
  <si>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</si>
  <si>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</si>
  <si>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</si>
  <si>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</si>
  <si>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</si>
  <si>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</si>
  <si>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</si>
  <si>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</si>
  <si>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</si>
  <si>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</si>
  <si>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</si>
  <si>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</si>
  <si>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</si>
  <si>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</si>
  <si>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</si>
  <si>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</si>
  <si>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</si>
  <si>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</si>
  <si>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</si>
  <si>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</si>
  <si>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</si>
  <si>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</si>
  <si>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</si>
  <si>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</si>
  <si>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</si>
  <si>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</si>
  <si>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</si>
  <si>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</si>
  <si>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</si>
  <si>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</si>
  <si>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</si>
  <si>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</si>
  <si>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</si>
  <si>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</si>
  <si>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</si>
  <si>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</si>
  <si>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</si>
  <si>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</si>
  <si>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</si>
  <si>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</si>
  <si>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</si>
  <si>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</si>
  <si>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</si>
  <si>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</si>
  <si>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</si>
  <si>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</si>
  <si>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</si>
  <si>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</si>
  <si>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</si>
  <si>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</si>
  <si>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</si>
  <si>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</si>
  <si>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</si>
  <si>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</si>
  <si>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</si>
  <si>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</si>
  <si>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</si>
  <si>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</si>
  <si>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</si>
  <si>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</si>
  <si>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</si>
  <si>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</si>
  <si>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</si>
  <si>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</si>
  <si>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</si>
  <si>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</si>
  <si>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</si>
  <si>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</si>
  <si>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</si>
  <si>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</si>
  <si>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</si>
  <si>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</si>
  <si>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</si>
  <si>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</si>
  <si>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</si>
  <si>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</si>
  <si>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</si>
  <si>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</si>
  <si>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</si>
  <si>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</si>
  <si>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</si>
  <si>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</si>
  <si>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</si>
  <si>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</si>
  <si>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</si>
  <si>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</si>
  <si>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</si>
  <si>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</si>
  <si>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</si>
  <si>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</si>
  <si>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</si>
  <si>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</si>
  <si>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</si>
  <si>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</si>
  <si>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</si>
  <si>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</si>
  <si>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</si>
  <si>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</si>
  <si>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</si>
  <si>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</si>
  <si>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</si>
  <si>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</si>
  <si>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</si>
  <si>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</si>
  <si>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</si>
  <si>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</si>
  <si>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</si>
  <si>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</si>
  <si>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</si>
  <si>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</si>
  <si>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</si>
  <si>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</si>
  <si>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</si>
  <si>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</si>
  <si>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</si>
  <si>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</si>
  <si>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</si>
  <si>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</si>
  <si>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</si>
  <si>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</si>
  <si>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</si>
  <si>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</si>
  <si>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</si>
  <si>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</si>
  <si>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</si>
  <si>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</si>
  <si>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</si>
  <si>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</si>
  <si>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</si>
  <si>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</si>
  <si>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</si>
  <si>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</si>
  <si>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</si>
  <si>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</si>
  <si>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</si>
  <si>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</si>
  <si>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</si>
  <si>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</si>
  <si>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</si>
  <si>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</si>
  <si>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</si>
  <si>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</si>
  <si>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</si>
  <si>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</si>
  <si>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</si>
  <si>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</si>
  <si>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</si>
  <si>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</si>
  <si>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</si>
  <si>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</si>
  <si>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</si>
  <si>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</si>
  <si>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</si>
  <si>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</si>
  <si>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</si>
  <si>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</si>
  <si>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</si>
  <si>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</si>
  <si>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</si>
  <si>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</si>
  <si>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</si>
  <si>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</si>
  <si>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</si>
  <si>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</si>
  <si>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</si>
  <si>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</si>
  <si>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</si>
  <si>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</si>
  <si>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</si>
  <si>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</si>
  <si>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</si>
  <si>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</si>
  <si>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</si>
  <si>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</si>
  <si>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</si>
  <si>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</si>
  <si>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</si>
  <si>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</si>
  <si>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</si>
  <si>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</si>
  <si>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</si>
  <si>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</si>
  <si>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</si>
  <si>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</si>
  <si>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</si>
  <si>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</si>
  <si>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</si>
  <si>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</si>
  <si>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</si>
  <si>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</si>
  <si>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</si>
  <si>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</si>
  <si>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</si>
  <si>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</si>
  <si>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</si>
  <si>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</si>
  <si>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</si>
  <si>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</si>
  <si>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</si>
  <si>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</si>
  <si>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</si>
  <si>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</si>
  <si>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</si>
  <si>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</si>
  <si>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</si>
  <si>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</si>
  <si>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</si>
  <si>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</si>
  <si>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</si>
  <si>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</si>
  <si>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</si>
  <si>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</si>
  <si>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</si>
  <si>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</si>
  <si>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</si>
  <si>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</si>
  <si>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</si>
  <si>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</si>
  <si>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</si>
  <si>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</si>
  <si>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</si>
  <si>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</si>
  <si>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</si>
  <si>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</si>
  <si>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</si>
  <si>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</si>
  <si>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</si>
  <si>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</si>
  <si>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</si>
  <si>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</si>
  <si>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</si>
  <si>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</si>
  <si>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</si>
  <si>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</si>
  <si>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</si>
  <si>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</si>
  <si>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</si>
  <si>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</si>
  <si>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</si>
  <si>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</si>
  <si>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</si>
  <si>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</si>
  <si>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</si>
  <si>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</si>
  <si>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</si>
  <si>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</si>
  <si>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</si>
  <si>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</si>
  <si>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</si>
  <si>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</si>
  <si>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</si>
  <si>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</si>
  <si>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</si>
  <si>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</si>
  <si>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</si>
  <si>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</si>
  <si>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</si>
  <si>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</si>
  <si>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</si>
  <si>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</si>
  <si>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</si>
  <si>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</si>
  <si>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</si>
  <si>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</si>
  <si>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</si>
  <si>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</si>
  <si>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</si>
  <si>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</si>
  <si>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</si>
  <si>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</si>
  <si>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</si>
  <si>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</si>
  <si>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</si>
  <si>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</si>
  <si>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</si>
  <si>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</si>
  <si>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</si>
  <si>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</si>
  <si>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</si>
  <si>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</si>
  <si>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</si>
  <si>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</si>
  <si>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</si>
  <si>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</si>
  <si>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</si>
  <si>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</si>
  <si>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</si>
  <si>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</si>
  <si>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</si>
  <si>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</si>
  <si>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</si>
  <si>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</si>
  <si>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</si>
  <si>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</si>
  <si>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</si>
  <si>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</si>
  <si>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</si>
  <si>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</si>
  <si>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</si>
  <si>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</si>
  <si>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</si>
  <si>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</si>
  <si>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</si>
  <si>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</si>
  <si>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</si>
  <si>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</si>
  <si>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</si>
  <si>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</si>
  <si>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</si>
  <si>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</si>
  <si>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</si>
  <si>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</si>
  <si>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</si>
  <si>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</si>
  <si>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</si>
  <si>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</si>
  <si>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</si>
  <si>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</si>
  <si>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</si>
  <si>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</si>
  <si>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</si>
  <si>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</si>
  <si>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</si>
  <si>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</si>
  <si>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</si>
  <si>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</si>
  <si>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</si>
  <si>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</si>
  <si>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</si>
  <si>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</si>
  <si>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</si>
  <si>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</si>
  <si>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</si>
  <si>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</si>
  <si>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</si>
  <si>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</si>
  <si>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</si>
  <si>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</si>
  <si>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</si>
  <si>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</si>
  <si>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</si>
  <si>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</si>
  <si>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</si>
  <si>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</si>
  <si>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</si>
  <si>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</si>
  <si>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</si>
  <si>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</si>
  <si>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</si>
  <si>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</si>
  <si>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</si>
  <si>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</si>
  <si>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</si>
  <si>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</si>
  <si>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</si>
  <si>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</si>
  <si>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</si>
  <si>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</si>
  <si>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</si>
  <si>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</si>
  <si>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</si>
  <si>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</si>
  <si>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</si>
  <si>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</si>
  <si>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</si>
  <si>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</si>
  <si>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</si>
  <si>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</si>
  <si>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</si>
  <si>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</si>
  <si>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</si>
  <si>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</si>
  <si>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</si>
  <si>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</si>
  <si>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</si>
  <si>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</si>
  <si>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</si>
  <si>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</si>
  <si>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</si>
  <si>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</si>
  <si>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</si>
  <si>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</si>
  <si>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</si>
  <si>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</si>
  <si>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</si>
  <si>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</si>
  <si>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</si>
  <si>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</si>
  <si>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</si>
  <si>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</si>
  <si>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</si>
  <si>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</si>
  <si>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</si>
  <si>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</si>
  <si>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</si>
  <si>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</si>
  <si>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</si>
  <si>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</si>
  <si>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</si>
  <si>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</si>
  <si>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</si>
  <si>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</si>
  <si>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</si>
  <si>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</si>
  <si>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</si>
  <si>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</si>
  <si>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</si>
  <si>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</si>
  <si>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</si>
  <si>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</si>
  <si>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</si>
  <si>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</si>
  <si>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</si>
  <si>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S0-T12-R6</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</si>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</sst>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981"/>
  <sheetViews>
    <sheetView zoomScale="90" zoomScaleNormal="90" workbookViewId="0">
      <pane xSplit="5" ySplit="2" topLeftCell="F3" activePane="bottomRight" state="frozen"/>
      <selection pane="topRight" activeCell="E1" sqref="E1"/>
      <selection pane="bottomLeft" activeCell="A3" sqref="A3"/>
      <selection pane="bottomRight" activeCell="D887" sqref="D887"/>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hidden="1"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hidden="1"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hidden="1"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hidden="1"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hidden="1"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hidden="1"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hidden="1"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hidden="1"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hidden="1"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hidden="1"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hidden="1"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hidden="1"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hidden="1"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hidden="1"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hidden="1"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hidden="1"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hidden="1"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hidden="1"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hidden="1"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hidden="1"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hidden="1"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hidden="1"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hidden="1"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hidden="1"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hidden="1"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hidden="1"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hidden="1"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hidden="1"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hidden="1"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hidden="1"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hidden="1"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hidden="1"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hidden="1"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hidden="1"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hidden="1"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hidden="1"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hidden="1"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hidden="1"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hidden="1"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hidden="1"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hidden="1"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hidden="1"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hidden="1"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hidden="1"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hidden="1"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hidden="1"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hidden="1"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hidden="1"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hidden="1"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hidden="1"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hidden="1"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hidden="1"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hidden="1"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hidden="1"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hidden="1"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hidden="1"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hidden="1"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hidden="1"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hidden="1"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hidden="1"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hidden="1"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hidden="1"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hidden="1"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hidden="1"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hidden="1"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hidden="1"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hidden="1"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hidden="1"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hidden="1"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hidden="1"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hidden="1"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hidden="1"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hidden="1"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hidden="1"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hidden="1"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hidden="1"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hidden="1"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hidden="1"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hidden="1"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hidden="1"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hidden="1"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hidden="1"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hidden="1"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hidden="1"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hidden="1"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hidden="1"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hidden="1"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hidden="1"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hidden="1"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hidden="1"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hidden="1"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hidden="1"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hidden="1"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hidden="1"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hidden="1"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hidden="1"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hidden="1"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hidden="1"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hidden="1"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hidden="1"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hidden="1"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hidden="1"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hidden="1"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hidden="1"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hidden="1"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hidden="1"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hidden="1"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hidden="1"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hidden="1"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hidden="1"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hidden="1"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hidden="1"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hidden="1"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hidden="1"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hidden="1"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hidden="1"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hidden="1"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hidden="1"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hidden="1"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hidden="1"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hidden="1"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hidden="1"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hidden="1"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hidden="1"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hidden="1"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hidden="1"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hidden="1"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hidden="1"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hidden="1"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hidden="1"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hidden="1"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hidden="1"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hidden="1"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hidden="1"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hidden="1"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hidden="1"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hidden="1"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hidden="1"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hidden="1"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hidden="1"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hidden="1"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hidden="1"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hidden="1"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hidden="1"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hidden="1"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hidden="1"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hidden="1"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hidden="1"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hidden="1"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hidden="1"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hidden="1"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hidden="1"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hidden="1"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hidden="1"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hidden="1"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hidden="1"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hidden="1"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hidden="1"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hidden="1"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hidden="1"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hidden="1"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hidden="1"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hidden="1"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hidden="1"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hidden="1"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hidden="1"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hidden="1"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hidden="1"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hidden="1"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hidden="1"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hidden="1"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hidden="1"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hidden="1"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hidden="1"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hidden="1"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hidden="1"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hidden="1"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hidden="1"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hidden="1"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hidden="1"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hidden="1"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hidden="1"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hidden="1"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hidden="1"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hidden="1"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hidden="1"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hidden="1"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hidden="1"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hidden="1"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hidden="1"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hidden="1"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hidden="1"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hidden="1"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hidden="1"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hidden="1"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hidden="1"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hidden="1"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hidden="1"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hidden="1"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hidden="1"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hidden="1"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hidden="1"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hidden="1"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hidden="1"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hidden="1"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hidden="1"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hidden="1"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hidden="1"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hidden="1"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hidden="1"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hidden="1"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hidden="1"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hidden="1"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hidden="1"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hidden="1"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hidden="1"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hidden="1"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hidden="1"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hidden="1"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hidden="1"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hidden="1"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hidden="1"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hidden="1"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hidden="1"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hidden="1"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hidden="1"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hidden="1"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hidden="1"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hidden="1"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hidden="1"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hidden="1"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hidden="1"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hidden="1"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hidden="1"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hidden="1"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hidden="1"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hidden="1"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hidden="1"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hidden="1"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hidden="1"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hidden="1"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hidden="1"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hidden="1"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hidden="1"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hidden="1"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hidden="1"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hidden="1"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hidden="1"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hidden="1"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hidden="1"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hidden="1"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hidden="1"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hidden="1"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hidden="1"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hidden="1"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hidden="1"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hidden="1"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hidden="1"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hidden="1"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hidden="1"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hidden="1"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hidden="1"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hidden="1"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hidden="1"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hidden="1"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hidden="1"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hidden="1"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hidden="1"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hidden="1"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hidden="1"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hidden="1"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hidden="1"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hidden="1"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hidden="1"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hidden="1"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hidden="1"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hidden="1"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hidden="1"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hidden="1"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hidden="1"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hidden="1"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hidden="1"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hidden="1"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hidden="1"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hidden="1"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hidden="1"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hidden="1"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hidden="1"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hidden="1"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hidden="1"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hidden="1"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hidden="1"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hidden="1"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hidden="1"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hidden="1"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hidden="1"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hidden="1"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hidden="1"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hidden="1"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hidden="1"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hidden="1"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hidden="1"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hidden="1"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hidden="1"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hidden="1"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hidden="1"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hidden="1"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hidden="1"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hidden="1"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hidden="1"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hidden="1"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hidden="1"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hidden="1"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hidden="1"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hidden="1"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hidden="1"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hidden="1"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hidden="1"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hidden="1"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hidden="1"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hidden="1"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hidden="1"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hidden="1"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hidden="1"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hidden="1" customHeight="1" x14ac:dyDescent="0.2">
      <c r="A327" s="92">
        <v>353</v>
      </c>
      <c r="B327" s="229" t="s">
        <v>392</v>
      </c>
      <c r="C327" s="261" t="s">
        <v>393</v>
      </c>
      <c r="D327" s="231" t="s">
        <v>199</v>
      </c>
      <c r="E327" s="123" t="s">
        <v>101</v>
      </c>
      <c r="F327" s="179" t="s">
        <v>102</v>
      </c>
      <c r="G327" s="179" t="s">
        <v>55</v>
      </c>
      <c r="H327" s="179" t="s">
        <v>2880</v>
      </c>
      <c r="I327" s="179"/>
      <c r="J327" s="176">
        <v>3</v>
      </c>
      <c r="K327" s="180"/>
      <c r="L327" s="180" t="s">
        <v>57</v>
      </c>
      <c r="M327" s="176" t="s">
        <v>58</v>
      </c>
      <c r="N327" s="176">
        <v>0</v>
      </c>
      <c r="O327" s="176" t="s">
        <v>59</v>
      </c>
      <c r="P327" s="176" t="s">
        <v>78</v>
      </c>
      <c r="Q327" s="177"/>
      <c r="R327" s="177" t="s">
        <v>2875</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hidden="1" customHeight="1" x14ac:dyDescent="0.2">
      <c r="A328" s="92">
        <v>354</v>
      </c>
      <c r="B328" s="229" t="s">
        <v>392</v>
      </c>
      <c r="C328" s="261" t="s">
        <v>393</v>
      </c>
      <c r="D328" s="231" t="s">
        <v>394</v>
      </c>
      <c r="E328" s="123" t="s">
        <v>101</v>
      </c>
      <c r="F328" s="179" t="s">
        <v>102</v>
      </c>
      <c r="G328" s="179" t="s">
        <v>55</v>
      </c>
      <c r="H328" s="179" t="s">
        <v>2880</v>
      </c>
      <c r="I328" s="179"/>
      <c r="J328" s="176">
        <v>3</v>
      </c>
      <c r="K328" s="180"/>
      <c r="L328" s="180" t="s">
        <v>57</v>
      </c>
      <c r="M328" s="176" t="s">
        <v>58</v>
      </c>
      <c r="N328" s="176">
        <v>72.25</v>
      </c>
      <c r="O328" s="176" t="s">
        <v>59</v>
      </c>
      <c r="P328" s="176" t="s">
        <v>78</v>
      </c>
      <c r="Q328" s="177"/>
      <c r="R328" s="177" t="s">
        <v>2875</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hidden="1"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hidden="1"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hidden="1"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hidden="1"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hidden="1"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hidden="1"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hidden="1"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hidden="1"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hidden="1"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hidden="1"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hidden="1"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hidden="1"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hidden="1"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hidden="1"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hidden="1"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hidden="1"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hidden="1"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hidden="1"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hidden="1"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hidden="1"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hidden="1"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hidden="1"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hidden="1"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hidden="1"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hidden="1"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hidden="1"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hidden="1"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hidden="1"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hidden="1"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hidden="1"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hidden="1"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hidden="1"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hidden="1"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hidden="1"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hidden="1"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hidden="1"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hidden="1"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hidden="1"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hidden="1"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hidden="1"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hidden="1"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hidden="1"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hidden="1"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hidden="1"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hidden="1"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hidden="1"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hidden="1"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hidden="1"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hidden="1"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hidden="1"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hidden="1"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hidden="1"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hidden="1"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hidden="1"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hidden="1"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hidden="1"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hidden="1"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hidden="1"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hidden="1"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hidden="1"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hidden="1"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hidden="1"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hidden="1"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hidden="1"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hidden="1"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hidden="1"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hidden="1"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hidden="1"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hidden="1"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hidden="1"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hidden="1"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hidden="1"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hidden="1"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hidden="1"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hidden="1"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hidden="1"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hidden="1"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hidden="1"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hidden="1"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hidden="1"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hidden="1"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hidden="1"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hidden="1"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hidden="1"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hidden="1"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hidden="1"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hidden="1"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hidden="1"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hidden="1"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hidden="1"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hidden="1"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hidden="1"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hidden="1"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hidden="1"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hidden="1"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hidden="1"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hidden="1"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hidden="1"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hidden="1"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hidden="1"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hidden="1"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hidden="1"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hidden="1"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hidden="1"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hidden="1"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hidden="1"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hidden="1"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hidden="1"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hidden="1"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hidden="1"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hidden="1"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hidden="1"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hidden="1"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hidden="1"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hidden="1"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hidden="1"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hidden="1"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hidden="1"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hidden="1"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hidden="1"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hidden="1"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hidden="1"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hidden="1"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hidden="1"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hidden="1"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hidden="1"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hidden="1"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hidden="1"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hidden="1"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hidden="1"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hidden="1"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hidden="1"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hidden="1"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hidden="1"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hidden="1"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hidden="1"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hidden="1"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hidden="1"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hidden="1"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hidden="1"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hidden="1"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hidden="1"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hidden="1"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hidden="1"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hidden="1"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hidden="1"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hidden="1"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hidden="1"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hidden="1"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hidden="1"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hidden="1"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hidden="1"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hidden="1"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hidden="1"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hidden="1"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hidden="1"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hidden="1"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hidden="1"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hidden="1"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hidden="1"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hidden="1"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hidden="1"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hidden="1"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hidden="1"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hidden="1"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hidden="1"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hidden="1"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hidden="1"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hidden="1"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hidden="1"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hidden="1"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hidden="1"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hidden="1"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hidden="1"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hidden="1"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hidden="1"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hidden="1"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hidden="1"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hidden="1"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hidden="1"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hidden="1"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hidden="1"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hidden="1"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hidden="1"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hidden="1"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hidden="1"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hidden="1"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hidden="1"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hidden="1"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hidden="1"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hidden="1"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hidden="1"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hidden="1"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hidden="1"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hidden="1"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hidden="1"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hidden="1"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hidden="1"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hidden="1"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hidden="1"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hidden="1"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hidden="1"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hidden="1"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hidden="1"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hidden="1"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hidden="1"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hidden="1"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hidden="1"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hidden="1"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hidden="1"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hidden="1"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hidden="1"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hidden="1"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hidden="1"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hidden="1"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hidden="1"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hidden="1"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hidden="1"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hidden="1"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hidden="1"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hidden="1"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hidden="1"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hidden="1"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hidden="1"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hidden="1"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hidden="1"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hidden="1"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hidden="1"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hidden="1"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hidden="1"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hidden="1"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hidden="1"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hidden="1"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hidden="1"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hidden="1"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hidden="1"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hidden="1"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hidden="1"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hidden="1"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hidden="1"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hidden="1"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hidden="1"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hidden="1"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hidden="1"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hidden="1"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hidden="1"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hidden="1"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hidden="1"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hidden="1"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hidden="1"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hidden="1"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hidden="1"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hidden="1"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hidden="1"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hidden="1"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hidden="1"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hidden="1"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hidden="1"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hidden="1"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hidden="1"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hidden="1"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hidden="1"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hidden="1"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hidden="1"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hidden="1"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hidden="1"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hidden="1"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hidden="1"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hidden="1"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hidden="1"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hidden="1"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hidden="1"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hidden="1"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hidden="1"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hidden="1"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hidden="1"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hidden="1"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hidden="1"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hidden="1"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hidden="1"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hidden="1"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hidden="1"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hidden="1"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hidden="1"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hidden="1"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hidden="1"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hidden="1"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hidden="1"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hidden="1"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hidden="1"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hidden="1"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hidden="1"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hidden="1"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hidden="1"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hidden="1"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hidden="1"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hidden="1"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hidden="1"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hidden="1"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hidden="1"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hidden="1"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hidden="1"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hidden="1"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hidden="1"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hidden="1"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hidden="1"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hidden="1"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hidden="1"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hidden="1"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hidden="1"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hidden="1"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hidden="1"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hidden="1"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hidden="1"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hidden="1"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hidden="1"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hidden="1"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hidden="1"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hidden="1"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hidden="1"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hidden="1"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hidden="1"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hidden="1"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hidden="1"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hidden="1"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hidden="1"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hidden="1"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hidden="1"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hidden="1"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hidden="1"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hidden="1"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hidden="1"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hidden="1"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hidden="1"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hidden="1"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hidden="1"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hidden="1"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hidden="1"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hidden="1"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hidden="1"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hidden="1"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hidden="1"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hidden="1"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hidden="1"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hidden="1"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hidden="1"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hidden="1"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hidden="1"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hidden="1"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hidden="1"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hidden="1"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hidden="1"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hidden="1"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hidden="1"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hidden="1"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hidden="1"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hidden="1"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hidden="1"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hidden="1"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hidden="1"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hidden="1"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hidden="1"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hidden="1"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hidden="1"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hidden="1" x14ac:dyDescent="0.2">
      <c r="A693" s="91">
        <v>761</v>
      </c>
      <c r="B693" s="229" t="s">
        <v>2117</v>
      </c>
      <c r="C693" s="259" t="s">
        <v>2118</v>
      </c>
      <c r="D693" s="229" t="s">
        <v>2121</v>
      </c>
      <c r="E693" s="3" t="s">
        <v>338</v>
      </c>
      <c r="F693" s="26" t="s">
        <v>102</v>
      </c>
      <c r="G693" s="26" t="s">
        <v>55</v>
      </c>
      <c r="H693" s="26" t="s">
        <v>534</v>
      </c>
      <c r="J693" s="22">
        <v>1</v>
      </c>
      <c r="L693" s="28" t="s">
        <v>57</v>
      </c>
      <c r="M693" s="22" t="s">
        <v>77</v>
      </c>
      <c r="N693" s="22">
        <v>0</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hidden="1" x14ac:dyDescent="0.2">
      <c r="A694" s="91">
        <v>762</v>
      </c>
      <c r="B694" s="229" t="s">
        <v>2117</v>
      </c>
      <c r="C694" s="259" t="s">
        <v>2118</v>
      </c>
      <c r="D694" s="229" t="s">
        <v>2122</v>
      </c>
      <c r="E694" s="3" t="s">
        <v>338</v>
      </c>
      <c r="F694" s="26" t="s">
        <v>102</v>
      </c>
      <c r="G694" s="26" t="s">
        <v>55</v>
      </c>
      <c r="H694" s="26" t="s">
        <v>534</v>
      </c>
      <c r="J694" s="22">
        <v>0.5</v>
      </c>
      <c r="L694" s="28" t="s">
        <v>57</v>
      </c>
      <c r="M694" s="22" t="s">
        <v>77</v>
      </c>
      <c r="N694" s="22">
        <v>0</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hidden="1" x14ac:dyDescent="0.2">
      <c r="A695" s="91">
        <v>763</v>
      </c>
      <c r="B695" s="229" t="s">
        <v>2117</v>
      </c>
      <c r="C695" s="259" t="s">
        <v>2118</v>
      </c>
      <c r="D695" s="229" t="s">
        <v>2123</v>
      </c>
      <c r="E695" s="3" t="s">
        <v>338</v>
      </c>
      <c r="F695" s="26" t="s">
        <v>102</v>
      </c>
      <c r="G695" s="26" t="s">
        <v>55</v>
      </c>
      <c r="H695" s="26" t="s">
        <v>534</v>
      </c>
      <c r="J695" s="22">
        <v>1</v>
      </c>
      <c r="L695" s="28" t="s">
        <v>57</v>
      </c>
      <c r="M695" s="22" t="s">
        <v>77</v>
      </c>
      <c r="N695" s="22">
        <v>0</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hidden="1" x14ac:dyDescent="0.2">
      <c r="A696" s="91">
        <v>764</v>
      </c>
      <c r="B696" s="229" t="s">
        <v>2117</v>
      </c>
      <c r="C696" s="259" t="s">
        <v>2118</v>
      </c>
      <c r="D696" s="229" t="s">
        <v>2124</v>
      </c>
      <c r="E696" s="3" t="s">
        <v>338</v>
      </c>
      <c r="F696" s="26" t="s">
        <v>102</v>
      </c>
      <c r="G696" s="26" t="s">
        <v>55</v>
      </c>
      <c r="H696" s="26" t="s">
        <v>539</v>
      </c>
      <c r="J696" s="22">
        <v>1</v>
      </c>
      <c r="L696" s="28" t="s">
        <v>57</v>
      </c>
      <c r="M696" s="22" t="s">
        <v>77</v>
      </c>
      <c r="N696" s="22">
        <v>0</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hidden="1"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22">
        <v>0</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hidden="1"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22">
        <v>0</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hidden="1"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0</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hidden="1"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hidden="1"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hidden="1"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hidden="1"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hidden="1"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hidden="1"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hidden="1"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hidden="1"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hidden="1"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hidden="1"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hidden="1"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hidden="1"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hidden="1"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hidden="1"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hidden="1"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hidden="1"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hidden="1"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hidden="1"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hidden="1"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hidden="1"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hidden="1"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hidden="1"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hidden="1"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hidden="1"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hidden="1"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hidden="1"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hidden="1"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hidden="1"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hidden="1"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hidden="1"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hidden="1"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hidden="1"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hidden="1"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hidden="1"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hidden="1"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hidden="1"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hidden="1"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hidden="1"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hidden="1"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2795</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hidden="1"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2796</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hidden="1" x14ac:dyDescent="0.2">
      <c r="A740" s="253">
        <v>1004</v>
      </c>
      <c r="B740" s="229" t="s">
        <v>2029</v>
      </c>
      <c r="C740" s="259" t="s">
        <v>2030</v>
      </c>
      <c r="D740" s="229" t="s">
        <v>2959</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hidden="1" x14ac:dyDescent="0.2">
      <c r="A741" s="253">
        <v>1005</v>
      </c>
      <c r="B741" s="229" t="s">
        <v>2029</v>
      </c>
      <c r="C741" s="259" t="s">
        <v>2030</v>
      </c>
      <c r="D741" s="229" t="s">
        <v>2960</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hidden="1" x14ac:dyDescent="0.2">
      <c r="A742" s="253">
        <v>1006</v>
      </c>
      <c r="B742" s="229" t="s">
        <v>2029</v>
      </c>
      <c r="C742" s="259" t="s">
        <v>2030</v>
      </c>
      <c r="D742" s="229" t="s">
        <v>2961</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hidden="1" x14ac:dyDescent="0.2">
      <c r="A743" s="253">
        <v>1007</v>
      </c>
      <c r="B743" s="229" t="s">
        <v>2029</v>
      </c>
      <c r="C743" s="259" t="s">
        <v>2030</v>
      </c>
      <c r="D743" s="229" t="s">
        <v>2962</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hidden="1" x14ac:dyDescent="0.2">
      <c r="A744" s="253">
        <v>1008</v>
      </c>
      <c r="B744" s="229" t="s">
        <v>2029</v>
      </c>
      <c r="C744" s="259" t="s">
        <v>2030</v>
      </c>
      <c r="D744" s="229" t="s">
        <v>2963</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hidden="1" x14ac:dyDescent="0.2">
      <c r="A745" s="253">
        <v>1009</v>
      </c>
      <c r="B745" s="229" t="s">
        <v>2029</v>
      </c>
      <c r="C745" s="259" t="s">
        <v>2030</v>
      </c>
      <c r="D745" s="229" t="s">
        <v>2964</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hidden="1" x14ac:dyDescent="0.2">
      <c r="A746" s="253">
        <v>1010</v>
      </c>
      <c r="B746" s="229" t="s">
        <v>2029</v>
      </c>
      <c r="C746" s="259" t="s">
        <v>2030</v>
      </c>
      <c r="D746" s="229" t="s">
        <v>2965</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hidden="1" x14ac:dyDescent="0.2">
      <c r="A747" s="253">
        <v>1011</v>
      </c>
      <c r="B747" s="229" t="s">
        <v>2029</v>
      </c>
      <c r="C747" s="259" t="s">
        <v>2030</v>
      </c>
      <c r="D747" s="229" t="s">
        <v>2966</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hidden="1" x14ac:dyDescent="0.2">
      <c r="A748" s="253">
        <v>1012</v>
      </c>
      <c r="B748" s="229" t="s">
        <v>2029</v>
      </c>
      <c r="C748" s="259" t="s">
        <v>2030</v>
      </c>
      <c r="D748" s="229" t="s">
        <v>2967</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hidden="1" x14ac:dyDescent="0.2">
      <c r="A749" s="253">
        <v>1013</v>
      </c>
      <c r="B749" s="229" t="s">
        <v>2029</v>
      </c>
      <c r="C749" s="259" t="s">
        <v>2030</v>
      </c>
      <c r="D749" s="229" t="s">
        <v>2968</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hidden="1" x14ac:dyDescent="0.2">
      <c r="A750" s="253">
        <v>1014</v>
      </c>
      <c r="B750" s="229" t="s">
        <v>2029</v>
      </c>
      <c r="C750" s="259" t="s">
        <v>2030</v>
      </c>
      <c r="D750" s="229" t="s">
        <v>2969</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hidden="1" x14ac:dyDescent="0.2">
      <c r="A751" s="253">
        <v>1015</v>
      </c>
      <c r="B751" s="229" t="s">
        <v>2029</v>
      </c>
      <c r="C751" s="259" t="s">
        <v>2030</v>
      </c>
      <c r="D751" s="229" t="s">
        <v>2970</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hidden="1" x14ac:dyDescent="0.2">
      <c r="A752" s="253">
        <v>1016</v>
      </c>
      <c r="B752" s="229" t="s">
        <v>2029</v>
      </c>
      <c r="C752" s="259" t="s">
        <v>2030</v>
      </c>
      <c r="D752" s="229" t="s">
        <v>2971</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hidden="1" x14ac:dyDescent="0.2">
      <c r="A753" s="253">
        <v>1017</v>
      </c>
      <c r="B753" s="229" t="s">
        <v>2029</v>
      </c>
      <c r="C753" s="259" t="s">
        <v>2030</v>
      </c>
      <c r="D753" s="229" t="s">
        <v>2972</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hidden="1" x14ac:dyDescent="0.2">
      <c r="A754" s="253">
        <v>1018</v>
      </c>
      <c r="B754" s="229" t="s">
        <v>2029</v>
      </c>
      <c r="C754" s="259" t="s">
        <v>2030</v>
      </c>
      <c r="D754" s="229" t="s">
        <v>2973</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hidden="1" x14ac:dyDescent="0.2">
      <c r="A755" s="253">
        <v>1019</v>
      </c>
      <c r="B755" s="229" t="s">
        <v>2029</v>
      </c>
      <c r="C755" s="259" t="s">
        <v>2030</v>
      </c>
      <c r="D755" s="229" t="s">
        <v>2974</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hidden="1" x14ac:dyDescent="0.2">
      <c r="A756" s="253">
        <v>1020</v>
      </c>
      <c r="B756" s="229" t="s">
        <v>2029</v>
      </c>
      <c r="C756" s="259" t="s">
        <v>2030</v>
      </c>
      <c r="D756" s="229" t="s">
        <v>2975</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hidden="1" x14ac:dyDescent="0.2">
      <c r="A757" s="253">
        <v>1021</v>
      </c>
      <c r="B757" s="229" t="s">
        <v>2029</v>
      </c>
      <c r="C757" s="259" t="s">
        <v>2030</v>
      </c>
      <c r="D757" s="229" t="s">
        <v>2976</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hidden="1" x14ac:dyDescent="0.2">
      <c r="A758" s="253">
        <v>1022</v>
      </c>
      <c r="B758" s="229" t="s">
        <v>2029</v>
      </c>
      <c r="C758" s="259" t="s">
        <v>2030</v>
      </c>
      <c r="D758" s="229" t="s">
        <v>2977</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hidden="1" x14ac:dyDescent="0.2">
      <c r="A759" s="253">
        <v>1023</v>
      </c>
      <c r="B759" s="229" t="s">
        <v>2029</v>
      </c>
      <c r="C759" s="259" t="s">
        <v>2030</v>
      </c>
      <c r="D759" s="229" t="s">
        <v>2978</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hidden="1" x14ac:dyDescent="0.2">
      <c r="A760" s="253">
        <v>1024</v>
      </c>
      <c r="B760" s="229" t="s">
        <v>2029</v>
      </c>
      <c r="C760" s="259" t="s">
        <v>2030</v>
      </c>
      <c r="D760" s="229" t="s">
        <v>2979</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hidden="1"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2805</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hidden="1"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2805</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hidden="1"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hidden="1"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hidden="1"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hidden="1"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hidden="1"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hidden="1"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hidden="1"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hidden="1"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hidden="1"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hidden="1"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hidden="1"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hidden="1"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hidden="1"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hidden="1"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hidden="1"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hidden="1"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hidden="1"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hidden="1"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hidden="1"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hidden="1"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hidden="1"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hidden="1"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hidden="1"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hidden="1"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hidden="1"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hidden="1"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hidden="1"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hidden="1"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hidden="1"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hidden="1"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hidden="1"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hidden="1"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hidden="1"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hidden="1"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hidden="1"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hidden="1"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hidden="1"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hidden="1"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hidden="1"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hidden="1"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hidden="1"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hidden="1"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hidden="1"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hidden="1"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hidden="1"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hidden="1"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hidden="1"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hidden="1"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hidden="1"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hidden="1"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hidden="1"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hidden="1"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hidden="1"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hidden="1"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hidden="1"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hidden="1"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hidden="1"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hidden="1"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hidden="1"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hidden="1"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hidden="1"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hidden="1"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hidden="1"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hidden="1" x14ac:dyDescent="0.2">
      <c r="A826" s="256">
        <v>1090</v>
      </c>
      <c r="B826" s="229" t="s">
        <v>2368</v>
      </c>
      <c r="C826" s="259" t="s">
        <v>2369</v>
      </c>
      <c r="D826" s="229" t="s">
        <v>2370</v>
      </c>
      <c r="E826" s="3" t="s">
        <v>101</v>
      </c>
      <c r="F826" s="26" t="s">
        <v>102</v>
      </c>
      <c r="G826" s="26" t="s">
        <v>55</v>
      </c>
      <c r="H826" s="26" t="s">
        <v>76</v>
      </c>
      <c r="I826" s="26" t="s">
        <v>2744</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hidden="1" x14ac:dyDescent="0.2">
      <c r="A827" s="256">
        <v>1091</v>
      </c>
      <c r="B827" s="229" t="s">
        <v>2368</v>
      </c>
      <c r="C827" s="259" t="s">
        <v>2369</v>
      </c>
      <c r="D827" s="229" t="s">
        <v>2374</v>
      </c>
      <c r="E827" s="3" t="s">
        <v>101</v>
      </c>
      <c r="F827" s="26" t="s">
        <v>102</v>
      </c>
      <c r="G827" s="26" t="s">
        <v>55</v>
      </c>
      <c r="H827" s="26" t="s">
        <v>76</v>
      </c>
      <c r="I827" s="26" t="s">
        <v>2744</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hidden="1" x14ac:dyDescent="0.2">
      <c r="A828" s="256">
        <v>1092</v>
      </c>
      <c r="B828" s="229" t="s">
        <v>2368</v>
      </c>
      <c r="C828" s="259" t="s">
        <v>2369</v>
      </c>
      <c r="D828" s="229" t="s">
        <v>2375</v>
      </c>
      <c r="E828" s="3" t="s">
        <v>101</v>
      </c>
      <c r="F828" s="26" t="s">
        <v>102</v>
      </c>
      <c r="G828" s="26" t="s">
        <v>55</v>
      </c>
      <c r="H828" s="26" t="s">
        <v>76</v>
      </c>
      <c r="I828" s="26" t="s">
        <v>2744</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hidden="1"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hidden="1"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hidden="1"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hidden="1"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hidden="1"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hidden="1"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hidden="1"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hidden="1" x14ac:dyDescent="0.2">
      <c r="A836" s="254">
        <v>1102</v>
      </c>
      <c r="B836" s="229" t="s">
        <v>2172</v>
      </c>
      <c r="C836" s="259" t="s">
        <v>1974</v>
      </c>
      <c r="D836" s="229" t="s">
        <v>2815</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hidden="1"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2816</v>
      </c>
      <c r="R837" s="23" t="s">
        <v>2817</v>
      </c>
      <c r="V837" s="25" t="s">
        <v>642</v>
      </c>
      <c r="Y837" s="25" t="s">
        <v>2408</v>
      </c>
      <c r="Z837" s="83" t="s">
        <v>62</v>
      </c>
      <c r="AA837" s="6">
        <v>20</v>
      </c>
      <c r="AB837" s="6">
        <v>0</v>
      </c>
      <c r="AD837" s="5" t="s">
        <v>79</v>
      </c>
      <c r="AI837" s="5">
        <v>20</v>
      </c>
      <c r="AJ837" s="5">
        <v>44</v>
      </c>
      <c r="AL837" s="6" t="s">
        <v>80</v>
      </c>
      <c r="AQ837" s="6">
        <v>59</v>
      </c>
      <c r="AR837" s="6">
        <v>100</v>
      </c>
      <c r="BQ837" s="6" t="s">
        <v>213</v>
      </c>
      <c r="BR837" s="5" t="s">
        <v>2818</v>
      </c>
    </row>
    <row r="838" spans="1:70" hidden="1"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2816</v>
      </c>
      <c r="R838" s="23" t="s">
        <v>2817</v>
      </c>
      <c r="V838" s="25" t="s">
        <v>642</v>
      </c>
      <c r="Y838" s="25" t="s">
        <v>2408</v>
      </c>
      <c r="Z838" s="83" t="s">
        <v>62</v>
      </c>
      <c r="AA838" s="6">
        <v>20</v>
      </c>
      <c r="AB838" s="6">
        <v>0</v>
      </c>
      <c r="AD838" s="5" t="s">
        <v>79</v>
      </c>
      <c r="AI838" s="5">
        <v>20</v>
      </c>
      <c r="AJ838" s="5">
        <v>44</v>
      </c>
      <c r="AL838" s="6" t="s">
        <v>80</v>
      </c>
      <c r="AQ838" s="6">
        <v>59</v>
      </c>
      <c r="AR838" s="6">
        <v>100</v>
      </c>
      <c r="BQ838" s="6" t="s">
        <v>213</v>
      </c>
      <c r="BR838" s="5" t="s">
        <v>2818</v>
      </c>
    </row>
    <row r="839" spans="1:70" hidden="1" x14ac:dyDescent="0.2">
      <c r="A839" s="254">
        <v>1105</v>
      </c>
      <c r="B839" s="229" t="s">
        <v>2404</v>
      </c>
      <c r="C839" s="259" t="s">
        <v>2405</v>
      </c>
      <c r="D839" s="229" t="s">
        <v>2411</v>
      </c>
      <c r="E839" s="3" t="s">
        <v>1091</v>
      </c>
      <c r="F839" s="26" t="s">
        <v>102</v>
      </c>
      <c r="G839" s="26" t="s">
        <v>55</v>
      </c>
      <c r="H839" s="26" t="s">
        <v>156</v>
      </c>
      <c r="J839" s="22" t="s">
        <v>2819</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2818</v>
      </c>
    </row>
    <row r="840" spans="1:70" hidden="1" x14ac:dyDescent="0.2">
      <c r="A840" s="254">
        <v>1106</v>
      </c>
      <c r="B840" s="229" t="s">
        <v>2404</v>
      </c>
      <c r="C840" s="259" t="s">
        <v>2405</v>
      </c>
      <c r="D840" s="229" t="s">
        <v>2415</v>
      </c>
      <c r="E840" s="3" t="s">
        <v>1091</v>
      </c>
      <c r="F840" s="26" t="s">
        <v>102</v>
      </c>
      <c r="G840" s="26" t="s">
        <v>55</v>
      </c>
      <c r="H840" s="26" t="s">
        <v>156</v>
      </c>
      <c r="J840" s="22" t="s">
        <v>2819</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2818</v>
      </c>
    </row>
    <row r="841" spans="1:70" hidden="1"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hidden="1"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hidden="1"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hidden="1"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hidden="1"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hidden="1" x14ac:dyDescent="0.2">
      <c r="A846" s="91">
        <v>1112</v>
      </c>
      <c r="B846" s="229" t="s">
        <v>2433</v>
      </c>
      <c r="C846" s="259" t="s">
        <v>2434</v>
      </c>
      <c r="D846" s="229" t="s">
        <v>2435</v>
      </c>
    </row>
    <row r="847" spans="1:70" hidden="1" x14ac:dyDescent="0.2">
      <c r="A847" s="91">
        <v>1113</v>
      </c>
      <c r="B847" s="229" t="s">
        <v>2404</v>
      </c>
      <c r="C847" s="259" t="s">
        <v>2405</v>
      </c>
      <c r="D847" s="229" t="s">
        <v>2824</v>
      </c>
      <c r="E847" s="3" t="s">
        <v>2037</v>
      </c>
      <c r="F847" s="26" t="s">
        <v>102</v>
      </c>
      <c r="G847" s="26" t="s">
        <v>55</v>
      </c>
      <c r="H847" s="26" t="s">
        <v>56</v>
      </c>
      <c r="J847" s="22">
        <v>1</v>
      </c>
      <c r="L847" s="28" t="s">
        <v>57</v>
      </c>
      <c r="M847" s="22" t="s">
        <v>58</v>
      </c>
      <c r="N847" s="22" t="s">
        <v>2410</v>
      </c>
      <c r="O847" s="22" t="s">
        <v>59</v>
      </c>
      <c r="P847" s="22" t="s">
        <v>2816</v>
      </c>
      <c r="R847" s="23" t="s">
        <v>2817</v>
      </c>
      <c r="V847" s="25" t="s">
        <v>642</v>
      </c>
      <c r="Y847" s="25" t="s">
        <v>2408</v>
      </c>
      <c r="Z847" s="83" t="s">
        <v>62</v>
      </c>
      <c r="AA847" s="6">
        <v>20</v>
      </c>
      <c r="AB847" s="6">
        <v>0</v>
      </c>
      <c r="AD847" s="5" t="s">
        <v>79</v>
      </c>
      <c r="AI847" s="5">
        <v>20</v>
      </c>
      <c r="AJ847" s="5">
        <v>44</v>
      </c>
      <c r="AL847" s="6" t="s">
        <v>80</v>
      </c>
      <c r="AQ847" s="6">
        <v>59</v>
      </c>
      <c r="AR847" s="6">
        <v>100</v>
      </c>
      <c r="BQ847" s="6" t="s">
        <v>213</v>
      </c>
      <c r="BR847" s="5" t="s">
        <v>2818</v>
      </c>
    </row>
    <row r="848" spans="1:70" hidden="1" x14ac:dyDescent="0.2">
      <c r="A848" s="91">
        <v>1114</v>
      </c>
      <c r="B848" s="229" t="s">
        <v>2404</v>
      </c>
      <c r="C848" s="259" t="s">
        <v>2405</v>
      </c>
      <c r="D848" s="229" t="s">
        <v>2825</v>
      </c>
      <c r="E848" s="3" t="s">
        <v>1091</v>
      </c>
      <c r="F848" s="26" t="s">
        <v>102</v>
      </c>
      <c r="G848" s="26" t="s">
        <v>55</v>
      </c>
      <c r="H848" s="26" t="s">
        <v>156</v>
      </c>
      <c r="J848" s="22" t="s">
        <v>2819</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2818</v>
      </c>
    </row>
    <row r="849" spans="1:70" hidden="1"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hidden="1"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hidden="1" x14ac:dyDescent="0.2">
      <c r="A851" s="257">
        <v>2000</v>
      </c>
      <c r="B851" s="229" t="s">
        <v>2436</v>
      </c>
      <c r="C851" s="259" t="s">
        <v>2792</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hidden="1" x14ac:dyDescent="0.2">
      <c r="A852" s="257">
        <v>2001</v>
      </c>
      <c r="B852" s="229" t="s">
        <v>2436</v>
      </c>
      <c r="C852" s="259" t="s">
        <v>2792</v>
      </c>
      <c r="D852" s="229" t="s">
        <v>2727</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hidden="1" x14ac:dyDescent="0.2">
      <c r="A853" s="257">
        <v>2002</v>
      </c>
      <c r="B853" s="229" t="s">
        <v>2436</v>
      </c>
      <c r="C853" s="259" t="s">
        <v>2792</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hidden="1" x14ac:dyDescent="0.2">
      <c r="A854" s="257">
        <v>2003</v>
      </c>
      <c r="B854" s="229" t="s">
        <v>2436</v>
      </c>
      <c r="C854" s="259" t="s">
        <v>2792</v>
      </c>
      <c r="D854" s="229" t="s">
        <v>2728</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hidden="1" x14ac:dyDescent="0.2">
      <c r="A855" s="257">
        <v>2004</v>
      </c>
      <c r="B855" s="229" t="s">
        <v>2436</v>
      </c>
      <c r="C855" s="259" t="s">
        <v>2792</v>
      </c>
      <c r="D855" s="229" t="s">
        <v>2445</v>
      </c>
      <c r="E855" s="3" t="s">
        <v>101</v>
      </c>
      <c r="F855" s="26" t="s">
        <v>102</v>
      </c>
      <c r="G855" s="26" t="s">
        <v>55</v>
      </c>
      <c r="H855" s="26" t="s">
        <v>2444</v>
      </c>
      <c r="J855" s="22">
        <v>1</v>
      </c>
      <c r="L855" s="28" t="s">
        <v>57</v>
      </c>
      <c r="M855" s="22" t="s">
        <v>58</v>
      </c>
      <c r="N855" s="22">
        <v>72</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hidden="1" x14ac:dyDescent="0.2">
      <c r="A856" s="257">
        <v>2005</v>
      </c>
      <c r="B856" s="229" t="s">
        <v>2436</v>
      </c>
      <c r="C856" s="259" t="s">
        <v>2792</v>
      </c>
      <c r="D856" s="229" t="s">
        <v>2729</v>
      </c>
      <c r="E856" s="3" t="s">
        <v>101</v>
      </c>
      <c r="F856" s="26" t="s">
        <v>102</v>
      </c>
      <c r="G856" s="26" t="s">
        <v>55</v>
      </c>
      <c r="H856" s="26" t="s">
        <v>2444</v>
      </c>
      <c r="J856" s="22">
        <v>1</v>
      </c>
      <c r="L856" s="28" t="s">
        <v>57</v>
      </c>
      <c r="M856" s="22" t="s">
        <v>58</v>
      </c>
      <c r="N856" s="22">
        <v>72</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hidden="1" x14ac:dyDescent="0.2">
      <c r="A857" s="256">
        <v>2006</v>
      </c>
      <c r="B857" s="229" t="s">
        <v>2446</v>
      </c>
      <c r="C857" s="259" t="s">
        <v>2793</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hidden="1" x14ac:dyDescent="0.2">
      <c r="A858" s="256">
        <v>2007</v>
      </c>
      <c r="B858" s="229" t="s">
        <v>2446</v>
      </c>
      <c r="C858" s="259" t="s">
        <v>2793</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hidden="1" x14ac:dyDescent="0.2">
      <c r="A859" s="254">
        <v>2008</v>
      </c>
      <c r="B859" s="229" t="s">
        <v>2459</v>
      </c>
      <c r="C859" s="259" t="s">
        <v>2826</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hidden="1" x14ac:dyDescent="0.2">
      <c r="A860" s="254">
        <v>2009</v>
      </c>
      <c r="B860" s="229" t="s">
        <v>2459</v>
      </c>
      <c r="C860" s="259" t="s">
        <v>2826</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hidden="1" x14ac:dyDescent="0.2">
      <c r="A861" s="254">
        <v>2010</v>
      </c>
      <c r="B861" s="229" t="s">
        <v>2459</v>
      </c>
      <c r="C861" s="259" t="s">
        <v>2826</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hidden="1" x14ac:dyDescent="0.2">
      <c r="A862" s="257">
        <v>2011</v>
      </c>
      <c r="B862" s="229" t="s">
        <v>2466</v>
      </c>
      <c r="C862" s="259" t="s">
        <v>2794</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hidden="1" x14ac:dyDescent="0.2">
      <c r="A863" s="257">
        <v>2012</v>
      </c>
      <c r="B863" s="229" t="s">
        <v>2466</v>
      </c>
      <c r="C863" s="259" t="s">
        <v>2794</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hidden="1" x14ac:dyDescent="0.2">
      <c r="A864" s="257">
        <v>2013</v>
      </c>
      <c r="B864" s="229" t="s">
        <v>2466</v>
      </c>
      <c r="C864" s="259" t="s">
        <v>2794</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hidden="1" x14ac:dyDescent="0.2">
      <c r="A865" s="257">
        <v>2014</v>
      </c>
      <c r="B865" s="229" t="s">
        <v>2466</v>
      </c>
      <c r="C865" s="259" t="s">
        <v>2794</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hidden="1" x14ac:dyDescent="0.2">
      <c r="A866" s="257">
        <v>2015</v>
      </c>
      <c r="B866" s="229" t="s">
        <v>2466</v>
      </c>
      <c r="C866" s="259" t="s">
        <v>2794</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hidden="1" x14ac:dyDescent="0.2">
      <c r="A867" s="257">
        <v>2016</v>
      </c>
      <c r="B867" s="229" t="s">
        <v>2466</v>
      </c>
      <c r="C867" s="259" t="s">
        <v>2794</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hidden="1" x14ac:dyDescent="0.2">
      <c r="A868" s="252">
        <v>2017</v>
      </c>
      <c r="B868" s="229" t="s">
        <v>2481</v>
      </c>
      <c r="C868" s="263" t="s">
        <v>2723</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hidden="1" x14ac:dyDescent="0.2">
      <c r="A869" s="252">
        <v>2018</v>
      </c>
      <c r="B869" s="229" t="s">
        <v>2481</v>
      </c>
      <c r="C869" s="263" t="s">
        <v>2723</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hidden="1" x14ac:dyDescent="0.2">
      <c r="A870" s="252">
        <v>2019</v>
      </c>
      <c r="B870" s="229" t="s">
        <v>2490</v>
      </c>
      <c r="C870" s="263" t="s">
        <v>2688</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hidden="1" x14ac:dyDescent="0.2">
      <c r="A871" s="252">
        <v>2020</v>
      </c>
      <c r="B871" s="229" t="s">
        <v>2490</v>
      </c>
      <c r="C871" s="263" t="s">
        <v>2688</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hidden="1" x14ac:dyDescent="0.2">
      <c r="A872" s="252">
        <v>2021</v>
      </c>
      <c r="B872" s="229" t="s">
        <v>2490</v>
      </c>
      <c r="C872" s="263" t="s">
        <v>2688</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hidden="1" x14ac:dyDescent="0.2">
      <c r="A873" s="252">
        <v>2022</v>
      </c>
      <c r="B873" s="229" t="s">
        <v>2490</v>
      </c>
      <c r="C873" s="263" t="s">
        <v>2688</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hidden="1" x14ac:dyDescent="0.2">
      <c r="A874" s="252">
        <v>2023</v>
      </c>
      <c r="B874" s="229" t="s">
        <v>2490</v>
      </c>
      <c r="C874" s="263" t="s">
        <v>2688</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hidden="1" x14ac:dyDescent="0.2">
      <c r="A875" s="252">
        <v>2024</v>
      </c>
      <c r="B875" s="229" t="s">
        <v>2490</v>
      </c>
      <c r="C875" s="263" t="s">
        <v>2688</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hidden="1" x14ac:dyDescent="0.2">
      <c r="A876" s="252">
        <v>2025</v>
      </c>
      <c r="B876" s="229" t="s">
        <v>2490</v>
      </c>
      <c r="C876" s="263" t="s">
        <v>2688</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hidden="1" x14ac:dyDescent="0.2">
      <c r="A877" s="252">
        <v>2026</v>
      </c>
      <c r="B877" s="229" t="s">
        <v>2490</v>
      </c>
      <c r="C877" s="263" t="s">
        <v>2688</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hidden="1" x14ac:dyDescent="0.2">
      <c r="A878" s="252">
        <v>2027</v>
      </c>
      <c r="B878" s="229" t="s">
        <v>2490</v>
      </c>
      <c r="C878" s="263" t="s">
        <v>2688</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hidden="1" x14ac:dyDescent="0.2">
      <c r="A879" s="252">
        <v>2028</v>
      </c>
      <c r="B879" s="229" t="s">
        <v>2490</v>
      </c>
      <c r="C879" s="263" t="s">
        <v>2688</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hidden="1" x14ac:dyDescent="0.2">
      <c r="A880" s="252">
        <v>2029</v>
      </c>
      <c r="B880" s="229" t="s">
        <v>2490</v>
      </c>
      <c r="C880" s="263" t="s">
        <v>2688</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hidden="1" x14ac:dyDescent="0.2">
      <c r="A881" s="252">
        <v>2030</v>
      </c>
      <c r="B881" s="229" t="s">
        <v>2490</v>
      </c>
      <c r="C881" s="263" t="s">
        <v>2688</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hidden="1" x14ac:dyDescent="0.2">
      <c r="A882" s="252">
        <v>2031</v>
      </c>
      <c r="B882" s="229" t="s">
        <v>2490</v>
      </c>
      <c r="C882" s="263" t="s">
        <v>2688</v>
      </c>
      <c r="D882" s="229" t="s">
        <v>1110</v>
      </c>
      <c r="E882" s="3" t="s">
        <v>1110</v>
      </c>
      <c r="F882" s="26" t="s">
        <v>54</v>
      </c>
      <c r="G882" s="26" t="s">
        <v>55</v>
      </c>
      <c r="H882" s="26" t="s">
        <v>2509</v>
      </c>
      <c r="I882" s="26" t="s">
        <v>2510</v>
      </c>
      <c r="J882" s="22">
        <v>500</v>
      </c>
      <c r="L882" s="28" t="s">
        <v>57</v>
      </c>
      <c r="M882" s="22" t="s">
        <v>58</v>
      </c>
      <c r="N882" s="22" t="s">
        <v>2689</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hidden="1" x14ac:dyDescent="0.2">
      <c r="A883" s="252">
        <v>2032</v>
      </c>
      <c r="B883" s="229" t="s">
        <v>2490</v>
      </c>
      <c r="C883" s="263" t="s">
        <v>2688</v>
      </c>
      <c r="D883" s="229" t="s">
        <v>2512</v>
      </c>
      <c r="E883" s="3" t="s">
        <v>2512</v>
      </c>
      <c r="F883" s="26" t="s">
        <v>54</v>
      </c>
      <c r="G883" s="26" t="s">
        <v>55</v>
      </c>
      <c r="H883" s="26" t="s">
        <v>2509</v>
      </c>
      <c r="I883" s="26" t="s">
        <v>2510</v>
      </c>
      <c r="J883" s="22">
        <v>500</v>
      </c>
      <c r="L883" s="28" t="s">
        <v>57</v>
      </c>
      <c r="M883" s="22" t="s">
        <v>58</v>
      </c>
      <c r="N883" s="22" t="s">
        <v>2689</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hidden="1" x14ac:dyDescent="0.2">
      <c r="A884" s="252">
        <v>2033</v>
      </c>
      <c r="B884" s="229" t="s">
        <v>2490</v>
      </c>
      <c r="C884" s="263" t="s">
        <v>2688</v>
      </c>
      <c r="D884" s="229" t="s">
        <v>2513</v>
      </c>
      <c r="E884" s="3" t="s">
        <v>2513</v>
      </c>
      <c r="F884" s="26" t="s">
        <v>54</v>
      </c>
      <c r="G884" s="26" t="s">
        <v>55</v>
      </c>
      <c r="H884" s="26" t="s">
        <v>2509</v>
      </c>
      <c r="I884" s="26" t="s">
        <v>2510</v>
      </c>
      <c r="J884" s="22">
        <v>500</v>
      </c>
      <c r="L884" s="28" t="s">
        <v>57</v>
      </c>
      <c r="M884" s="22" t="s">
        <v>58</v>
      </c>
      <c r="N884" s="22" t="s">
        <v>2689</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2687</v>
      </c>
      <c r="D885" s="229" t="s">
        <v>2515</v>
      </c>
      <c r="E885" s="3" t="s">
        <v>101</v>
      </c>
      <c r="F885" s="26" t="s">
        <v>102</v>
      </c>
      <c r="G885" s="26" t="s">
        <v>55</v>
      </c>
      <c r="H885" s="26" t="s">
        <v>76</v>
      </c>
      <c r="I885" s="26" t="s">
        <v>2685</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2687</v>
      </c>
      <c r="D886" s="229" t="s">
        <v>2517</v>
      </c>
      <c r="E886" s="3" t="s">
        <v>101</v>
      </c>
      <c r="F886" s="26" t="s">
        <v>102</v>
      </c>
      <c r="G886" s="26" t="s">
        <v>55</v>
      </c>
      <c r="H886" s="26" t="s">
        <v>76</v>
      </c>
      <c r="I886" s="26" t="s">
        <v>2685</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2687</v>
      </c>
      <c r="D887" s="229" t="s">
        <v>2518</v>
      </c>
      <c r="E887" s="3" t="s">
        <v>101</v>
      </c>
      <c r="F887" s="26" t="s">
        <v>102</v>
      </c>
      <c r="G887" s="26" t="s">
        <v>55</v>
      </c>
      <c r="H887" s="26" t="s">
        <v>76</v>
      </c>
      <c r="I887" s="26" t="s">
        <v>2685</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2687</v>
      </c>
      <c r="D888" s="229" t="s">
        <v>2519</v>
      </c>
      <c r="E888" s="3" t="s">
        <v>101</v>
      </c>
      <c r="F888" s="26" t="s">
        <v>102</v>
      </c>
      <c r="G888" s="26" t="s">
        <v>55</v>
      </c>
      <c r="H888" s="26" t="s">
        <v>76</v>
      </c>
      <c r="I888" s="26" t="s">
        <v>2685</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2687</v>
      </c>
      <c r="D889" s="229" t="s">
        <v>2521</v>
      </c>
      <c r="E889" s="3" t="s">
        <v>101</v>
      </c>
      <c r="F889" s="26" t="s">
        <v>102</v>
      </c>
      <c r="G889" s="26" t="s">
        <v>55</v>
      </c>
      <c r="H889" s="26" t="s">
        <v>76</v>
      </c>
      <c r="I889" s="26" t="s">
        <v>2685</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2687</v>
      </c>
      <c r="D890" s="229" t="s">
        <v>2522</v>
      </c>
      <c r="E890" s="3" t="s">
        <v>101</v>
      </c>
      <c r="F890" s="26" t="s">
        <v>102</v>
      </c>
      <c r="G890" s="26" t="s">
        <v>55</v>
      </c>
      <c r="H890" s="26" t="s">
        <v>76</v>
      </c>
      <c r="I890" s="26" t="s">
        <v>2685</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hidden="1" x14ac:dyDescent="0.2">
      <c r="A891" s="252">
        <v>2040</v>
      </c>
      <c r="B891" s="229" t="s">
        <v>2733</v>
      </c>
      <c r="C891" s="259" t="s">
        <v>2691</v>
      </c>
      <c r="D891" s="229" t="s">
        <v>2692</v>
      </c>
      <c r="E891" s="3" t="s">
        <v>101</v>
      </c>
      <c r="F891" s="26" t="s">
        <v>102</v>
      </c>
      <c r="G891" s="26" t="s">
        <v>55</v>
      </c>
      <c r="H891" s="26" t="s">
        <v>1957</v>
      </c>
      <c r="J891" s="22">
        <v>3</v>
      </c>
      <c r="L891" s="28" t="s">
        <v>57</v>
      </c>
      <c r="M891" s="22" t="s">
        <v>58</v>
      </c>
      <c r="N891" s="22">
        <v>0</v>
      </c>
      <c r="O891" s="22" t="s">
        <v>59</v>
      </c>
      <c r="P891" s="22" t="s">
        <v>78</v>
      </c>
      <c r="Q891" s="23" t="s">
        <v>101</v>
      </c>
      <c r="R891" s="23" t="s">
        <v>2693</v>
      </c>
      <c r="T891" s="23">
        <v>100</v>
      </c>
      <c r="V891" s="25" t="s">
        <v>613</v>
      </c>
      <c r="W891" s="65" t="s">
        <v>653</v>
      </c>
      <c r="Z891" s="83" t="s">
        <v>62</v>
      </c>
      <c r="AA891" s="6">
        <v>12</v>
      </c>
      <c r="BQ891" s="6" t="s">
        <v>194</v>
      </c>
    </row>
    <row r="892" spans="1:70" hidden="1" x14ac:dyDescent="0.2">
      <c r="A892" s="252">
        <v>2041</v>
      </c>
      <c r="B892" s="229" t="s">
        <v>2733</v>
      </c>
      <c r="C892" s="259" t="s">
        <v>2691</v>
      </c>
      <c r="D892" s="229" t="s">
        <v>2694</v>
      </c>
      <c r="E892" s="3" t="s">
        <v>101</v>
      </c>
      <c r="F892" s="26" t="s">
        <v>102</v>
      </c>
      <c r="G892" s="26" t="s">
        <v>55</v>
      </c>
      <c r="H892" s="26" t="s">
        <v>1957</v>
      </c>
      <c r="J892" s="22">
        <v>3</v>
      </c>
      <c r="L892" s="28" t="s">
        <v>57</v>
      </c>
      <c r="M892" s="22" t="s">
        <v>58</v>
      </c>
      <c r="N892" s="22">
        <v>336</v>
      </c>
      <c r="O892" s="22" t="s">
        <v>59</v>
      </c>
      <c r="P892" s="22" t="s">
        <v>78</v>
      </c>
      <c r="Q892" s="23" t="s">
        <v>101</v>
      </c>
      <c r="R892" s="23" t="s">
        <v>2693</v>
      </c>
      <c r="T892" s="23">
        <v>100</v>
      </c>
      <c r="V892" s="25" t="s">
        <v>613</v>
      </c>
      <c r="W892" s="65" t="s">
        <v>653</v>
      </c>
      <c r="Z892" s="83" t="s">
        <v>62</v>
      </c>
      <c r="AA892" s="6">
        <v>12</v>
      </c>
      <c r="BQ892" s="6" t="s">
        <v>194</v>
      </c>
    </row>
    <row r="893" spans="1:70" hidden="1" x14ac:dyDescent="0.2">
      <c r="A893" s="91">
        <v>2042</v>
      </c>
      <c r="B893" s="229" t="s">
        <v>2749</v>
      </c>
      <c r="C893" s="259" t="s">
        <v>2750</v>
      </c>
      <c r="D893" s="229" t="s">
        <v>2751</v>
      </c>
      <c r="E893" s="3" t="s">
        <v>101</v>
      </c>
      <c r="F893" s="26" t="s">
        <v>102</v>
      </c>
      <c r="G893" s="26" t="s">
        <v>55</v>
      </c>
      <c r="H893" s="26" t="s">
        <v>2789</v>
      </c>
      <c r="J893" s="22">
        <v>4</v>
      </c>
      <c r="L893" s="28" t="s">
        <v>57</v>
      </c>
      <c r="M893" s="22" t="s">
        <v>58</v>
      </c>
      <c r="N893" s="22">
        <v>0</v>
      </c>
      <c r="O893" s="22" t="s">
        <v>59</v>
      </c>
      <c r="P893" s="22" t="s">
        <v>78</v>
      </c>
      <c r="Q893" s="23" t="s">
        <v>101</v>
      </c>
      <c r="R893" s="23" t="s">
        <v>2693</v>
      </c>
      <c r="Z893" s="83" t="s">
        <v>62</v>
      </c>
      <c r="AA893" s="6">
        <v>12</v>
      </c>
      <c r="AB893" s="6">
        <v>6</v>
      </c>
      <c r="AI893" s="5">
        <v>21</v>
      </c>
      <c r="AJ893" s="5">
        <v>34</v>
      </c>
      <c r="BQ893" s="6" t="s">
        <v>194</v>
      </c>
    </row>
    <row r="894" spans="1:70" hidden="1" x14ac:dyDescent="0.2">
      <c r="A894" s="91">
        <v>2043</v>
      </c>
      <c r="B894" s="229" t="s">
        <v>2749</v>
      </c>
      <c r="C894" s="259" t="s">
        <v>2750</v>
      </c>
      <c r="D894" s="229" t="s">
        <v>2752</v>
      </c>
      <c r="E894" s="3" t="s">
        <v>101</v>
      </c>
      <c r="F894" s="26" t="s">
        <v>102</v>
      </c>
      <c r="G894" s="26" t="s">
        <v>55</v>
      </c>
      <c r="H894" s="26" t="s">
        <v>2789</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hidden="1" x14ac:dyDescent="0.2">
      <c r="A895" s="91">
        <v>2044</v>
      </c>
      <c r="B895" s="229" t="s">
        <v>2749</v>
      </c>
      <c r="C895" s="259" t="s">
        <v>2750</v>
      </c>
      <c r="D895" s="229" t="s">
        <v>2753</v>
      </c>
      <c r="E895" s="3" t="s">
        <v>101</v>
      </c>
      <c r="F895" s="26" t="s">
        <v>102</v>
      </c>
      <c r="G895" s="26" t="s">
        <v>55</v>
      </c>
      <c r="H895" s="26" t="s">
        <v>2789</v>
      </c>
      <c r="J895" s="22">
        <v>4</v>
      </c>
      <c r="L895" s="28" t="s">
        <v>57</v>
      </c>
      <c r="M895" s="22" t="s">
        <v>58</v>
      </c>
      <c r="N895" s="22">
        <v>12</v>
      </c>
      <c r="O895" s="22" t="s">
        <v>59</v>
      </c>
      <c r="P895" s="22" t="s">
        <v>78</v>
      </c>
      <c r="Q895" s="23" t="s">
        <v>101</v>
      </c>
      <c r="R895" s="23" t="s">
        <v>2693</v>
      </c>
      <c r="Z895" s="83" t="s">
        <v>62</v>
      </c>
      <c r="AA895" s="6">
        <v>12</v>
      </c>
      <c r="AB895" s="6">
        <v>6</v>
      </c>
      <c r="AI895" s="5">
        <v>21</v>
      </c>
      <c r="AJ895" s="5">
        <v>34</v>
      </c>
      <c r="BQ895" s="6" t="s">
        <v>194</v>
      </c>
    </row>
    <row r="896" spans="1:70" hidden="1" x14ac:dyDescent="0.2">
      <c r="A896" s="91">
        <v>2045</v>
      </c>
      <c r="B896" s="229" t="s">
        <v>2749</v>
      </c>
      <c r="C896" s="259" t="s">
        <v>2750</v>
      </c>
      <c r="D896" s="229" t="s">
        <v>2754</v>
      </c>
      <c r="E896" s="3" t="s">
        <v>101</v>
      </c>
      <c r="F896" s="26" t="s">
        <v>102</v>
      </c>
      <c r="G896" s="26" t="s">
        <v>55</v>
      </c>
      <c r="H896" s="26" t="s">
        <v>2789</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hidden="1" x14ac:dyDescent="0.2">
      <c r="A897" s="91">
        <v>2046</v>
      </c>
      <c r="B897" s="229" t="s">
        <v>2749</v>
      </c>
      <c r="C897" s="259" t="s">
        <v>2750</v>
      </c>
      <c r="D897" s="229" t="s">
        <v>2694</v>
      </c>
      <c r="E897" s="3" t="s">
        <v>2185</v>
      </c>
      <c r="F897" s="26" t="s">
        <v>102</v>
      </c>
      <c r="G897" s="26" t="s">
        <v>55</v>
      </c>
      <c r="H897" s="26" t="s">
        <v>2790</v>
      </c>
      <c r="J897" s="22">
        <v>400</v>
      </c>
      <c r="L897" s="28" t="s">
        <v>57</v>
      </c>
      <c r="M897" s="22" t="s">
        <v>58</v>
      </c>
      <c r="N897" s="22">
        <v>0</v>
      </c>
      <c r="O897" s="22" t="s">
        <v>59</v>
      </c>
      <c r="P897" s="22" t="s">
        <v>78</v>
      </c>
      <c r="Q897" s="23" t="s">
        <v>2185</v>
      </c>
      <c r="R897" s="23" t="s">
        <v>2791</v>
      </c>
      <c r="Z897" s="83" t="s">
        <v>62</v>
      </c>
      <c r="AA897" s="6">
        <v>12</v>
      </c>
      <c r="AB897" s="6">
        <v>6</v>
      </c>
      <c r="AI897" s="5">
        <v>21</v>
      </c>
      <c r="AJ897" s="5">
        <v>34</v>
      </c>
      <c r="BQ897" s="6" t="s">
        <v>194</v>
      </c>
    </row>
    <row r="898" spans="1:70" hidden="1" x14ac:dyDescent="0.2">
      <c r="A898" s="91">
        <v>2047</v>
      </c>
      <c r="B898" s="229" t="s">
        <v>2749</v>
      </c>
      <c r="C898" s="259" t="s">
        <v>2750</v>
      </c>
      <c r="D898" s="229" t="s">
        <v>2757</v>
      </c>
      <c r="E898" s="3" t="s">
        <v>101</v>
      </c>
      <c r="F898" s="26" t="s">
        <v>102</v>
      </c>
      <c r="G898" s="26" t="s">
        <v>55</v>
      </c>
      <c r="H898" s="26" t="s">
        <v>76</v>
      </c>
      <c r="J898" s="22">
        <v>4</v>
      </c>
      <c r="L898" s="28" t="s">
        <v>57</v>
      </c>
      <c r="M898" s="22" t="s">
        <v>58</v>
      </c>
      <c r="N898" s="22">
        <v>132</v>
      </c>
      <c r="O898" s="22" t="s">
        <v>59</v>
      </c>
      <c r="P898" s="22" t="s">
        <v>78</v>
      </c>
      <c r="Q898" s="23" t="s">
        <v>101</v>
      </c>
      <c r="R898" s="23" t="s">
        <v>2693</v>
      </c>
      <c r="Z898" s="83" t="s">
        <v>62</v>
      </c>
      <c r="AA898" s="6">
        <v>12</v>
      </c>
      <c r="AB898" s="6">
        <v>6</v>
      </c>
      <c r="AI898" s="5">
        <v>21</v>
      </c>
      <c r="AJ898" s="5">
        <v>34</v>
      </c>
      <c r="BQ898" s="6" t="s">
        <v>194</v>
      </c>
    </row>
    <row r="899" spans="1:70" hidden="1" x14ac:dyDescent="0.2">
      <c r="A899" s="91">
        <v>2048</v>
      </c>
      <c r="B899" s="229" t="s">
        <v>2749</v>
      </c>
      <c r="C899" s="259" t="s">
        <v>2750</v>
      </c>
      <c r="D899" s="229" t="s">
        <v>2758</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hidden="1" x14ac:dyDescent="0.2">
      <c r="A900" s="91">
        <v>2049</v>
      </c>
      <c r="B900" s="229" t="s">
        <v>2749</v>
      </c>
      <c r="C900" s="259" t="s">
        <v>2750</v>
      </c>
      <c r="D900" s="229" t="s">
        <v>2759</v>
      </c>
      <c r="E900" s="3" t="s">
        <v>101</v>
      </c>
      <c r="F900" s="26" t="s">
        <v>102</v>
      </c>
      <c r="G900" s="26" t="s">
        <v>55</v>
      </c>
      <c r="H900" s="26" t="s">
        <v>76</v>
      </c>
      <c r="J900" s="22">
        <v>4</v>
      </c>
      <c r="L900" s="28" t="s">
        <v>57</v>
      </c>
      <c r="M900" s="22" t="s">
        <v>58</v>
      </c>
      <c r="N900" s="22">
        <v>252</v>
      </c>
      <c r="O900" s="22" t="s">
        <v>59</v>
      </c>
      <c r="P900" s="22" t="s">
        <v>78</v>
      </c>
      <c r="Q900" s="23" t="s">
        <v>101</v>
      </c>
      <c r="R900" s="23" t="s">
        <v>2693</v>
      </c>
      <c r="Z900" s="83" t="s">
        <v>62</v>
      </c>
      <c r="AA900" s="6">
        <v>12</v>
      </c>
      <c r="AB900" s="6">
        <v>6</v>
      </c>
      <c r="AI900" s="5">
        <v>21</v>
      </c>
      <c r="AJ900" s="5">
        <v>34</v>
      </c>
      <c r="BQ900" s="6" t="s">
        <v>194</v>
      </c>
    </row>
    <row r="901" spans="1:70" hidden="1" x14ac:dyDescent="0.2">
      <c r="A901" s="91">
        <v>2050</v>
      </c>
      <c r="B901" s="229" t="s">
        <v>2749</v>
      </c>
      <c r="C901" s="259" t="s">
        <v>2750</v>
      </c>
      <c r="D901" s="229" t="s">
        <v>2760</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hidden="1" x14ac:dyDescent="0.2">
      <c r="A902" s="91">
        <v>2051</v>
      </c>
      <c r="B902" s="229" t="s">
        <v>2749</v>
      </c>
      <c r="C902" s="259" t="s">
        <v>2750</v>
      </c>
      <c r="D902" s="229" t="s">
        <v>2761</v>
      </c>
      <c r="E902" s="3" t="s">
        <v>101</v>
      </c>
      <c r="F902" s="26" t="s">
        <v>102</v>
      </c>
      <c r="G902" s="26" t="s">
        <v>55</v>
      </c>
      <c r="H902" s="26" t="s">
        <v>76</v>
      </c>
      <c r="J902" s="22">
        <v>4</v>
      </c>
      <c r="L902" s="28" t="s">
        <v>57</v>
      </c>
      <c r="M902" s="22" t="s">
        <v>58</v>
      </c>
      <c r="N902" s="22">
        <v>372</v>
      </c>
      <c r="O902" s="22" t="s">
        <v>59</v>
      </c>
      <c r="P902" s="22" t="s">
        <v>78</v>
      </c>
      <c r="Q902" s="23" t="s">
        <v>101</v>
      </c>
      <c r="R902" s="23" t="s">
        <v>2693</v>
      </c>
      <c r="Z902" s="83" t="s">
        <v>62</v>
      </c>
      <c r="AA902" s="6">
        <v>12</v>
      </c>
      <c r="AB902" s="6">
        <v>6</v>
      </c>
      <c r="AI902" s="5">
        <v>21</v>
      </c>
      <c r="AJ902" s="5">
        <v>34</v>
      </c>
      <c r="BQ902" s="6" t="s">
        <v>194</v>
      </c>
    </row>
    <row r="903" spans="1:70" hidden="1" x14ac:dyDescent="0.2">
      <c r="A903" s="91">
        <v>2052</v>
      </c>
      <c r="B903" s="229" t="s">
        <v>2749</v>
      </c>
      <c r="C903" s="259" t="s">
        <v>2750</v>
      </c>
      <c r="D903" s="229" t="s">
        <v>2762</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hidden="1" x14ac:dyDescent="0.2">
      <c r="A904" s="91">
        <v>2053</v>
      </c>
      <c r="B904" s="229" t="s">
        <v>2749</v>
      </c>
      <c r="C904" s="259" t="s">
        <v>2750</v>
      </c>
      <c r="D904" s="229" t="s">
        <v>2763</v>
      </c>
      <c r="E904" s="3" t="s">
        <v>101</v>
      </c>
      <c r="F904" s="26" t="s">
        <v>102</v>
      </c>
      <c r="G904" s="26" t="s">
        <v>55</v>
      </c>
      <c r="H904" s="26" t="s">
        <v>76</v>
      </c>
      <c r="J904" s="22">
        <v>4</v>
      </c>
      <c r="L904" s="28" t="s">
        <v>57</v>
      </c>
      <c r="M904" s="22" t="s">
        <v>58</v>
      </c>
      <c r="N904" s="22">
        <v>516</v>
      </c>
      <c r="O904" s="22" t="s">
        <v>59</v>
      </c>
      <c r="P904" s="22" t="s">
        <v>78</v>
      </c>
      <c r="Q904" s="23" t="s">
        <v>101</v>
      </c>
      <c r="R904" s="23" t="s">
        <v>2693</v>
      </c>
      <c r="Z904" s="83" t="s">
        <v>62</v>
      </c>
      <c r="AA904" s="6">
        <v>12</v>
      </c>
      <c r="AB904" s="6">
        <v>6</v>
      </c>
      <c r="AI904" s="5">
        <v>21</v>
      </c>
      <c r="AJ904" s="5">
        <v>34</v>
      </c>
      <c r="BQ904" s="6" t="s">
        <v>194</v>
      </c>
    </row>
    <row r="905" spans="1:70" hidden="1" x14ac:dyDescent="0.2">
      <c r="A905" s="91">
        <v>2054</v>
      </c>
      <c r="B905" s="229" t="s">
        <v>2749</v>
      </c>
      <c r="C905" s="259" t="s">
        <v>2750</v>
      </c>
      <c r="D905" s="229" t="s">
        <v>2764</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hidden="1"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hidden="1"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hidden="1"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hidden="1"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hidden="1"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hidden="1"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hidden="1"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hidden="1"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hidden="1"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hidden="1"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hidden="1"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hidden="1"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hidden="1"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hidden="1"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hidden="1"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hidden="1"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hidden="1" x14ac:dyDescent="0.2">
      <c r="A922" s="91">
        <v>5307</v>
      </c>
      <c r="B922" s="229" t="s">
        <v>1771</v>
      </c>
      <c r="C922" s="259" t="s">
        <v>1772</v>
      </c>
      <c r="D922" s="229" t="s">
        <v>1773</v>
      </c>
      <c r="E922" s="3" t="s">
        <v>1172</v>
      </c>
      <c r="F922" s="26" t="s">
        <v>102</v>
      </c>
      <c r="G922" s="26" t="s">
        <v>55</v>
      </c>
      <c r="H922" s="26" t="s">
        <v>1774</v>
      </c>
      <c r="I922" s="179"/>
      <c r="R922" s="23" t="s">
        <v>1769</v>
      </c>
      <c r="Y922" s="165" t="s">
        <v>2940</v>
      </c>
      <c r="Z922" s="83" t="s">
        <v>62</v>
      </c>
    </row>
    <row r="923" spans="1:70" hidden="1" x14ac:dyDescent="0.2">
      <c r="A923" s="91">
        <v>5308</v>
      </c>
      <c r="B923" s="229" t="s">
        <v>1771</v>
      </c>
      <c r="C923" s="259" t="s">
        <v>1772</v>
      </c>
      <c r="D923" s="229" t="s">
        <v>1775</v>
      </c>
      <c r="E923" s="3" t="s">
        <v>1172</v>
      </c>
      <c r="F923" s="26" t="s">
        <v>102</v>
      </c>
      <c r="G923" s="26" t="s">
        <v>55</v>
      </c>
      <c r="H923" s="26" t="s">
        <v>1774</v>
      </c>
      <c r="I923" s="179"/>
      <c r="R923" s="23" t="s">
        <v>1769</v>
      </c>
      <c r="Y923" s="165" t="s">
        <v>2940</v>
      </c>
      <c r="Z923" s="83" t="s">
        <v>62</v>
      </c>
    </row>
    <row r="924" spans="1:70" hidden="1" x14ac:dyDescent="0.2">
      <c r="A924" s="91">
        <v>5309</v>
      </c>
      <c r="B924" s="229" t="s">
        <v>1771</v>
      </c>
      <c r="C924" s="259" t="s">
        <v>1772</v>
      </c>
      <c r="D924" s="229" t="s">
        <v>1776</v>
      </c>
      <c r="E924" s="3" t="s">
        <v>1172</v>
      </c>
      <c r="F924" s="26" t="s">
        <v>102</v>
      </c>
      <c r="G924" s="26" t="s">
        <v>55</v>
      </c>
      <c r="H924" s="26" t="s">
        <v>1774</v>
      </c>
      <c r="I924" s="179"/>
      <c r="R924" s="23" t="s">
        <v>1737</v>
      </c>
      <c r="Y924" s="165" t="s">
        <v>2940</v>
      </c>
      <c r="Z924" s="83" t="s">
        <v>62</v>
      </c>
    </row>
    <row r="925" spans="1:70" hidden="1" x14ac:dyDescent="0.2">
      <c r="A925" s="91">
        <v>5433</v>
      </c>
      <c r="B925" s="229" t="s">
        <v>1771</v>
      </c>
      <c r="C925" s="259" t="s">
        <v>1772</v>
      </c>
      <c r="D925" s="229" t="s">
        <v>1777</v>
      </c>
      <c r="E925" s="3" t="s">
        <v>1172</v>
      </c>
      <c r="F925" s="26" t="s">
        <v>102</v>
      </c>
      <c r="G925" s="26" t="s">
        <v>55</v>
      </c>
      <c r="H925" s="26" t="s">
        <v>1774</v>
      </c>
      <c r="I925" s="179"/>
      <c r="R925" s="23" t="s">
        <v>1737</v>
      </c>
      <c r="Y925" s="165" t="s">
        <v>2940</v>
      </c>
      <c r="Z925" s="83" t="s">
        <v>62</v>
      </c>
    </row>
    <row r="926" spans="1:70" hidden="1"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hidden="1"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hidden="1"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hidden="1"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hidden="1"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hidden="1"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hidden="1"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hidden="1"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hidden="1"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hidden="1"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hidden="1"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hidden="1"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hidden="1"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hidden="1"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hidden="1"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hidden="1" x14ac:dyDescent="0.2">
      <c r="A941" s="91">
        <v>5450</v>
      </c>
      <c r="B941" s="229" t="s">
        <v>1801</v>
      </c>
      <c r="C941" s="259" t="s">
        <v>1802</v>
      </c>
      <c r="D941" s="229" t="s">
        <v>1808</v>
      </c>
      <c r="E941" s="3" t="s">
        <v>1172</v>
      </c>
      <c r="F941" s="26" t="s">
        <v>102</v>
      </c>
      <c r="G941" s="26" t="s">
        <v>55</v>
      </c>
      <c r="H941" s="26" t="s">
        <v>1809</v>
      </c>
      <c r="I941" s="26" t="s">
        <v>1810</v>
      </c>
    </row>
    <row r="942" spans="1:70" s="122" customFormat="1" hidden="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hidden="1" x14ac:dyDescent="0.2">
      <c r="A943" s="91">
        <v>806</v>
      </c>
      <c r="B943" s="229" t="s">
        <v>819</v>
      </c>
      <c r="C943" s="259" t="s">
        <v>820</v>
      </c>
      <c r="D943" s="229" t="s">
        <v>2829</v>
      </c>
      <c r="E943" s="3" t="s">
        <v>355</v>
      </c>
      <c r="F943" s="26" t="s">
        <v>102</v>
      </c>
      <c r="G943" s="26" t="s">
        <v>55</v>
      </c>
      <c r="H943" s="26" t="s">
        <v>1951</v>
      </c>
      <c r="J943" s="22">
        <v>500</v>
      </c>
      <c r="L943" s="28" t="s">
        <v>57</v>
      </c>
      <c r="M943" s="22" t="s">
        <v>58</v>
      </c>
      <c r="N943" s="22" t="s">
        <v>2830</v>
      </c>
      <c r="O943" s="22" t="s">
        <v>59</v>
      </c>
      <c r="P943" s="22" t="s">
        <v>1116</v>
      </c>
      <c r="R943" s="23" t="s">
        <v>2831</v>
      </c>
      <c r="V943" s="25" t="s">
        <v>61</v>
      </c>
      <c r="Z943" s="83" t="s">
        <v>62</v>
      </c>
      <c r="AA943" s="6">
        <v>6</v>
      </c>
      <c r="AB943" s="6">
        <v>4</v>
      </c>
      <c r="AI943" s="5">
        <v>20</v>
      </c>
      <c r="AJ943" s="5">
        <v>22</v>
      </c>
      <c r="AQ943" s="6">
        <v>56</v>
      </c>
      <c r="AR943" s="6">
        <v>70</v>
      </c>
      <c r="BQ943" s="6" t="s">
        <v>353</v>
      </c>
      <c r="BR943" s="5" t="s">
        <v>822</v>
      </c>
    </row>
    <row r="944" spans="1:70" hidden="1" x14ac:dyDescent="0.2">
      <c r="A944" s="91">
        <v>807</v>
      </c>
      <c r="B944" s="229" t="s">
        <v>819</v>
      </c>
      <c r="C944" s="259" t="s">
        <v>820</v>
      </c>
      <c r="D944" s="229" t="s">
        <v>2832</v>
      </c>
      <c r="E944" s="3" t="s">
        <v>355</v>
      </c>
      <c r="F944" s="26" t="s">
        <v>102</v>
      </c>
      <c r="G944" s="26" t="s">
        <v>75</v>
      </c>
      <c r="H944" s="26" t="s">
        <v>429</v>
      </c>
      <c r="J944" s="22">
        <v>500</v>
      </c>
      <c r="L944" s="28" t="s">
        <v>57</v>
      </c>
      <c r="M944" s="22" t="s">
        <v>58</v>
      </c>
      <c r="N944" s="22" t="s">
        <v>2830</v>
      </c>
      <c r="O944" s="22" t="s">
        <v>59</v>
      </c>
      <c r="P944" s="22" t="s">
        <v>1116</v>
      </c>
      <c r="R944" s="23" t="s">
        <v>2831</v>
      </c>
      <c r="V944" s="25" t="s">
        <v>61</v>
      </c>
      <c r="Z944" s="83" t="s">
        <v>62</v>
      </c>
      <c r="AA944" s="6">
        <v>1</v>
      </c>
      <c r="BQ944" s="6" t="s">
        <v>353</v>
      </c>
      <c r="BR944" s="5" t="s">
        <v>822</v>
      </c>
    </row>
    <row r="945" spans="1:70" hidden="1" x14ac:dyDescent="0.2">
      <c r="A945" s="91">
        <v>808</v>
      </c>
      <c r="B945" s="229" t="s">
        <v>819</v>
      </c>
      <c r="C945" s="259" t="s">
        <v>820</v>
      </c>
      <c r="D945" s="229" t="s">
        <v>2833</v>
      </c>
      <c r="E945" s="3" t="s">
        <v>355</v>
      </c>
      <c r="F945" s="26" t="s">
        <v>102</v>
      </c>
      <c r="G945" s="26" t="s">
        <v>75</v>
      </c>
      <c r="H945" s="26" t="s">
        <v>429</v>
      </c>
      <c r="J945" s="22">
        <v>500</v>
      </c>
      <c r="L945" s="28" t="s">
        <v>57</v>
      </c>
      <c r="M945" s="22" t="s">
        <v>58</v>
      </c>
      <c r="N945" s="22" t="s">
        <v>2830</v>
      </c>
      <c r="O945" s="22" t="s">
        <v>59</v>
      </c>
      <c r="P945" s="22" t="s">
        <v>1116</v>
      </c>
      <c r="R945" s="23" t="s">
        <v>2831</v>
      </c>
      <c r="V945" s="25" t="s">
        <v>61</v>
      </c>
      <c r="Z945" s="83" t="s">
        <v>62</v>
      </c>
      <c r="AA945" s="6">
        <v>1</v>
      </c>
      <c r="BQ945" s="6" t="s">
        <v>353</v>
      </c>
      <c r="BR945" s="5" t="s">
        <v>822</v>
      </c>
    </row>
    <row r="946" spans="1:70" hidden="1" x14ac:dyDescent="0.2">
      <c r="A946" s="91">
        <v>809</v>
      </c>
      <c r="B946" s="229" t="s">
        <v>819</v>
      </c>
      <c r="C946" s="259" t="s">
        <v>820</v>
      </c>
      <c r="D946" s="229" t="s">
        <v>2834</v>
      </c>
      <c r="E946" s="3" t="s">
        <v>355</v>
      </c>
      <c r="F946" s="26" t="s">
        <v>102</v>
      </c>
      <c r="G946" s="26" t="s">
        <v>75</v>
      </c>
      <c r="H946" s="26" t="s">
        <v>429</v>
      </c>
      <c r="J946" s="22">
        <v>500</v>
      </c>
      <c r="L946" s="28" t="s">
        <v>57</v>
      </c>
      <c r="M946" s="22" t="s">
        <v>58</v>
      </c>
      <c r="N946" s="22" t="s">
        <v>2830</v>
      </c>
      <c r="O946" s="22" t="s">
        <v>59</v>
      </c>
      <c r="P946" s="22" t="s">
        <v>1116</v>
      </c>
      <c r="R946" s="23" t="s">
        <v>2831</v>
      </c>
      <c r="V946" s="25" t="s">
        <v>61</v>
      </c>
      <c r="Z946" s="83" t="s">
        <v>62</v>
      </c>
      <c r="AA946" s="6">
        <v>1</v>
      </c>
      <c r="BQ946" s="6" t="s">
        <v>353</v>
      </c>
      <c r="BR946" s="5" t="s">
        <v>822</v>
      </c>
    </row>
    <row r="947" spans="1:70" hidden="1" x14ac:dyDescent="0.2">
      <c r="A947" s="91">
        <v>810</v>
      </c>
      <c r="B947" s="229" t="s">
        <v>819</v>
      </c>
      <c r="C947" s="259" t="s">
        <v>820</v>
      </c>
      <c r="D947" s="229" t="s">
        <v>2835</v>
      </c>
      <c r="E947" s="3" t="s">
        <v>355</v>
      </c>
      <c r="F947" s="26" t="s">
        <v>102</v>
      </c>
      <c r="G947" s="26" t="s">
        <v>75</v>
      </c>
      <c r="H947" s="26" t="s">
        <v>429</v>
      </c>
      <c r="J947" s="22">
        <v>500</v>
      </c>
      <c r="L947" s="28" t="s">
        <v>57</v>
      </c>
      <c r="M947" s="22" t="s">
        <v>58</v>
      </c>
      <c r="N947" s="22" t="s">
        <v>2830</v>
      </c>
      <c r="O947" s="22" t="s">
        <v>59</v>
      </c>
      <c r="P947" s="22" t="s">
        <v>1116</v>
      </c>
      <c r="R947" s="23" t="s">
        <v>2831</v>
      </c>
      <c r="V947" s="25" t="s">
        <v>61</v>
      </c>
      <c r="Z947" s="83" t="s">
        <v>62</v>
      </c>
      <c r="AA947" s="6">
        <v>1</v>
      </c>
      <c r="BQ947" s="6" t="s">
        <v>353</v>
      </c>
      <c r="BR947" s="5" t="s">
        <v>822</v>
      </c>
    </row>
    <row r="948" spans="1:70" hidden="1" x14ac:dyDescent="0.2">
      <c r="A948" s="91">
        <v>811</v>
      </c>
      <c r="B948" s="229" t="s">
        <v>819</v>
      </c>
      <c r="C948" s="259" t="s">
        <v>820</v>
      </c>
      <c r="D948" s="229" t="s">
        <v>2836</v>
      </c>
      <c r="E948" s="3" t="s">
        <v>355</v>
      </c>
      <c r="F948" s="26" t="s">
        <v>102</v>
      </c>
      <c r="G948" s="26" t="s">
        <v>75</v>
      </c>
      <c r="H948" s="26" t="s">
        <v>429</v>
      </c>
      <c r="J948" s="22">
        <v>500</v>
      </c>
      <c r="L948" s="28" t="s">
        <v>57</v>
      </c>
      <c r="M948" s="22" t="s">
        <v>58</v>
      </c>
      <c r="N948" s="22" t="s">
        <v>2830</v>
      </c>
      <c r="O948" s="22" t="s">
        <v>59</v>
      </c>
      <c r="P948" s="22" t="s">
        <v>1116</v>
      </c>
      <c r="R948" s="23" t="s">
        <v>2831</v>
      </c>
      <c r="V948" s="25" t="s">
        <v>61</v>
      </c>
      <c r="Z948" s="83" t="s">
        <v>62</v>
      </c>
      <c r="AA948" s="6">
        <v>1</v>
      </c>
      <c r="BQ948" s="6" t="s">
        <v>353</v>
      </c>
      <c r="BR948" s="5" t="s">
        <v>822</v>
      </c>
    </row>
    <row r="949" spans="1:70" hidden="1" x14ac:dyDescent="0.2">
      <c r="A949" s="91">
        <v>812</v>
      </c>
      <c r="B949" s="229" t="s">
        <v>819</v>
      </c>
      <c r="C949" s="259" t="s">
        <v>820</v>
      </c>
      <c r="D949" s="229" t="s">
        <v>2837</v>
      </c>
      <c r="E949" s="3" t="s">
        <v>355</v>
      </c>
      <c r="F949" s="26" t="s">
        <v>102</v>
      </c>
      <c r="G949" s="26" t="s">
        <v>75</v>
      </c>
      <c r="H949" s="26" t="s">
        <v>429</v>
      </c>
      <c r="J949" s="22">
        <v>500</v>
      </c>
      <c r="L949" s="28" t="s">
        <v>57</v>
      </c>
      <c r="M949" s="22" t="s">
        <v>58</v>
      </c>
      <c r="N949" s="22" t="s">
        <v>2830</v>
      </c>
      <c r="O949" s="22" t="s">
        <v>59</v>
      </c>
      <c r="P949" s="22" t="s">
        <v>1116</v>
      </c>
      <c r="R949" s="23" t="s">
        <v>2831</v>
      </c>
      <c r="V949" s="25" t="s">
        <v>61</v>
      </c>
      <c r="Z949" s="83" t="s">
        <v>62</v>
      </c>
      <c r="AA949" s="6">
        <v>1</v>
      </c>
      <c r="BQ949" s="6" t="s">
        <v>353</v>
      </c>
      <c r="BR949" s="5" t="s">
        <v>822</v>
      </c>
    </row>
    <row r="950" spans="1:70" hidden="1" x14ac:dyDescent="0.2">
      <c r="A950" s="91">
        <v>813</v>
      </c>
      <c r="B950" s="229" t="s">
        <v>819</v>
      </c>
      <c r="C950" s="259" t="s">
        <v>820</v>
      </c>
      <c r="D950" s="229" t="s">
        <v>2838</v>
      </c>
      <c r="E950" s="3" t="s">
        <v>355</v>
      </c>
      <c r="F950" s="26" t="s">
        <v>102</v>
      </c>
      <c r="G950" s="26" t="s">
        <v>55</v>
      </c>
      <c r="H950" s="26" t="s">
        <v>1951</v>
      </c>
      <c r="J950" s="22">
        <v>500</v>
      </c>
      <c r="L950" s="28" t="s">
        <v>57</v>
      </c>
      <c r="M950" s="22" t="s">
        <v>58</v>
      </c>
      <c r="N950" s="22" t="s">
        <v>2830</v>
      </c>
      <c r="O950" s="22" t="s">
        <v>59</v>
      </c>
      <c r="P950" s="22" t="s">
        <v>1116</v>
      </c>
      <c r="R950" s="23" t="s">
        <v>2831</v>
      </c>
      <c r="V950" s="25" t="s">
        <v>61</v>
      </c>
      <c r="Z950" s="83" t="s">
        <v>62</v>
      </c>
      <c r="AA950" s="6">
        <v>12</v>
      </c>
      <c r="AB950" s="6">
        <v>9</v>
      </c>
      <c r="AI950" s="5">
        <v>18</v>
      </c>
      <c r="AJ950" s="5">
        <v>29</v>
      </c>
      <c r="AQ950" s="6">
        <v>50</v>
      </c>
      <c r="AR950" s="6">
        <v>73</v>
      </c>
      <c r="BQ950" s="6" t="s">
        <v>353</v>
      </c>
      <c r="BR950" s="5" t="s">
        <v>822</v>
      </c>
    </row>
    <row r="951" spans="1:70" hidden="1" x14ac:dyDescent="0.2">
      <c r="A951" s="91">
        <v>814</v>
      </c>
      <c r="B951" s="229" t="s">
        <v>819</v>
      </c>
      <c r="C951" s="259" t="s">
        <v>2839</v>
      </c>
      <c r="D951" s="229" t="s">
        <v>2840</v>
      </c>
      <c r="E951" s="3" t="s">
        <v>355</v>
      </c>
      <c r="F951" s="26" t="s">
        <v>102</v>
      </c>
      <c r="G951" s="26" t="s">
        <v>75</v>
      </c>
      <c r="H951" s="26" t="s">
        <v>429</v>
      </c>
      <c r="J951" s="22">
        <v>500</v>
      </c>
      <c r="L951" s="28" t="s">
        <v>57</v>
      </c>
      <c r="M951" s="22" t="s">
        <v>58</v>
      </c>
      <c r="N951" s="22" t="s">
        <v>2830</v>
      </c>
      <c r="O951" s="22" t="s">
        <v>59</v>
      </c>
      <c r="P951" s="22" t="s">
        <v>1116</v>
      </c>
      <c r="R951" s="23" t="s">
        <v>2831</v>
      </c>
      <c r="V951" s="25" t="s">
        <v>61</v>
      </c>
      <c r="Z951" s="83" t="s">
        <v>62</v>
      </c>
      <c r="AA951" s="6">
        <v>1</v>
      </c>
      <c r="BQ951" s="6" t="s">
        <v>353</v>
      </c>
      <c r="BR951" s="5" t="s">
        <v>822</v>
      </c>
    </row>
    <row r="952" spans="1:70" hidden="1" x14ac:dyDescent="0.2">
      <c r="A952" s="91">
        <v>815</v>
      </c>
      <c r="B952" s="229" t="s">
        <v>819</v>
      </c>
      <c r="C952" s="259" t="s">
        <v>2841</v>
      </c>
      <c r="D952" s="229" t="s">
        <v>2842</v>
      </c>
      <c r="E952" s="3" t="s">
        <v>355</v>
      </c>
      <c r="F952" s="26" t="s">
        <v>102</v>
      </c>
      <c r="G952" s="26" t="s">
        <v>75</v>
      </c>
      <c r="H952" s="26" t="s">
        <v>429</v>
      </c>
      <c r="J952" s="22">
        <v>500</v>
      </c>
      <c r="L952" s="28" t="s">
        <v>57</v>
      </c>
      <c r="M952" s="22" t="s">
        <v>58</v>
      </c>
      <c r="N952" s="22" t="s">
        <v>2830</v>
      </c>
      <c r="O952" s="22" t="s">
        <v>59</v>
      </c>
      <c r="P952" s="22" t="s">
        <v>1116</v>
      </c>
      <c r="R952" s="23" t="s">
        <v>2831</v>
      </c>
      <c r="V952" s="25" t="s">
        <v>61</v>
      </c>
      <c r="Z952" s="83" t="s">
        <v>62</v>
      </c>
      <c r="AA952" s="6">
        <v>1</v>
      </c>
      <c r="BQ952" s="6" t="s">
        <v>353</v>
      </c>
      <c r="BR952" s="5" t="s">
        <v>822</v>
      </c>
    </row>
    <row r="953" spans="1:70" hidden="1" x14ac:dyDescent="0.2">
      <c r="A953" s="91">
        <v>816</v>
      </c>
      <c r="B953" s="229" t="s">
        <v>819</v>
      </c>
      <c r="C953" s="259" t="s">
        <v>2843</v>
      </c>
      <c r="D953" s="229" t="s">
        <v>2844</v>
      </c>
      <c r="E953" s="3" t="s">
        <v>355</v>
      </c>
      <c r="F953" s="26" t="s">
        <v>102</v>
      </c>
      <c r="G953" s="26" t="s">
        <v>75</v>
      </c>
      <c r="H953" s="26" t="s">
        <v>429</v>
      </c>
      <c r="J953" s="22">
        <v>500</v>
      </c>
      <c r="L953" s="28" t="s">
        <v>57</v>
      </c>
      <c r="M953" s="22" t="s">
        <v>58</v>
      </c>
      <c r="N953" s="22" t="s">
        <v>2830</v>
      </c>
      <c r="O953" s="22" t="s">
        <v>59</v>
      </c>
      <c r="P953" s="22" t="s">
        <v>1116</v>
      </c>
      <c r="R953" s="23" t="s">
        <v>2831</v>
      </c>
      <c r="V953" s="25" t="s">
        <v>61</v>
      </c>
      <c r="Z953" s="83" t="s">
        <v>62</v>
      </c>
      <c r="AA953" s="6">
        <v>1</v>
      </c>
      <c r="BQ953" s="6" t="s">
        <v>353</v>
      </c>
      <c r="BR953" s="5" t="s">
        <v>822</v>
      </c>
    </row>
    <row r="954" spans="1:70" hidden="1" x14ac:dyDescent="0.2">
      <c r="A954" s="91">
        <v>817</v>
      </c>
      <c r="B954" s="229" t="s">
        <v>819</v>
      </c>
      <c r="C954" s="259" t="s">
        <v>2845</v>
      </c>
      <c r="D954" s="229" t="s">
        <v>2846</v>
      </c>
      <c r="E954" s="3" t="s">
        <v>355</v>
      </c>
      <c r="F954" s="26" t="s">
        <v>102</v>
      </c>
      <c r="G954" s="26" t="s">
        <v>75</v>
      </c>
      <c r="H954" s="26" t="s">
        <v>429</v>
      </c>
      <c r="J954" s="22">
        <v>500</v>
      </c>
      <c r="L954" s="28" t="s">
        <v>57</v>
      </c>
      <c r="M954" s="22" t="s">
        <v>58</v>
      </c>
      <c r="N954" s="22" t="s">
        <v>2830</v>
      </c>
      <c r="O954" s="22" t="s">
        <v>59</v>
      </c>
      <c r="P954" s="22" t="s">
        <v>1116</v>
      </c>
      <c r="R954" s="23" t="s">
        <v>2831</v>
      </c>
      <c r="V954" s="25" t="s">
        <v>61</v>
      </c>
      <c r="Z954" s="83" t="s">
        <v>62</v>
      </c>
      <c r="AA954" s="6">
        <v>1</v>
      </c>
      <c r="BQ954" s="6" t="s">
        <v>353</v>
      </c>
      <c r="BR954" s="5" t="s">
        <v>822</v>
      </c>
    </row>
    <row r="955" spans="1:70" hidden="1" x14ac:dyDescent="0.2">
      <c r="A955" s="91">
        <v>818</v>
      </c>
      <c r="B955" s="229" t="s">
        <v>819</v>
      </c>
      <c r="C955" s="259" t="s">
        <v>2847</v>
      </c>
      <c r="D955" s="229" t="s">
        <v>2848</v>
      </c>
      <c r="E955" s="3" t="s">
        <v>355</v>
      </c>
      <c r="F955" s="26" t="s">
        <v>102</v>
      </c>
      <c r="G955" s="26" t="s">
        <v>75</v>
      </c>
      <c r="H955" s="26" t="s">
        <v>429</v>
      </c>
      <c r="J955" s="22">
        <v>500</v>
      </c>
      <c r="L955" s="28" t="s">
        <v>57</v>
      </c>
      <c r="M955" s="22" t="s">
        <v>58</v>
      </c>
      <c r="N955" s="22" t="s">
        <v>2830</v>
      </c>
      <c r="O955" s="22" t="s">
        <v>59</v>
      </c>
      <c r="P955" s="22" t="s">
        <v>1116</v>
      </c>
      <c r="R955" s="23" t="s">
        <v>2831</v>
      </c>
      <c r="V955" s="25" t="s">
        <v>61</v>
      </c>
      <c r="Z955" s="83" t="s">
        <v>62</v>
      </c>
      <c r="AA955" s="6">
        <v>1</v>
      </c>
      <c r="BQ955" s="6" t="s">
        <v>353</v>
      </c>
      <c r="BR955" s="5" t="s">
        <v>822</v>
      </c>
    </row>
    <row r="956" spans="1:70" hidden="1" x14ac:dyDescent="0.2">
      <c r="A956" s="91">
        <v>819</v>
      </c>
      <c r="B956" s="229" t="s">
        <v>819</v>
      </c>
      <c r="C956" s="259" t="s">
        <v>2849</v>
      </c>
      <c r="D956" s="229" t="s">
        <v>2850</v>
      </c>
      <c r="E956" s="3" t="s">
        <v>355</v>
      </c>
      <c r="F956" s="26" t="s">
        <v>102</v>
      </c>
      <c r="G956" s="26" t="s">
        <v>75</v>
      </c>
      <c r="H956" s="26" t="s">
        <v>429</v>
      </c>
      <c r="J956" s="22">
        <v>500</v>
      </c>
      <c r="L956" s="28" t="s">
        <v>57</v>
      </c>
      <c r="M956" s="22" t="s">
        <v>58</v>
      </c>
      <c r="N956" s="22" t="s">
        <v>2830</v>
      </c>
      <c r="O956" s="22" t="s">
        <v>59</v>
      </c>
      <c r="P956" s="22" t="s">
        <v>1116</v>
      </c>
      <c r="R956" s="23" t="s">
        <v>2831</v>
      </c>
      <c r="V956" s="25" t="s">
        <v>61</v>
      </c>
      <c r="Z956" s="83" t="s">
        <v>62</v>
      </c>
      <c r="AA956" s="6">
        <v>1</v>
      </c>
      <c r="BQ956" s="6" t="s">
        <v>353</v>
      </c>
      <c r="BR956" s="5" t="s">
        <v>822</v>
      </c>
    </row>
    <row r="957" spans="1:70" hidden="1" x14ac:dyDescent="0.2">
      <c r="A957" s="91">
        <v>820</v>
      </c>
      <c r="B957" s="229" t="s">
        <v>819</v>
      </c>
      <c r="C957" s="259" t="s">
        <v>2851</v>
      </c>
      <c r="D957" s="229" t="s">
        <v>2852</v>
      </c>
      <c r="E957" s="3" t="s">
        <v>355</v>
      </c>
      <c r="F957" s="26" t="s">
        <v>102</v>
      </c>
      <c r="G957" s="26" t="s">
        <v>75</v>
      </c>
      <c r="H957" s="26" t="s">
        <v>429</v>
      </c>
      <c r="J957" s="22">
        <v>500</v>
      </c>
      <c r="L957" s="28" t="s">
        <v>57</v>
      </c>
      <c r="M957" s="22" t="s">
        <v>58</v>
      </c>
      <c r="N957" s="22" t="s">
        <v>2830</v>
      </c>
      <c r="O957" s="22" t="s">
        <v>59</v>
      </c>
      <c r="P957" s="22" t="s">
        <v>1116</v>
      </c>
      <c r="R957" s="23" t="s">
        <v>2831</v>
      </c>
      <c r="V957" s="25" t="s">
        <v>61</v>
      </c>
      <c r="Z957" s="83" t="s">
        <v>62</v>
      </c>
      <c r="AA957" s="6">
        <v>1</v>
      </c>
      <c r="BQ957" s="6" t="s">
        <v>353</v>
      </c>
      <c r="BR957" s="5" t="s">
        <v>822</v>
      </c>
    </row>
    <row r="958" spans="1:70" hidden="1" x14ac:dyDescent="0.2">
      <c r="A958" s="91">
        <v>821</v>
      </c>
      <c r="B958" s="229" t="s">
        <v>819</v>
      </c>
      <c r="C958" s="259" t="s">
        <v>2853</v>
      </c>
      <c r="D958" s="229" t="s">
        <v>2854</v>
      </c>
      <c r="E958" s="3" t="s">
        <v>355</v>
      </c>
      <c r="F958" s="26" t="s">
        <v>102</v>
      </c>
      <c r="G958" s="26" t="s">
        <v>75</v>
      </c>
      <c r="H958" s="26" t="s">
        <v>429</v>
      </c>
      <c r="J958" s="22">
        <v>500</v>
      </c>
      <c r="L958" s="28" t="s">
        <v>57</v>
      </c>
      <c r="M958" s="22" t="s">
        <v>58</v>
      </c>
      <c r="N958" s="22" t="s">
        <v>2830</v>
      </c>
      <c r="O958" s="22" t="s">
        <v>59</v>
      </c>
      <c r="P958" s="22" t="s">
        <v>1116</v>
      </c>
      <c r="R958" s="23" t="s">
        <v>2831</v>
      </c>
      <c r="V958" s="25" t="s">
        <v>61</v>
      </c>
      <c r="Z958" s="83" t="s">
        <v>62</v>
      </c>
      <c r="AA958" s="6">
        <v>1</v>
      </c>
      <c r="BQ958" s="6" t="s">
        <v>353</v>
      </c>
      <c r="BR958" s="5" t="s">
        <v>822</v>
      </c>
    </row>
    <row r="959" spans="1:70" hidden="1" x14ac:dyDescent="0.2">
      <c r="A959" s="91">
        <v>822</v>
      </c>
      <c r="B959" s="229" t="s">
        <v>819</v>
      </c>
      <c r="C959" s="259" t="s">
        <v>2855</v>
      </c>
      <c r="D959" s="229" t="s">
        <v>2856</v>
      </c>
      <c r="E959" s="3" t="s">
        <v>355</v>
      </c>
      <c r="F959" s="26" t="s">
        <v>102</v>
      </c>
      <c r="G959" s="26" t="s">
        <v>75</v>
      </c>
      <c r="H959" s="26" t="s">
        <v>429</v>
      </c>
      <c r="J959" s="22">
        <v>500</v>
      </c>
      <c r="L959" s="28" t="s">
        <v>57</v>
      </c>
      <c r="M959" s="22" t="s">
        <v>58</v>
      </c>
      <c r="N959" s="22" t="s">
        <v>2830</v>
      </c>
      <c r="O959" s="22" t="s">
        <v>59</v>
      </c>
      <c r="P959" s="22" t="s">
        <v>1116</v>
      </c>
      <c r="R959" s="23" t="s">
        <v>2831</v>
      </c>
      <c r="V959" s="25" t="s">
        <v>61</v>
      </c>
      <c r="Z959" s="83" t="s">
        <v>62</v>
      </c>
      <c r="AA959" s="6">
        <v>1</v>
      </c>
      <c r="BQ959" s="6" t="s">
        <v>353</v>
      </c>
      <c r="BR959" s="5" t="s">
        <v>822</v>
      </c>
    </row>
    <row r="960" spans="1:70" hidden="1" x14ac:dyDescent="0.2">
      <c r="A960" s="91">
        <v>823</v>
      </c>
      <c r="B960" s="229" t="s">
        <v>819</v>
      </c>
      <c r="C960" s="259" t="s">
        <v>2857</v>
      </c>
      <c r="D960" s="229" t="s">
        <v>2858</v>
      </c>
      <c r="E960" s="3" t="s">
        <v>355</v>
      </c>
      <c r="F960" s="26" t="s">
        <v>102</v>
      </c>
      <c r="G960" s="26" t="s">
        <v>75</v>
      </c>
      <c r="H960" s="26" t="s">
        <v>429</v>
      </c>
      <c r="J960" s="22">
        <v>500</v>
      </c>
      <c r="L960" s="28" t="s">
        <v>57</v>
      </c>
      <c r="M960" s="22" t="s">
        <v>58</v>
      </c>
      <c r="N960" s="22" t="s">
        <v>2830</v>
      </c>
      <c r="O960" s="22" t="s">
        <v>59</v>
      </c>
      <c r="P960" s="22" t="s">
        <v>1116</v>
      </c>
      <c r="R960" s="23" t="s">
        <v>2831</v>
      </c>
      <c r="V960" s="25" t="s">
        <v>61</v>
      </c>
      <c r="Z960" s="83" t="s">
        <v>62</v>
      </c>
      <c r="AA960" s="6">
        <v>1</v>
      </c>
      <c r="BQ960" s="6" t="s">
        <v>353</v>
      </c>
      <c r="BR960" s="5" t="s">
        <v>822</v>
      </c>
    </row>
    <row r="961" spans="1:70" hidden="1" x14ac:dyDescent="0.2">
      <c r="A961" s="91">
        <v>824</v>
      </c>
      <c r="B961" s="229" t="s">
        <v>819</v>
      </c>
      <c r="C961" s="259" t="s">
        <v>2859</v>
      </c>
      <c r="D961" s="229" t="s">
        <v>2860</v>
      </c>
      <c r="E961" s="3" t="s">
        <v>355</v>
      </c>
      <c r="F961" s="26" t="s">
        <v>102</v>
      </c>
      <c r="G961" s="26" t="s">
        <v>75</v>
      </c>
      <c r="H961" s="26" t="s">
        <v>429</v>
      </c>
      <c r="J961" s="22">
        <v>500</v>
      </c>
      <c r="L961" s="28" t="s">
        <v>57</v>
      </c>
      <c r="M961" s="22" t="s">
        <v>58</v>
      </c>
      <c r="N961" s="22" t="s">
        <v>2830</v>
      </c>
      <c r="O961" s="22" t="s">
        <v>59</v>
      </c>
      <c r="P961" s="22" t="s">
        <v>1116</v>
      </c>
      <c r="R961" s="23" t="s">
        <v>2831</v>
      </c>
      <c r="V961" s="25" t="s">
        <v>61</v>
      </c>
      <c r="Z961" s="83" t="s">
        <v>62</v>
      </c>
      <c r="AA961" s="6">
        <v>1</v>
      </c>
      <c r="BQ961" s="6" t="s">
        <v>353</v>
      </c>
      <c r="BR961" s="5" t="s">
        <v>822</v>
      </c>
    </row>
    <row r="962" spans="1:70" hidden="1" x14ac:dyDescent="0.2">
      <c r="A962" s="91">
        <v>825</v>
      </c>
      <c r="B962" s="229" t="s">
        <v>819</v>
      </c>
      <c r="C962" s="259" t="s">
        <v>2861</v>
      </c>
      <c r="D962" s="229" t="s">
        <v>2862</v>
      </c>
      <c r="E962" s="3" t="s">
        <v>355</v>
      </c>
      <c r="F962" s="26" t="s">
        <v>102</v>
      </c>
      <c r="G962" s="26" t="s">
        <v>75</v>
      </c>
      <c r="H962" s="26" t="s">
        <v>429</v>
      </c>
      <c r="J962" s="22">
        <v>500</v>
      </c>
      <c r="L962" s="28" t="s">
        <v>57</v>
      </c>
      <c r="M962" s="22" t="s">
        <v>58</v>
      </c>
      <c r="N962" s="22" t="s">
        <v>2830</v>
      </c>
      <c r="O962" s="22" t="s">
        <v>59</v>
      </c>
      <c r="P962" s="22" t="s">
        <v>1116</v>
      </c>
      <c r="R962" s="23" t="s">
        <v>2831</v>
      </c>
      <c r="V962" s="25" t="s">
        <v>61</v>
      </c>
      <c r="Z962" s="83" t="s">
        <v>62</v>
      </c>
      <c r="AA962" s="6">
        <v>1</v>
      </c>
      <c r="BQ962" s="6" t="s">
        <v>353</v>
      </c>
      <c r="BR962" s="5" t="s">
        <v>822</v>
      </c>
    </row>
    <row r="963" spans="1:70" ht="14.25" hidden="1" x14ac:dyDescent="0.2">
      <c r="A963" s="91">
        <v>826</v>
      </c>
      <c r="B963" s="229" t="s">
        <v>2886</v>
      </c>
      <c r="C963" s="266" t="s">
        <v>2887</v>
      </c>
      <c r="D963" s="229" t="s">
        <v>2890</v>
      </c>
      <c r="E963" s="3" t="s">
        <v>355</v>
      </c>
      <c r="F963" s="26" t="s">
        <v>102</v>
      </c>
      <c r="G963" s="26" t="s">
        <v>55</v>
      </c>
      <c r="H963" s="26" t="s">
        <v>156</v>
      </c>
      <c r="J963" s="22">
        <v>250</v>
      </c>
      <c r="L963" s="28" t="s">
        <v>57</v>
      </c>
      <c r="M963" s="22" t="s">
        <v>58</v>
      </c>
      <c r="N963" s="22">
        <v>0</v>
      </c>
      <c r="O963" s="22" t="s">
        <v>59</v>
      </c>
      <c r="P963" s="22" t="s">
        <v>78</v>
      </c>
      <c r="Q963" s="177" t="s">
        <v>1857</v>
      </c>
      <c r="R963" s="23" t="s">
        <v>2888</v>
      </c>
      <c r="Z963" s="83" t="s">
        <v>62</v>
      </c>
      <c r="AA963" s="6">
        <v>8</v>
      </c>
      <c r="AC963" s="5">
        <v>28</v>
      </c>
      <c r="AD963" s="163" t="s">
        <v>79</v>
      </c>
      <c r="AE963" s="163" t="s">
        <v>334</v>
      </c>
      <c r="AF963" s="163">
        <v>7</v>
      </c>
      <c r="AG963" s="163" t="s">
        <v>79</v>
      </c>
      <c r="AH963" s="163" t="s">
        <v>116</v>
      </c>
      <c r="BQ963" s="6" t="s">
        <v>194</v>
      </c>
      <c r="BR963" s="163" t="s">
        <v>2889</v>
      </c>
    </row>
    <row r="964" spans="1:70" ht="14.25" hidden="1" x14ac:dyDescent="0.2">
      <c r="A964" s="91">
        <v>827</v>
      </c>
      <c r="B964" s="229" t="s">
        <v>2886</v>
      </c>
      <c r="C964" s="266" t="s">
        <v>2887</v>
      </c>
      <c r="D964" s="229" t="s">
        <v>2891</v>
      </c>
      <c r="E964" s="3" t="s">
        <v>355</v>
      </c>
      <c r="F964" s="26" t="s">
        <v>102</v>
      </c>
      <c r="G964" s="26" t="s">
        <v>55</v>
      </c>
      <c r="H964" s="179" t="s">
        <v>156</v>
      </c>
      <c r="J964" s="22">
        <v>1000</v>
      </c>
      <c r="L964" s="28" t="s">
        <v>57</v>
      </c>
      <c r="M964" s="22" t="s">
        <v>58</v>
      </c>
      <c r="N964" s="22">
        <v>0</v>
      </c>
      <c r="O964" s="22" t="s">
        <v>59</v>
      </c>
      <c r="P964" s="22" t="s">
        <v>78</v>
      </c>
      <c r="Q964" s="177" t="s">
        <v>1857</v>
      </c>
      <c r="R964" s="177" t="s">
        <v>2888</v>
      </c>
      <c r="Z964" s="83" t="s">
        <v>62</v>
      </c>
      <c r="AA964" s="6">
        <v>8</v>
      </c>
      <c r="AC964" s="5">
        <v>28</v>
      </c>
      <c r="AD964" s="163" t="s">
        <v>79</v>
      </c>
      <c r="AE964" s="163" t="s">
        <v>334</v>
      </c>
      <c r="AF964" s="163">
        <v>7</v>
      </c>
      <c r="AG964" s="163" t="s">
        <v>79</v>
      </c>
      <c r="AH964" s="163" t="s">
        <v>116</v>
      </c>
      <c r="BQ964" s="164" t="s">
        <v>194</v>
      </c>
      <c r="BR964" s="163" t="s">
        <v>2889</v>
      </c>
    </row>
    <row r="965" spans="1:70" ht="14.25" hidden="1" x14ac:dyDescent="0.2">
      <c r="A965" s="91">
        <v>828</v>
      </c>
      <c r="B965" s="229" t="s">
        <v>2886</v>
      </c>
      <c r="C965" s="266" t="s">
        <v>2887</v>
      </c>
      <c r="D965" s="229" t="s">
        <v>2892</v>
      </c>
      <c r="E965" s="3" t="s">
        <v>101</v>
      </c>
      <c r="F965" s="26" t="s">
        <v>102</v>
      </c>
      <c r="G965" s="26" t="s">
        <v>55</v>
      </c>
      <c r="H965" s="26" t="s">
        <v>299</v>
      </c>
      <c r="J965" s="22">
        <v>3.0000000000000001E-3</v>
      </c>
      <c r="L965" s="28" t="s">
        <v>57</v>
      </c>
      <c r="M965" s="22" t="s">
        <v>77</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2889</v>
      </c>
    </row>
    <row r="966" spans="1:70" ht="14.25" hidden="1" x14ac:dyDescent="0.2">
      <c r="A966" s="91">
        <v>829</v>
      </c>
      <c r="B966" s="229" t="s">
        <v>2886</v>
      </c>
      <c r="C966" s="266" t="s">
        <v>2887</v>
      </c>
      <c r="D966" s="229" t="s">
        <v>2893</v>
      </c>
      <c r="E966" s="3" t="s">
        <v>101</v>
      </c>
      <c r="F966" s="26" t="s">
        <v>102</v>
      </c>
      <c r="G966" s="26" t="s">
        <v>55</v>
      </c>
      <c r="H966" s="179" t="s">
        <v>299</v>
      </c>
      <c r="J966" s="176">
        <v>3.0000000000000001E-3</v>
      </c>
      <c r="L966" s="28" t="s">
        <v>57</v>
      </c>
      <c r="M966" s="22" t="s">
        <v>77</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2889</v>
      </c>
    </row>
    <row r="967" spans="1:70" ht="14.25" hidden="1" x14ac:dyDescent="0.2">
      <c r="A967" s="91">
        <v>830</v>
      </c>
      <c r="B967" s="229" t="s">
        <v>2895</v>
      </c>
      <c r="C967" s="266" t="s">
        <v>2896</v>
      </c>
      <c r="D967" s="229" t="s">
        <v>2897</v>
      </c>
      <c r="E967" s="3" t="s">
        <v>355</v>
      </c>
      <c r="F967" s="26" t="s">
        <v>54</v>
      </c>
      <c r="G967" s="26" t="s">
        <v>55</v>
      </c>
      <c r="H967" s="26" t="s">
        <v>237</v>
      </c>
      <c r="J967" s="22">
        <v>1500</v>
      </c>
      <c r="L967" s="28" t="s">
        <v>57</v>
      </c>
      <c r="M967" s="22" t="s">
        <v>58</v>
      </c>
      <c r="N967" s="22">
        <v>0</v>
      </c>
      <c r="O967" s="22" t="s">
        <v>59</v>
      </c>
      <c r="P967" s="22" t="s">
        <v>78</v>
      </c>
      <c r="Q967" s="177" t="s">
        <v>1857</v>
      </c>
      <c r="R967" s="23" t="s">
        <v>2898</v>
      </c>
      <c r="V967" s="25" t="s">
        <v>2899</v>
      </c>
      <c r="W967" s="65">
        <v>1</v>
      </c>
      <c r="Y967" s="25" t="s">
        <v>2900</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2901</v>
      </c>
      <c r="BR967" s="5" t="s">
        <v>2902</v>
      </c>
    </row>
    <row r="968" spans="1:70" ht="14.25" hidden="1" x14ac:dyDescent="0.2">
      <c r="A968" s="91">
        <v>831</v>
      </c>
      <c r="B968" s="229" t="s">
        <v>2903</v>
      </c>
      <c r="C968" s="266" t="s">
        <v>2904</v>
      </c>
      <c r="D968" s="229" t="s">
        <v>2906</v>
      </c>
      <c r="E968" s="3" t="s">
        <v>355</v>
      </c>
      <c r="F968" s="26" t="s">
        <v>102</v>
      </c>
      <c r="G968" s="26" t="s">
        <v>55</v>
      </c>
      <c r="H968" s="26" t="s">
        <v>156</v>
      </c>
      <c r="J968" s="22">
        <v>500</v>
      </c>
      <c r="L968" s="28" t="s">
        <v>57</v>
      </c>
      <c r="M968" s="22" t="s">
        <v>58</v>
      </c>
      <c r="N968" s="22">
        <v>0</v>
      </c>
      <c r="O968" s="22" t="s">
        <v>59</v>
      </c>
      <c r="P968" s="22" t="s">
        <v>78</v>
      </c>
      <c r="Q968" s="177" t="s">
        <v>1857</v>
      </c>
      <c r="R968" s="23" t="s">
        <v>2905</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2901</v>
      </c>
    </row>
    <row r="969" spans="1:70" s="122" customFormat="1" ht="14.25" hidden="1" x14ac:dyDescent="0.2">
      <c r="A969" s="91">
        <v>832</v>
      </c>
      <c r="B969" s="229" t="s">
        <v>2903</v>
      </c>
      <c r="C969" s="266" t="s">
        <v>2904</v>
      </c>
      <c r="D969" s="229" t="s">
        <v>2906</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2905</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2901</v>
      </c>
      <c r="BR969" s="163"/>
    </row>
    <row r="970" spans="1:70" ht="14.25" hidden="1" x14ac:dyDescent="0.2">
      <c r="A970" s="91">
        <v>833</v>
      </c>
      <c r="B970" s="229" t="s">
        <v>2903</v>
      </c>
      <c r="C970" s="266" t="s">
        <v>2904</v>
      </c>
      <c r="D970" s="229" t="s">
        <v>2907</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2905</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2901</v>
      </c>
    </row>
    <row r="971" spans="1:70" ht="14.25" hidden="1" x14ac:dyDescent="0.2">
      <c r="A971" s="91">
        <v>834</v>
      </c>
      <c r="B971" s="229" t="s">
        <v>2903</v>
      </c>
      <c r="C971" s="266" t="s">
        <v>2904</v>
      </c>
      <c r="D971" s="229" t="s">
        <v>2907</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2905</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2901</v>
      </c>
    </row>
    <row r="972" spans="1:70" ht="14.25" hidden="1" x14ac:dyDescent="0.2">
      <c r="A972" s="91">
        <v>835</v>
      </c>
      <c r="B972" s="229" t="s">
        <v>2909</v>
      </c>
      <c r="C972" s="266" t="s">
        <v>2908</v>
      </c>
      <c r="D972" s="229" t="s">
        <v>2897</v>
      </c>
      <c r="E972" s="3" t="s">
        <v>355</v>
      </c>
      <c r="F972" s="26" t="s">
        <v>102</v>
      </c>
      <c r="G972" s="26" t="s">
        <v>55</v>
      </c>
      <c r="H972" s="26" t="s">
        <v>56</v>
      </c>
      <c r="J972" s="22">
        <v>500</v>
      </c>
      <c r="L972" s="180" t="s">
        <v>57</v>
      </c>
      <c r="M972" s="176" t="s">
        <v>58</v>
      </c>
      <c r="N972" s="176">
        <v>0</v>
      </c>
      <c r="O972" s="176" t="s">
        <v>59</v>
      </c>
      <c r="P972" s="176" t="s">
        <v>78</v>
      </c>
      <c r="Q972" s="177" t="s">
        <v>1857</v>
      </c>
      <c r="R972" s="23" t="s">
        <v>2910</v>
      </c>
      <c r="V972" s="165" t="s">
        <v>2899</v>
      </c>
      <c r="W972" s="65">
        <v>2</v>
      </c>
      <c r="X972" s="106" t="s">
        <v>415</v>
      </c>
      <c r="Y972" s="25" t="s">
        <v>516</v>
      </c>
      <c r="Z972" s="83" t="s">
        <v>62</v>
      </c>
      <c r="AA972" s="6">
        <v>6</v>
      </c>
      <c r="AB972" s="6">
        <v>3</v>
      </c>
      <c r="AD972" s="163" t="s">
        <v>79</v>
      </c>
      <c r="AI972" s="5">
        <v>20</v>
      </c>
      <c r="AJ972" s="5">
        <v>30</v>
      </c>
      <c r="BQ972" s="6" t="s">
        <v>2901</v>
      </c>
    </row>
    <row r="973" spans="1:70" ht="14.25" hidden="1" x14ac:dyDescent="0.2">
      <c r="A973" s="91">
        <v>836</v>
      </c>
      <c r="B973" s="229" t="s">
        <v>2912</v>
      </c>
      <c r="C973" s="266" t="s">
        <v>2913</v>
      </c>
      <c r="D973" s="229" t="s">
        <v>2897</v>
      </c>
      <c r="E973" s="3" t="s">
        <v>355</v>
      </c>
      <c r="F973" s="26" t="s">
        <v>102</v>
      </c>
      <c r="G973" s="26" t="s">
        <v>55</v>
      </c>
      <c r="H973" s="179" t="s">
        <v>56</v>
      </c>
      <c r="I973" s="179"/>
      <c r="J973" s="176">
        <v>500</v>
      </c>
      <c r="K973" s="180"/>
      <c r="L973" s="180" t="s">
        <v>57</v>
      </c>
      <c r="M973" s="176" t="s">
        <v>58</v>
      </c>
      <c r="N973" s="176" t="s">
        <v>2914</v>
      </c>
      <c r="O973" s="176" t="s">
        <v>59</v>
      </c>
      <c r="P973" s="176" t="s">
        <v>78</v>
      </c>
      <c r="Q973" s="177" t="s">
        <v>1857</v>
      </c>
      <c r="R973" s="177" t="s">
        <v>2911</v>
      </c>
      <c r="V973" s="25" t="s">
        <v>435</v>
      </c>
      <c r="Y973" s="25" t="s">
        <v>2915</v>
      </c>
      <c r="Z973" s="83" t="s">
        <v>62</v>
      </c>
      <c r="AA973" s="6">
        <v>10</v>
      </c>
      <c r="AB973" s="6">
        <v>5</v>
      </c>
      <c r="AD973" s="5" t="s">
        <v>79</v>
      </c>
      <c r="AI973" s="5">
        <v>21</v>
      </c>
      <c r="AJ973" s="5">
        <v>30</v>
      </c>
      <c r="BQ973" s="6" t="s">
        <v>1831</v>
      </c>
    </row>
    <row r="974" spans="1:70" ht="14.25" hidden="1" x14ac:dyDescent="0.2">
      <c r="A974" s="91">
        <v>837</v>
      </c>
      <c r="B974" s="229" t="s">
        <v>2916</v>
      </c>
      <c r="C974" s="266" t="s">
        <v>2917</v>
      </c>
      <c r="D974" s="229" t="s">
        <v>2920</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hidden="1" x14ac:dyDescent="0.2">
      <c r="A975" s="91">
        <v>838</v>
      </c>
      <c r="B975" s="229" t="s">
        <v>2916</v>
      </c>
      <c r="C975" s="266" t="s">
        <v>2917</v>
      </c>
      <c r="D975" s="229" t="s">
        <v>2918</v>
      </c>
      <c r="E975" s="3" t="s">
        <v>355</v>
      </c>
      <c r="F975" s="26" t="s">
        <v>54</v>
      </c>
      <c r="G975" s="26" t="s">
        <v>55</v>
      </c>
      <c r="H975" s="26" t="s">
        <v>2919</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hidden="1" x14ac:dyDescent="0.2">
      <c r="A976" s="91">
        <v>839</v>
      </c>
      <c r="B976" s="229" t="s">
        <v>2921</v>
      </c>
      <c r="C976" s="266" t="s">
        <v>2922</v>
      </c>
      <c r="D976" s="229" t="s">
        <v>2935</v>
      </c>
      <c r="E976" s="3" t="s">
        <v>355</v>
      </c>
      <c r="F976" s="26" t="s">
        <v>54</v>
      </c>
      <c r="G976" s="26" t="s">
        <v>55</v>
      </c>
      <c r="H976" s="26" t="s">
        <v>323</v>
      </c>
      <c r="J976" s="22">
        <v>250</v>
      </c>
      <c r="L976" s="28" t="s">
        <v>57</v>
      </c>
      <c r="M976" s="22" t="s">
        <v>58</v>
      </c>
      <c r="N976" s="22">
        <v>0</v>
      </c>
      <c r="O976" s="22" t="s">
        <v>59</v>
      </c>
      <c r="P976" s="22" t="s">
        <v>78</v>
      </c>
      <c r="Q976" s="177" t="s">
        <v>1857</v>
      </c>
      <c r="R976" s="23" t="s">
        <v>2924</v>
      </c>
      <c r="T976" s="23">
        <v>100</v>
      </c>
      <c r="V976" s="25" t="s">
        <v>61</v>
      </c>
      <c r="W976" s="65">
        <v>12</v>
      </c>
      <c r="X976" s="106" t="s">
        <v>202</v>
      </c>
      <c r="Z976" s="83" t="s">
        <v>62</v>
      </c>
      <c r="AA976" s="6">
        <v>10</v>
      </c>
      <c r="AB976" s="6">
        <v>0</v>
      </c>
      <c r="AD976" s="5" t="s">
        <v>79</v>
      </c>
      <c r="AI976" s="5">
        <v>21</v>
      </c>
      <c r="AJ976" s="5">
        <v>40</v>
      </c>
      <c r="BQ976" s="6" t="s">
        <v>213</v>
      </c>
      <c r="BR976" s="5" t="s">
        <v>2928</v>
      </c>
    </row>
    <row r="977" spans="1:70" ht="14.25" hidden="1" x14ac:dyDescent="0.2">
      <c r="A977" s="91">
        <v>840</v>
      </c>
      <c r="B977" s="229" t="s">
        <v>2921</v>
      </c>
      <c r="C977" s="266" t="s">
        <v>2922</v>
      </c>
      <c r="D977" s="229" t="s">
        <v>2936</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2923</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2928</v>
      </c>
    </row>
    <row r="978" spans="1:70" ht="14.25" hidden="1" x14ac:dyDescent="0.2">
      <c r="A978" s="91">
        <v>841</v>
      </c>
      <c r="B978" s="229" t="s">
        <v>2921</v>
      </c>
      <c r="C978" s="266" t="s">
        <v>2922</v>
      </c>
      <c r="D978" s="229" t="s">
        <v>2937</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2925</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2928</v>
      </c>
    </row>
    <row r="979" spans="1:70" ht="14.25" hidden="1" x14ac:dyDescent="0.2">
      <c r="A979" s="91">
        <v>842</v>
      </c>
      <c r="B979" s="229" t="s">
        <v>2921</v>
      </c>
      <c r="C979" s="266" t="s">
        <v>2922</v>
      </c>
      <c r="D979" s="229" t="s">
        <v>2938</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2926</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2928</v>
      </c>
    </row>
    <row r="980" spans="1:70" ht="14.25" hidden="1" x14ac:dyDescent="0.2">
      <c r="A980" s="91">
        <v>843</v>
      </c>
      <c r="B980" s="229" t="s">
        <v>2921</v>
      </c>
      <c r="C980" s="266" t="s">
        <v>2922</v>
      </c>
      <c r="D980" s="229" t="s">
        <v>2939</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2927</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2928</v>
      </c>
    </row>
    <row r="981" spans="1:70" ht="14.25" hidden="1" x14ac:dyDescent="0.2">
      <c r="A981" s="91">
        <v>844</v>
      </c>
      <c r="B981" s="229" t="s">
        <v>2929</v>
      </c>
      <c r="C981" s="266" t="s">
        <v>2930</v>
      </c>
      <c r="D981" s="229" t="s">
        <v>2934</v>
      </c>
      <c r="E981" s="3" t="s">
        <v>355</v>
      </c>
      <c r="F981" s="26" t="s">
        <v>102</v>
      </c>
      <c r="G981" s="26" t="s">
        <v>55</v>
      </c>
      <c r="H981" s="26" t="s">
        <v>156</v>
      </c>
      <c r="J981" s="22">
        <v>500</v>
      </c>
      <c r="L981" s="28" t="s">
        <v>57</v>
      </c>
      <c r="M981" s="22" t="s">
        <v>58</v>
      </c>
      <c r="N981" s="22" t="s">
        <v>2931</v>
      </c>
      <c r="O981" s="22" t="s">
        <v>59</v>
      </c>
      <c r="P981" s="22" t="s">
        <v>2932</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2933</v>
      </c>
    </row>
  </sheetData>
  <autoFilter ref="A2:BR981" xr:uid="{00000000-0009-0000-0000-000000000000}">
    <filterColumn colId="1">
      <filters>
        <filter val="Kim 2018"/>
      </filters>
    </filterColumn>
  </autoFilter>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2686</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2686</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2686</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2686</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2686</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2686</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2734</v>
      </c>
      <c r="M526" s="47" t="s">
        <v>1233</v>
      </c>
      <c r="N526" s="47" t="s">
        <v>1096</v>
      </c>
      <c r="O526" s="46" t="s">
        <v>954</v>
      </c>
      <c r="P526" s="48">
        <v>7.2</v>
      </c>
      <c r="Q526" s="48" t="s">
        <v>965</v>
      </c>
      <c r="R526" s="48" t="s">
        <v>993</v>
      </c>
      <c r="S526" s="49" t="s">
        <v>2735</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2736</v>
      </c>
      <c r="M527" s="47" t="s">
        <v>1233</v>
      </c>
      <c r="N527" s="47" t="s">
        <v>1096</v>
      </c>
      <c r="O527" s="46" t="s">
        <v>954</v>
      </c>
      <c r="P527" s="48">
        <v>5.5</v>
      </c>
      <c r="Q527" s="48" t="s">
        <v>965</v>
      </c>
      <c r="R527" s="48" t="s">
        <v>993</v>
      </c>
      <c r="S527" s="49" t="s">
        <v>2737</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2738</v>
      </c>
      <c r="M528" s="47" t="s">
        <v>1233</v>
      </c>
      <c r="N528" s="47" t="s">
        <v>1096</v>
      </c>
      <c r="O528" s="46" t="s">
        <v>954</v>
      </c>
      <c r="P528" s="48">
        <v>2.7</v>
      </c>
      <c r="Q528" s="48" t="s">
        <v>965</v>
      </c>
      <c r="R528" s="48" t="s">
        <v>993</v>
      </c>
      <c r="S528" s="49" t="s">
        <v>2739</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2740</v>
      </c>
      <c r="M529" s="47" t="s">
        <v>1233</v>
      </c>
      <c r="N529" s="47" t="s">
        <v>1096</v>
      </c>
      <c r="O529" s="46" t="s">
        <v>954</v>
      </c>
      <c r="P529" s="48">
        <v>1.2</v>
      </c>
      <c r="Q529" s="48" t="s">
        <v>965</v>
      </c>
      <c r="R529" s="48" t="s">
        <v>993</v>
      </c>
      <c r="S529" s="49" t="s">
        <v>2741</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2742</v>
      </c>
      <c r="M530" s="47" t="s">
        <v>1233</v>
      </c>
      <c r="N530" s="47" t="s">
        <v>1096</v>
      </c>
      <c r="O530" s="46" t="s">
        <v>954</v>
      </c>
      <c r="P530" s="48">
        <v>12.6</v>
      </c>
      <c r="Q530" s="48" t="s">
        <v>965</v>
      </c>
      <c r="R530" s="48" t="s">
        <v>993</v>
      </c>
      <c r="S530" s="49" t="s">
        <v>2743</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2697</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2697</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2697</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2698</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2699</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2700</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2701</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2702</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2703</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2704</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2705</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2706</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2745</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2745</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2745</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2745</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2745</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2745</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2707</v>
      </c>
      <c r="M560" s="47" t="s">
        <v>952</v>
      </c>
      <c r="N560" s="47" t="s">
        <v>1096</v>
      </c>
      <c r="O560" s="46" t="s">
        <v>937</v>
      </c>
      <c r="P560" s="48">
        <v>55.7</v>
      </c>
      <c r="Q560" s="48" t="s">
        <v>943</v>
      </c>
      <c r="R560" s="48" t="s">
        <v>993</v>
      </c>
      <c r="S560" s="49" t="s">
        <v>2708</v>
      </c>
      <c r="T560" s="49" t="s">
        <v>943</v>
      </c>
      <c r="U560" s="49" t="s">
        <v>1096</v>
      </c>
      <c r="V560" s="62" t="s">
        <v>939</v>
      </c>
      <c r="AD560" s="70" t="s">
        <v>2709</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2710</v>
      </c>
      <c r="M561" s="47" t="s">
        <v>952</v>
      </c>
      <c r="N561" s="47" t="s">
        <v>1096</v>
      </c>
      <c r="O561" s="46" t="s">
        <v>937</v>
      </c>
      <c r="P561" s="48">
        <v>207</v>
      </c>
      <c r="Q561" s="48" t="s">
        <v>943</v>
      </c>
      <c r="R561" s="48" t="s">
        <v>993</v>
      </c>
      <c r="S561" s="49" t="s">
        <v>2711</v>
      </c>
      <c r="T561" s="49" t="s">
        <v>943</v>
      </c>
      <c r="U561" s="49" t="s">
        <v>1096</v>
      </c>
      <c r="V561" s="62" t="s">
        <v>939</v>
      </c>
      <c r="AD561" s="70" t="s">
        <v>2712</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2713</v>
      </c>
      <c r="M562" s="47" t="s">
        <v>952</v>
      </c>
      <c r="N562" s="47" t="s">
        <v>1096</v>
      </c>
      <c r="O562" s="46" t="s">
        <v>937</v>
      </c>
      <c r="P562" s="48">
        <v>72.599999999999994</v>
      </c>
      <c r="Q562" s="48" t="s">
        <v>943</v>
      </c>
      <c r="R562" s="48" t="s">
        <v>993</v>
      </c>
      <c r="S562" s="49" t="s">
        <v>2714</v>
      </c>
      <c r="T562" s="49" t="s">
        <v>943</v>
      </c>
      <c r="U562" s="49" t="s">
        <v>1096</v>
      </c>
      <c r="V562" s="62" t="s">
        <v>939</v>
      </c>
      <c r="AD562" s="70" t="s">
        <v>2715</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2716</v>
      </c>
      <c r="M563" s="47" t="s">
        <v>952</v>
      </c>
      <c r="N563" s="47" t="s">
        <v>1096</v>
      </c>
      <c r="O563" s="46" t="s">
        <v>937</v>
      </c>
      <c r="P563" s="48">
        <v>150</v>
      </c>
      <c r="Q563" s="48" t="s">
        <v>943</v>
      </c>
      <c r="R563" s="48" t="s">
        <v>993</v>
      </c>
      <c r="S563" s="49" t="s">
        <v>2717</v>
      </c>
      <c r="T563" s="49" t="s">
        <v>943</v>
      </c>
      <c r="U563" s="49" t="s">
        <v>1096</v>
      </c>
      <c r="V563" s="62" t="s">
        <v>939</v>
      </c>
      <c r="AD563" s="70" t="s">
        <v>2718</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2719</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2719</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2720</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2720</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2720</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2720</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2720</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2720</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2720</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2720</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2720</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2720</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2720</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2720</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2720</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2720</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2720</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2720</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2720</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2720</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2720</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2720</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2720</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2720</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2720</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2720</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2720</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2720</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2720</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2720</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2720</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2720</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2765</v>
      </c>
      <c r="M634" s="47" t="s">
        <v>936</v>
      </c>
      <c r="N634" s="47" t="s">
        <v>1096</v>
      </c>
      <c r="O634" s="46" t="s">
        <v>954</v>
      </c>
      <c r="W634" s="54">
        <v>1313</v>
      </c>
      <c r="X634" s="54" t="s">
        <v>951</v>
      </c>
      <c r="Y634" s="54" t="s">
        <v>334</v>
      </c>
      <c r="Z634" s="56" t="s">
        <v>2766</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2767</v>
      </c>
      <c r="M635" s="47" t="s">
        <v>936</v>
      </c>
      <c r="N635" s="47" t="s">
        <v>1096</v>
      </c>
      <c r="O635" s="46" t="s">
        <v>954</v>
      </c>
      <c r="W635" s="54">
        <v>393</v>
      </c>
      <c r="X635" s="54" t="s">
        <v>951</v>
      </c>
      <c r="Y635" s="54" t="s">
        <v>334</v>
      </c>
      <c r="Z635" s="56" t="s">
        <v>2768</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2769</v>
      </c>
      <c r="M636" s="47" t="s">
        <v>936</v>
      </c>
      <c r="N636" s="47" t="s">
        <v>1096</v>
      </c>
      <c r="O636" s="46" t="s">
        <v>954</v>
      </c>
      <c r="W636" s="54">
        <v>2231</v>
      </c>
      <c r="X636" s="54" t="s">
        <v>951</v>
      </c>
      <c r="Y636" s="54" t="s">
        <v>334</v>
      </c>
      <c r="Z636" s="56" t="s">
        <v>2770</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2771</v>
      </c>
      <c r="M637" s="47" t="s">
        <v>936</v>
      </c>
      <c r="N637" s="47" t="s">
        <v>1096</v>
      </c>
      <c r="O637" s="46" t="s">
        <v>954</v>
      </c>
      <c r="W637" s="54">
        <v>500</v>
      </c>
      <c r="X637" s="54" t="s">
        <v>951</v>
      </c>
      <c r="Y637" s="54" t="s">
        <v>334</v>
      </c>
      <c r="Z637" s="56" t="s">
        <v>2772</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2773</v>
      </c>
      <c r="M638" s="47" t="s">
        <v>936</v>
      </c>
      <c r="N638" s="47" t="s">
        <v>1096</v>
      </c>
      <c r="O638" s="46" t="s">
        <v>954</v>
      </c>
      <c r="W638" s="54">
        <v>2138</v>
      </c>
      <c r="X638" s="54" t="s">
        <v>951</v>
      </c>
      <c r="Y638" s="54" t="s">
        <v>334</v>
      </c>
      <c r="Z638" s="56" t="s">
        <v>2774</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2775</v>
      </c>
      <c r="M639" s="47" t="s">
        <v>936</v>
      </c>
      <c r="N639" s="47" t="s">
        <v>1096</v>
      </c>
      <c r="O639" s="46" t="s">
        <v>954</v>
      </c>
      <c r="W639" s="54">
        <v>506</v>
      </c>
      <c r="X639" s="54" t="s">
        <v>951</v>
      </c>
      <c r="Y639" s="54" t="s">
        <v>334</v>
      </c>
      <c r="Z639" s="56" t="s">
        <v>2776</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2777</v>
      </c>
      <c r="M640" s="47" t="s">
        <v>936</v>
      </c>
      <c r="N640" s="47" t="s">
        <v>1096</v>
      </c>
      <c r="O640" s="46" t="s">
        <v>954</v>
      </c>
      <c r="W640" s="54">
        <v>1703</v>
      </c>
      <c r="X640" s="54" t="s">
        <v>951</v>
      </c>
      <c r="Y640" s="54" t="s">
        <v>334</v>
      </c>
      <c r="Z640" s="56" t="s">
        <v>2778</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2779</v>
      </c>
      <c r="M641" s="47" t="s">
        <v>936</v>
      </c>
      <c r="N641" s="47" t="s">
        <v>1096</v>
      </c>
      <c r="O641" s="46" t="s">
        <v>954</v>
      </c>
      <c r="W641" s="54">
        <v>420</v>
      </c>
      <c r="X641" s="54" t="s">
        <v>951</v>
      </c>
      <c r="Y641" s="54" t="s">
        <v>334</v>
      </c>
      <c r="Z641" s="56" t="s">
        <v>2780</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2781</v>
      </c>
      <c r="M642" s="47" t="s">
        <v>936</v>
      </c>
      <c r="N642" s="47" t="s">
        <v>1096</v>
      </c>
      <c r="O642" s="46" t="s">
        <v>954</v>
      </c>
      <c r="W642" s="54">
        <v>1755</v>
      </c>
      <c r="X642" s="54" t="s">
        <v>951</v>
      </c>
      <c r="Y642" s="54" t="s">
        <v>334</v>
      </c>
      <c r="Z642" s="56" t="s">
        <v>2782</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2783</v>
      </c>
      <c r="M643" s="47" t="s">
        <v>936</v>
      </c>
      <c r="N643" s="47" t="s">
        <v>1096</v>
      </c>
      <c r="O643" s="46" t="s">
        <v>954</v>
      </c>
      <c r="W643" s="54">
        <v>461</v>
      </c>
      <c r="X643" s="54" t="s">
        <v>951</v>
      </c>
      <c r="Y643" s="54" t="s">
        <v>334</v>
      </c>
      <c r="Z643" s="56" t="s">
        <v>2784</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2785</v>
      </c>
      <c r="M644" s="47" t="s">
        <v>936</v>
      </c>
      <c r="N644" s="47" t="s">
        <v>1096</v>
      </c>
      <c r="O644" s="46" t="s">
        <v>954</v>
      </c>
      <c r="W644" s="54">
        <v>1564</v>
      </c>
      <c r="X644" s="54" t="s">
        <v>951</v>
      </c>
      <c r="Y644" s="54" t="s">
        <v>334</v>
      </c>
      <c r="Z644" s="56" t="s">
        <v>2786</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2787</v>
      </c>
      <c r="M645" s="47" t="s">
        <v>936</v>
      </c>
      <c r="N645" s="47" t="s">
        <v>1096</v>
      </c>
      <c r="O645" s="46" t="s">
        <v>954</v>
      </c>
      <c r="W645" s="54">
        <v>426</v>
      </c>
      <c r="X645" s="54" t="s">
        <v>951</v>
      </c>
      <c r="Y645" s="54" t="s">
        <v>334</v>
      </c>
      <c r="Z645" s="56" t="s">
        <v>2788</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2" activePane="bottomLeft" state="frozen"/>
      <selection pane="bottomLeft" activeCell="C8669" sqref="C8669"/>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2828</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2828</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2828</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2828</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2828</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2828</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2828</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2828</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2828</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2874</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2874</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2874</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2874</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2874</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2800</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2800</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2800</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2800</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2800</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2800</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2800</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2820</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2820</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2820</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2820</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2820</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2820</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2820</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2820</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2820</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2820</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2820</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2820</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2820</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2820</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2820</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2820</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2820</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2820</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2820</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2820</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2820</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2820</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2820</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2820</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2820</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2820</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2820</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2820</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2820</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2820</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2820</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2820</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2820</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2820</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2820</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2820</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2820</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2820</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2820</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2820</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2820</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2820</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2820</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2820</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2820</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2820</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2820</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2820</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2820</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2820</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2820</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2820</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2820</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2820</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2820</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2820</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2820</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2820</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2820</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2820</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2820</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2820</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2820</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2820</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2820</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2820</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2820</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2820</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2820</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2820</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2820</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2820</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2755</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2755</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2755</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2755</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2755</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2755</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2755</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2894</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2894</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M266"/>
  <sheetViews>
    <sheetView tabSelected="1" zoomScaleNormal="100" workbookViewId="0">
      <pane xSplit="4" ySplit="1" topLeftCell="G12" activePane="bottomRight" state="frozen"/>
      <selection pane="topRight" activeCell="E1" sqref="E1"/>
      <selection pane="bottomLeft" activeCell="A2" sqref="A2"/>
      <selection pane="bottomRight" activeCell="J94" sqref="J94"/>
    </sheetView>
  </sheetViews>
  <sheetFormatPr baseColWidth="10" defaultColWidth="11" defaultRowHeight="12.75" x14ac:dyDescent="0.2"/>
  <cols>
    <col min="1" max="1" width="4.375" style="30" bestFit="1" customWidth="1"/>
    <col min="2" max="3" width="19.125" style="97" customWidth="1"/>
    <col min="4" max="4" width="61.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hidden="1" x14ac:dyDescent="0.2">
      <c r="A2" s="181">
        <v>471</v>
      </c>
      <c r="B2" s="204" t="str">
        <f>IF(AND(A2&lt;&gt;"",ISNUMBER(A2)),VLOOKUP(A2,Studies!A:BR,2,FALSE),"")</f>
        <v>Zimmermann 1996</v>
      </c>
      <c r="C2" s="204" t="str">
        <f>IF(AND(A2&lt;&gt;"",ISNUMBER(A2)),VLOOKUP(A2,Studies!A:BR,3,FALSE),"")</f>
        <v>https://www.ncbi.nlm.nih.gov/pubmed/8720318</v>
      </c>
      <c r="D2" s="204" t="str">
        <f>IF(AND(A2&lt;&gt;"",ISNUMBER(A2)),VLOOKUP(A2,Studies!A:BR,4,FALSE),"")</f>
        <v>with Perpetrator (Erythromycin)</v>
      </c>
      <c r="E2" s="139" t="str">
        <f>IF(AND(A2&lt;&gt;"",ISNUMBER(A2)),VLOOKUP(A2,Studies!A:BR,5,FALSE),"")</f>
        <v>Midazolam</v>
      </c>
      <c r="F2" s="186" t="s">
        <v>355</v>
      </c>
      <c r="G2" s="205" t="str">
        <f>IF(AND(A2&lt;&gt;"",ISNUMBER(A2)),VLOOKUP(A2,Studies!A:BR,13,FALSE),"")</f>
        <v>PO</v>
      </c>
      <c r="H2" s="138" t="str">
        <f>AA2</f>
        <v>PO</v>
      </c>
      <c r="I2" s="205" t="str">
        <f>IF(AND(A2&lt;&gt;"",ISNUMBER(A2)),VLOOKUP(A2,Studies!A:BR,6,FALSE),"")</f>
        <v>Plasma</v>
      </c>
      <c r="J2" s="187">
        <f>662.71/173.77</f>
        <v>3.8137192841111816</v>
      </c>
      <c r="K2" s="187" t="s">
        <v>1099</v>
      </c>
      <c r="L2" s="201"/>
      <c r="M2" s="201"/>
      <c r="N2" s="193">
        <f>182.29/67.23</f>
        <v>2.7114383459764984</v>
      </c>
      <c r="O2" s="193" t="s">
        <v>1100</v>
      </c>
      <c r="P2" s="202"/>
      <c r="Q2" s="202"/>
      <c r="R2" s="182">
        <v>0</v>
      </c>
      <c r="S2" s="183" t="s">
        <v>935</v>
      </c>
      <c r="T2" s="184">
        <v>97.5</v>
      </c>
      <c r="U2" s="185" t="s">
        <v>935</v>
      </c>
      <c r="V2" s="186" t="s">
        <v>59</v>
      </c>
      <c r="X2" s="176">
        <v>500</v>
      </c>
      <c r="Y2" s="180"/>
      <c r="Z2" s="180" t="s">
        <v>57</v>
      </c>
      <c r="AA2" s="176" t="s">
        <v>58</v>
      </c>
      <c r="AB2" s="176" t="s">
        <v>1115</v>
      </c>
      <c r="AC2" s="176" t="s">
        <v>59</v>
      </c>
      <c r="AD2" s="176" t="s">
        <v>1116</v>
      </c>
      <c r="AE2" s="177"/>
      <c r="AF2" s="177" t="s">
        <v>1117</v>
      </c>
      <c r="AG2" s="178"/>
      <c r="AH2" s="177">
        <v>100</v>
      </c>
      <c r="AI2" s="177" t="s">
        <v>1118</v>
      </c>
      <c r="AJ2" s="193" t="s">
        <v>61</v>
      </c>
      <c r="AK2" s="193">
        <v>10</v>
      </c>
      <c r="AL2" s="193">
        <v>3.5</v>
      </c>
      <c r="AM2" s="193"/>
    </row>
    <row r="3" spans="1:39" hidden="1" x14ac:dyDescent="0.2">
      <c r="A3" s="181">
        <v>579</v>
      </c>
      <c r="B3" s="204" t="str">
        <f>IF(AND(A3&lt;&gt;"",ISNUMBER(A3)),VLOOKUP(A3,Studies!A:BR,2,FALSE),"")</f>
        <v>Zhu 2010</v>
      </c>
      <c r="C3" s="204" t="str">
        <f>IF(AND(A3&lt;&gt;"",ISNUMBER(A3)),VLOOKUP(A3,Studies!A:BR,3,FALSE),"")</f>
        <v>https://www.ncbi.nlm.nih.gov/pubmed/21149917</v>
      </c>
      <c r="D3" s="204" t="str">
        <f>IF(AND(A3&lt;&gt;"",ISNUMBER(A3)),VLOOKUP(A3,Studies!A:BR,4,FALSE),"")</f>
        <v>Raltegravir 400 mg twice daily plus atazanavir 300 mg twice daily</v>
      </c>
      <c r="E3" s="139" t="str">
        <f>IF(AND(A3&lt;&gt;"",ISNUMBER(A3)),VLOOKUP(A3,Studies!A:BR,5,FALSE),"")</f>
        <v>Raltegravir</v>
      </c>
      <c r="F3" s="186" t="s">
        <v>1405</v>
      </c>
      <c r="G3" s="205" t="str">
        <f>IF(AND(A3&lt;&gt;"",ISNUMBER(A3)),VLOOKUP(A3,Studies!A:BR,13,FALSE),"")</f>
        <v>PO</v>
      </c>
      <c r="H3" s="138" t="s">
        <v>58</v>
      </c>
      <c r="I3" s="205" t="str">
        <f>IF(AND(A3&lt;&gt;"",ISNUMBER(A3)),VLOOKUP(A3,Studies!A:BR,6,FALSE),"")</f>
        <v>Plasma</v>
      </c>
      <c r="J3" s="187">
        <v>1.536</v>
      </c>
      <c r="K3" s="187" t="s">
        <v>1000</v>
      </c>
      <c r="L3" s="201" t="s">
        <v>1501</v>
      </c>
      <c r="M3" s="201" t="s">
        <v>1156</v>
      </c>
      <c r="N3" s="193">
        <v>1.3939999999999999</v>
      </c>
      <c r="O3" s="193" t="s">
        <v>1000</v>
      </c>
      <c r="P3" s="202" t="s">
        <v>1502</v>
      </c>
      <c r="Q3" s="202" t="s">
        <v>1156</v>
      </c>
      <c r="R3" s="182">
        <v>96</v>
      </c>
      <c r="S3" s="183">
        <v>108</v>
      </c>
      <c r="T3" s="184">
        <v>600</v>
      </c>
      <c r="U3" s="185">
        <v>612</v>
      </c>
      <c r="V3" s="186" t="s">
        <v>59</v>
      </c>
      <c r="X3" s="176">
        <v>400</v>
      </c>
      <c r="Y3" s="137"/>
      <c r="Z3" s="137" t="s">
        <v>57</v>
      </c>
      <c r="AA3" s="176" t="s">
        <v>58</v>
      </c>
      <c r="AB3" s="176" t="s">
        <v>1597</v>
      </c>
      <c r="AC3" s="136" t="s">
        <v>59</v>
      </c>
      <c r="AD3" s="176" t="s">
        <v>1112</v>
      </c>
      <c r="AE3" s="177" t="s">
        <v>1503</v>
      </c>
      <c r="AF3" s="177" t="s">
        <v>2945</v>
      </c>
      <c r="AG3" s="178"/>
      <c r="AH3" s="178"/>
      <c r="AI3" s="178"/>
      <c r="AJ3" s="193" t="s">
        <v>435</v>
      </c>
      <c r="AK3" s="193"/>
      <c r="AL3" s="193"/>
      <c r="AM3" s="193" t="s">
        <v>1504</v>
      </c>
    </row>
    <row r="4" spans="1:39" hidden="1" x14ac:dyDescent="0.2">
      <c r="A4" s="181">
        <v>469</v>
      </c>
      <c r="B4" s="204" t="str">
        <f>IF(AND(A4&lt;&gt;"",ISNUMBER(A4)),VLOOKUP(A4,Studies!A:BR,2,FALSE),"")</f>
        <v>Yeates 1996</v>
      </c>
      <c r="C4" s="204" t="str">
        <f>IF(AND(A4&lt;&gt;"",ISNUMBER(A4)),VLOOKUP(A4,Studies!A:BR,3,FALSE),"")</f>
        <v>http://www.ncbi.nlm.nih.gov/pubmed/8880291</v>
      </c>
      <c r="D4" s="204" t="str">
        <f>IF(AND(A4&lt;&gt;"",ISNUMBER(A4)),VLOOKUP(A4,Studies!A:BR,4,FALSE),"")</f>
        <v>with Perpetrator (Clarithromycin)</v>
      </c>
      <c r="E4" s="139" t="str">
        <f>IF(AND(A4&lt;&gt;"",ISNUMBER(A4)),VLOOKUP(A4,Studies!A:BR,5,FALSE),"")</f>
        <v>Midazolam</v>
      </c>
      <c r="F4" s="186" t="s">
        <v>1110</v>
      </c>
      <c r="G4" s="205" t="str">
        <f>IF(AND(A4&lt;&gt;"",ISNUMBER(A4)),VLOOKUP(A4,Studies!A:BR,13,FALSE),"")</f>
        <v>PO</v>
      </c>
      <c r="H4" s="138" t="str">
        <f>AA4</f>
        <v>PO</v>
      </c>
      <c r="I4" s="205" t="str">
        <f>IF(AND(A4&lt;&gt;"",ISNUMBER(A4)),VLOOKUP(A4,Studies!A:BR,6,FALSE),"")</f>
        <v>Plasma</v>
      </c>
      <c r="J4" s="187">
        <f>888.75/248.84</f>
        <v>3.5715720945185661</v>
      </c>
      <c r="K4" s="187" t="s">
        <v>1099</v>
      </c>
      <c r="L4" s="201"/>
      <c r="M4" s="201"/>
      <c r="N4" s="193">
        <f>187.61/76.89</f>
        <v>2.4399791910521524</v>
      </c>
      <c r="O4" s="193" t="s">
        <v>1100</v>
      </c>
      <c r="P4" s="202"/>
      <c r="Q4" s="202"/>
      <c r="R4" s="182">
        <v>0</v>
      </c>
      <c r="S4" s="183" t="s">
        <v>935</v>
      </c>
      <c r="T4" s="184">
        <v>97.5</v>
      </c>
      <c r="U4" s="185" t="s">
        <v>935</v>
      </c>
      <c r="V4" s="186" t="s">
        <v>59</v>
      </c>
      <c r="X4" s="176">
        <v>250</v>
      </c>
      <c r="Y4" s="180"/>
      <c r="Z4" s="180" t="s">
        <v>57</v>
      </c>
      <c r="AA4" s="176" t="s">
        <v>58</v>
      </c>
      <c r="AB4" s="176" t="s">
        <v>1111</v>
      </c>
      <c r="AC4" s="176" t="s">
        <v>59</v>
      </c>
      <c r="AD4" s="176" t="s">
        <v>1112</v>
      </c>
      <c r="AE4" s="177"/>
      <c r="AF4" s="177" t="s">
        <v>1113</v>
      </c>
      <c r="AG4" s="178"/>
      <c r="AH4" s="177"/>
      <c r="AI4" s="177" t="s">
        <v>1114</v>
      </c>
      <c r="AJ4" s="193" t="s">
        <v>61</v>
      </c>
      <c r="AK4" s="193"/>
      <c r="AL4" s="193">
        <v>2</v>
      </c>
      <c r="AM4" s="193"/>
    </row>
    <row r="5" spans="1:39" hidden="1" x14ac:dyDescent="0.2">
      <c r="A5" s="181">
        <v>1026</v>
      </c>
      <c r="B5" s="204" t="str">
        <f>IF(AND(A5&lt;&gt;"",ISNUMBER(A5)),VLOOKUP(A5,Studies!A:BR,2,FALSE),"")</f>
        <v>Yasui 1998</v>
      </c>
      <c r="C5" s="204" t="str">
        <f>IF(AND(A5&lt;&gt;"",ISNUMBER(A5)),VLOOKUP(A5,Studies!A:BR,3,FALSE),"")</f>
        <v>https://www.ncbi.nlm.nih.gov/pubmed/9784084</v>
      </c>
      <c r="D5" s="204" t="str">
        <f>IF(AND(A5&lt;&gt;"",ISNUMBER(A5)),VLOOKUP(A5,Studies!A:BR,4,FALSE),"")</f>
        <v>Alprazolam with itraconazole</v>
      </c>
      <c r="E5" s="139" t="str">
        <f>IF(AND(A5&lt;&gt;"",ISNUMBER(A5)),VLOOKUP(A5,Studies!A:BR,5,FALSE),"")</f>
        <v>Alprazolam</v>
      </c>
      <c r="F5" s="186" t="s">
        <v>148</v>
      </c>
      <c r="G5" s="205" t="str">
        <f>IF(AND(A5&lt;&gt;"",ISNUMBER(A5)),VLOOKUP(A5,Studies!A:BR,13,FALSE),"")</f>
        <v>PO</v>
      </c>
      <c r="H5" s="138" t="s">
        <v>58</v>
      </c>
      <c r="I5" s="205" t="str">
        <f>IF(AND(A5&lt;&gt;"",ISNUMBER(A5)),VLOOKUP(A5,Studies!A:BR,6,FALSE),"")</f>
        <v>Plasma</v>
      </c>
      <c r="J5" s="187">
        <v>2.6626984126984126</v>
      </c>
      <c r="K5" s="187" t="s">
        <v>1099</v>
      </c>
      <c r="L5" s="201"/>
      <c r="M5" s="201"/>
      <c r="N5" s="193">
        <v>1.2868217054263567</v>
      </c>
      <c r="O5" s="193" t="s">
        <v>1100</v>
      </c>
      <c r="P5" s="202"/>
      <c r="Q5" s="202"/>
      <c r="R5" s="182">
        <v>0</v>
      </c>
      <c r="S5" s="183" t="s">
        <v>935</v>
      </c>
      <c r="T5" s="184">
        <v>73</v>
      </c>
      <c r="U5" s="185" t="s">
        <v>935</v>
      </c>
      <c r="V5" s="186" t="s">
        <v>59</v>
      </c>
      <c r="X5" s="176">
        <v>200</v>
      </c>
      <c r="Y5" s="180"/>
      <c r="Z5" s="180" t="s">
        <v>57</v>
      </c>
      <c r="AA5" s="176" t="s">
        <v>58</v>
      </c>
      <c r="AB5" s="176" t="s">
        <v>2665</v>
      </c>
      <c r="AC5" s="176" t="s">
        <v>59</v>
      </c>
      <c r="AD5" s="176" t="s">
        <v>2806</v>
      </c>
      <c r="AE5" s="177"/>
      <c r="AF5" s="177" t="s">
        <v>2666</v>
      </c>
      <c r="AG5" s="178"/>
      <c r="AH5" s="177"/>
      <c r="AI5" s="177"/>
      <c r="AJ5" s="193"/>
      <c r="AK5" s="193"/>
      <c r="AL5" s="193"/>
      <c r="AM5" s="193"/>
    </row>
    <row r="6" spans="1:39" hidden="1" x14ac:dyDescent="0.2">
      <c r="A6" s="181">
        <v>777</v>
      </c>
      <c r="B6" s="204" t="str">
        <f>IF(AND(A6&lt;&gt;"",ISNUMBER(A6)),VLOOKUP(A6,Studies!A:BR,2,FALSE),"")</f>
        <v>Yasui 1996</v>
      </c>
      <c r="C6" s="204" t="str">
        <f>IF(AND(A6&lt;&gt;"",ISNUMBER(A6)),VLOOKUP(A6,Studies!A:BR,3,FALSE),"")</f>
        <v>https://www.ncbi.nlm.nih.gov/pubmed/8646822</v>
      </c>
      <c r="D6" s="204" t="str">
        <f>IF(AND(A6&lt;&gt;"",ISNUMBER(A6)),VLOOKUP(A6,Studies!A:BR,4,FALSE),"")</f>
        <v>Treatment with erythromycin</v>
      </c>
      <c r="E6" s="139" t="str">
        <f>IF(AND(A6&lt;&gt;"",ISNUMBER(A6)),VLOOKUP(A6,Studies!A:BR,5,FALSE),"")</f>
        <v>Alprazolam</v>
      </c>
      <c r="F6" s="186" t="s">
        <v>355</v>
      </c>
      <c r="G6" s="205" t="str">
        <f>IF(AND(A6&lt;&gt;"",ISNUMBER(A6)),VLOOKUP(A6,Studies!A:BR,13,FALSE),"")</f>
        <v>PO</v>
      </c>
      <c r="H6" s="138" t="s">
        <v>58</v>
      </c>
      <c r="I6" s="205" t="str">
        <f>IF(AND(A6&lt;&gt;"",ISNUMBER(A6)),VLOOKUP(A6,Studies!A:BR,6,FALSE),"")</f>
        <v>Plasma</v>
      </c>
      <c r="J6" s="187">
        <v>2.471616</v>
      </c>
      <c r="K6" s="187" t="s">
        <v>1099</v>
      </c>
      <c r="L6" s="201"/>
      <c r="M6" s="201"/>
      <c r="N6" s="193">
        <v>1.183333</v>
      </c>
      <c r="O6" s="193" t="s">
        <v>1099</v>
      </c>
      <c r="P6" s="202"/>
      <c r="Q6" s="202"/>
      <c r="R6" s="182">
        <v>0</v>
      </c>
      <c r="S6" s="183" t="s">
        <v>935</v>
      </c>
      <c r="T6" s="184">
        <v>170</v>
      </c>
      <c r="U6" s="185" t="s">
        <v>935</v>
      </c>
      <c r="V6" s="186" t="s">
        <v>59</v>
      </c>
      <c r="X6" s="176">
        <v>400</v>
      </c>
      <c r="Y6" s="180"/>
      <c r="Z6" s="180" t="s">
        <v>57</v>
      </c>
      <c r="AA6" s="176" t="s">
        <v>58</v>
      </c>
      <c r="AB6" s="176" t="s">
        <v>2160</v>
      </c>
      <c r="AC6" s="176" t="s">
        <v>59</v>
      </c>
      <c r="AD6" s="176" t="s">
        <v>1116</v>
      </c>
      <c r="AE6" s="177"/>
      <c r="AF6" s="177" t="s">
        <v>2161</v>
      </c>
      <c r="AG6" s="178"/>
      <c r="AH6" s="177"/>
      <c r="AI6" s="177"/>
      <c r="AJ6" s="193" t="s">
        <v>61</v>
      </c>
      <c r="AK6" s="193" t="s">
        <v>1960</v>
      </c>
      <c r="AL6" s="193"/>
      <c r="AM6" s="193"/>
    </row>
    <row r="7" spans="1:39" hidden="1" x14ac:dyDescent="0.2">
      <c r="A7" s="181">
        <v>1111</v>
      </c>
      <c r="B7" s="204" t="str">
        <f>IF(AND(A7&lt;&gt;"",ISNUMBER(A7)),VLOOKUP(A7,Studies!A:BR,2,FALSE),"")</f>
        <v>Wang 2005</v>
      </c>
      <c r="C7" s="204" t="str">
        <f>IF(AND(A7&lt;&gt;"",ISNUMBER(A7)),VLOOKUP(A7,Studies!A:BR,3,FALSE),"")</f>
        <v>https://ascpt.onlinelibrary.wiley.com/doi/abs/10.1016/j.clpt.2004.11.014</v>
      </c>
      <c r="D7" s="204" t="str">
        <f>IF(AND(A7&lt;&gt;"",ISNUMBER(A7)),VLOOKUP(A7,Studies!A:BR,4,FALSE),"")</f>
        <v>Midazolam after VER treatment</v>
      </c>
      <c r="E7" s="139" t="str">
        <f>IF(AND(A7&lt;&gt;"",ISNUMBER(A7)),VLOOKUP(A7,Studies!A:BR,5,FALSE),"")</f>
        <v>Midazolam</v>
      </c>
      <c r="F7" s="186" t="s">
        <v>382</v>
      </c>
      <c r="G7" s="205" t="str">
        <f>IF(AND(A7&lt;&gt;"",ISNUMBER(A7)),VLOOKUP(A7,Studies!A:BR,13,FALSE),"")</f>
        <v>IV</v>
      </c>
      <c r="H7" s="138"/>
      <c r="I7" s="205" t="str">
        <f>IF(AND(A7&lt;&gt;"",ISNUMBER(A7)),VLOOKUP(A7,Studies!A:BR,6,FALSE),"")</f>
        <v>Plasma</v>
      </c>
      <c r="J7" s="187">
        <v>1.4523809523809523</v>
      </c>
      <c r="K7" s="187" t="s">
        <v>2726</v>
      </c>
      <c r="L7" s="201"/>
      <c r="M7" s="201"/>
      <c r="N7" s="193"/>
      <c r="O7" s="193"/>
      <c r="P7" s="202"/>
      <c r="Q7" s="202"/>
      <c r="R7" s="182">
        <v>0</v>
      </c>
      <c r="S7" s="183" t="s">
        <v>935</v>
      </c>
      <c r="T7" s="184">
        <v>144</v>
      </c>
      <c r="U7" s="185" t="s">
        <v>935</v>
      </c>
      <c r="V7" s="186" t="s">
        <v>59</v>
      </c>
      <c r="W7" s="181" t="s">
        <v>2661</v>
      </c>
      <c r="X7" s="176">
        <v>240</v>
      </c>
      <c r="Y7" s="180"/>
      <c r="Z7" s="180" t="s">
        <v>57</v>
      </c>
      <c r="AA7" s="176"/>
      <c r="AB7" s="176" t="s">
        <v>2618</v>
      </c>
      <c r="AC7" s="176" t="s">
        <v>59</v>
      </c>
      <c r="AD7" s="176" t="s">
        <v>91</v>
      </c>
      <c r="AE7" s="177" t="s">
        <v>2662</v>
      </c>
      <c r="AF7" s="177" t="s">
        <v>2663</v>
      </c>
      <c r="AG7" s="178"/>
      <c r="AH7" s="177"/>
      <c r="AI7" s="177"/>
      <c r="AJ7" s="193"/>
      <c r="AK7" s="193"/>
      <c r="AL7" s="193"/>
      <c r="AM7" s="193"/>
    </row>
    <row r="8" spans="1:39" hidden="1" x14ac:dyDescent="0.2">
      <c r="A8" s="181">
        <v>1116</v>
      </c>
      <c r="B8" s="204" t="str">
        <f>IF(AND(A8&lt;&gt;"",ISNUMBER(A8)),VLOOKUP(A8,Studies!A:BR,2,FALSE),"")</f>
        <v>Wang 2005</v>
      </c>
      <c r="C8" s="204" t="str">
        <f>IF(AND(A8&lt;&gt;"",ISNUMBER(A8)),VLOOKUP(A8,Studies!A:BR,3,FALSE),"")</f>
        <v>https://ascpt.onlinelibrary.wiley.com/doi/abs/10.1016/j.clpt.2004.11.014</v>
      </c>
      <c r="D8" s="204" t="str">
        <f>IF(AND(A8&lt;&gt;"",ISNUMBER(A8)),VLOOKUP(A8,Studies!A:BR,4,FALSE),"")</f>
        <v>Midazolam after VER treatment</v>
      </c>
      <c r="E8" s="139" t="str">
        <f>IF(AND(A8&lt;&gt;"",ISNUMBER(A8)),VLOOKUP(A8,Studies!A:BR,5,FALSE),"")</f>
        <v>Midazolam</v>
      </c>
      <c r="F8" s="186" t="s">
        <v>382</v>
      </c>
      <c r="G8" s="205" t="str">
        <f>IF(AND(A8&lt;&gt;"",ISNUMBER(A8)),VLOOKUP(A8,Studies!A:BR,13,FALSE),"")</f>
        <v>PO</v>
      </c>
      <c r="H8" s="138"/>
      <c r="I8" s="205" t="str">
        <f>IF(AND(A8&lt;&gt;"",ISNUMBER(A8)),VLOOKUP(A8,Studies!A:BR,6,FALSE),"")</f>
        <v>Plasma</v>
      </c>
      <c r="J8" s="187">
        <v>3.5056179775280896</v>
      </c>
      <c r="K8" s="187" t="s">
        <v>2726</v>
      </c>
      <c r="L8" s="201"/>
      <c r="M8" s="201"/>
      <c r="N8" s="193"/>
      <c r="O8" s="193"/>
      <c r="P8" s="202"/>
      <c r="Q8" s="202"/>
      <c r="R8" s="182">
        <v>0</v>
      </c>
      <c r="S8" s="183" t="s">
        <v>935</v>
      </c>
      <c r="T8" s="184">
        <v>168</v>
      </c>
      <c r="U8" s="185" t="s">
        <v>935</v>
      </c>
      <c r="V8" s="186" t="s">
        <v>59</v>
      </c>
      <c r="W8" s="181" t="s">
        <v>2664</v>
      </c>
      <c r="X8" s="176">
        <v>240</v>
      </c>
      <c r="Y8" s="180"/>
      <c r="Z8" s="180" t="s">
        <v>57</v>
      </c>
      <c r="AA8" s="176"/>
      <c r="AB8" s="176" t="s">
        <v>2618</v>
      </c>
      <c r="AC8" s="176" t="s">
        <v>59</v>
      </c>
      <c r="AD8" s="176" t="s">
        <v>91</v>
      </c>
      <c r="AE8" s="177" t="s">
        <v>2662</v>
      </c>
      <c r="AF8" s="177" t="s">
        <v>2663</v>
      </c>
      <c r="AG8" s="178"/>
      <c r="AH8" s="177"/>
      <c r="AI8" s="177"/>
      <c r="AJ8" s="193"/>
      <c r="AK8" s="193"/>
      <c r="AL8" s="193"/>
      <c r="AM8" s="193"/>
    </row>
    <row r="9" spans="1:39" hidden="1" x14ac:dyDescent="0.2">
      <c r="A9" s="181">
        <v>1004</v>
      </c>
      <c r="B9" s="204" t="str">
        <f>IF(AND(A9&lt;&gt;"",ISNUMBER(A9)),VLOOKUP(A9,Studies!A:BR,2,FALSE),"")</f>
        <v>Villikka 1997</v>
      </c>
      <c r="C9" s="204" t="str">
        <f>IF(AND(A9&lt;&gt;"",ISNUMBER(A9)),VLOOKUP(A9,Studies!A:BR,3,FALSE),"")</f>
        <v>https://www.ncbi.nlm.nih.gov/pubmed/9024169</v>
      </c>
      <c r="D9" s="204" t="str">
        <f>IF(AND(A9&lt;&gt;"",ISNUMBER(A9)),VLOOKUP(A9,Studies!A:BR,4,FALSE),"")</f>
        <v>Treatment arm (pretreatment with rifampin, 600 mg, 5 days)</v>
      </c>
      <c r="E9" s="139" t="str">
        <f>IF(AND(A9&lt;&gt;"",ISNUMBER(A9)),VLOOKUP(A9,Studies!A:BR,5,FALSE),"")</f>
        <v>Triazolam</v>
      </c>
      <c r="F9" s="186" t="s">
        <v>1128</v>
      </c>
      <c r="G9" s="205" t="str">
        <f>IF(AND(A9&lt;&gt;"",ISNUMBER(A9)),VLOOKUP(A9,Studies!A:BR,13,FALSE),"")</f>
        <v>PO</v>
      </c>
      <c r="H9" s="138" t="s">
        <v>58</v>
      </c>
      <c r="I9" s="205" t="str">
        <f>IF(AND(A9&lt;&gt;"",ISNUMBER(A9)),VLOOKUP(A9,Studies!A:BR,6,FALSE),"")</f>
        <v>Plasma</v>
      </c>
      <c r="J9" s="187">
        <v>5.0999999999999997E-2</v>
      </c>
      <c r="K9" s="187" t="s">
        <v>1122</v>
      </c>
      <c r="L9" s="201" t="s">
        <v>2801</v>
      </c>
      <c r="M9" s="201" t="s">
        <v>2802</v>
      </c>
      <c r="N9" s="193">
        <v>0.12413793103448276</v>
      </c>
      <c r="O9" s="193" t="s">
        <v>1100</v>
      </c>
      <c r="P9" s="202"/>
      <c r="Q9" s="202"/>
      <c r="R9" s="182">
        <v>0</v>
      </c>
      <c r="S9" s="183" t="s">
        <v>935</v>
      </c>
      <c r="T9" s="184">
        <v>113</v>
      </c>
      <c r="U9" s="185" t="s">
        <v>935</v>
      </c>
      <c r="V9" s="186" t="s">
        <v>59</v>
      </c>
      <c r="W9" s="181" t="s">
        <v>2803</v>
      </c>
      <c r="X9" s="176">
        <v>600</v>
      </c>
      <c r="Y9" s="180"/>
      <c r="Z9" s="180" t="s">
        <v>57</v>
      </c>
      <c r="AA9" s="176" t="s">
        <v>58</v>
      </c>
      <c r="AB9" s="176" t="s">
        <v>2635</v>
      </c>
      <c r="AC9" s="176" t="s">
        <v>59</v>
      </c>
      <c r="AD9" s="176" t="s">
        <v>2804</v>
      </c>
      <c r="AE9" s="177"/>
      <c r="AF9" s="177" t="s">
        <v>2660</v>
      </c>
      <c r="AG9" s="178"/>
      <c r="AH9" s="177"/>
      <c r="AI9" s="177"/>
      <c r="AJ9" s="193"/>
      <c r="AK9" s="193"/>
      <c r="AL9" s="193"/>
      <c r="AM9" s="193"/>
    </row>
    <row r="10" spans="1:39" hidden="1" x14ac:dyDescent="0.2">
      <c r="A10" s="181">
        <v>1028</v>
      </c>
      <c r="B10" s="204" t="str">
        <f>IF(AND(A10&lt;&gt;"",ISNUMBER(A10)),VLOOKUP(A10,Studies!A:BR,2,FALSE),"")</f>
        <v>Varhe 1994</v>
      </c>
      <c r="C10" s="204" t="str">
        <f>IF(AND(A10&lt;&gt;"",ISNUMBER(A10)),VLOOKUP(A10,Studies!A:BR,3,FALSE),"")</f>
        <v>https://www.ncbi.nlm.nih.gov/pubmed/7995001</v>
      </c>
      <c r="D10" s="204" t="str">
        <f>IF(AND(A10&lt;&gt;"",ISNUMBER(A10)),VLOOKUP(A10,Studies!A:BR,4,FALSE),"")</f>
        <v>Triazolam with ketoconazole</v>
      </c>
      <c r="E10" s="139" t="str">
        <f>IF(AND(A10&lt;&gt;"",ISNUMBER(A10)),VLOOKUP(A10,Studies!A:BR,5,FALSE),"")</f>
        <v>Triazolam</v>
      </c>
      <c r="F10" s="186" t="s">
        <v>833</v>
      </c>
      <c r="G10" s="205" t="str">
        <f>IF(AND(A10&lt;&gt;"",ISNUMBER(A10)),VLOOKUP(A10,Studies!A:BR,13,FALSE),"")</f>
        <v>PO</v>
      </c>
      <c r="H10" s="138" t="s">
        <v>58</v>
      </c>
      <c r="I10" s="205" t="str">
        <f>IF(AND(A10&lt;&gt;"",ISNUMBER(A10)),VLOOKUP(A10,Studies!A:BR,6,FALSE),"")</f>
        <v>Plasma</v>
      </c>
      <c r="J10" s="187">
        <v>20.0638618873603</v>
      </c>
      <c r="K10" s="187" t="s">
        <v>2807</v>
      </c>
      <c r="L10" s="201" t="s">
        <v>2808</v>
      </c>
      <c r="M10" s="201" t="s">
        <v>971</v>
      </c>
      <c r="N10" s="193">
        <v>3.1074871263980901</v>
      </c>
      <c r="O10" s="193" t="s">
        <v>2807</v>
      </c>
      <c r="P10" s="202" t="s">
        <v>2809</v>
      </c>
      <c r="Q10" s="202" t="s">
        <v>971</v>
      </c>
      <c r="R10" s="182">
        <v>0</v>
      </c>
      <c r="S10" s="183" t="s">
        <v>935</v>
      </c>
      <c r="T10" s="184">
        <v>73</v>
      </c>
      <c r="U10" s="185" t="s">
        <v>935</v>
      </c>
      <c r="V10" s="186" t="s">
        <v>59</v>
      </c>
      <c r="W10" s="181" t="s">
        <v>2810</v>
      </c>
      <c r="X10" s="176">
        <v>400</v>
      </c>
      <c r="Y10" s="180"/>
      <c r="Z10" s="180" t="s">
        <v>57</v>
      </c>
      <c r="AA10" s="176"/>
      <c r="AB10" s="176" t="s">
        <v>2288</v>
      </c>
      <c r="AC10" s="176" t="s">
        <v>59</v>
      </c>
      <c r="AD10" s="176" t="s">
        <v>2811</v>
      </c>
      <c r="AE10" s="177"/>
      <c r="AF10" s="177" t="s">
        <v>2290</v>
      </c>
      <c r="AG10" s="178"/>
      <c r="AH10" s="177"/>
      <c r="AI10" s="177"/>
      <c r="AJ10" s="193"/>
      <c r="AK10" s="193"/>
      <c r="AL10" s="193"/>
      <c r="AM10" s="193" t="s">
        <v>2980</v>
      </c>
    </row>
    <row r="11" spans="1:39" hidden="1" x14ac:dyDescent="0.2">
      <c r="A11" s="181">
        <v>1029</v>
      </c>
      <c r="B11" s="204" t="str">
        <f>IF(AND(A11&lt;&gt;"",ISNUMBER(A11)),VLOOKUP(A11,Studies!A:BR,2,FALSE),"")</f>
        <v>Varhe 1994</v>
      </c>
      <c r="C11" s="204" t="str">
        <f>IF(AND(A11&lt;&gt;"",ISNUMBER(A11)),VLOOKUP(A11,Studies!A:BR,3,FALSE),"")</f>
        <v>https://www.ncbi.nlm.nih.gov/pubmed/7995001</v>
      </c>
      <c r="D11" s="204" t="str">
        <f>IF(AND(A11&lt;&gt;"",ISNUMBER(A11)),VLOOKUP(A11,Studies!A:BR,4,FALSE),"")</f>
        <v>Triazolam with Itraconazole</v>
      </c>
      <c r="E11" s="139" t="str">
        <f>IF(AND(A11&lt;&gt;"",ISNUMBER(A11)),VLOOKUP(A11,Studies!A:BR,5,FALSE),"")</f>
        <v>Triazolam</v>
      </c>
      <c r="F11" s="186" t="s">
        <v>148</v>
      </c>
      <c r="G11" s="205" t="str">
        <f>IF(AND(A11&lt;&gt;"",ISNUMBER(A11)),VLOOKUP(A11,Studies!A:BR,13,FALSE),"")</f>
        <v>PO</v>
      </c>
      <c r="H11" s="138" t="s">
        <v>58</v>
      </c>
      <c r="I11" s="205" t="str">
        <f>IF(AND(A11&lt;&gt;"",ISNUMBER(A11)),VLOOKUP(A11,Studies!A:BR,6,FALSE),"")</f>
        <v>Plasma</v>
      </c>
      <c r="J11" s="187">
        <v>19.0287455476447</v>
      </c>
      <c r="K11" s="187" t="s">
        <v>2807</v>
      </c>
      <c r="L11" s="201" t="s">
        <v>2812</v>
      </c>
      <c r="M11" s="201" t="s">
        <v>971</v>
      </c>
      <c r="N11" s="193">
        <v>2.6854478328357501</v>
      </c>
      <c r="O11" s="193" t="s">
        <v>2807</v>
      </c>
      <c r="P11" s="202" t="s">
        <v>2813</v>
      </c>
      <c r="Q11" s="202" t="s">
        <v>971</v>
      </c>
      <c r="R11" s="182">
        <v>0</v>
      </c>
      <c r="S11" s="183" t="s">
        <v>935</v>
      </c>
      <c r="T11" s="184">
        <v>73</v>
      </c>
      <c r="U11" s="185" t="s">
        <v>935</v>
      </c>
      <c r="V11" s="186" t="s">
        <v>59</v>
      </c>
      <c r="W11" s="181" t="s">
        <v>2810</v>
      </c>
      <c r="X11" s="176">
        <v>200</v>
      </c>
      <c r="Y11" s="180"/>
      <c r="Z11" s="180" t="s">
        <v>57</v>
      </c>
      <c r="AA11" s="176"/>
      <c r="AB11" s="176" t="s">
        <v>2288</v>
      </c>
      <c r="AC11" s="176" t="s">
        <v>59</v>
      </c>
      <c r="AD11" s="176" t="s">
        <v>2811</v>
      </c>
      <c r="AE11" s="177"/>
      <c r="AF11" s="177" t="s">
        <v>832</v>
      </c>
      <c r="AG11" s="178"/>
      <c r="AH11" s="177"/>
      <c r="AI11" s="177"/>
      <c r="AJ11" s="193"/>
      <c r="AK11" s="193"/>
      <c r="AL11" s="193"/>
      <c r="AM11" s="193" t="s">
        <v>2980</v>
      </c>
    </row>
    <row r="12" spans="1:39" x14ac:dyDescent="0.2">
      <c r="A12" s="181">
        <v>2002</v>
      </c>
      <c r="B12" s="204" t="str">
        <f>IF(AND(A12&lt;&gt;"",ISNUMBER(A12)),VLOOKUP(A12,Studies!A:BR,2,FALSE),"")</f>
        <v>van Dyk 2018</v>
      </c>
      <c r="C12" s="204" t="str">
        <f>IF(AND(A12&lt;&gt;"",ISNUMBER(A12)),VLOOKUP(A12,Studies!A:BR,3,FALSE),"")</f>
        <v>https://www.ncbi.nlm.nih.gov/pubmed/29572563</v>
      </c>
      <c r="D12" s="204" t="str">
        <f>IF(AND(A12&lt;&gt;"",ISNUMBER(A12)),VLOOKUP(A12,Studies!A:BR,4,FALSE),"")</f>
        <v>Midazolam in Caucasian following 7d of Rifampicin (between day 1 and 8)</v>
      </c>
      <c r="E12" s="139" t="str">
        <f>IF(AND(A12&lt;&gt;"",ISNUMBER(A12)),VLOOKUP(A12,Studies!A:BR,5,FALSE),"")</f>
        <v>Midazolam</v>
      </c>
      <c r="F12" s="186" t="s">
        <v>53</v>
      </c>
      <c r="G12" s="205" t="str">
        <f>IF(AND(A12&lt;&gt;"",ISNUMBER(A12)),VLOOKUP(A12,Studies!A:BR,13,FALSE),"")</f>
        <v>PO</v>
      </c>
      <c r="H12" s="138" t="s">
        <v>58</v>
      </c>
      <c r="I12" s="205" t="str">
        <f>IF(AND(A12&lt;&gt;"",ISNUMBER(A12)),VLOOKUP(A12,Studies!A:BR,6,FALSE),"")</f>
        <v>Plasma</v>
      </c>
      <c r="J12" s="187">
        <f>1/3.9</f>
        <v>0.25641025641025644</v>
      </c>
      <c r="K12" s="187" t="s">
        <v>993</v>
      </c>
      <c r="L12" s="201" t="str">
        <f>1/4.8&amp;"-"&amp;1/3</f>
        <v>0.208333333333333-0.333333333333333</v>
      </c>
      <c r="M12" s="201" t="s">
        <v>1096</v>
      </c>
      <c r="N12" s="193">
        <f>2.7/7.2</f>
        <v>0.375</v>
      </c>
      <c r="O12" s="193" t="s">
        <v>1100</v>
      </c>
      <c r="P12" s="202"/>
      <c r="Q12" s="202"/>
      <c r="R12" s="182">
        <v>0</v>
      </c>
      <c r="S12" s="183">
        <v>6</v>
      </c>
      <c r="T12" s="184">
        <v>156</v>
      </c>
      <c r="U12" s="185">
        <v>162</v>
      </c>
      <c r="V12" s="186" t="s">
        <v>59</v>
      </c>
      <c r="W12" s="181" t="s">
        <v>2675</v>
      </c>
      <c r="X12" s="176">
        <v>300</v>
      </c>
      <c r="Y12" s="180"/>
      <c r="Z12" s="180" t="s">
        <v>57</v>
      </c>
      <c r="AA12" s="176" t="s">
        <v>58</v>
      </c>
      <c r="AB12" s="176" t="s">
        <v>2618</v>
      </c>
      <c r="AC12" s="176" t="s">
        <v>59</v>
      </c>
      <c r="AD12" s="176" t="s">
        <v>2676</v>
      </c>
      <c r="AE12" s="177" t="s">
        <v>1141</v>
      </c>
      <c r="AF12" s="177" t="s">
        <v>2946</v>
      </c>
      <c r="AG12" s="178"/>
      <c r="AH12" s="177"/>
      <c r="AI12" s="177"/>
      <c r="AJ12" s="193"/>
      <c r="AK12" s="193"/>
      <c r="AL12" s="193"/>
      <c r="AM12" s="193"/>
    </row>
    <row r="13" spans="1:39" x14ac:dyDescent="0.2">
      <c r="A13" s="181">
        <v>2003</v>
      </c>
      <c r="B13" s="204" t="str">
        <f>IF(AND(A13&lt;&gt;"",ISNUMBER(A13)),VLOOKUP(A13,Studies!A:BR,2,FALSE),"")</f>
        <v>van Dyk 2018</v>
      </c>
      <c r="C13" s="204" t="str">
        <f>IF(AND(A13&lt;&gt;"",ISNUMBER(A13)),VLOOKUP(A13,Studies!A:BR,3,FALSE),"")</f>
        <v>https://www.ncbi.nlm.nih.gov/pubmed/29572563</v>
      </c>
      <c r="D13" s="204" t="str">
        <f>IF(AND(A13&lt;&gt;"",ISNUMBER(A13)),VLOOKUP(A13,Studies!A:BR,4,FALSE),"")</f>
        <v>Midazolam in South Asian following 7d of Rifampicin (between day 1 and 8)</v>
      </c>
      <c r="E13" s="139" t="str">
        <f>IF(AND(A13&lt;&gt;"",ISNUMBER(A13)),VLOOKUP(A13,Studies!A:BR,5,FALSE),"")</f>
        <v>Midazolam</v>
      </c>
      <c r="F13" s="186" t="s">
        <v>53</v>
      </c>
      <c r="G13" s="205" t="str">
        <f>IF(AND(A13&lt;&gt;"",ISNUMBER(A13)),VLOOKUP(A13,Studies!A:BR,13,FALSE),"")</f>
        <v>PO</v>
      </c>
      <c r="H13" s="138" t="s">
        <v>58</v>
      </c>
      <c r="I13" s="205" t="str">
        <f>IF(AND(A13&lt;&gt;"",ISNUMBER(A13)),VLOOKUP(A13,Studies!A:BR,6,FALSE),"")</f>
        <v>Plasma</v>
      </c>
      <c r="J13" s="187">
        <f>1/5.3</f>
        <v>0.18867924528301888</v>
      </c>
      <c r="K13" s="187" t="s">
        <v>993</v>
      </c>
      <c r="L13" s="201" t="str">
        <f>1/6.4&amp;"-"&amp;1/3.8</f>
        <v>0.15625-0.263157894736842</v>
      </c>
      <c r="M13" s="201" t="s">
        <v>1096</v>
      </c>
      <c r="N13" s="193">
        <f>1.2/5.5</f>
        <v>0.21818181818181817</v>
      </c>
      <c r="O13" s="193" t="s">
        <v>1100</v>
      </c>
      <c r="P13" s="202"/>
      <c r="Q13" s="202"/>
      <c r="R13" s="182">
        <v>0</v>
      </c>
      <c r="S13" s="183">
        <v>6</v>
      </c>
      <c r="T13" s="184">
        <v>156</v>
      </c>
      <c r="U13" s="185">
        <v>162</v>
      </c>
      <c r="V13" s="186" t="s">
        <v>59</v>
      </c>
      <c r="W13" s="181" t="s">
        <v>2677</v>
      </c>
      <c r="X13" s="176">
        <v>300</v>
      </c>
      <c r="Y13" s="180"/>
      <c r="Z13" s="180" t="s">
        <v>57</v>
      </c>
      <c r="AA13" s="176" t="s">
        <v>58</v>
      </c>
      <c r="AB13" s="176" t="s">
        <v>2618</v>
      </c>
      <c r="AC13" s="176" t="s">
        <v>59</v>
      </c>
      <c r="AD13" s="176" t="s">
        <v>2676</v>
      </c>
      <c r="AE13" s="177" t="s">
        <v>1141</v>
      </c>
      <c r="AF13" s="177" t="s">
        <v>2946</v>
      </c>
      <c r="AG13" s="178"/>
      <c r="AH13" s="177"/>
      <c r="AI13" s="177"/>
      <c r="AJ13" s="193"/>
      <c r="AK13" s="193"/>
      <c r="AL13" s="193"/>
      <c r="AM13" s="193"/>
    </row>
    <row r="14" spans="1:39" hidden="1" x14ac:dyDescent="0.2">
      <c r="A14" s="181">
        <v>2004</v>
      </c>
      <c r="B14" s="204" t="str">
        <f>IF(AND(A14&lt;&gt;"",ISNUMBER(A14)),VLOOKUP(A14,Studies!A:BR,2,FALSE),"")</f>
        <v>van Dyk 2018</v>
      </c>
      <c r="C14" s="204" t="str">
        <f>IF(AND(A14&lt;&gt;"",ISNUMBER(A14)),VLOOKUP(A14,Studies!A:BR,3,FALSE),"")</f>
        <v>https://www.ncbi.nlm.nih.gov/pubmed/29572563</v>
      </c>
      <c r="D14" s="204" t="str">
        <f>IF(AND(A14&lt;&gt;"",ISNUMBER(A14)),VLOOKUP(A14,Studies!A:BR,4,FALSE),"")</f>
        <v>Midazolam in Caucasian following 3d of Clarithromycin (between day 12 and 14)</v>
      </c>
      <c r="E14" s="139" t="str">
        <f>IF(AND(A14&lt;&gt;"",ISNUMBER(A14)),VLOOKUP(A14,Studies!A:BR,5,FALSE),"")</f>
        <v>Midazolam</v>
      </c>
      <c r="F14" s="186" t="s">
        <v>1110</v>
      </c>
      <c r="G14" s="205" t="str">
        <f>IF(AND(A14&lt;&gt;"",ISNUMBER(A14)),VLOOKUP(A14,Studies!A:BR,13,FALSE),"")</f>
        <v>PO</v>
      </c>
      <c r="H14" s="138" t="s">
        <v>58</v>
      </c>
      <c r="I14" s="205" t="str">
        <f>IF(AND(A14&lt;&gt;"",ISNUMBER(A14)),VLOOKUP(A14,Studies!A:BR,6,FALSE),"")</f>
        <v>Plasma</v>
      </c>
      <c r="J14" s="187">
        <v>1.9</v>
      </c>
      <c r="K14" s="187" t="s">
        <v>993</v>
      </c>
      <c r="L14" s="201" t="s">
        <v>2678</v>
      </c>
      <c r="M14" s="201" t="s">
        <v>1096</v>
      </c>
      <c r="N14" s="193">
        <f>12.6/7.2</f>
        <v>1.75</v>
      </c>
      <c r="O14" s="193" t="s">
        <v>1100</v>
      </c>
      <c r="P14" s="202"/>
      <c r="Q14" s="202"/>
      <c r="R14" s="182">
        <v>0</v>
      </c>
      <c r="S14" s="183">
        <v>6</v>
      </c>
      <c r="T14" s="184">
        <v>324</v>
      </c>
      <c r="U14" s="185">
        <v>330</v>
      </c>
      <c r="V14" s="186" t="s">
        <v>59</v>
      </c>
      <c r="W14" s="181" t="s">
        <v>2988</v>
      </c>
      <c r="X14" s="176">
        <v>250</v>
      </c>
      <c r="Y14" s="180"/>
      <c r="Z14" s="180" t="s">
        <v>57</v>
      </c>
      <c r="AA14" s="176"/>
      <c r="AB14" s="176" t="s">
        <v>2679</v>
      </c>
      <c r="AC14" s="176" t="s">
        <v>59</v>
      </c>
      <c r="AD14" s="176" t="s">
        <v>2680</v>
      </c>
      <c r="AE14" s="177" t="s">
        <v>1131</v>
      </c>
      <c r="AF14" s="177" t="s">
        <v>2947</v>
      </c>
      <c r="AG14" s="178"/>
      <c r="AH14" s="177"/>
      <c r="AI14" s="177"/>
      <c r="AJ14" s="193"/>
      <c r="AK14" s="193"/>
      <c r="AL14" s="193"/>
      <c r="AM14" s="193"/>
    </row>
    <row r="15" spans="1:39" hidden="1" x14ac:dyDescent="0.2">
      <c r="A15" s="181">
        <v>2005</v>
      </c>
      <c r="B15" s="204" t="str">
        <f>IF(AND(A15&lt;&gt;"",ISNUMBER(A15)),VLOOKUP(A15,Studies!A:BR,2,FALSE),"")</f>
        <v>van Dyk 2018</v>
      </c>
      <c r="C15" s="204" t="str">
        <f>IF(AND(A15&lt;&gt;"",ISNUMBER(A15)),VLOOKUP(A15,Studies!A:BR,3,FALSE),"")</f>
        <v>https://www.ncbi.nlm.nih.gov/pubmed/29572563</v>
      </c>
      <c r="D15" s="204" t="str">
        <f>IF(AND(A15&lt;&gt;"",ISNUMBER(A15)),VLOOKUP(A15,Studies!A:BR,4,FALSE),"")</f>
        <v>Midazolam in South Asian following 3d of Clarithromycin (between day 12 and 14)</v>
      </c>
      <c r="E15" s="139" t="str">
        <f>IF(AND(A15&lt;&gt;"",ISNUMBER(A15)),VLOOKUP(A15,Studies!A:BR,5,FALSE),"")</f>
        <v>Midazolam</v>
      </c>
      <c r="F15" s="186" t="s">
        <v>1110</v>
      </c>
      <c r="G15" s="205" t="str">
        <f>IF(AND(A15&lt;&gt;"",ISNUMBER(A15)),VLOOKUP(A15,Studies!A:BR,13,FALSE),"")</f>
        <v>PO</v>
      </c>
      <c r="H15" s="138" t="s">
        <v>58</v>
      </c>
      <c r="I15" s="205" t="str">
        <f>IF(AND(A15&lt;&gt;"",ISNUMBER(A15)),VLOOKUP(A15,Studies!A:BR,6,FALSE),"")</f>
        <v>Plasma</v>
      </c>
      <c r="J15" s="187">
        <v>1.5</v>
      </c>
      <c r="K15" s="187" t="s">
        <v>993</v>
      </c>
      <c r="L15" s="201" t="s">
        <v>2681</v>
      </c>
      <c r="M15" s="201" t="s">
        <v>1096</v>
      </c>
      <c r="N15" s="193">
        <f>8.3/5.5</f>
        <v>1.5090909090909093</v>
      </c>
      <c r="O15" s="193" t="s">
        <v>1100</v>
      </c>
      <c r="P15" s="202"/>
      <c r="Q15" s="202"/>
      <c r="R15" s="182">
        <v>0</v>
      </c>
      <c r="S15" s="183">
        <v>6</v>
      </c>
      <c r="T15" s="184">
        <v>324</v>
      </c>
      <c r="U15" s="185">
        <v>330</v>
      </c>
      <c r="V15" s="186" t="s">
        <v>59</v>
      </c>
      <c r="W15" s="181" t="s">
        <v>2989</v>
      </c>
      <c r="X15" s="176">
        <v>250</v>
      </c>
      <c r="Y15" s="180"/>
      <c r="Z15" s="180" t="s">
        <v>57</v>
      </c>
      <c r="AA15" s="176"/>
      <c r="AB15" s="176" t="s">
        <v>2679</v>
      </c>
      <c r="AC15" s="176" t="s">
        <v>59</v>
      </c>
      <c r="AD15" s="176" t="s">
        <v>2680</v>
      </c>
      <c r="AE15" s="177" t="s">
        <v>1131</v>
      </c>
      <c r="AF15" s="177" t="s">
        <v>2947</v>
      </c>
      <c r="AG15" s="178"/>
      <c r="AH15" s="177"/>
      <c r="AI15" s="177"/>
      <c r="AJ15" s="193"/>
      <c r="AK15" s="193"/>
      <c r="AL15" s="193"/>
      <c r="AM15" s="193"/>
    </row>
    <row r="16" spans="1:39" hidden="1" x14ac:dyDescent="0.2">
      <c r="A16" s="187">
        <v>428</v>
      </c>
      <c r="B16" s="204" t="str">
        <f>IF(AND(A16&lt;&gt;"",ISNUMBER(A16)),VLOOKUP(A16,Studies!A:BR,2,FALSE),"")</f>
        <v>Tham 2006</v>
      </c>
      <c r="C16" s="204" t="str">
        <f>IF(AND(A16&lt;&gt;"",ISNUMBER(A16)),VLOOKUP(A16,Studies!A:BR,3,FALSE),"")</f>
        <v>https://www.ncbi.nlm.nih.gov/pubmed/16628140</v>
      </c>
      <c r="D16" s="204" t="str">
        <f>IF(AND(A16&lt;&gt;"",ISNUMBER(A16)),VLOOKUP(A16,Studies!A:BR,4,FALSE),"")</f>
        <v>with Perpetrator (Ketoconazole 50 mg)</v>
      </c>
      <c r="E16" s="139" t="str">
        <f>IF(AND(A16&lt;&gt;"",ISNUMBER(A16)),VLOOKUP(A16,Studies!A:BR,5,FALSE),"")</f>
        <v>Midazolam</v>
      </c>
      <c r="F16" s="186" t="s">
        <v>833</v>
      </c>
      <c r="G16" s="205" t="str">
        <f>IF(AND(A16&lt;&gt;"",ISNUMBER(A16)),VLOOKUP(A16,Studies!A:BR,13,FALSE),"")</f>
        <v>IV</v>
      </c>
      <c r="H16" s="138" t="str">
        <f t="shared" ref="H16:H21" si="0">AA16</f>
        <v>PO</v>
      </c>
      <c r="I16" s="205" t="str">
        <f>IF(AND(A16&lt;&gt;"",ISNUMBER(A16)),VLOOKUP(A16,Studies!A:BR,6,FALSE),"")</f>
        <v>Plasma</v>
      </c>
      <c r="J16" s="187">
        <f>0.27/0.17</f>
        <v>1.588235294117647</v>
      </c>
      <c r="K16" s="187" t="s">
        <v>1099</v>
      </c>
      <c r="L16" s="201"/>
      <c r="M16" s="201"/>
      <c r="N16" s="213"/>
      <c r="O16" s="213"/>
      <c r="P16" s="202"/>
      <c r="Q16" s="202"/>
      <c r="R16" s="182">
        <v>0</v>
      </c>
      <c r="S16" s="183" t="s">
        <v>935</v>
      </c>
      <c r="T16" s="184">
        <v>47</v>
      </c>
      <c r="U16" s="185" t="s">
        <v>935</v>
      </c>
      <c r="V16" s="219" t="s">
        <v>59</v>
      </c>
      <c r="W16" s="220"/>
      <c r="X16" s="206">
        <v>200</v>
      </c>
      <c r="Y16" s="207"/>
      <c r="Z16" s="180" t="s">
        <v>57</v>
      </c>
      <c r="AA16" s="176" t="s">
        <v>58</v>
      </c>
      <c r="AB16" s="176" t="s">
        <v>1165</v>
      </c>
      <c r="AC16" s="176" t="s">
        <v>59</v>
      </c>
      <c r="AD16" s="176" t="s">
        <v>91</v>
      </c>
      <c r="AE16" s="177" t="s">
        <v>834</v>
      </c>
      <c r="AF16" s="177" t="s">
        <v>1166</v>
      </c>
      <c r="AG16" s="209"/>
      <c r="AH16" s="208"/>
      <c r="AI16" s="177" t="s">
        <v>1167</v>
      </c>
      <c r="AJ16" s="193"/>
      <c r="AK16" s="193"/>
      <c r="AL16" s="193"/>
      <c r="AM16" s="193"/>
    </row>
    <row r="17" spans="1:39" hidden="1" x14ac:dyDescent="0.2">
      <c r="A17" s="187">
        <v>424</v>
      </c>
      <c r="B17" s="204" t="str">
        <f>IF(AND(A17&lt;&gt;"",ISNUMBER(A17)),VLOOKUP(A17,Studies!A:BR,2,FALSE),"")</f>
        <v>Templeton 2010</v>
      </c>
      <c r="C17" s="204" t="str">
        <f>IF(AND(A17&lt;&gt;"",ISNUMBER(A17)),VLOOKUP(A17,Studies!A:BR,3,FALSE),"")</f>
        <v>https://www.ncbi.nlm.nih.gov/pubmed/20739919</v>
      </c>
      <c r="D17" s="204" t="str">
        <f>IF(AND(A17&lt;&gt;"",ISNUMBER(A17)),VLOOKUP(A17,Studies!A:BR,4,FALSE),"")</f>
        <v>with Perpetrator (Itraconazole @ 50 mg)</v>
      </c>
      <c r="E17" s="139" t="str">
        <f>IF(AND(A17&lt;&gt;"",ISNUMBER(A17)),VLOOKUP(A17,Studies!A:BR,5,FALSE),"")</f>
        <v>Midazolam</v>
      </c>
      <c r="F17" s="186" t="s">
        <v>148</v>
      </c>
      <c r="G17" s="205" t="str">
        <f>IF(AND(A17&lt;&gt;"",ISNUMBER(A17)),VLOOKUP(A17,Studies!A:BR,13,FALSE),"")</f>
        <v>PO</v>
      </c>
      <c r="H17" s="138" t="str">
        <f t="shared" si="0"/>
        <v>PO</v>
      </c>
      <c r="I17" s="205" t="str">
        <f>IF(AND(A17&lt;&gt;"",ISNUMBER(A17)),VLOOKUP(A17,Studies!A:BR,6,FALSE),"")</f>
        <v>Plasma</v>
      </c>
      <c r="J17" s="187">
        <v>2</v>
      </c>
      <c r="K17" s="187" t="s">
        <v>334</v>
      </c>
      <c r="L17" s="201">
        <v>0.6</v>
      </c>
      <c r="M17" s="201" t="s">
        <v>116</v>
      </c>
      <c r="N17" s="213"/>
      <c r="O17" s="213"/>
      <c r="P17" s="202"/>
      <c r="Q17" s="202"/>
      <c r="R17" s="182">
        <v>0</v>
      </c>
      <c r="S17" s="183" t="s">
        <v>935</v>
      </c>
      <c r="T17" s="184">
        <v>4</v>
      </c>
      <c r="U17" s="185" t="s">
        <v>935</v>
      </c>
      <c r="V17" s="219" t="s">
        <v>59</v>
      </c>
      <c r="W17" s="220"/>
      <c r="X17" s="206">
        <v>50</v>
      </c>
      <c r="Y17" s="207"/>
      <c r="Z17" s="137" t="s">
        <v>57</v>
      </c>
      <c r="AA17" s="176" t="s">
        <v>58</v>
      </c>
      <c r="AB17" s="176">
        <v>0</v>
      </c>
      <c r="AC17" s="176" t="s">
        <v>59</v>
      </c>
      <c r="AD17" s="176" t="s">
        <v>78</v>
      </c>
      <c r="AE17" s="177"/>
      <c r="AF17" s="177" t="s">
        <v>757</v>
      </c>
      <c r="AG17" s="209"/>
      <c r="AH17" s="208"/>
      <c r="AI17" s="177"/>
      <c r="AJ17" s="193" t="s">
        <v>61</v>
      </c>
      <c r="AK17" s="193"/>
      <c r="AL17" s="193">
        <v>0.5</v>
      </c>
      <c r="AM17" s="193" t="s">
        <v>1164</v>
      </c>
    </row>
    <row r="18" spans="1:39" hidden="1" x14ac:dyDescent="0.2">
      <c r="A18" s="187">
        <v>425</v>
      </c>
      <c r="B18" s="204" t="str">
        <f>IF(AND(A18&lt;&gt;"",ISNUMBER(A18)),VLOOKUP(A18,Studies!A:BR,2,FALSE),"")</f>
        <v>Templeton 2010</v>
      </c>
      <c r="C18" s="204" t="str">
        <f>IF(AND(A18&lt;&gt;"",ISNUMBER(A18)),VLOOKUP(A18,Studies!A:BR,3,FALSE),"")</f>
        <v>https://www.ncbi.nlm.nih.gov/pubmed/20739919</v>
      </c>
      <c r="D18" s="204" t="str">
        <f>IF(AND(A18&lt;&gt;"",ISNUMBER(A18)),VLOOKUP(A18,Studies!A:BR,4,FALSE),"")</f>
        <v>with Perpetrator (Itraconazole @ 200 mg)</v>
      </c>
      <c r="E18" s="139" t="str">
        <f>IF(AND(A18&lt;&gt;"",ISNUMBER(A18)),VLOOKUP(A18,Studies!A:BR,5,FALSE),"")</f>
        <v>Midazolam</v>
      </c>
      <c r="F18" s="186" t="s">
        <v>148</v>
      </c>
      <c r="G18" s="205" t="str">
        <f>IF(AND(A18&lt;&gt;"",ISNUMBER(A18)),VLOOKUP(A18,Studies!A:BR,13,FALSE),"")</f>
        <v>PO</v>
      </c>
      <c r="H18" s="138" t="str">
        <f t="shared" si="0"/>
        <v>PO</v>
      </c>
      <c r="I18" s="205" t="str">
        <f>IF(AND(A18&lt;&gt;"",ISNUMBER(A18)),VLOOKUP(A18,Studies!A:BR,6,FALSE),"")</f>
        <v>Plasma</v>
      </c>
      <c r="J18" s="187">
        <v>4.7</v>
      </c>
      <c r="K18" s="187" t="s">
        <v>334</v>
      </c>
      <c r="L18" s="201">
        <v>1.4</v>
      </c>
      <c r="M18" s="201" t="s">
        <v>116</v>
      </c>
      <c r="N18" s="213"/>
      <c r="O18" s="213"/>
      <c r="P18" s="202"/>
      <c r="Q18" s="202"/>
      <c r="R18" s="182">
        <v>0</v>
      </c>
      <c r="S18" s="183" t="s">
        <v>935</v>
      </c>
      <c r="T18" s="184">
        <v>4</v>
      </c>
      <c r="U18" s="185" t="s">
        <v>935</v>
      </c>
      <c r="V18" s="219" t="s">
        <v>59</v>
      </c>
      <c r="W18" s="220"/>
      <c r="X18" s="206">
        <v>200</v>
      </c>
      <c r="Y18" s="207"/>
      <c r="Z18" s="137" t="s">
        <v>57</v>
      </c>
      <c r="AA18" s="176" t="s">
        <v>58</v>
      </c>
      <c r="AB18" s="176">
        <v>0</v>
      </c>
      <c r="AC18" s="176" t="s">
        <v>59</v>
      </c>
      <c r="AD18" s="176" t="s">
        <v>78</v>
      </c>
      <c r="AE18" s="177"/>
      <c r="AF18" s="177" t="s">
        <v>757</v>
      </c>
      <c r="AG18" s="209"/>
      <c r="AH18" s="208"/>
      <c r="AI18" s="177"/>
      <c r="AJ18" s="193" t="s">
        <v>61</v>
      </c>
      <c r="AK18" s="193"/>
      <c r="AL18" s="193">
        <v>0.5</v>
      </c>
      <c r="AM18" s="193" t="s">
        <v>1164</v>
      </c>
    </row>
    <row r="19" spans="1:39" hidden="1" x14ac:dyDescent="0.2">
      <c r="A19" s="187">
        <v>426</v>
      </c>
      <c r="B19" s="204" t="str">
        <f>IF(AND(A19&lt;&gt;"",ISNUMBER(A19)),VLOOKUP(A19,Studies!A:BR,2,FALSE),"")</f>
        <v>Templeton 2010</v>
      </c>
      <c r="C19" s="204" t="str">
        <f>IF(AND(A19&lt;&gt;"",ISNUMBER(A19)),VLOOKUP(A19,Studies!A:BR,3,FALSE),"")</f>
        <v>https://www.ncbi.nlm.nih.gov/pubmed/20739919</v>
      </c>
      <c r="D19" s="204" t="str">
        <f>IF(AND(A19&lt;&gt;"",ISNUMBER(A19)),VLOOKUP(A19,Studies!A:BR,4,FALSE),"")</f>
        <v>with Perpetrator (Itraconazole @ 400 mg)</v>
      </c>
      <c r="E19" s="139" t="str">
        <f>IF(AND(A19&lt;&gt;"",ISNUMBER(A19)),VLOOKUP(A19,Studies!A:BR,5,FALSE),"")</f>
        <v>Midazolam</v>
      </c>
      <c r="F19" s="186" t="s">
        <v>148</v>
      </c>
      <c r="G19" s="205" t="str">
        <f>IF(AND(A19&lt;&gt;"",ISNUMBER(A19)),VLOOKUP(A19,Studies!A:BR,13,FALSE),"")</f>
        <v>PO</v>
      </c>
      <c r="H19" s="138" t="str">
        <f t="shared" si="0"/>
        <v>PO</v>
      </c>
      <c r="I19" s="205" t="str">
        <f>IF(AND(A19&lt;&gt;"",ISNUMBER(A19)),VLOOKUP(A19,Studies!A:BR,6,FALSE),"")</f>
        <v>Plasma</v>
      </c>
      <c r="J19" s="187">
        <v>5.4</v>
      </c>
      <c r="K19" s="187" t="s">
        <v>334</v>
      </c>
      <c r="L19" s="201">
        <v>1.5</v>
      </c>
      <c r="M19" s="201" t="s">
        <v>116</v>
      </c>
      <c r="N19" s="213"/>
      <c r="O19" s="213"/>
      <c r="P19" s="202"/>
      <c r="Q19" s="202"/>
      <c r="R19" s="182">
        <v>0</v>
      </c>
      <c r="S19" s="183" t="s">
        <v>935</v>
      </c>
      <c r="T19" s="184">
        <v>4</v>
      </c>
      <c r="U19" s="185" t="s">
        <v>935</v>
      </c>
      <c r="V19" s="219" t="s">
        <v>59</v>
      </c>
      <c r="W19" s="220"/>
      <c r="X19" s="206">
        <v>400</v>
      </c>
      <c r="Y19" s="207"/>
      <c r="Z19" s="137" t="s">
        <v>57</v>
      </c>
      <c r="AA19" s="176" t="s">
        <v>58</v>
      </c>
      <c r="AB19" s="176">
        <v>0</v>
      </c>
      <c r="AC19" s="176" t="s">
        <v>59</v>
      </c>
      <c r="AD19" s="176" t="s">
        <v>78</v>
      </c>
      <c r="AE19" s="177"/>
      <c r="AF19" s="177" t="s">
        <v>757</v>
      </c>
      <c r="AG19" s="209"/>
      <c r="AH19" s="208"/>
      <c r="AI19" s="177"/>
      <c r="AJ19" s="193" t="s">
        <v>61</v>
      </c>
      <c r="AK19" s="193"/>
      <c r="AL19" s="193">
        <v>0.5</v>
      </c>
      <c r="AM19" s="193" t="s">
        <v>1164</v>
      </c>
    </row>
    <row r="20" spans="1:39" hidden="1" x14ac:dyDescent="0.2">
      <c r="A20" s="187">
        <v>422</v>
      </c>
      <c r="B20" s="204" t="str">
        <f>IF(AND(A20&lt;&gt;"",ISNUMBER(A20)),VLOOKUP(A20,Studies!A:BR,2,FALSE),"")</f>
        <v>Szalat 2007</v>
      </c>
      <c r="C20" s="204" t="str">
        <f>IF(AND(A20&lt;&gt;"",ISNUMBER(A20)),VLOOKUP(A20,Studies!A:BR,3,FALSE),"")</f>
        <v>https://www.ncbi.nlm.nih.gov/pubmed/17553741</v>
      </c>
      <c r="D20" s="204" t="str">
        <f>IF(AND(A20&lt;&gt;"",ISNUMBER(A20)),VLOOKUP(A20,Studies!A:BR,4,FALSE),"")</f>
        <v>with Perpetrator (Rifampicin)</v>
      </c>
      <c r="E20" s="139" t="str">
        <f>IF(AND(A20&lt;&gt;"",ISNUMBER(A20)),VLOOKUP(A20,Studies!A:BR,5,FALSE),"")</f>
        <v>Midazolam</v>
      </c>
      <c r="F20" s="186" t="s">
        <v>53</v>
      </c>
      <c r="G20" s="205" t="str">
        <f>IF(AND(A20&lt;&gt;"",ISNUMBER(A20)),VLOOKUP(A20,Studies!A:BR,13,FALSE),"")</f>
        <v>IV</v>
      </c>
      <c r="H20" s="138" t="str">
        <f t="shared" si="0"/>
        <v>PO</v>
      </c>
      <c r="I20" s="205" t="str">
        <f>IF(AND(A20&lt;&gt;"",ISNUMBER(A20)),VLOOKUP(A20,Studies!A:BR,6,FALSE),"")</f>
        <v>Plasma</v>
      </c>
      <c r="J20" s="187">
        <f>3110/5367</f>
        <v>0.57946711384386063</v>
      </c>
      <c r="K20" s="187" t="s">
        <v>1099</v>
      </c>
      <c r="L20" s="201"/>
      <c r="M20" s="201"/>
      <c r="N20" s="193"/>
      <c r="O20" s="193"/>
      <c r="P20" s="202"/>
      <c r="Q20" s="202"/>
      <c r="R20" s="182">
        <v>0</v>
      </c>
      <c r="S20" s="183" t="s">
        <v>935</v>
      </c>
      <c r="T20" s="184">
        <f>144-12</f>
        <v>132</v>
      </c>
      <c r="U20" s="185" t="s">
        <v>935</v>
      </c>
      <c r="V20" s="186" t="s">
        <v>59</v>
      </c>
      <c r="X20" s="176">
        <v>600</v>
      </c>
      <c r="Y20" s="180"/>
      <c r="Z20" s="180" t="s">
        <v>57</v>
      </c>
      <c r="AA20" s="176" t="s">
        <v>58</v>
      </c>
      <c r="AB20" s="176" t="s">
        <v>1145</v>
      </c>
      <c r="AC20" s="176" t="s">
        <v>59</v>
      </c>
      <c r="AD20" s="176" t="s">
        <v>91</v>
      </c>
      <c r="AE20" s="177" t="s">
        <v>1141</v>
      </c>
      <c r="AF20" s="177" t="s">
        <v>1146</v>
      </c>
      <c r="AG20" s="178"/>
      <c r="AH20" s="177"/>
      <c r="AI20" s="177"/>
      <c r="AJ20" s="193"/>
      <c r="AK20" s="193"/>
      <c r="AL20" s="193"/>
      <c r="AM20" s="193"/>
    </row>
    <row r="21" spans="1:39" hidden="1" x14ac:dyDescent="0.2">
      <c r="A21" s="187">
        <v>420</v>
      </c>
      <c r="B21" s="204" t="str">
        <f>IF(AND(A21&lt;&gt;"",ISNUMBER(A21)),VLOOKUP(A21,Studies!A:BR,2,FALSE),"")</f>
        <v>Swart 2002</v>
      </c>
      <c r="C21" s="204" t="str">
        <f>IF(AND(A21&lt;&gt;"",ISNUMBER(A21)),VLOOKUP(A21,Studies!A:BR,3,FALSE),"")</f>
        <v xml:space="preserve">https://www.ncbi.nlm.nih.gov/pubmed/11851636 </v>
      </c>
      <c r="D21" s="204" t="str">
        <f>IF(AND(A21&lt;&gt;"",ISNUMBER(A21)),VLOOKUP(A21,Studies!A:BR,4,FALSE),"")</f>
        <v>day 10 Control with Perpetrator (Erythromycin)</v>
      </c>
      <c r="E21" s="139" t="str">
        <f>IF(AND(A21&lt;&gt;"",ISNUMBER(A21)),VLOOKUP(A21,Studies!A:BR,5,FALSE),"")</f>
        <v>Midazolam</v>
      </c>
      <c r="F21" s="186" t="s">
        <v>355</v>
      </c>
      <c r="G21" s="205" t="str">
        <f>IF(AND(A21&lt;&gt;"",ISNUMBER(A21)),VLOOKUP(A21,Studies!A:BR,13,FALSE),"")</f>
        <v>IV</v>
      </c>
      <c r="H21" s="138" t="str">
        <f t="shared" si="0"/>
        <v>PO</v>
      </c>
      <c r="I21" s="205" t="str">
        <f>IF(AND(A21&lt;&gt;"",ISNUMBER(A21)),VLOOKUP(A21,Studies!A:BR,6,FALSE),"")</f>
        <v>Plasma</v>
      </c>
      <c r="J21" s="187">
        <v>1.5977859999999999</v>
      </c>
      <c r="K21" s="187" t="s">
        <v>1000</v>
      </c>
      <c r="L21" s="201" t="s">
        <v>2885</v>
      </c>
      <c r="M21" s="201" t="s">
        <v>971</v>
      </c>
      <c r="N21" s="213"/>
      <c r="O21" s="213"/>
      <c r="P21" s="202"/>
      <c r="Q21" s="202"/>
      <c r="R21" s="182">
        <v>0</v>
      </c>
      <c r="S21" s="183" t="s">
        <v>935</v>
      </c>
      <c r="T21" s="184">
        <v>96</v>
      </c>
      <c r="U21" s="185" t="s">
        <v>935</v>
      </c>
      <c r="V21" s="219" t="s">
        <v>59</v>
      </c>
      <c r="W21" s="220" t="s">
        <v>1378</v>
      </c>
      <c r="X21" s="206">
        <v>500</v>
      </c>
      <c r="Y21" s="207"/>
      <c r="Z21" s="180" t="s">
        <v>57</v>
      </c>
      <c r="AA21" s="176" t="s">
        <v>58</v>
      </c>
      <c r="AB21" s="136" t="s">
        <v>1379</v>
      </c>
      <c r="AC21" s="176" t="s">
        <v>59</v>
      </c>
      <c r="AD21" s="176" t="s">
        <v>1380</v>
      </c>
      <c r="AE21" s="177"/>
      <c r="AF21" s="177" t="s">
        <v>149</v>
      </c>
      <c r="AG21" s="209"/>
      <c r="AH21" s="208">
        <v>200</v>
      </c>
      <c r="AI21" s="177" t="s">
        <v>150</v>
      </c>
      <c r="AJ21" s="193"/>
      <c r="AK21" s="193"/>
      <c r="AL21" s="193"/>
      <c r="AM21" s="193"/>
    </row>
    <row r="22" spans="1:39" hidden="1" x14ac:dyDescent="0.2">
      <c r="A22" s="181">
        <v>2018</v>
      </c>
      <c r="B22" s="204" t="str">
        <f>IF(AND(A22&lt;&gt;"",ISNUMBER(A22)),VLOOKUP(A22,Studies!A:BR,2,FALSE),"")</f>
        <v>Suzuki 2003</v>
      </c>
      <c r="C22" s="204" t="str">
        <f>IF(AND(A22&lt;&gt;"",ISNUMBER(A22)),VLOOKUP(A22,Studies!A:BR,3,FALSE),"")</f>
        <v>https://www.ncbi.nlm.nih.gov/pubmed/12698310</v>
      </c>
      <c r="D22" s="204" t="str">
        <f>IF(AND(A22&lt;&gt;"",ISNUMBER(A22)),VLOOKUP(A22,Studies!A:BR,4,FALSE),"")</f>
        <v>Alprazolam with fluvoxamine (Japanese)</v>
      </c>
      <c r="E22" s="139" t="str">
        <f>IF(AND(A22&lt;&gt;"",ISNUMBER(A22)),VLOOKUP(A22,Studies!A:BR,5,FALSE),"")</f>
        <v>Alprazolam</v>
      </c>
      <c r="F22" s="186" t="s">
        <v>1091</v>
      </c>
      <c r="G22" s="205" t="str">
        <f>IF(AND(A22&lt;&gt;"",ISNUMBER(A22)),VLOOKUP(A22,Studies!A:BR,13,FALSE),"")</f>
        <v>PO</v>
      </c>
      <c r="H22" s="138" t="s">
        <v>58</v>
      </c>
      <c r="I22" s="205" t="str">
        <f>IF(AND(A22&lt;&gt;"",ISNUMBER(A22)),VLOOKUP(A22,Studies!A:BR,6,FALSE),"")</f>
        <v>Plasma</v>
      </c>
      <c r="J22" s="187"/>
      <c r="K22" s="187"/>
      <c r="L22" s="201"/>
      <c r="M22" s="201"/>
      <c r="N22" s="193"/>
      <c r="O22" s="193"/>
      <c r="P22" s="202"/>
      <c r="Q22" s="202"/>
      <c r="R22" s="182" t="s">
        <v>2573</v>
      </c>
      <c r="S22" s="183" t="s">
        <v>935</v>
      </c>
      <c r="T22" s="184" t="s">
        <v>2573</v>
      </c>
      <c r="U22" s="185" t="s">
        <v>935</v>
      </c>
      <c r="V22" s="186" t="s">
        <v>59</v>
      </c>
      <c r="X22" s="176" t="s">
        <v>2684</v>
      </c>
      <c r="Y22" s="180"/>
      <c r="Z22" s="180" t="s">
        <v>57</v>
      </c>
      <c r="AA22" s="176" t="s">
        <v>58</v>
      </c>
      <c r="AB22" s="176" t="s">
        <v>2485</v>
      </c>
      <c r="AC22" s="176" t="s">
        <v>59</v>
      </c>
      <c r="AD22" s="176" t="s">
        <v>2951</v>
      </c>
      <c r="AE22" s="177" t="s">
        <v>2630</v>
      </c>
      <c r="AF22" s="177" t="s">
        <v>2667</v>
      </c>
      <c r="AG22" s="178"/>
      <c r="AH22" s="177"/>
      <c r="AI22" s="177"/>
      <c r="AJ22" s="193"/>
      <c r="AK22" s="193"/>
      <c r="AL22" s="193"/>
      <c r="AM22" s="193"/>
    </row>
    <row r="23" spans="1:39" hidden="1" x14ac:dyDescent="0.2">
      <c r="A23" s="181">
        <v>1094</v>
      </c>
      <c r="B23" s="204" t="str">
        <f>IF(AND(A23&lt;&gt;"",ISNUMBER(A23)),VLOOKUP(A23,Studies!A:BR,2,FALSE),"")</f>
        <v>Shin 2016</v>
      </c>
      <c r="C23" s="204" t="str">
        <f>IF(AND(A23&lt;&gt;"",ISNUMBER(A23)),VLOOKUP(A23,Studies!A:BR,3,FALSE),"")</f>
        <v>https://www.ncbi.nlm.nih.gov/pubmed/27317471</v>
      </c>
      <c r="D23" s="204" t="str">
        <f>IF(AND(A23&lt;&gt;"",ISNUMBER(A23)),VLOOKUP(A23,Studies!A:BR,4,FALSE),"")</f>
        <v>Midazolam + ketoconazole</v>
      </c>
      <c r="E23" s="139" t="str">
        <f>IF(AND(A23&lt;&gt;"",ISNUMBER(A23)),VLOOKUP(A23,Studies!A:BR,5,FALSE),"")</f>
        <v>Midazolam</v>
      </c>
      <c r="F23" s="186" t="s">
        <v>833</v>
      </c>
      <c r="G23" s="205" t="str">
        <f>IF(AND(A23&lt;&gt;"",ISNUMBER(A23)),VLOOKUP(A23,Studies!A:BR,13,FALSE),"")</f>
        <v>IV</v>
      </c>
      <c r="H23" s="138"/>
      <c r="I23" s="205" t="str">
        <f>IF(AND(A23&lt;&gt;"",ISNUMBER(A23)),VLOOKUP(A23,Studies!A:BR,6,FALSE),"")</f>
        <v>Plasma</v>
      </c>
      <c r="J23" s="187">
        <v>4.7699999999999996</v>
      </c>
      <c r="K23" s="187" t="s">
        <v>2631</v>
      </c>
      <c r="L23" s="201" t="s">
        <v>2658</v>
      </c>
      <c r="M23" s="201" t="s">
        <v>1156</v>
      </c>
      <c r="N23" s="193">
        <v>1.45</v>
      </c>
      <c r="O23" s="193" t="s">
        <v>2631</v>
      </c>
      <c r="P23" s="202" t="s">
        <v>2659</v>
      </c>
      <c r="Q23" s="202" t="s">
        <v>1156</v>
      </c>
      <c r="R23" s="182">
        <v>0</v>
      </c>
      <c r="S23" s="183" t="s">
        <v>935</v>
      </c>
      <c r="T23" s="184">
        <v>73</v>
      </c>
      <c r="U23" s="185" t="s">
        <v>935</v>
      </c>
      <c r="V23" s="186" t="s">
        <v>59</v>
      </c>
      <c r="X23" s="176">
        <v>400</v>
      </c>
      <c r="Y23" s="180"/>
      <c r="Z23" s="180" t="s">
        <v>57</v>
      </c>
      <c r="AA23" s="176"/>
      <c r="AB23" s="176" t="s">
        <v>2650</v>
      </c>
      <c r="AC23" s="176" t="s">
        <v>59</v>
      </c>
      <c r="AD23" s="176" t="s">
        <v>2651</v>
      </c>
      <c r="AE23" s="177" t="s">
        <v>834</v>
      </c>
      <c r="AF23" s="177" t="s">
        <v>2986</v>
      </c>
      <c r="AG23" s="178"/>
      <c r="AH23" s="177"/>
      <c r="AI23" s="177"/>
      <c r="AJ23" s="193"/>
      <c r="AK23" s="193"/>
      <c r="AL23" s="193"/>
      <c r="AM23" s="193"/>
    </row>
    <row r="24" spans="1:39" hidden="1" x14ac:dyDescent="0.2">
      <c r="A24" s="181">
        <v>1095</v>
      </c>
      <c r="B24" s="204" t="str">
        <f>IF(AND(A24&lt;&gt;"",ISNUMBER(A24)),VLOOKUP(A24,Studies!A:BR,2,FALSE),"")</f>
        <v>Shin 2016</v>
      </c>
      <c r="C24" s="204" t="str">
        <f>IF(AND(A24&lt;&gt;"",ISNUMBER(A24)),VLOOKUP(A24,Studies!A:BR,3,FALSE),"")</f>
        <v>https://www.ncbi.nlm.nih.gov/pubmed/27317471</v>
      </c>
      <c r="D24" s="204" t="str">
        <f>IF(AND(A24&lt;&gt;"",ISNUMBER(A24)),VLOOKUP(A24,Studies!A:BR,4,FALSE),"")</f>
        <v>Midazolam + rifampicin</v>
      </c>
      <c r="E24" s="139" t="str">
        <f>IF(AND(A24&lt;&gt;"",ISNUMBER(A24)),VLOOKUP(A24,Studies!A:BR,5,FALSE),"")</f>
        <v>Midazolam</v>
      </c>
      <c r="F24" s="186" t="s">
        <v>53</v>
      </c>
      <c r="G24" s="205" t="str">
        <f>IF(AND(A24&lt;&gt;"",ISNUMBER(A24)),VLOOKUP(A24,Studies!A:BR,13,FALSE),"")</f>
        <v>IV</v>
      </c>
      <c r="H24" s="138" t="s">
        <v>58</v>
      </c>
      <c r="I24" s="205" t="str">
        <f>IF(AND(A24&lt;&gt;"",ISNUMBER(A24)),VLOOKUP(A24,Studies!A:BR,6,FALSE),"")</f>
        <v>Plasma</v>
      </c>
      <c r="J24" s="187">
        <f>0.49*2.5</f>
        <v>1.2250000000000001</v>
      </c>
      <c r="K24" s="187" t="s">
        <v>2631</v>
      </c>
      <c r="L24" s="201" t="str">
        <f>0.46*2.5&amp;" - "&amp;0.53*2.5</f>
        <v>1.15 - 1.325</v>
      </c>
      <c r="M24" s="201" t="s">
        <v>1156</v>
      </c>
      <c r="N24" s="193">
        <f>0.71*2.5</f>
        <v>1.7749999999999999</v>
      </c>
      <c r="O24" s="193" t="s">
        <v>2631</v>
      </c>
      <c r="P24" s="202" t="str">
        <f>0.68*2.5&amp;" - "&amp;0.76*2.5</f>
        <v>1.7 - 1.9</v>
      </c>
      <c r="Q24" s="202" t="s">
        <v>1156</v>
      </c>
      <c r="R24" s="182">
        <v>0</v>
      </c>
      <c r="S24" s="183" t="s">
        <v>935</v>
      </c>
      <c r="T24" s="184">
        <v>216</v>
      </c>
      <c r="U24" s="185" t="s">
        <v>935</v>
      </c>
      <c r="V24" s="186" t="s">
        <v>59</v>
      </c>
      <c r="W24" s="181" t="s">
        <v>2747</v>
      </c>
      <c r="X24" s="176">
        <v>600</v>
      </c>
      <c r="Y24" s="180"/>
      <c r="Z24" s="180" t="s">
        <v>57</v>
      </c>
      <c r="AA24" s="176"/>
      <c r="AB24" s="176" t="s">
        <v>2654</v>
      </c>
      <c r="AC24" s="176" t="s">
        <v>59</v>
      </c>
      <c r="AD24" s="176" t="s">
        <v>2655</v>
      </c>
      <c r="AE24" s="177" t="s">
        <v>1141</v>
      </c>
      <c r="AF24" s="177" t="s">
        <v>2657</v>
      </c>
      <c r="AG24" s="178"/>
      <c r="AH24" s="177"/>
      <c r="AI24" s="177"/>
      <c r="AJ24" s="193"/>
      <c r="AK24" s="193"/>
      <c r="AL24" s="193"/>
      <c r="AM24" s="193"/>
    </row>
    <row r="25" spans="1:39" s="135" customFormat="1" ht="14.25" hidden="1" x14ac:dyDescent="0.2">
      <c r="A25" s="181">
        <v>1091</v>
      </c>
      <c r="B25" s="204" t="str">
        <f>IF(AND(A25&lt;&gt;"",ISNUMBER(A25)),VLOOKUP(A25,Studies!A:BR,2,FALSE),"")</f>
        <v>Shin 2013</v>
      </c>
      <c r="C25" s="204" t="str">
        <f>IF(AND(A25&lt;&gt;"",ISNUMBER(A25)),VLOOKUP(A25,Studies!A:BR,3,FALSE),"")</f>
        <v>https://www.ncbi.nlm.nih.gov/pubmed/23784264</v>
      </c>
      <c r="D25" s="204" t="str">
        <f>IF(AND(A25&lt;&gt;"",ISNUMBER(A25)),VLOOKUP(A25,Studies!A:BR,4,FALSE),"")</f>
        <v>CYP3A4 inhibited phase (Midazolam + ketoconazole)</v>
      </c>
      <c r="E25" s="139" t="str">
        <f>IF(AND(A25&lt;&gt;"",ISNUMBER(A25)),VLOOKUP(A25,Studies!A:BR,5,FALSE),"")</f>
        <v>Midazolam</v>
      </c>
      <c r="F25" s="186" t="s">
        <v>833</v>
      </c>
      <c r="G25" s="205" t="str">
        <f>IF(AND(A25&lt;&gt;"",ISNUMBER(A25)),VLOOKUP(A25,Studies!A:BR,13,FALSE),"")</f>
        <v>IV</v>
      </c>
      <c r="H25" s="138" t="s">
        <v>58</v>
      </c>
      <c r="I25" s="205" t="str">
        <f>IF(AND(A25&lt;&gt;"",ISNUMBER(A25)),VLOOKUP(A25,Studies!A:BR,6,FALSE),"")</f>
        <v>Plasma</v>
      </c>
      <c r="J25" s="187">
        <v>2.89</v>
      </c>
      <c r="K25" s="187" t="s">
        <v>2631</v>
      </c>
      <c r="L25" s="201" t="s">
        <v>2649</v>
      </c>
      <c r="M25" s="201" t="s">
        <v>1156</v>
      </c>
      <c r="N25" s="193"/>
      <c r="O25" s="193"/>
      <c r="P25" s="202"/>
      <c r="Q25" s="202"/>
      <c r="R25" s="182">
        <v>0</v>
      </c>
      <c r="S25" s="183" t="s">
        <v>935</v>
      </c>
      <c r="T25" s="184">
        <v>73</v>
      </c>
      <c r="U25" s="185" t="s">
        <v>935</v>
      </c>
      <c r="V25" s="186" t="s">
        <v>59</v>
      </c>
      <c r="W25" s="181" t="s">
        <v>2748</v>
      </c>
      <c r="X25" s="176">
        <v>400</v>
      </c>
      <c r="Y25" s="180"/>
      <c r="Z25" s="180" t="s">
        <v>57</v>
      </c>
      <c r="AA25" s="176" t="s">
        <v>58</v>
      </c>
      <c r="AB25" s="176" t="s">
        <v>2650</v>
      </c>
      <c r="AC25" s="176" t="s">
        <v>59</v>
      </c>
      <c r="AD25" s="176" t="s">
        <v>2651</v>
      </c>
      <c r="AE25" s="177" t="s">
        <v>2652</v>
      </c>
      <c r="AF25" s="177" t="s">
        <v>2653</v>
      </c>
      <c r="AG25" s="178"/>
      <c r="AH25" s="177"/>
      <c r="AI25" s="177"/>
      <c r="AJ25" s="193"/>
      <c r="AK25" s="193"/>
      <c r="AL25" s="193"/>
      <c r="AM25" s="193"/>
    </row>
    <row r="26" spans="1:39" s="135" customFormat="1" ht="14.25" hidden="1" x14ac:dyDescent="0.2">
      <c r="A26" s="181">
        <v>1092</v>
      </c>
      <c r="B26" s="204" t="str">
        <f>IF(AND(A26&lt;&gt;"",ISNUMBER(A26)),VLOOKUP(A26,Studies!A:BR,2,FALSE),"")</f>
        <v>Shin 2013</v>
      </c>
      <c r="C26" s="204" t="str">
        <f>IF(AND(A26&lt;&gt;"",ISNUMBER(A26)),VLOOKUP(A26,Studies!A:BR,3,FALSE),"")</f>
        <v>https://www.ncbi.nlm.nih.gov/pubmed/23784264</v>
      </c>
      <c r="D26" s="204" t="str">
        <f>IF(AND(A26&lt;&gt;"",ISNUMBER(A26)),VLOOKUP(A26,Studies!A:BR,4,FALSE),"")</f>
        <v>CYP3A4 induced phase (Midazolam + rifampicin)</v>
      </c>
      <c r="E26" s="139" t="str">
        <f>IF(AND(A26&lt;&gt;"",ISNUMBER(A26)),VLOOKUP(A26,Studies!A:BR,5,FALSE),"")</f>
        <v>Midazolam</v>
      </c>
      <c r="F26" s="186" t="s">
        <v>53</v>
      </c>
      <c r="G26" s="205" t="str">
        <f>IF(AND(A26&lt;&gt;"",ISNUMBER(A26)),VLOOKUP(A26,Studies!A:BR,13,FALSE),"")</f>
        <v>IV</v>
      </c>
      <c r="H26" s="138" t="s">
        <v>58</v>
      </c>
      <c r="I26" s="205" t="str">
        <f>IF(AND(A26&lt;&gt;"",ISNUMBER(A26)),VLOOKUP(A26,Studies!A:BR,6,FALSE),"")</f>
        <v>Plasma</v>
      </c>
      <c r="J26" s="187">
        <f>0.46*2.5</f>
        <v>1.1500000000000001</v>
      </c>
      <c r="K26" s="187" t="s">
        <v>2631</v>
      </c>
      <c r="L26" s="201" t="str">
        <f>0.41*2.5&amp;" - "&amp;0.51*2.5</f>
        <v>1.025 - 1.275</v>
      </c>
      <c r="M26" s="201" t="s">
        <v>1156</v>
      </c>
      <c r="N26" s="193"/>
      <c r="O26" s="193"/>
      <c r="P26" s="202"/>
      <c r="Q26" s="202"/>
      <c r="R26" s="182">
        <v>0</v>
      </c>
      <c r="S26" s="183" t="s">
        <v>935</v>
      </c>
      <c r="T26" s="184">
        <v>216</v>
      </c>
      <c r="U26" s="185" t="s">
        <v>935</v>
      </c>
      <c r="V26" s="186" t="s">
        <v>59</v>
      </c>
      <c r="W26" s="181" t="s">
        <v>2957</v>
      </c>
      <c r="X26" s="176">
        <v>600</v>
      </c>
      <c r="Y26" s="180"/>
      <c r="Z26" s="180" t="s">
        <v>57</v>
      </c>
      <c r="AA26" s="176" t="s">
        <v>58</v>
      </c>
      <c r="AB26" s="176" t="s">
        <v>2654</v>
      </c>
      <c r="AC26" s="176" t="s">
        <v>59</v>
      </c>
      <c r="AD26" s="176" t="s">
        <v>2655</v>
      </c>
      <c r="AE26" s="177" t="s">
        <v>2656</v>
      </c>
      <c r="AF26" s="177" t="s">
        <v>2657</v>
      </c>
      <c r="AG26" s="178"/>
      <c r="AH26" s="177"/>
      <c r="AI26" s="177"/>
      <c r="AJ26" s="193"/>
      <c r="AK26" s="193"/>
      <c r="AL26" s="193"/>
      <c r="AM26" s="193"/>
    </row>
    <row r="27" spans="1:39" s="135" customFormat="1" ht="14.25" hidden="1" x14ac:dyDescent="0.2">
      <c r="A27" s="181">
        <v>1001</v>
      </c>
      <c r="B27" s="204" t="str">
        <f>IF(AND(A27&lt;&gt;"",ISNUMBER(A27)),VLOOKUP(A27,Studies!A:BR,2,FALSE),"")</f>
        <v>Schmider 1999</v>
      </c>
      <c r="C27" s="204" t="str">
        <f>IF(AND(A27&lt;&gt;"",ISNUMBER(A27)),VLOOKUP(A27,Studies!A:BR,3,FALSE),"")</f>
        <v>https://www.ncbi.nlm.nih.gov/pubmed/10634135</v>
      </c>
      <c r="D27" s="204" t="str">
        <f>IF(AND(A27&lt;&gt;"",ISNUMBER(A27)),VLOOKUP(A27,Studies!A:BR,4,FALSE),"")</f>
        <v>Alprazolam + Rifampin</v>
      </c>
      <c r="E27" s="139" t="str">
        <f>IF(AND(A27&lt;&gt;"",ISNUMBER(A27)),VLOOKUP(A27,Studies!A:BR,5,FALSE),"")</f>
        <v>Alprazolam</v>
      </c>
      <c r="F27" s="186" t="s">
        <v>1128</v>
      </c>
      <c r="G27" s="205" t="str">
        <f>IF(AND(A27&lt;&gt;"",ISNUMBER(A27)),VLOOKUP(A27,Studies!A:BR,13,FALSE),"")</f>
        <v>PO</v>
      </c>
      <c r="H27" s="138" t="s">
        <v>58</v>
      </c>
      <c r="I27" s="205" t="str">
        <f>IF(AND(A27&lt;&gt;"",ISNUMBER(A27)),VLOOKUP(A27,Studies!A:BR,6,FALSE),"")</f>
        <v>Plasma</v>
      </c>
      <c r="J27" s="187">
        <v>0.11725846407927333</v>
      </c>
      <c r="K27" s="187" t="s">
        <v>1099</v>
      </c>
      <c r="L27" s="201"/>
      <c r="M27" s="201"/>
      <c r="N27" s="193">
        <v>0.63815789473684204</v>
      </c>
      <c r="O27" s="193" t="s">
        <v>1100</v>
      </c>
      <c r="P27" s="202"/>
      <c r="Q27" s="202"/>
      <c r="R27" s="182">
        <v>0</v>
      </c>
      <c r="S27" s="183" t="s">
        <v>935</v>
      </c>
      <c r="T27" s="184">
        <v>96</v>
      </c>
      <c r="U27" s="185" t="s">
        <v>935</v>
      </c>
      <c r="V27" s="186" t="s">
        <v>59</v>
      </c>
      <c r="W27" s="181" t="s">
        <v>2955</v>
      </c>
      <c r="X27" s="176">
        <v>450</v>
      </c>
      <c r="Y27" s="180"/>
      <c r="Z27" s="180" t="s">
        <v>57</v>
      </c>
      <c r="AA27" s="176"/>
      <c r="AB27" s="176" t="s">
        <v>2288</v>
      </c>
      <c r="AC27" s="176" t="s">
        <v>59</v>
      </c>
      <c r="AD27" s="176" t="s">
        <v>1497</v>
      </c>
      <c r="AE27" s="177"/>
      <c r="AF27" s="177"/>
      <c r="AG27" s="178"/>
      <c r="AH27" s="177"/>
      <c r="AI27" s="177"/>
      <c r="AJ27" s="193"/>
      <c r="AK27" s="193"/>
      <c r="AL27" s="193"/>
      <c r="AM27" s="193"/>
    </row>
    <row r="28" spans="1:39" s="135" customFormat="1" ht="14.25" hidden="1" x14ac:dyDescent="0.2">
      <c r="A28" s="181">
        <v>1002</v>
      </c>
      <c r="B28" s="204" t="str">
        <f>IF(AND(A28&lt;&gt;"",ISNUMBER(A28)),VLOOKUP(A28,Studies!A:BR,2,FALSE),"")</f>
        <v>Schmider 1999</v>
      </c>
      <c r="C28" s="204" t="str">
        <f>IF(AND(A28&lt;&gt;"",ISNUMBER(A28)),VLOOKUP(A28,Studies!A:BR,3,FALSE),"")</f>
        <v>https://www.ncbi.nlm.nih.gov/pubmed/10634135</v>
      </c>
      <c r="D28" s="204" t="str">
        <f>IF(AND(A28&lt;&gt;"",ISNUMBER(A28)),VLOOKUP(A28,Studies!A:BR,4,FALSE),"")</f>
        <v>Alprazolam + Ketoconazole</v>
      </c>
      <c r="E28" s="139" t="str">
        <f>IF(AND(A28&lt;&gt;"",ISNUMBER(A28)),VLOOKUP(A28,Studies!A:BR,5,FALSE),"")</f>
        <v>Alprazolam</v>
      </c>
      <c r="F28" s="186" t="s">
        <v>833</v>
      </c>
      <c r="G28" s="205" t="str">
        <f>IF(AND(A28&lt;&gt;"",ISNUMBER(A28)),VLOOKUP(A28,Studies!A:BR,13,FALSE),"")</f>
        <v>PO</v>
      </c>
      <c r="H28" s="138" t="s">
        <v>58</v>
      </c>
      <c r="I28" s="205" t="str">
        <f>IF(AND(A28&lt;&gt;"",ISNUMBER(A28)),VLOOKUP(A28,Studies!A:BR,6,FALSE),"")</f>
        <v>Plasma</v>
      </c>
      <c r="J28" s="187">
        <v>1.7597027250206441</v>
      </c>
      <c r="K28" s="187" t="s">
        <v>1099</v>
      </c>
      <c r="L28" s="201"/>
      <c r="M28" s="201"/>
      <c r="N28" s="193">
        <v>1.0789473684210527</v>
      </c>
      <c r="O28" s="193" t="s">
        <v>1100</v>
      </c>
      <c r="P28" s="202"/>
      <c r="Q28" s="202"/>
      <c r="R28" s="182">
        <v>0</v>
      </c>
      <c r="S28" s="183" t="s">
        <v>935</v>
      </c>
      <c r="T28" s="184">
        <v>48</v>
      </c>
      <c r="U28" s="185" t="s">
        <v>935</v>
      </c>
      <c r="V28" s="186" t="s">
        <v>59</v>
      </c>
      <c r="W28" s="181" t="s">
        <v>2956</v>
      </c>
      <c r="X28" s="176">
        <v>200</v>
      </c>
      <c r="Y28" s="180"/>
      <c r="Z28" s="180" t="s">
        <v>57</v>
      </c>
      <c r="AA28" s="176"/>
      <c r="AB28" s="176" t="s">
        <v>2648</v>
      </c>
      <c r="AC28" s="176" t="s">
        <v>59</v>
      </c>
      <c r="AD28" s="176" t="s">
        <v>1112</v>
      </c>
      <c r="AE28" s="177"/>
      <c r="AF28" s="177"/>
      <c r="AG28" s="178"/>
      <c r="AH28" s="177"/>
      <c r="AI28" s="177"/>
      <c r="AJ28" s="193"/>
      <c r="AK28" s="193"/>
      <c r="AL28" s="193"/>
      <c r="AM28" s="193"/>
    </row>
    <row r="29" spans="1:39" s="135" customFormat="1" ht="14.25" hidden="1" x14ac:dyDescent="0.2">
      <c r="A29" s="187">
        <v>401</v>
      </c>
      <c r="B29" s="204" t="str">
        <f>IF(AND(A29&lt;&gt;"",ISNUMBER(A29)),VLOOKUP(A29,Studies!A:BR,2,FALSE),"")</f>
        <v>Saari 2006</v>
      </c>
      <c r="C29" s="204" t="str">
        <f>IF(AND(A29&lt;&gt;"",ISNUMBER(A29)),VLOOKUP(A29,Studies!A:BR,3,FALSE),"")</f>
        <v>https://www.ncbi.nlm.nih.gov/pubmed/16580904</v>
      </c>
      <c r="D29" s="204" t="str">
        <f>IF(AND(A29&lt;&gt;"",ISNUMBER(A29)),VLOOKUP(A29,Studies!A:BR,4,FALSE),"")</f>
        <v>po with Perpetrator (Voriconazole)</v>
      </c>
      <c r="E29" s="139" t="str">
        <f>IF(AND(A29&lt;&gt;"",ISNUMBER(A29)),VLOOKUP(A29,Studies!A:BR,5,FALSE),"")</f>
        <v>Midazolam</v>
      </c>
      <c r="F29" s="186" t="s">
        <v>872</v>
      </c>
      <c r="G29" s="205" t="str">
        <f>IF(AND(A29&lt;&gt;"",ISNUMBER(A29)),VLOOKUP(A29,Studies!A:BR,13,FALSE),"")</f>
        <v>PO</v>
      </c>
      <c r="H29" s="138" t="str">
        <f t="shared" ref="H29:H36" si="1">AA29</f>
        <v>PO</v>
      </c>
      <c r="I29" s="205" t="str">
        <f>IF(AND(A29&lt;&gt;"",ISNUMBER(A29)),VLOOKUP(A29,Studies!A:BR,6,FALSE),"")</f>
        <v>Plasma</v>
      </c>
      <c r="J29" s="187">
        <v>9.85</v>
      </c>
      <c r="K29" s="187" t="s">
        <v>1000</v>
      </c>
      <c r="L29" s="201" t="s">
        <v>1155</v>
      </c>
      <c r="M29" s="201" t="s">
        <v>1156</v>
      </c>
      <c r="N29" s="213">
        <v>3.56</v>
      </c>
      <c r="O29" s="213" t="s">
        <v>1000</v>
      </c>
      <c r="P29" s="202" t="s">
        <v>1157</v>
      </c>
      <c r="Q29" s="202" t="s">
        <v>1156</v>
      </c>
      <c r="R29" s="182">
        <v>0</v>
      </c>
      <c r="S29" s="183" t="s">
        <v>935</v>
      </c>
      <c r="T29" s="184">
        <v>37</v>
      </c>
      <c r="U29" s="185" t="s">
        <v>935</v>
      </c>
      <c r="V29" s="219" t="s">
        <v>59</v>
      </c>
      <c r="W29" s="220"/>
      <c r="X29" s="206" t="s">
        <v>873</v>
      </c>
      <c r="Y29" s="207"/>
      <c r="Z29" s="176" t="s">
        <v>57</v>
      </c>
      <c r="AA29" s="176" t="s">
        <v>58</v>
      </c>
      <c r="AB29" s="176" t="s">
        <v>2952</v>
      </c>
      <c r="AC29" s="176" t="s">
        <v>59</v>
      </c>
      <c r="AD29" s="176" t="s">
        <v>91</v>
      </c>
      <c r="AE29" s="177" t="s">
        <v>875</v>
      </c>
      <c r="AF29" s="177" t="s">
        <v>2944</v>
      </c>
      <c r="AG29" s="209"/>
      <c r="AH29" s="208">
        <v>150</v>
      </c>
      <c r="AI29" s="177" t="s">
        <v>877</v>
      </c>
      <c r="AJ29" s="165" t="s">
        <v>61</v>
      </c>
      <c r="AK29" s="166">
        <v>11</v>
      </c>
      <c r="AL29" s="166">
        <v>5</v>
      </c>
      <c r="AM29" s="165"/>
    </row>
    <row r="30" spans="1:39" s="135" customFormat="1" ht="14.25" hidden="1" x14ac:dyDescent="0.2">
      <c r="A30" s="187">
        <v>404</v>
      </c>
      <c r="B30" s="204" t="str">
        <f>IF(AND(A30&lt;&gt;"",ISNUMBER(A30)),VLOOKUP(A30,Studies!A:BR,2,FALSE),"")</f>
        <v>Saari 2006</v>
      </c>
      <c r="C30" s="204" t="str">
        <f>IF(AND(A30&lt;&gt;"",ISNUMBER(A30)),VLOOKUP(A30,Studies!A:BR,3,FALSE),"")</f>
        <v>https://www.ncbi.nlm.nih.gov/pubmed/16580904</v>
      </c>
      <c r="D30" s="204" t="str">
        <f>IF(AND(A30&lt;&gt;"",ISNUMBER(A30)),VLOOKUP(A30,Studies!A:BR,4,FALSE),"")</f>
        <v>iv with Perpetrator (Voriconazole)</v>
      </c>
      <c r="E30" s="139" t="str">
        <f>IF(AND(A30&lt;&gt;"",ISNUMBER(A30)),VLOOKUP(A30,Studies!A:BR,5,FALSE),"")</f>
        <v>Midazolam</v>
      </c>
      <c r="F30" s="186" t="s">
        <v>872</v>
      </c>
      <c r="G30" s="205" t="str">
        <f>IF(AND(A30&lt;&gt;"",ISNUMBER(A30)),VLOOKUP(A30,Studies!A:BR,13,FALSE),"")</f>
        <v>IV</v>
      </c>
      <c r="H30" s="138" t="str">
        <f t="shared" si="1"/>
        <v>PO</v>
      </c>
      <c r="I30" s="205" t="str">
        <f>IF(AND(A30&lt;&gt;"",ISNUMBER(A30)),VLOOKUP(A30,Studies!A:BR,6,FALSE),"")</f>
        <v>Plasma</v>
      </c>
      <c r="J30" s="187">
        <v>3.61</v>
      </c>
      <c r="K30" s="187" t="s">
        <v>1000</v>
      </c>
      <c r="L30" s="201" t="s">
        <v>1158</v>
      </c>
      <c r="M30" s="201" t="s">
        <v>1156</v>
      </c>
      <c r="N30" s="213"/>
      <c r="O30" s="213"/>
      <c r="P30" s="202"/>
      <c r="Q30" s="202"/>
      <c r="R30" s="182">
        <v>0</v>
      </c>
      <c r="S30" s="183" t="s">
        <v>935</v>
      </c>
      <c r="T30" s="184">
        <v>37</v>
      </c>
      <c r="U30" s="185" t="s">
        <v>935</v>
      </c>
      <c r="V30" s="219" t="s">
        <v>59</v>
      </c>
      <c r="W30" s="220"/>
      <c r="X30" s="206" t="s">
        <v>873</v>
      </c>
      <c r="Y30" s="207"/>
      <c r="Z30" s="176" t="s">
        <v>57</v>
      </c>
      <c r="AA30" s="176" t="s">
        <v>58</v>
      </c>
      <c r="AB30" s="176" t="s">
        <v>2952</v>
      </c>
      <c r="AC30" s="176" t="s">
        <v>59</v>
      </c>
      <c r="AD30" s="176" t="s">
        <v>91</v>
      </c>
      <c r="AE30" s="177" t="s">
        <v>875</v>
      </c>
      <c r="AF30" s="177" t="s">
        <v>2944</v>
      </c>
      <c r="AG30" s="209"/>
      <c r="AH30" s="208">
        <v>150</v>
      </c>
      <c r="AI30" s="177" t="s">
        <v>877</v>
      </c>
      <c r="AJ30" s="165" t="s">
        <v>61</v>
      </c>
      <c r="AK30" s="166">
        <v>11</v>
      </c>
      <c r="AL30" s="166">
        <v>5</v>
      </c>
      <c r="AM30" s="165"/>
    </row>
    <row r="31" spans="1:39" s="135" customFormat="1" ht="14.25" hidden="1" x14ac:dyDescent="0.2">
      <c r="A31" s="181">
        <v>392</v>
      </c>
      <c r="B31" s="204" t="str">
        <f>IF(AND(A31&lt;&gt;"",ISNUMBER(A31)),VLOOKUP(A31,Studies!A:BR,2,FALSE),"")</f>
        <v>Reitman 2011</v>
      </c>
      <c r="C31" s="204" t="str">
        <f>IF(AND(A31&lt;&gt;"",ISNUMBER(A31)),VLOOKUP(A31,Studies!A:BR,3,FALSE),"")</f>
        <v>https://www.ncbi.nlm.nih.gov/pubmed/21191377</v>
      </c>
      <c r="D31" s="204" t="str">
        <f>IF(AND(A31&lt;&gt;"",ISNUMBER(A31)),VLOOKUP(A31,Studies!A:BR,4,FALSE),"")</f>
        <v>Week 0 after Perpetrator (Rifampicin)</v>
      </c>
      <c r="E31" s="139" t="str">
        <f>IF(AND(A31&lt;&gt;"",ISNUMBER(A31)),VLOOKUP(A31,Studies!A:BR,5,FALSE),"")</f>
        <v>Midazolam</v>
      </c>
      <c r="F31" s="186" t="s">
        <v>53</v>
      </c>
      <c r="G31" s="205" t="str">
        <f>IF(AND(A31&lt;&gt;"",ISNUMBER(A31)),VLOOKUP(A31,Studies!A:BR,13,FALSE),"")</f>
        <v>PO</v>
      </c>
      <c r="H31" s="138" t="str">
        <f t="shared" si="1"/>
        <v>PO</v>
      </c>
      <c r="I31" s="205" t="str">
        <f>IF(AND(A31&lt;&gt;"",ISNUMBER(A31)),VLOOKUP(A31,Studies!A:BR,6,FALSE),"")</f>
        <v>Plasma</v>
      </c>
      <c r="J31" s="187">
        <v>0.123</v>
      </c>
      <c r="K31" s="187" t="s">
        <v>115</v>
      </c>
      <c r="L31" s="201"/>
      <c r="M31" s="201"/>
      <c r="N31" s="193">
        <v>0.16200000000000001</v>
      </c>
      <c r="O31" s="193" t="s">
        <v>115</v>
      </c>
      <c r="P31" s="202"/>
      <c r="Q31" s="202"/>
      <c r="R31" s="182">
        <v>1320</v>
      </c>
      <c r="S31" s="183" t="s">
        <v>935</v>
      </c>
      <c r="T31" s="184">
        <v>648</v>
      </c>
      <c r="U31" s="185">
        <v>816</v>
      </c>
      <c r="V31" s="186" t="s">
        <v>59</v>
      </c>
      <c r="W31" s="181" t="s">
        <v>1106</v>
      </c>
      <c r="X31" s="176">
        <v>600</v>
      </c>
      <c r="Y31" s="180"/>
      <c r="Z31" s="180" t="s">
        <v>57</v>
      </c>
      <c r="AA31" s="176" t="s">
        <v>58</v>
      </c>
      <c r="AB31" s="176" t="s">
        <v>1107</v>
      </c>
      <c r="AC31" s="176" t="s">
        <v>59</v>
      </c>
      <c r="AD31" s="176"/>
      <c r="AE31" s="177"/>
      <c r="AF31" s="177" t="s">
        <v>1108</v>
      </c>
      <c r="AG31" s="178"/>
      <c r="AH31" s="177"/>
      <c r="AI31" s="177" t="s">
        <v>1109</v>
      </c>
      <c r="AJ31" s="193" t="s">
        <v>61</v>
      </c>
      <c r="AK31" s="193"/>
      <c r="AL31" s="193"/>
      <c r="AM31" s="193"/>
    </row>
    <row r="32" spans="1:39" s="135" customFormat="1" ht="14.25" hidden="1" x14ac:dyDescent="0.2">
      <c r="A32" s="181">
        <v>393</v>
      </c>
      <c r="B32" s="204" t="str">
        <f>IF(AND(A32&lt;&gt;"",ISNUMBER(A32)),VLOOKUP(A32,Studies!A:BR,2,FALSE),"")</f>
        <v>Reitman 2011</v>
      </c>
      <c r="C32" s="204" t="str">
        <f>IF(AND(A32&lt;&gt;"",ISNUMBER(A32)),VLOOKUP(A32,Studies!A:BR,3,FALSE),"")</f>
        <v>https://www.ncbi.nlm.nih.gov/pubmed/21191377</v>
      </c>
      <c r="D32" s="204" t="str">
        <f>IF(AND(A32&lt;&gt;"",ISNUMBER(A32)),VLOOKUP(A32,Studies!A:BR,4,FALSE),"")</f>
        <v>Week 1 after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v>0.38300000000000001</v>
      </c>
      <c r="K32" s="187" t="s">
        <v>115</v>
      </c>
      <c r="L32" s="201"/>
      <c r="M32" s="201"/>
      <c r="N32" s="193">
        <v>0.40300000000000002</v>
      </c>
      <c r="O32" s="193" t="s">
        <v>115</v>
      </c>
      <c r="P32" s="202"/>
      <c r="Q32" s="202"/>
      <c r="R32" s="182">
        <v>1320</v>
      </c>
      <c r="S32" s="183" t="s">
        <v>935</v>
      </c>
      <c r="T32" s="184">
        <v>816</v>
      </c>
      <c r="U32" s="185">
        <v>984</v>
      </c>
      <c r="V32" s="186" t="s">
        <v>59</v>
      </c>
      <c r="W32" s="181" t="s">
        <v>1106</v>
      </c>
      <c r="X32" s="176">
        <v>600</v>
      </c>
      <c r="Y32" s="180"/>
      <c r="Z32" s="180" t="s">
        <v>57</v>
      </c>
      <c r="AA32" s="176" t="s">
        <v>58</v>
      </c>
      <c r="AB32" s="176" t="s">
        <v>1107</v>
      </c>
      <c r="AC32" s="176" t="s">
        <v>59</v>
      </c>
      <c r="AD32" s="176"/>
      <c r="AE32" s="177"/>
      <c r="AF32" s="177" t="s">
        <v>1108</v>
      </c>
      <c r="AG32" s="178"/>
      <c r="AH32" s="177"/>
      <c r="AI32" s="177" t="s">
        <v>1109</v>
      </c>
      <c r="AJ32" s="193" t="s">
        <v>61</v>
      </c>
      <c r="AK32" s="193"/>
      <c r="AL32" s="193"/>
      <c r="AM32" s="193"/>
    </row>
    <row r="33" spans="1:39" s="135" customFormat="1" ht="14.25" hidden="1" x14ac:dyDescent="0.2">
      <c r="A33" s="181">
        <v>394</v>
      </c>
      <c r="B33" s="204" t="str">
        <f>IF(AND(A33&lt;&gt;"",ISNUMBER(A33)),VLOOKUP(A33,Studies!A:BR,2,FALSE),"")</f>
        <v>Reitman 2011</v>
      </c>
      <c r="C33" s="204" t="str">
        <f>IF(AND(A33&lt;&gt;"",ISNUMBER(A33)),VLOOKUP(A33,Studies!A:BR,3,FALSE),"")</f>
        <v>https://www.ncbi.nlm.nih.gov/pubmed/21191377</v>
      </c>
      <c r="D33" s="204" t="str">
        <f>IF(AND(A33&lt;&gt;"",ISNUMBER(A33)),VLOOKUP(A33,Studies!A:BR,4,FALSE),"")</f>
        <v>Week 2 after Perpetrator (Rifampicin)</v>
      </c>
      <c r="E33" s="139" t="str">
        <f>IF(AND(A33&lt;&gt;"",ISNUMBER(A33)),VLOOKUP(A33,Studies!A:BR,5,FALSE),"")</f>
        <v>Midazolam</v>
      </c>
      <c r="F33" s="186" t="s">
        <v>53</v>
      </c>
      <c r="G33" s="205" t="str">
        <f>IF(AND(A33&lt;&gt;"",ISNUMBER(A33)),VLOOKUP(A33,Studies!A:BR,13,FALSE),"")</f>
        <v>PO</v>
      </c>
      <c r="H33" s="138" t="str">
        <f t="shared" si="1"/>
        <v>PO</v>
      </c>
      <c r="I33" s="205" t="str">
        <f>IF(AND(A33&lt;&gt;"",ISNUMBER(A33)),VLOOKUP(A33,Studies!A:BR,6,FALSE),"")</f>
        <v>Plasma</v>
      </c>
      <c r="J33" s="187">
        <v>0.81499999999999995</v>
      </c>
      <c r="K33" s="187" t="s">
        <v>115</v>
      </c>
      <c r="L33" s="201"/>
      <c r="M33" s="201"/>
      <c r="N33" s="193">
        <v>0.73099999999999998</v>
      </c>
      <c r="O33" s="193" t="s">
        <v>115</v>
      </c>
      <c r="P33" s="202"/>
      <c r="Q33" s="202"/>
      <c r="R33" s="182">
        <v>1320</v>
      </c>
      <c r="S33" s="183" t="s">
        <v>935</v>
      </c>
      <c r="T33" s="184">
        <v>984</v>
      </c>
      <c r="U33" s="185">
        <v>1320</v>
      </c>
      <c r="V33" s="186" t="s">
        <v>59</v>
      </c>
      <c r="W33" s="181" t="s">
        <v>1106</v>
      </c>
      <c r="X33" s="176">
        <v>600</v>
      </c>
      <c r="Y33" s="180"/>
      <c r="Z33" s="180" t="s">
        <v>57</v>
      </c>
      <c r="AA33" s="176" t="s">
        <v>58</v>
      </c>
      <c r="AB33" s="176" t="s">
        <v>1107</v>
      </c>
      <c r="AC33" s="176" t="s">
        <v>59</v>
      </c>
      <c r="AD33" s="176"/>
      <c r="AE33" s="177"/>
      <c r="AF33" s="177" t="s">
        <v>1108</v>
      </c>
      <c r="AG33" s="178"/>
      <c r="AH33" s="177"/>
      <c r="AI33" s="177" t="s">
        <v>1109</v>
      </c>
      <c r="AJ33" s="193" t="s">
        <v>61</v>
      </c>
      <c r="AK33" s="193"/>
      <c r="AL33" s="193"/>
      <c r="AM33" s="193"/>
    </row>
    <row r="34" spans="1:39" s="135" customFormat="1" ht="14.25" hidden="1" x14ac:dyDescent="0.2">
      <c r="A34" s="181">
        <v>396</v>
      </c>
      <c r="B34" s="204" t="str">
        <f>IF(AND(A34&lt;&gt;"",ISNUMBER(A34)),VLOOKUP(A34,Studies!A:BR,2,FALSE),"")</f>
        <v>Reitman 2011</v>
      </c>
      <c r="C34" s="204" t="str">
        <f>IF(AND(A34&lt;&gt;"",ISNUMBER(A34)),VLOOKUP(A34,Studies!A:BR,3,FALSE),"")</f>
        <v>https://www.ncbi.nlm.nih.gov/pubmed/21191377</v>
      </c>
      <c r="D34" s="204" t="str">
        <f>IF(AND(A34&lt;&gt;"",ISNUMBER(A34)),VLOOKUP(A34,Studies!A:BR,4,FALSE),"")</f>
        <v>Week 0 after Perpetrator (Rifampicin)</v>
      </c>
      <c r="E34" s="139" t="str">
        <f>IF(AND(A34&lt;&gt;"",ISNUMBER(A34)),VLOOKUP(A34,Studies!A:BR,5,FALSE),"")</f>
        <v>Digoxin</v>
      </c>
      <c r="F34" s="186" t="s">
        <v>53</v>
      </c>
      <c r="G34" s="205" t="str">
        <f>IF(AND(A34&lt;&gt;"",ISNUMBER(A34)),VLOOKUP(A34,Studies!A:BR,13,FALSE),"")</f>
        <v>PO</v>
      </c>
      <c r="H34" s="138" t="str">
        <f t="shared" si="1"/>
        <v>PO</v>
      </c>
      <c r="I34" s="205" t="str">
        <f>IF(AND(A34&lt;&gt;"",ISNUMBER(A34)),VLOOKUP(A34,Studies!A:BR,6,FALSE),"")</f>
        <v>Plasma</v>
      </c>
      <c r="J34" s="187">
        <v>1.462</v>
      </c>
      <c r="K34" s="187" t="s">
        <v>115</v>
      </c>
      <c r="L34" s="201"/>
      <c r="M34" s="201"/>
      <c r="N34" s="193">
        <v>1.49</v>
      </c>
      <c r="O34" s="193" t="s">
        <v>115</v>
      </c>
      <c r="P34" s="202"/>
      <c r="Q34" s="202"/>
      <c r="R34" s="182">
        <v>1321</v>
      </c>
      <c r="S34" s="183" t="s">
        <v>935</v>
      </c>
      <c r="T34" s="184">
        <v>649</v>
      </c>
      <c r="U34" s="185">
        <v>817</v>
      </c>
      <c r="V34" s="186" t="s">
        <v>59</v>
      </c>
      <c r="W34" s="181" t="s">
        <v>1106</v>
      </c>
      <c r="X34" s="176">
        <v>600</v>
      </c>
      <c r="Y34" s="180"/>
      <c r="Z34" s="180" t="s">
        <v>57</v>
      </c>
      <c r="AA34" s="176" t="s">
        <v>58</v>
      </c>
      <c r="AB34" s="176" t="s">
        <v>1107</v>
      </c>
      <c r="AC34" s="176" t="s">
        <v>59</v>
      </c>
      <c r="AD34" s="176"/>
      <c r="AE34" s="177"/>
      <c r="AF34" s="177" t="s">
        <v>1108</v>
      </c>
      <c r="AG34" s="178"/>
      <c r="AH34" s="177"/>
      <c r="AI34" s="177" t="s">
        <v>1109</v>
      </c>
      <c r="AJ34" s="193" t="s">
        <v>61</v>
      </c>
      <c r="AK34" s="193"/>
      <c r="AL34" s="193"/>
      <c r="AM34" s="193"/>
    </row>
    <row r="35" spans="1:39" s="135" customFormat="1" ht="14.25" hidden="1" x14ac:dyDescent="0.2">
      <c r="A35" s="181">
        <v>397</v>
      </c>
      <c r="B35" s="204" t="str">
        <f>IF(AND(A35&lt;&gt;"",ISNUMBER(A35)),VLOOKUP(A35,Studies!A:BR,2,FALSE),"")</f>
        <v>Reitman 2011</v>
      </c>
      <c r="C35" s="204" t="str">
        <f>IF(AND(A35&lt;&gt;"",ISNUMBER(A35)),VLOOKUP(A35,Studies!A:BR,3,FALSE),"")</f>
        <v>https://www.ncbi.nlm.nih.gov/pubmed/21191377</v>
      </c>
      <c r="D35" s="204" t="str">
        <f>IF(AND(A35&lt;&gt;"",ISNUMBER(A35)),VLOOKUP(A35,Studies!A:BR,4,FALSE),"")</f>
        <v>Week 1 after Perpetrator (Rifampicin)</v>
      </c>
      <c r="E35" s="139" t="str">
        <f>IF(AND(A35&lt;&gt;"",ISNUMBER(A35)),VLOOKUP(A35,Studies!A:BR,5,FALSE),"")</f>
        <v>Digoxin</v>
      </c>
      <c r="F35" s="186" t="s">
        <v>53</v>
      </c>
      <c r="G35" s="205" t="str">
        <f>IF(AND(A35&lt;&gt;"",ISNUMBER(A35)),VLOOKUP(A35,Studies!A:BR,13,FALSE),"")</f>
        <v>PO</v>
      </c>
      <c r="H35" s="138" t="str">
        <f t="shared" si="1"/>
        <v>PO</v>
      </c>
      <c r="I35" s="205" t="str">
        <f>IF(AND(A35&lt;&gt;"",ISNUMBER(A35)),VLOOKUP(A35,Studies!A:BR,6,FALSE),"")</f>
        <v>Plasma</v>
      </c>
      <c r="J35" s="187">
        <v>0.68300000000000005</v>
      </c>
      <c r="K35" s="187" t="s">
        <v>115</v>
      </c>
      <c r="L35" s="201"/>
      <c r="M35" s="201"/>
      <c r="N35" s="193">
        <v>69.3</v>
      </c>
      <c r="O35" s="193" t="s">
        <v>115</v>
      </c>
      <c r="P35" s="202"/>
      <c r="Q35" s="202"/>
      <c r="R35" s="182">
        <v>1321</v>
      </c>
      <c r="S35" s="183" t="s">
        <v>935</v>
      </c>
      <c r="T35" s="184">
        <v>817</v>
      </c>
      <c r="U35" s="185">
        <v>985</v>
      </c>
      <c r="V35" s="186" t="s">
        <v>59</v>
      </c>
      <c r="W35" s="181" t="s">
        <v>1106</v>
      </c>
      <c r="X35" s="176">
        <v>600</v>
      </c>
      <c r="Y35" s="180"/>
      <c r="Z35" s="180" t="s">
        <v>57</v>
      </c>
      <c r="AA35" s="176" t="s">
        <v>58</v>
      </c>
      <c r="AB35" s="176" t="s">
        <v>1107</v>
      </c>
      <c r="AC35" s="176" t="s">
        <v>59</v>
      </c>
      <c r="AD35" s="176"/>
      <c r="AE35" s="177"/>
      <c r="AF35" s="177" t="s">
        <v>1108</v>
      </c>
      <c r="AG35" s="178"/>
      <c r="AH35" s="177"/>
      <c r="AI35" s="177" t="s">
        <v>1109</v>
      </c>
      <c r="AJ35" s="193" t="s">
        <v>61</v>
      </c>
      <c r="AK35" s="193"/>
      <c r="AL35" s="193"/>
      <c r="AM35" s="193"/>
    </row>
    <row r="36" spans="1:39" s="135" customFormat="1" ht="14.25" hidden="1" x14ac:dyDescent="0.2">
      <c r="A36" s="181">
        <v>398</v>
      </c>
      <c r="B36" s="204" t="str">
        <f>IF(AND(A36&lt;&gt;"",ISNUMBER(A36)),VLOOKUP(A36,Studies!A:BR,2,FALSE),"")</f>
        <v>Reitman 2011</v>
      </c>
      <c r="C36" s="204" t="str">
        <f>IF(AND(A36&lt;&gt;"",ISNUMBER(A36)),VLOOKUP(A36,Studies!A:BR,3,FALSE),"")</f>
        <v>https://www.ncbi.nlm.nih.gov/pubmed/21191377</v>
      </c>
      <c r="D36" s="204" t="str">
        <f>IF(AND(A36&lt;&gt;"",ISNUMBER(A36)),VLOOKUP(A36,Studies!A:BR,4,FALSE),"")</f>
        <v>Week 2 after Perpetrator (Rifampicin)</v>
      </c>
      <c r="E36" s="139" t="str">
        <f>IF(AND(A36&lt;&gt;"",ISNUMBER(A36)),VLOOKUP(A36,Studies!A:BR,5,FALSE),"")</f>
        <v>Digoxin</v>
      </c>
      <c r="F36" s="186" t="s">
        <v>53</v>
      </c>
      <c r="G36" s="205" t="str">
        <f>IF(AND(A36&lt;&gt;"",ISNUMBER(A36)),VLOOKUP(A36,Studies!A:BR,13,FALSE),"")</f>
        <v>PO</v>
      </c>
      <c r="H36" s="138" t="str">
        <f t="shared" si="1"/>
        <v>PO</v>
      </c>
      <c r="I36" s="205" t="str">
        <f>IF(AND(A36&lt;&gt;"",ISNUMBER(A36)),VLOOKUP(A36,Studies!A:BR,6,FALSE),"")</f>
        <v>Plasma</v>
      </c>
      <c r="J36" s="187">
        <v>0.97699999999999998</v>
      </c>
      <c r="K36" s="187" t="s">
        <v>115</v>
      </c>
      <c r="L36" s="201"/>
      <c r="M36" s="201"/>
      <c r="N36" s="193">
        <v>87.6</v>
      </c>
      <c r="O36" s="193" t="s">
        <v>115</v>
      </c>
      <c r="P36" s="202"/>
      <c r="Q36" s="202"/>
      <c r="R36" s="182">
        <v>1321</v>
      </c>
      <c r="S36" s="183" t="s">
        <v>935</v>
      </c>
      <c r="T36" s="184">
        <v>985</v>
      </c>
      <c r="U36" s="185">
        <v>1321</v>
      </c>
      <c r="V36" s="186" t="s">
        <v>59</v>
      </c>
      <c r="W36" s="181" t="s">
        <v>1106</v>
      </c>
      <c r="X36" s="176">
        <v>600</v>
      </c>
      <c r="Y36" s="180"/>
      <c r="Z36" s="180" t="s">
        <v>57</v>
      </c>
      <c r="AA36" s="176" t="s">
        <v>58</v>
      </c>
      <c r="AB36" s="176" t="s">
        <v>1107</v>
      </c>
      <c r="AC36" s="176" t="s">
        <v>59</v>
      </c>
      <c r="AD36" s="176"/>
      <c r="AE36" s="177"/>
      <c r="AF36" s="177" t="s">
        <v>1108</v>
      </c>
      <c r="AG36" s="178"/>
      <c r="AH36" s="177"/>
      <c r="AI36" s="177" t="s">
        <v>1109</v>
      </c>
      <c r="AJ36" s="193" t="s">
        <v>61</v>
      </c>
      <c r="AK36" s="193"/>
      <c r="AL36" s="193"/>
      <c r="AM36" s="193"/>
    </row>
    <row r="37" spans="1:39" s="135" customFormat="1" ht="14.25" hidden="1" x14ac:dyDescent="0.2">
      <c r="A37" s="181">
        <v>2025</v>
      </c>
      <c r="B37" s="204" t="str">
        <f>IF(AND(A37&lt;&gt;"",ISNUMBER(A37)),VLOOKUP(A37,Studies!A:BR,2,FALSE),"")</f>
        <v>Quinney 2008</v>
      </c>
      <c r="C37" s="204" t="str">
        <f>IF(AND(A37&lt;&gt;"",ISNUMBER(A37)),VLOOKUP(A37,Studies!A:BR,3,FALSE),"")</f>
        <v>https://www.ncbi.nlm.nih.gov/pubmed/17635500</v>
      </c>
      <c r="D37" s="204" t="str">
        <f>IF(AND(A37&lt;&gt;"",ISNUMBER(A37)),VLOOKUP(A37,Studies!A:BR,4,FALSE),"")</f>
        <v>iv Midazolam Female after clarithromycin</v>
      </c>
      <c r="E37" s="139" t="str">
        <f>IF(AND(A37&lt;&gt;"",ISNUMBER(A37)),VLOOKUP(A37,Studies!A:BR,5,FALSE),"")</f>
        <v>Midazolam</v>
      </c>
      <c r="F37" s="186" t="s">
        <v>1110</v>
      </c>
      <c r="G37" s="205" t="str">
        <f>IF(AND(A37&lt;&gt;"",ISNUMBER(A37)),VLOOKUP(A37,Studies!A:BR,13,FALSE),"")</f>
        <v>IV</v>
      </c>
      <c r="H37" s="138" t="s">
        <v>58</v>
      </c>
      <c r="I37" s="205" t="str">
        <f>IF(AND(A37&lt;&gt;"",ISNUMBER(A37)),VLOOKUP(A37,Studies!A:BR,6,FALSE),"")</f>
        <v>Whole Blood</v>
      </c>
      <c r="J37" s="187">
        <v>3.6</v>
      </c>
      <c r="K37" s="187" t="s">
        <v>2690</v>
      </c>
      <c r="L37" s="201" t="s">
        <v>2669</v>
      </c>
      <c r="M37" s="201" t="s">
        <v>1096</v>
      </c>
      <c r="N37" s="193">
        <f>70/58</f>
        <v>1.2068965517241379</v>
      </c>
      <c r="O37" s="193" t="s">
        <v>1100</v>
      </c>
      <c r="P37" s="202"/>
      <c r="Q37" s="202"/>
      <c r="R37" s="182">
        <v>0</v>
      </c>
      <c r="S37" s="183" t="s">
        <v>935</v>
      </c>
      <c r="T37" s="184">
        <v>146</v>
      </c>
      <c r="U37" s="185" t="s">
        <v>935</v>
      </c>
      <c r="V37" s="186" t="s">
        <v>59</v>
      </c>
      <c r="W37" s="181"/>
      <c r="X37" s="176">
        <v>500</v>
      </c>
      <c r="Y37" s="180"/>
      <c r="Z37" s="180" t="s">
        <v>57</v>
      </c>
      <c r="AA37" s="176" t="s">
        <v>58</v>
      </c>
      <c r="AB37" s="176" t="s">
        <v>2883</v>
      </c>
      <c r="AC37" s="176" t="s">
        <v>59</v>
      </c>
      <c r="AD37" s="176" t="s">
        <v>2511</v>
      </c>
      <c r="AE37" s="177" t="s">
        <v>1131</v>
      </c>
      <c r="AF37" s="177"/>
      <c r="AG37" s="178"/>
      <c r="AH37" s="177"/>
      <c r="AI37" s="177"/>
      <c r="AJ37" s="193"/>
      <c r="AK37" s="193"/>
      <c r="AL37" s="193"/>
      <c r="AM37" s="193"/>
    </row>
    <row r="38" spans="1:39" s="135" customFormat="1" ht="14.25" hidden="1" x14ac:dyDescent="0.2">
      <c r="A38" s="181">
        <v>2026</v>
      </c>
      <c r="B38" s="204" t="str">
        <f>IF(AND(A38&lt;&gt;"",ISNUMBER(A38)),VLOOKUP(A38,Studies!A:BR,2,FALSE),"")</f>
        <v>Quinney 2008</v>
      </c>
      <c r="C38" s="204" t="str">
        <f>IF(AND(A38&lt;&gt;"",ISNUMBER(A38)),VLOOKUP(A38,Studies!A:BR,3,FALSE),"")</f>
        <v>https://www.ncbi.nlm.nih.gov/pubmed/17635500</v>
      </c>
      <c r="D38" s="204" t="str">
        <f>IF(AND(A38&lt;&gt;"",ISNUMBER(A38)),VLOOKUP(A38,Studies!A:BR,4,FALSE),"")</f>
        <v>iv Midazolam Male after clarithromycin</v>
      </c>
      <c r="E38" s="139" t="str">
        <f>IF(AND(A38&lt;&gt;"",ISNUMBER(A38)),VLOOKUP(A38,Studies!A:BR,5,FALSE),"")</f>
        <v>Midazolam</v>
      </c>
      <c r="F38" s="186" t="s">
        <v>1110</v>
      </c>
      <c r="G38" s="205" t="str">
        <f>IF(AND(A38&lt;&gt;"",ISNUMBER(A38)),VLOOKUP(A38,Studies!A:BR,13,FALSE),"")</f>
        <v>IV</v>
      </c>
      <c r="H38" s="138" t="s">
        <v>58</v>
      </c>
      <c r="I38" s="205" t="str">
        <f>IF(AND(A38&lt;&gt;"",ISNUMBER(A38)),VLOOKUP(A38,Studies!A:BR,6,FALSE),"")</f>
        <v>Whole Blood</v>
      </c>
      <c r="J38" s="187">
        <v>2.9</v>
      </c>
      <c r="K38" s="187" t="s">
        <v>2690</v>
      </c>
      <c r="L38" s="201" t="s">
        <v>2670</v>
      </c>
      <c r="M38" s="201" t="s">
        <v>1096</v>
      </c>
      <c r="N38" s="193">
        <f>66/59</f>
        <v>1.1186440677966101</v>
      </c>
      <c r="O38" s="193" t="s">
        <v>1100</v>
      </c>
      <c r="P38" s="202"/>
      <c r="Q38" s="202"/>
      <c r="R38" s="182">
        <v>0</v>
      </c>
      <c r="S38" s="183" t="s">
        <v>935</v>
      </c>
      <c r="T38" s="184">
        <v>146</v>
      </c>
      <c r="U38" s="185" t="s">
        <v>935</v>
      </c>
      <c r="V38" s="186" t="s">
        <v>59</v>
      </c>
      <c r="W38" s="181"/>
      <c r="X38" s="176">
        <v>500</v>
      </c>
      <c r="Y38" s="180"/>
      <c r="Z38" s="180" t="s">
        <v>57</v>
      </c>
      <c r="AA38" s="176" t="s">
        <v>58</v>
      </c>
      <c r="AB38" s="176" t="s">
        <v>2883</v>
      </c>
      <c r="AC38" s="176" t="s">
        <v>59</v>
      </c>
      <c r="AD38" s="176" t="s">
        <v>2511</v>
      </c>
      <c r="AE38" s="177" t="s">
        <v>1131</v>
      </c>
      <c r="AF38" s="177"/>
      <c r="AG38" s="178"/>
      <c r="AH38" s="177"/>
      <c r="AI38" s="177"/>
      <c r="AJ38" s="193"/>
      <c r="AK38" s="193"/>
      <c r="AL38" s="193"/>
      <c r="AM38" s="193"/>
    </row>
    <row r="39" spans="1:39" s="135" customFormat="1" ht="14.25" hidden="1" x14ac:dyDescent="0.2">
      <c r="A39" s="181">
        <v>2027</v>
      </c>
      <c r="B39" s="204" t="str">
        <f>IF(AND(A39&lt;&gt;"",ISNUMBER(A39)),VLOOKUP(A39,Studies!A:BR,2,FALSE),"")</f>
        <v>Quinney 2008</v>
      </c>
      <c r="C39" s="204" t="str">
        <f>IF(AND(A39&lt;&gt;"",ISNUMBER(A39)),VLOOKUP(A39,Studies!A:BR,3,FALSE),"")</f>
        <v>https://www.ncbi.nlm.nih.gov/pubmed/17635500</v>
      </c>
      <c r="D39" s="204" t="str">
        <f>IF(AND(A39&lt;&gt;"",ISNUMBER(A39)),VLOOKUP(A39,Studies!A:BR,4,FALSE),"")</f>
        <v>iv Midazolam All after clarithromycin</v>
      </c>
      <c r="E39" s="139" t="str">
        <f>IF(AND(A39&lt;&gt;"",ISNUMBER(A39)),VLOOKUP(A39,Studies!A:BR,5,FALSE),"")</f>
        <v>Midazolam</v>
      </c>
      <c r="F39" s="186" t="s">
        <v>1110</v>
      </c>
      <c r="G39" s="205" t="str">
        <f>IF(AND(A39&lt;&gt;"",ISNUMBER(A39)),VLOOKUP(A39,Studies!A:BR,13,FALSE),"")</f>
        <v>IV</v>
      </c>
      <c r="H39" s="138" t="s">
        <v>58</v>
      </c>
      <c r="I39" s="205" t="str">
        <f>IF(AND(A39&lt;&gt;"",ISNUMBER(A39)),VLOOKUP(A39,Studies!A:BR,6,FALSE),"")</f>
        <v>Whole Blood</v>
      </c>
      <c r="J39" s="187">
        <v>3.2</v>
      </c>
      <c r="K39" s="187" t="s">
        <v>2690</v>
      </c>
      <c r="L39" s="201" t="s">
        <v>2671</v>
      </c>
      <c r="M39" s="201" t="s">
        <v>1096</v>
      </c>
      <c r="N39" s="193">
        <f>68/58</f>
        <v>1.1724137931034482</v>
      </c>
      <c r="O39" s="193" t="s">
        <v>1100</v>
      </c>
      <c r="P39" s="202"/>
      <c r="Q39" s="202"/>
      <c r="R39" s="182">
        <v>0</v>
      </c>
      <c r="S39" s="183" t="s">
        <v>935</v>
      </c>
      <c r="T39" s="184">
        <v>146</v>
      </c>
      <c r="U39" s="185" t="s">
        <v>935</v>
      </c>
      <c r="V39" s="186" t="s">
        <v>59</v>
      </c>
      <c r="W39" s="181"/>
      <c r="X39" s="176">
        <v>500</v>
      </c>
      <c r="Y39" s="180"/>
      <c r="Z39" s="180" t="s">
        <v>57</v>
      </c>
      <c r="AA39" s="176" t="s">
        <v>58</v>
      </c>
      <c r="AB39" s="176" t="s">
        <v>2883</v>
      </c>
      <c r="AC39" s="176" t="s">
        <v>59</v>
      </c>
      <c r="AD39" s="176" t="s">
        <v>2511</v>
      </c>
      <c r="AE39" s="177" t="s">
        <v>1131</v>
      </c>
      <c r="AF39" s="177"/>
      <c r="AG39" s="178"/>
      <c r="AH39" s="177"/>
      <c r="AI39" s="177"/>
      <c r="AJ39" s="193"/>
      <c r="AK39" s="193"/>
      <c r="AL39" s="193"/>
      <c r="AM39" s="193"/>
    </row>
    <row r="40" spans="1:39" s="135" customFormat="1" ht="14.25" hidden="1" x14ac:dyDescent="0.2">
      <c r="A40" s="181">
        <v>2028</v>
      </c>
      <c r="B40" s="204" t="str">
        <f>IF(AND(A40&lt;&gt;"",ISNUMBER(A40)),VLOOKUP(A40,Studies!A:BR,2,FALSE),"")</f>
        <v>Quinney 2008</v>
      </c>
      <c r="C40" s="204" t="str">
        <f>IF(AND(A40&lt;&gt;"",ISNUMBER(A40)),VLOOKUP(A40,Studies!A:BR,3,FALSE),"")</f>
        <v>https://www.ncbi.nlm.nih.gov/pubmed/17635500</v>
      </c>
      <c r="D40" s="204" t="str">
        <f>IF(AND(A40&lt;&gt;"",ISNUMBER(A40)),VLOOKUP(A40,Studies!A:BR,4,FALSE),"")</f>
        <v>po Midazolam Female after clarithromycin</v>
      </c>
      <c r="E40" s="139" t="str">
        <f>IF(AND(A40&lt;&gt;"",ISNUMBER(A40)),VLOOKUP(A40,Studies!A:BR,5,FALSE),"")</f>
        <v>Midazolam</v>
      </c>
      <c r="F40" s="186" t="s">
        <v>1110</v>
      </c>
      <c r="G40" s="205" t="str">
        <f>IF(AND(A40&lt;&gt;"",ISNUMBER(A40)),VLOOKUP(A40,Studies!A:BR,13,FALSE),"")</f>
        <v>PO</v>
      </c>
      <c r="H40" s="138" t="s">
        <v>58</v>
      </c>
      <c r="I40" s="205" t="str">
        <f>IF(AND(A40&lt;&gt;"",ISNUMBER(A40)),VLOOKUP(A40,Studies!A:BR,6,FALSE),"")</f>
        <v>Whole Blood</v>
      </c>
      <c r="J40" s="187">
        <v>8.1999999999999993</v>
      </c>
      <c r="K40" s="187" t="s">
        <v>2690</v>
      </c>
      <c r="L40" s="201" t="s">
        <v>2672</v>
      </c>
      <c r="M40" s="201" t="s">
        <v>1096</v>
      </c>
      <c r="N40" s="193">
        <f>34/12</f>
        <v>2.8333333333333335</v>
      </c>
      <c r="O40" s="193" t="s">
        <v>1100</v>
      </c>
      <c r="P40" s="202"/>
      <c r="Q40" s="202"/>
      <c r="R40" s="182">
        <v>0</v>
      </c>
      <c r="S40" s="183" t="s">
        <v>935</v>
      </c>
      <c r="T40" s="184">
        <v>146</v>
      </c>
      <c r="U40" s="185" t="s">
        <v>935</v>
      </c>
      <c r="V40" s="186" t="s">
        <v>59</v>
      </c>
      <c r="W40" s="181"/>
      <c r="X40" s="176">
        <v>500</v>
      </c>
      <c r="Y40" s="137"/>
      <c r="Z40" s="137" t="s">
        <v>57</v>
      </c>
      <c r="AA40" s="176" t="s">
        <v>58</v>
      </c>
      <c r="AB40" s="176" t="s">
        <v>2883</v>
      </c>
      <c r="AC40" s="136" t="s">
        <v>59</v>
      </c>
      <c r="AD40" s="176" t="s">
        <v>2511</v>
      </c>
      <c r="AE40" s="174" t="s">
        <v>1131</v>
      </c>
      <c r="AF40" s="177"/>
      <c r="AG40" s="178"/>
      <c r="AH40" s="178"/>
      <c r="AI40" s="178"/>
      <c r="AJ40" s="193"/>
      <c r="AK40" s="193"/>
      <c r="AL40" s="193"/>
      <c r="AM40" s="193"/>
    </row>
    <row r="41" spans="1:39" s="135" customFormat="1" ht="14.25" hidden="1" x14ac:dyDescent="0.2">
      <c r="A41" s="181">
        <v>2029</v>
      </c>
      <c r="B41" s="204" t="str">
        <f>IF(AND(A41&lt;&gt;"",ISNUMBER(A41)),VLOOKUP(A41,Studies!A:BR,2,FALSE),"")</f>
        <v>Quinney 2008</v>
      </c>
      <c r="C41" s="204" t="str">
        <f>IF(AND(A41&lt;&gt;"",ISNUMBER(A41)),VLOOKUP(A41,Studies!A:BR,3,FALSE),"")</f>
        <v>https://www.ncbi.nlm.nih.gov/pubmed/17635500</v>
      </c>
      <c r="D41" s="204" t="str">
        <f>IF(AND(A41&lt;&gt;"",ISNUMBER(A41)),VLOOKUP(A41,Studies!A:BR,4,FALSE),"")</f>
        <v>po Midazolam Male after clarithromycin</v>
      </c>
      <c r="E41" s="139" t="str">
        <f>IF(AND(A41&lt;&gt;"",ISNUMBER(A41)),VLOOKUP(A41,Studies!A:BR,5,FALSE),"")</f>
        <v>Midazolam</v>
      </c>
      <c r="F41" s="186" t="s">
        <v>1110</v>
      </c>
      <c r="G41" s="205" t="str">
        <f>IF(AND(A41&lt;&gt;"",ISNUMBER(A41)),VLOOKUP(A41,Studies!A:BR,13,FALSE),"")</f>
        <v>PO</v>
      </c>
      <c r="H41" s="138" t="s">
        <v>58</v>
      </c>
      <c r="I41" s="205" t="str">
        <f>IF(AND(A41&lt;&gt;"",ISNUMBER(A41)),VLOOKUP(A41,Studies!A:BR,6,FALSE),"")</f>
        <v>Whole Blood</v>
      </c>
      <c r="J41" s="187">
        <v>7.7</v>
      </c>
      <c r="K41" s="187" t="s">
        <v>2690</v>
      </c>
      <c r="L41" s="201" t="s">
        <v>2673</v>
      </c>
      <c r="M41" s="201" t="s">
        <v>1096</v>
      </c>
      <c r="N41" s="193">
        <f>31/12</f>
        <v>2.5833333333333335</v>
      </c>
      <c r="O41" s="193" t="s">
        <v>1100</v>
      </c>
      <c r="P41" s="202"/>
      <c r="Q41" s="202"/>
      <c r="R41" s="182">
        <v>0</v>
      </c>
      <c r="S41" s="183" t="s">
        <v>935</v>
      </c>
      <c r="T41" s="184">
        <v>146</v>
      </c>
      <c r="U41" s="185" t="s">
        <v>935</v>
      </c>
      <c r="V41" s="186" t="s">
        <v>59</v>
      </c>
      <c r="W41" s="181"/>
      <c r="X41" s="176">
        <v>500</v>
      </c>
      <c r="Y41" s="137"/>
      <c r="Z41" s="137" t="s">
        <v>57</v>
      </c>
      <c r="AA41" s="176" t="s">
        <v>58</v>
      </c>
      <c r="AB41" s="176" t="s">
        <v>2883</v>
      </c>
      <c r="AC41" s="136" t="s">
        <v>59</v>
      </c>
      <c r="AD41" s="176" t="s">
        <v>2511</v>
      </c>
      <c r="AE41" s="174" t="s">
        <v>1131</v>
      </c>
      <c r="AF41" s="177"/>
      <c r="AG41" s="178"/>
      <c r="AH41" s="178"/>
      <c r="AI41" s="178"/>
      <c r="AJ41" s="193"/>
      <c r="AK41" s="193"/>
      <c r="AL41" s="193"/>
      <c r="AM41" s="193"/>
    </row>
    <row r="42" spans="1:39" s="135" customFormat="1" ht="14.25" hidden="1" x14ac:dyDescent="0.2">
      <c r="A42" s="181">
        <v>2030</v>
      </c>
      <c r="B42" s="204" t="str">
        <f>IF(AND(A42&lt;&gt;"",ISNUMBER(A42)),VLOOKUP(A42,Studies!A:BR,2,FALSE),"")</f>
        <v>Quinney 2008</v>
      </c>
      <c r="C42" s="204" t="str">
        <f>IF(AND(A42&lt;&gt;"",ISNUMBER(A42)),VLOOKUP(A42,Studies!A:BR,3,FALSE),"")</f>
        <v>https://www.ncbi.nlm.nih.gov/pubmed/17635500</v>
      </c>
      <c r="D42" s="204" t="str">
        <f>IF(AND(A42&lt;&gt;"",ISNUMBER(A42)),VLOOKUP(A42,Studies!A:BR,4,FALSE),"")</f>
        <v>po Midazolam All after clarithromycin</v>
      </c>
      <c r="E42" s="139" t="str">
        <f>IF(AND(A42&lt;&gt;"",ISNUMBER(A42)),VLOOKUP(A42,Studies!A:BR,5,FALSE),"")</f>
        <v>Midazolam</v>
      </c>
      <c r="F42" s="186" t="s">
        <v>1110</v>
      </c>
      <c r="G42" s="205" t="str">
        <f>IF(AND(A42&lt;&gt;"",ISNUMBER(A42)),VLOOKUP(A42,Studies!A:BR,13,FALSE),"")</f>
        <v>PO</v>
      </c>
      <c r="H42" s="138" t="s">
        <v>58</v>
      </c>
      <c r="I42" s="205" t="str">
        <f>IF(AND(A42&lt;&gt;"",ISNUMBER(A42)),VLOOKUP(A42,Studies!A:BR,6,FALSE),"")</f>
        <v>Whole Blood</v>
      </c>
      <c r="J42" s="187">
        <v>8</v>
      </c>
      <c r="K42" s="187" t="s">
        <v>2690</v>
      </c>
      <c r="L42" s="201" t="s">
        <v>2674</v>
      </c>
      <c r="M42" s="201" t="s">
        <v>1096</v>
      </c>
      <c r="N42" s="193">
        <f>33/12</f>
        <v>2.75</v>
      </c>
      <c r="O42" s="193" t="s">
        <v>1100</v>
      </c>
      <c r="P42" s="202"/>
      <c r="Q42" s="202"/>
      <c r="R42" s="182">
        <v>0</v>
      </c>
      <c r="S42" s="183" t="s">
        <v>935</v>
      </c>
      <c r="T42" s="184">
        <v>146</v>
      </c>
      <c r="U42" s="185" t="s">
        <v>935</v>
      </c>
      <c r="V42" s="186" t="s">
        <v>59</v>
      </c>
      <c r="W42" s="181"/>
      <c r="X42" s="176">
        <v>500</v>
      </c>
      <c r="Y42" s="180"/>
      <c r="Z42" s="180" t="s">
        <v>57</v>
      </c>
      <c r="AA42" s="176" t="s">
        <v>58</v>
      </c>
      <c r="AB42" s="176" t="s">
        <v>2883</v>
      </c>
      <c r="AC42" s="176" t="s">
        <v>59</v>
      </c>
      <c r="AD42" s="176" t="s">
        <v>2511</v>
      </c>
      <c r="AE42" s="177" t="s">
        <v>1131</v>
      </c>
      <c r="AF42" s="177"/>
      <c r="AG42" s="178"/>
      <c r="AH42" s="177"/>
      <c r="AI42" s="177"/>
      <c r="AJ42" s="193"/>
      <c r="AK42" s="193"/>
      <c r="AL42" s="193"/>
      <c r="AM42" s="193"/>
    </row>
    <row r="43" spans="1:39" s="135" customFormat="1" ht="14.25" hidden="1" x14ac:dyDescent="0.2">
      <c r="A43" s="181">
        <v>1097</v>
      </c>
      <c r="B43" s="204" t="str">
        <f>IF(AND(A43&lt;&gt;"",ISNUMBER(A43)),VLOOKUP(A43,Studies!A:BR,2,FALSE),"")</f>
        <v>Prueksaritanont 2017</v>
      </c>
      <c r="C43" s="204" t="str">
        <f>IF(AND(A43&lt;&gt;"",ISNUMBER(A43)),VLOOKUP(A43,Studies!A:BR,3,FALSE),"")</f>
        <v>https://www.ncbi.nlm.nih.gov/pubmed/27943276</v>
      </c>
      <c r="D43" s="204" t="str">
        <f>IF(AND(A43&lt;&gt;"",ISNUMBER(A43)),VLOOKUP(A43,Studies!A:BR,4,FALSE),"")</f>
        <v>Midazolam in microdosecocktail + Itraconazole</v>
      </c>
      <c r="E43" s="139" t="str">
        <f>IF(AND(A43&lt;&gt;"",ISNUMBER(A43)),VLOOKUP(A43,Studies!A:BR,5,FALSE),"")</f>
        <v>Midazolam</v>
      </c>
      <c r="F43" s="186" t="s">
        <v>148</v>
      </c>
      <c r="G43" s="205" t="str">
        <f>IF(AND(A43&lt;&gt;"",ISNUMBER(A43)),VLOOKUP(A43,Studies!A:BR,13,FALSE),"")</f>
        <v>PO</v>
      </c>
      <c r="H43" s="138" t="s">
        <v>58</v>
      </c>
      <c r="I43" s="205" t="str">
        <f>IF(AND(A43&lt;&gt;"",ISNUMBER(A43)),VLOOKUP(A43,Studies!A:BR,6,FALSE),"")</f>
        <v>Plasma</v>
      </c>
      <c r="J43" s="187">
        <v>7.04</v>
      </c>
      <c r="K43" s="187" t="s">
        <v>2139</v>
      </c>
      <c r="L43" s="201" t="s">
        <v>2632</v>
      </c>
      <c r="M43" s="201" t="s">
        <v>1156</v>
      </c>
      <c r="N43" s="193">
        <v>3.71</v>
      </c>
      <c r="O43" s="193" t="s">
        <v>2139</v>
      </c>
      <c r="P43" s="202" t="s">
        <v>2633</v>
      </c>
      <c r="Q43" s="202" t="s">
        <v>1156</v>
      </c>
      <c r="R43" s="182">
        <v>0</v>
      </c>
      <c r="S43" s="183" t="s">
        <v>935</v>
      </c>
      <c r="T43" s="184">
        <v>72</v>
      </c>
      <c r="U43" s="185" t="s">
        <v>935</v>
      </c>
      <c r="V43" s="186" t="s">
        <v>59</v>
      </c>
      <c r="W43" s="181" t="s">
        <v>2634</v>
      </c>
      <c r="X43" s="176">
        <v>200</v>
      </c>
      <c r="Y43" s="180"/>
      <c r="Z43" s="180" t="s">
        <v>57</v>
      </c>
      <c r="AA43" s="176" t="s">
        <v>58</v>
      </c>
      <c r="AB43" s="176" t="s">
        <v>2635</v>
      </c>
      <c r="AC43" s="176" t="s">
        <v>59</v>
      </c>
      <c r="AD43" s="176" t="s">
        <v>2636</v>
      </c>
      <c r="AE43" s="177" t="s">
        <v>831</v>
      </c>
      <c r="AF43" s="177" t="s">
        <v>2637</v>
      </c>
      <c r="AG43" s="178"/>
      <c r="AH43" s="177"/>
      <c r="AI43" s="177"/>
      <c r="AJ43" s="193"/>
      <c r="AK43" s="193"/>
      <c r="AL43" s="193"/>
      <c r="AM43" s="193"/>
    </row>
    <row r="44" spans="1:39" s="135" customFormat="1" ht="14.25" hidden="1" x14ac:dyDescent="0.2">
      <c r="A44" s="181">
        <v>1098</v>
      </c>
      <c r="B44" s="204" t="str">
        <f>IF(AND(A44&lt;&gt;"",ISNUMBER(A44)),VLOOKUP(A44,Studies!A:BR,2,FALSE),"")</f>
        <v>Prueksaritanont 2017</v>
      </c>
      <c r="C44" s="204" t="str">
        <f>IF(AND(A44&lt;&gt;"",ISNUMBER(A44)),VLOOKUP(A44,Studies!A:BR,3,FALSE),"")</f>
        <v>https://www.ncbi.nlm.nih.gov/pubmed/27943276</v>
      </c>
      <c r="D44" s="204" t="str">
        <f>IF(AND(A44&lt;&gt;"",ISNUMBER(A44)),VLOOKUP(A44,Studies!A:BR,4,FALSE),"")</f>
        <v>Midazolam in microdosecocktail + Rifampin</v>
      </c>
      <c r="E44" s="139" t="str">
        <f>IF(AND(A44&lt;&gt;"",ISNUMBER(A44)),VLOOKUP(A44,Studies!A:BR,5,FALSE),"")</f>
        <v>Midazolam</v>
      </c>
      <c r="F44" s="186" t="s">
        <v>1128</v>
      </c>
      <c r="G44" s="205" t="str">
        <f>IF(AND(A44&lt;&gt;"",ISNUMBER(A44)),VLOOKUP(A44,Studies!A:BR,13,FALSE),"")</f>
        <v>PO</v>
      </c>
      <c r="H44" s="138" t="s">
        <v>58</v>
      </c>
      <c r="I44" s="205" t="str">
        <f>IF(AND(A44&lt;&gt;"",ISNUMBER(A44)),VLOOKUP(A44,Studies!A:BR,6,FALSE),"")</f>
        <v>Plasma</v>
      </c>
      <c r="J44" s="187">
        <v>0.94</v>
      </c>
      <c r="K44" s="187" t="s">
        <v>2139</v>
      </c>
      <c r="L44" s="201" t="s">
        <v>2638</v>
      </c>
      <c r="M44" s="201" t="s">
        <v>1156</v>
      </c>
      <c r="N44" s="193">
        <v>1.3</v>
      </c>
      <c r="O44" s="193" t="s">
        <v>2139</v>
      </c>
      <c r="P44" s="202" t="s">
        <v>2639</v>
      </c>
      <c r="Q44" s="202" t="s">
        <v>1156</v>
      </c>
      <c r="R44" s="182">
        <v>0</v>
      </c>
      <c r="S44" s="183" t="s">
        <v>935</v>
      </c>
      <c r="T44" s="184">
        <v>0</v>
      </c>
      <c r="U44" s="185" t="s">
        <v>935</v>
      </c>
      <c r="V44" s="186" t="s">
        <v>59</v>
      </c>
      <c r="W44" s="181" t="s">
        <v>2640</v>
      </c>
      <c r="X44" s="176">
        <v>600</v>
      </c>
      <c r="Y44" s="180"/>
      <c r="Z44" s="180" t="s">
        <v>57</v>
      </c>
      <c r="AA44" s="176" t="s">
        <v>58</v>
      </c>
      <c r="AB44" s="176">
        <v>0</v>
      </c>
      <c r="AC44" s="176" t="s">
        <v>59</v>
      </c>
      <c r="AD44" s="176" t="s">
        <v>78</v>
      </c>
      <c r="AE44" s="177" t="s">
        <v>1137</v>
      </c>
      <c r="AF44" s="177" t="s">
        <v>2641</v>
      </c>
      <c r="AG44" s="178"/>
      <c r="AH44" s="177"/>
      <c r="AI44" s="177"/>
      <c r="AJ44" s="193"/>
      <c r="AK44" s="193"/>
      <c r="AL44" s="193"/>
      <c r="AM44" s="193"/>
    </row>
    <row r="45" spans="1:39" s="135" customFormat="1" ht="14.25" hidden="1" x14ac:dyDescent="0.2">
      <c r="A45" s="181">
        <v>1099</v>
      </c>
      <c r="B45" s="204" t="str">
        <f>IF(AND(A45&lt;&gt;"",ISNUMBER(A45)),VLOOKUP(A45,Studies!A:BR,2,FALSE),"")</f>
        <v>Prueksaritanont 2017</v>
      </c>
      <c r="C45" s="204" t="str">
        <f>IF(AND(A45&lt;&gt;"",ISNUMBER(A45)),VLOOKUP(A45,Studies!A:BR,3,FALSE),"")</f>
        <v>https://www.ncbi.nlm.nih.gov/pubmed/27943276</v>
      </c>
      <c r="D45" s="204" t="str">
        <f>IF(AND(A45&lt;&gt;"",ISNUMBER(A45)),VLOOKUP(A45,Studies!A:BR,4,FALSE),"")</f>
        <v>Midazolam in microdosecocktail + Clarithromycin</v>
      </c>
      <c r="E45" s="139" t="str">
        <f>IF(AND(A45&lt;&gt;"",ISNUMBER(A45)),VLOOKUP(A45,Studies!A:BR,5,FALSE),"")</f>
        <v>Midazolam</v>
      </c>
      <c r="F45" s="186" t="s">
        <v>1110</v>
      </c>
      <c r="G45" s="205" t="str">
        <f>IF(AND(A45&lt;&gt;"",ISNUMBER(A45)),VLOOKUP(A45,Studies!A:BR,13,FALSE),"")</f>
        <v>PO</v>
      </c>
      <c r="H45" s="138" t="s">
        <v>58</v>
      </c>
      <c r="I45" s="205" t="str">
        <f>IF(AND(A45&lt;&gt;"",ISNUMBER(A45)),VLOOKUP(A45,Studies!A:BR,6,FALSE),"")</f>
        <v>Plasma</v>
      </c>
      <c r="J45" s="187">
        <v>4.84</v>
      </c>
      <c r="K45" s="187" t="s">
        <v>2139</v>
      </c>
      <c r="L45" s="201" t="s">
        <v>2642</v>
      </c>
      <c r="M45" s="201" t="s">
        <v>1156</v>
      </c>
      <c r="N45" s="193">
        <v>2.69</v>
      </c>
      <c r="O45" s="193" t="s">
        <v>2139</v>
      </c>
      <c r="P45" s="202" t="s">
        <v>2643</v>
      </c>
      <c r="Q45" s="202" t="s">
        <v>1156</v>
      </c>
      <c r="R45" s="182">
        <v>0</v>
      </c>
      <c r="S45" s="183" t="s">
        <v>935</v>
      </c>
      <c r="T45" s="184">
        <v>72</v>
      </c>
      <c r="U45" s="185" t="s">
        <v>935</v>
      </c>
      <c r="V45" s="186" t="s">
        <v>59</v>
      </c>
      <c r="W45" s="181" t="s">
        <v>2644</v>
      </c>
      <c r="X45" s="176">
        <v>500</v>
      </c>
      <c r="Y45" s="180"/>
      <c r="Z45" s="180" t="s">
        <v>57</v>
      </c>
      <c r="AA45" s="176" t="s">
        <v>58</v>
      </c>
      <c r="AB45" s="176" t="s">
        <v>2645</v>
      </c>
      <c r="AC45" s="176" t="s">
        <v>59</v>
      </c>
      <c r="AD45" s="176" t="s">
        <v>2646</v>
      </c>
      <c r="AE45" s="177" t="s">
        <v>1131</v>
      </c>
      <c r="AF45" s="177" t="s">
        <v>2647</v>
      </c>
      <c r="AG45" s="178"/>
      <c r="AH45" s="177"/>
      <c r="AI45" s="177"/>
      <c r="AJ45" s="193"/>
      <c r="AK45" s="193"/>
      <c r="AL45" s="193"/>
      <c r="AM45" s="193"/>
    </row>
    <row r="46" spans="1:39" s="135" customFormat="1" ht="14.25" hidden="1" x14ac:dyDescent="0.2">
      <c r="A46" s="187">
        <v>389</v>
      </c>
      <c r="B46" s="204" t="str">
        <f>IF(AND(A46&lt;&gt;"",ISNUMBER(A46)),VLOOKUP(A46,Studies!A:BR,2,FALSE),"")</f>
        <v>Phimmasone 2001</v>
      </c>
      <c r="C46" s="204" t="str">
        <f>IF(AND(A46&lt;&gt;"",ISNUMBER(A46)),VLOOKUP(A46,Studies!A:BR,3,FALSE),"")</f>
        <v>https://www.ncbi.nlm.nih.gov/pubmed/11753266</v>
      </c>
      <c r="D46" s="204" t="str">
        <f>IF(AND(A46&lt;&gt;"",ISNUMBER(A46)),VLOOKUP(A46,Studies!A:BR,4,FALSE),"")</f>
        <v>with Perpetrator (Rifampicin)</v>
      </c>
      <c r="E46" s="139" t="str">
        <f>IF(AND(A46&lt;&gt;"",ISNUMBER(A46)),VLOOKUP(A46,Studies!A:BR,5,FALSE),"")</f>
        <v>Midazolam</v>
      </c>
      <c r="F46" s="186" t="s">
        <v>53</v>
      </c>
      <c r="G46" s="205" t="str">
        <f>IF(AND(A46&lt;&gt;"",ISNUMBER(A46)),VLOOKUP(A46,Studies!A:BR,13,FALSE),"")</f>
        <v>IV</v>
      </c>
      <c r="H46" s="138" t="str">
        <f>AA46</f>
        <v>PO</v>
      </c>
      <c r="I46" s="205" t="str">
        <f>IF(AND(A46&lt;&gt;"",ISNUMBER(A46)),VLOOKUP(A46,Studies!A:BR,6,FALSE),"")</f>
        <v>Plasma</v>
      </c>
      <c r="J46" s="211">
        <v>0.51</v>
      </c>
      <c r="K46" s="211" t="s">
        <v>115</v>
      </c>
      <c r="L46" s="201"/>
      <c r="M46" s="201"/>
      <c r="N46" s="213"/>
      <c r="O46" s="213"/>
      <c r="P46" s="202"/>
      <c r="Q46" s="202"/>
      <c r="R46" s="182">
        <v>0</v>
      </c>
      <c r="S46" s="183" t="s">
        <v>935</v>
      </c>
      <c r="T46" s="184">
        <v>106</v>
      </c>
      <c r="U46" s="185" t="s">
        <v>935</v>
      </c>
      <c r="V46" s="219" t="s">
        <v>59</v>
      </c>
      <c r="W46" s="220"/>
      <c r="X46" s="206">
        <v>600</v>
      </c>
      <c r="Y46" s="207"/>
      <c r="Z46" s="207" t="s">
        <v>57</v>
      </c>
      <c r="AA46" s="206" t="s">
        <v>58</v>
      </c>
      <c r="AB46" s="176" t="s">
        <v>182</v>
      </c>
      <c r="AC46" s="206" t="s">
        <v>59</v>
      </c>
      <c r="AD46" s="206" t="s">
        <v>91</v>
      </c>
      <c r="AE46" s="208" t="s">
        <v>1137</v>
      </c>
      <c r="AF46" s="208"/>
      <c r="AG46" s="209"/>
      <c r="AH46" s="208"/>
      <c r="AI46" s="208" t="s">
        <v>1144</v>
      </c>
      <c r="AJ46" s="193"/>
      <c r="AK46" s="193"/>
      <c r="AL46" s="193"/>
      <c r="AM46" s="193"/>
    </row>
    <row r="47" spans="1:39" s="135" customFormat="1" ht="14.25" hidden="1" x14ac:dyDescent="0.2">
      <c r="A47" s="187">
        <v>391</v>
      </c>
      <c r="B47" s="204" t="str">
        <f>IF(AND(A47&lt;&gt;"",ISNUMBER(A47)),VLOOKUP(A47,Studies!A:BR,2,FALSE),"")</f>
        <v>Phimmasone 2001</v>
      </c>
      <c r="C47" s="204" t="str">
        <f>IF(AND(A47&lt;&gt;"",ISNUMBER(A47)),VLOOKUP(A47,Studies!A:BR,3,FALSE),"")</f>
        <v>https://www.ncbi.nlm.nih.gov/pubmed/11753266</v>
      </c>
      <c r="D47" s="204" t="str">
        <f>IF(AND(A47&lt;&gt;"",ISNUMBER(A47)),VLOOKUP(A47,Studies!A:BR,4,FALSE),"")</f>
        <v>with Perpetrator (Rifampicin)</v>
      </c>
      <c r="E47" s="139" t="str">
        <f>IF(AND(A47&lt;&gt;"",ISNUMBER(A47)),VLOOKUP(A47,Studies!A:BR,5,FALSE),"")</f>
        <v>Alfentanil</v>
      </c>
      <c r="F47" s="186" t="s">
        <v>53</v>
      </c>
      <c r="G47" s="205" t="str">
        <f>IF(AND(A47&lt;&gt;"",ISNUMBER(A47)),VLOOKUP(A47,Studies!A:BR,13,FALSE),"")</f>
        <v>IV</v>
      </c>
      <c r="H47" s="138" t="str">
        <f>AA47</f>
        <v>PO</v>
      </c>
      <c r="I47" s="205" t="str">
        <f>IF(AND(A47&lt;&gt;"",ISNUMBER(A47)),VLOOKUP(A47,Studies!A:BR,6,FALSE),"")</f>
        <v>Plasma</v>
      </c>
      <c r="J47" s="211">
        <v>0.55000000000000004</v>
      </c>
      <c r="K47" s="211" t="s">
        <v>115</v>
      </c>
      <c r="L47" s="201"/>
      <c r="M47" s="201"/>
      <c r="N47" s="213"/>
      <c r="O47" s="213"/>
      <c r="P47" s="202"/>
      <c r="Q47" s="202"/>
      <c r="R47" s="182">
        <v>0</v>
      </c>
      <c r="S47" s="183" t="s">
        <v>935</v>
      </c>
      <c r="T47" s="184">
        <v>107</v>
      </c>
      <c r="U47" s="185" t="s">
        <v>935</v>
      </c>
      <c r="V47" s="219" t="s">
        <v>59</v>
      </c>
      <c r="W47" s="220"/>
      <c r="X47" s="206">
        <v>600</v>
      </c>
      <c r="Y47" s="207"/>
      <c r="Z47" s="207" t="s">
        <v>57</v>
      </c>
      <c r="AA47" s="206" t="s">
        <v>58</v>
      </c>
      <c r="AB47" s="176" t="s">
        <v>182</v>
      </c>
      <c r="AC47" s="206" t="s">
        <v>59</v>
      </c>
      <c r="AD47" s="206" t="s">
        <v>91</v>
      </c>
      <c r="AE47" s="208" t="s">
        <v>1137</v>
      </c>
      <c r="AF47" s="208"/>
      <c r="AG47" s="209"/>
      <c r="AH47" s="208"/>
      <c r="AI47" s="208" t="s">
        <v>1144</v>
      </c>
      <c r="AJ47" s="193"/>
      <c r="AK47" s="193"/>
      <c r="AL47" s="193"/>
      <c r="AM47" s="193"/>
    </row>
    <row r="48" spans="1:39" s="135" customFormat="1" ht="14.25" hidden="1" x14ac:dyDescent="0.2">
      <c r="A48" s="181">
        <v>757</v>
      </c>
      <c r="B48" s="204" t="str">
        <f>IF(AND(A48&lt;&gt;"",ISNUMBER(A48)),VLOOKUP(A48,Studies!A:BR,2,FALSE),"")</f>
        <v>Phillips 1986</v>
      </c>
      <c r="C48" s="204" t="str">
        <f>IF(AND(A48&lt;&gt;"",ISNUMBER(A48)),VLOOKUP(A48,Studies!A:BR,3,FALSE),"")</f>
        <v>https://www.ncbi.nlm.nih.gov/pubmed/3771812</v>
      </c>
      <c r="D48" s="204" t="str">
        <f>IF(AND(A48&lt;&gt;"",ISNUMBER(A48)),VLOOKUP(A48,Studies!A:BR,4,FALSE),"")</f>
        <v>Triazolam after 3 days of erythromycin</v>
      </c>
      <c r="E48" s="139" t="str">
        <f>IF(AND(A48&lt;&gt;"",ISNUMBER(A48)),VLOOKUP(A48,Studies!A:BR,5,FALSE),"")</f>
        <v>Triazolam</v>
      </c>
      <c r="F48" s="186" t="s">
        <v>355</v>
      </c>
      <c r="G48" s="205" t="str">
        <f>IF(AND(A48&lt;&gt;"",ISNUMBER(A48)),VLOOKUP(A48,Studies!A:BR,13,FALSE),"")</f>
        <v>PO</v>
      </c>
      <c r="H48" s="138" t="s">
        <v>58</v>
      </c>
      <c r="I48" s="205" t="str">
        <f>IF(AND(A48&lt;&gt;"",ISNUMBER(A48)),VLOOKUP(A48,Studies!A:BR,6,FALSE),"")</f>
        <v>Plasma</v>
      </c>
      <c r="J48" s="187">
        <v>2.059701</v>
      </c>
      <c r="K48" s="187" t="s">
        <v>1099</v>
      </c>
      <c r="L48" s="201"/>
      <c r="M48" s="201"/>
      <c r="N48" s="193">
        <v>1.464286</v>
      </c>
      <c r="O48" s="193" t="s">
        <v>1099</v>
      </c>
      <c r="P48" s="202"/>
      <c r="Q48" s="202"/>
      <c r="R48" s="182">
        <v>0</v>
      </c>
      <c r="S48" s="183" t="s">
        <v>935</v>
      </c>
      <c r="T48" s="184">
        <v>64</v>
      </c>
      <c r="U48" s="185" t="s">
        <v>935</v>
      </c>
      <c r="V48" s="186" t="s">
        <v>59</v>
      </c>
      <c r="W48" s="181" t="s">
        <v>2953</v>
      </c>
      <c r="X48" s="176">
        <v>333</v>
      </c>
      <c r="Y48" s="180"/>
      <c r="Z48" s="180" t="s">
        <v>57</v>
      </c>
      <c r="AA48" s="176" t="s">
        <v>58</v>
      </c>
      <c r="AB48" s="176" t="s">
        <v>2175</v>
      </c>
      <c r="AC48" s="176" t="s">
        <v>59</v>
      </c>
      <c r="AD48" s="176" t="s">
        <v>1116</v>
      </c>
      <c r="AE48" s="177"/>
      <c r="AF48" s="177" t="s">
        <v>2171</v>
      </c>
      <c r="AG48" s="178"/>
      <c r="AH48" s="177"/>
      <c r="AI48" s="177"/>
      <c r="AJ48" s="193"/>
      <c r="AK48" s="193"/>
      <c r="AL48" s="193"/>
      <c r="AM48" s="193"/>
    </row>
    <row r="49" spans="1:39" s="135" customFormat="1" ht="14.25" hidden="1" x14ac:dyDescent="0.2">
      <c r="A49" s="187">
        <v>377</v>
      </c>
      <c r="B49" s="204" t="str">
        <f>IF(AND(A49&lt;&gt;"",ISNUMBER(A49)),VLOOKUP(A49,Studies!A:BR,2,FALSE),"")</f>
        <v>Olkkola 1996</v>
      </c>
      <c r="C49" s="204" t="str">
        <f>IF(AND(A49&lt;&gt;"",ISNUMBER(A49)),VLOOKUP(A49,Studies!A:BR,3,FALSE),"")</f>
        <v>https://www.ncbi.nlm.nih.gov/pubmed/8623953</v>
      </c>
      <c r="D49" s="204" t="str">
        <f>IF(AND(A49&lt;&gt;"",ISNUMBER(A49)),VLOOKUP(A49,Studies!A:BR,4,FALSE),"")</f>
        <v>day 1 (po) with Perpetrator (Itraconazole)</v>
      </c>
      <c r="E49" s="139" t="str">
        <f>IF(AND(A49&lt;&gt;"",ISNUMBER(A49)),VLOOKUP(A49,Studies!A:BR,5,FALSE),"")</f>
        <v>Midazolam</v>
      </c>
      <c r="F49" s="186" t="s">
        <v>148</v>
      </c>
      <c r="G49" s="205" t="str">
        <f>IF(AND(A49&lt;&gt;"",ISNUMBER(A49)),VLOOKUP(A49,Studies!A:BR,13,FALSE),"")</f>
        <v>PO</v>
      </c>
      <c r="H49" s="138" t="str">
        <f t="shared" ref="H49:H61" si="2">AA49</f>
        <v>PO</v>
      </c>
      <c r="I49" s="205" t="str">
        <f>IF(AND(A49&lt;&gt;"",ISNUMBER(A49)),VLOOKUP(A49,Studies!A:BR,6,FALSE),"")</f>
        <v>Plasma</v>
      </c>
      <c r="J49" s="211">
        <v>3.4</v>
      </c>
      <c r="K49" s="211" t="s">
        <v>115</v>
      </c>
      <c r="L49" s="212"/>
      <c r="M49" s="212"/>
      <c r="N49" s="213">
        <v>1.8</v>
      </c>
      <c r="O49" s="213" t="s">
        <v>334</v>
      </c>
      <c r="P49" s="214"/>
      <c r="Q49" s="214"/>
      <c r="R49" s="215">
        <v>0</v>
      </c>
      <c r="S49" s="216" t="s">
        <v>935</v>
      </c>
      <c r="T49" s="217">
        <v>2</v>
      </c>
      <c r="U49" s="218" t="s">
        <v>935</v>
      </c>
      <c r="V49" s="219" t="s">
        <v>59</v>
      </c>
      <c r="W49" s="220"/>
      <c r="X49" s="221">
        <v>200</v>
      </c>
      <c r="Y49" s="222"/>
      <c r="Z49" s="222" t="s">
        <v>57</v>
      </c>
      <c r="AA49" s="221" t="s">
        <v>58</v>
      </c>
      <c r="AB49" s="206">
        <v>0</v>
      </c>
      <c r="AC49" s="221" t="s">
        <v>59</v>
      </c>
      <c r="AD49" s="221" t="s">
        <v>78</v>
      </c>
      <c r="AE49" s="174"/>
      <c r="AF49" s="174"/>
      <c r="AG49" s="174"/>
      <c r="AH49" s="175"/>
      <c r="AI49" s="175"/>
      <c r="AJ49" s="193"/>
      <c r="AK49" s="193"/>
      <c r="AL49" s="193"/>
      <c r="AM49" s="193"/>
    </row>
    <row r="50" spans="1:39" s="135" customFormat="1" ht="14.25" hidden="1" x14ac:dyDescent="0.2">
      <c r="A50" s="187">
        <v>378</v>
      </c>
      <c r="B50" s="204" t="str">
        <f>IF(AND(A50&lt;&gt;"",ISNUMBER(A50)),VLOOKUP(A50,Studies!A:BR,2,FALSE),"")</f>
        <v>Olkkola 1996</v>
      </c>
      <c r="C50" s="204" t="str">
        <f>IF(AND(A50&lt;&gt;"",ISNUMBER(A50)),VLOOKUP(A50,Studies!A:BR,3,FALSE),"")</f>
        <v>https://www.ncbi.nlm.nih.gov/pubmed/8623953</v>
      </c>
      <c r="D50" s="204" t="str">
        <f>IF(AND(A50&lt;&gt;"",ISNUMBER(A50)),VLOOKUP(A50,Studies!A:BR,4,FALSE),"")</f>
        <v>day 4 (iv) with Perpetrator (Itraconazole)</v>
      </c>
      <c r="E50" s="139" t="str">
        <f>IF(AND(A50&lt;&gt;"",ISNUMBER(A50)),VLOOKUP(A50,Studies!A:BR,5,FALSE),"")</f>
        <v>Midazolam</v>
      </c>
      <c r="F50" s="186" t="s">
        <v>148</v>
      </c>
      <c r="G50" s="205" t="str">
        <f>IF(AND(A50&lt;&gt;"",ISNUMBER(A50)),VLOOKUP(A50,Studies!A:BR,13,FALSE),"")</f>
        <v>IV</v>
      </c>
      <c r="H50" s="138" t="str">
        <f t="shared" si="2"/>
        <v>PO</v>
      </c>
      <c r="I50" s="205" t="str">
        <f>IF(AND(A50&lt;&gt;"",ISNUMBER(A50)),VLOOKUP(A50,Studies!A:BR,6,FALSE),"")</f>
        <v>Plasma</v>
      </c>
      <c r="J50" s="211">
        <f>1/0.31</f>
        <v>3.2258064516129035</v>
      </c>
      <c r="K50" s="211" t="s">
        <v>1099</v>
      </c>
      <c r="L50" s="212"/>
      <c r="M50" s="212"/>
      <c r="N50" s="213"/>
      <c r="O50" s="213"/>
      <c r="P50" s="214"/>
      <c r="Q50" s="214"/>
      <c r="R50" s="215">
        <v>0</v>
      </c>
      <c r="S50" s="216" t="s">
        <v>935</v>
      </c>
      <c r="T50" s="217">
        <v>74</v>
      </c>
      <c r="U50" s="218" t="s">
        <v>935</v>
      </c>
      <c r="V50" s="219" t="s">
        <v>59</v>
      </c>
      <c r="W50" s="220"/>
      <c r="X50" s="221">
        <v>200</v>
      </c>
      <c r="Y50" s="222"/>
      <c r="Z50" s="222" t="s">
        <v>57</v>
      </c>
      <c r="AA50" s="221" t="s">
        <v>58</v>
      </c>
      <c r="AB50" s="206" t="s">
        <v>830</v>
      </c>
      <c r="AC50" s="221" t="s">
        <v>59</v>
      </c>
      <c r="AD50" s="221" t="s">
        <v>91</v>
      </c>
      <c r="AE50" s="174"/>
      <c r="AF50" s="174"/>
      <c r="AG50" s="174"/>
      <c r="AH50" s="175"/>
      <c r="AI50" s="175"/>
      <c r="AJ50" s="193"/>
      <c r="AK50" s="193"/>
      <c r="AL50" s="193"/>
      <c r="AM50" s="193"/>
    </row>
    <row r="51" spans="1:39" s="135" customFormat="1" ht="14.25" hidden="1" x14ac:dyDescent="0.2">
      <c r="A51" s="187">
        <v>379</v>
      </c>
      <c r="B51" s="204" t="str">
        <f>IF(AND(A51&lt;&gt;"",ISNUMBER(A51)),VLOOKUP(A51,Studies!A:BR,2,FALSE),"")</f>
        <v>Olkkola 1996</v>
      </c>
      <c r="C51" s="204" t="str">
        <f>IF(AND(A51&lt;&gt;"",ISNUMBER(A51)),VLOOKUP(A51,Studies!A:BR,3,FALSE),"")</f>
        <v>https://www.ncbi.nlm.nih.gov/pubmed/8623953</v>
      </c>
      <c r="D51" s="204" t="str">
        <f>IF(AND(A51&lt;&gt;"",ISNUMBER(A51)),VLOOKUP(A51,Studies!A:BR,4,FALSE),"")</f>
        <v>day 6 (po) with Perpetrator (Itraconazole)</v>
      </c>
      <c r="E51" s="139" t="str">
        <f>IF(AND(A51&lt;&gt;"",ISNUMBER(A51)),VLOOKUP(A51,Studies!A:BR,5,FALSE),"")</f>
        <v>Midazolam</v>
      </c>
      <c r="F51" s="186" t="s">
        <v>148</v>
      </c>
      <c r="G51" s="205" t="str">
        <f>IF(AND(A51&lt;&gt;"",ISNUMBER(A51)),VLOOKUP(A51,Studies!A:BR,13,FALSE),"")</f>
        <v>PO</v>
      </c>
      <c r="H51" s="138" t="str">
        <f t="shared" si="2"/>
        <v>PO</v>
      </c>
      <c r="I51" s="205" t="str">
        <f>IF(AND(A51&lt;&gt;"",ISNUMBER(A51)),VLOOKUP(A51,Studies!A:BR,6,FALSE),"")</f>
        <v>Plasma</v>
      </c>
      <c r="J51" s="211">
        <v>6.6</v>
      </c>
      <c r="K51" s="211" t="s">
        <v>115</v>
      </c>
      <c r="L51" s="212"/>
      <c r="M51" s="212"/>
      <c r="N51" s="213">
        <v>2.5</v>
      </c>
      <c r="O51" s="213" t="s">
        <v>334</v>
      </c>
      <c r="P51" s="214"/>
      <c r="Q51" s="214"/>
      <c r="R51" s="215">
        <v>0</v>
      </c>
      <c r="S51" s="216" t="s">
        <v>935</v>
      </c>
      <c r="T51" s="217">
        <v>122</v>
      </c>
      <c r="U51" s="218" t="s">
        <v>935</v>
      </c>
      <c r="V51" s="219" t="s">
        <v>59</v>
      </c>
      <c r="W51" s="220"/>
      <c r="X51" s="221">
        <v>200</v>
      </c>
      <c r="Y51" s="222"/>
      <c r="Z51" s="222" t="s">
        <v>57</v>
      </c>
      <c r="AA51" s="221" t="s">
        <v>58</v>
      </c>
      <c r="AB51" s="206" t="s">
        <v>1136</v>
      </c>
      <c r="AC51" s="221" t="s">
        <v>59</v>
      </c>
      <c r="AD51" s="221" t="s">
        <v>91</v>
      </c>
      <c r="AE51" s="174"/>
      <c r="AF51" s="174"/>
      <c r="AG51" s="174"/>
      <c r="AH51" s="175"/>
      <c r="AI51" s="175"/>
      <c r="AJ51" s="193"/>
      <c r="AK51" s="193"/>
      <c r="AL51" s="193"/>
      <c r="AM51" s="193"/>
    </row>
    <row r="52" spans="1:39" s="135" customFormat="1" ht="14.25" hidden="1" x14ac:dyDescent="0.2">
      <c r="A52" s="187">
        <v>380</v>
      </c>
      <c r="B52" s="204" t="str">
        <f>IF(AND(A52&lt;&gt;"",ISNUMBER(A52)),VLOOKUP(A52,Studies!A:BR,2,FALSE),"")</f>
        <v>Olkkola 1996</v>
      </c>
      <c r="C52" s="204" t="str">
        <f>IF(AND(A52&lt;&gt;"",ISNUMBER(A52)),VLOOKUP(A52,Studies!A:BR,3,FALSE),"")</f>
        <v>https://www.ncbi.nlm.nih.gov/pubmed/8623953</v>
      </c>
      <c r="D52" s="204" t="str">
        <f>IF(AND(A52&lt;&gt;"",ISNUMBER(A52)),VLOOKUP(A52,Studies!A:BR,4,FALSE),"")</f>
        <v>day 1 (po) with Perpetrator (Fluconazole)</v>
      </c>
      <c r="E52" s="139" t="str">
        <f>IF(AND(A52&lt;&gt;"",ISNUMBER(A52)),VLOOKUP(A52,Studies!A:BR,5,FALSE),"")</f>
        <v>Midazolam</v>
      </c>
      <c r="F52" s="186" t="s">
        <v>1151</v>
      </c>
      <c r="G52" s="205" t="str">
        <f>IF(AND(A52&lt;&gt;"",ISNUMBER(A52)),VLOOKUP(A52,Studies!A:BR,13,FALSE),"")</f>
        <v>PO</v>
      </c>
      <c r="H52" s="138" t="str">
        <f t="shared" si="2"/>
        <v>PO</v>
      </c>
      <c r="I52" s="205" t="str">
        <f>IF(AND(A52&lt;&gt;"",ISNUMBER(A52)),VLOOKUP(A52,Studies!A:BR,6,FALSE),"")</f>
        <v>Plasma</v>
      </c>
      <c r="J52" s="211">
        <v>2.5</v>
      </c>
      <c r="K52" s="211" t="s">
        <v>115</v>
      </c>
      <c r="L52" s="212"/>
      <c r="M52" s="212"/>
      <c r="N52" s="213">
        <v>2.5</v>
      </c>
      <c r="O52" s="213" t="s">
        <v>334</v>
      </c>
      <c r="P52" s="214"/>
      <c r="Q52" s="214"/>
      <c r="R52" s="215">
        <v>0</v>
      </c>
      <c r="S52" s="216" t="s">
        <v>935</v>
      </c>
      <c r="T52" s="217">
        <v>2</v>
      </c>
      <c r="U52" s="218" t="s">
        <v>935</v>
      </c>
      <c r="V52" s="219" t="s">
        <v>59</v>
      </c>
      <c r="W52" s="220"/>
      <c r="X52" s="221">
        <v>400</v>
      </c>
      <c r="Y52" s="222"/>
      <c r="Z52" s="222" t="s">
        <v>57</v>
      </c>
      <c r="AA52" s="221" t="s">
        <v>58</v>
      </c>
      <c r="AB52" s="206">
        <v>0</v>
      </c>
      <c r="AC52" s="221" t="s">
        <v>59</v>
      </c>
      <c r="AD52" s="221" t="s">
        <v>91</v>
      </c>
      <c r="AE52" s="174"/>
      <c r="AF52" s="174"/>
      <c r="AG52" s="174"/>
      <c r="AH52" s="175"/>
      <c r="AI52" s="175"/>
      <c r="AJ52" s="193"/>
      <c r="AK52" s="193"/>
      <c r="AL52" s="193"/>
      <c r="AM52" s="193"/>
    </row>
    <row r="53" spans="1:39" s="135" customFormat="1" ht="14.25" hidden="1" x14ac:dyDescent="0.2">
      <c r="A53" s="187">
        <v>381</v>
      </c>
      <c r="B53" s="204" t="str">
        <f>IF(AND(A53&lt;&gt;"",ISNUMBER(A53)),VLOOKUP(A53,Studies!A:BR,2,FALSE),"")</f>
        <v>Olkkola 1996</v>
      </c>
      <c r="C53" s="204" t="str">
        <f>IF(AND(A53&lt;&gt;"",ISNUMBER(A53)),VLOOKUP(A53,Studies!A:BR,3,FALSE),"")</f>
        <v>https://www.ncbi.nlm.nih.gov/pubmed/8623953</v>
      </c>
      <c r="D53" s="204" t="str">
        <f>IF(AND(A53&lt;&gt;"",ISNUMBER(A53)),VLOOKUP(A53,Studies!A:BR,4,FALSE),"")</f>
        <v>day 4 (iv) with Perpetrator (Fluconazole)</v>
      </c>
      <c r="E53" s="139" t="str">
        <f>IF(AND(A53&lt;&gt;"",ISNUMBER(A53)),VLOOKUP(A53,Studies!A:BR,5,FALSE),"")</f>
        <v>Midazolam</v>
      </c>
      <c r="F53" s="186" t="s">
        <v>1151</v>
      </c>
      <c r="G53" s="205" t="str">
        <f>IF(AND(A53&lt;&gt;"",ISNUMBER(A53)),VLOOKUP(A53,Studies!A:BR,13,FALSE),"")</f>
        <v>IV</v>
      </c>
      <c r="H53" s="138" t="str">
        <f t="shared" si="2"/>
        <v>PO</v>
      </c>
      <c r="I53" s="205" t="str">
        <f>IF(AND(A53&lt;&gt;"",ISNUMBER(A53)),VLOOKUP(A53,Studies!A:BR,6,FALSE),"")</f>
        <v>Plasma</v>
      </c>
      <c r="J53" s="211">
        <f>1/0.49</f>
        <v>2.0408163265306123</v>
      </c>
      <c r="K53" s="211" t="s">
        <v>1099</v>
      </c>
      <c r="L53" s="212"/>
      <c r="M53" s="212"/>
      <c r="N53" s="213"/>
      <c r="O53" s="213"/>
      <c r="P53" s="214"/>
      <c r="Q53" s="214"/>
      <c r="R53" s="215">
        <v>0</v>
      </c>
      <c r="S53" s="216" t="s">
        <v>935</v>
      </c>
      <c r="T53" s="217">
        <v>74</v>
      </c>
      <c r="U53" s="218" t="s">
        <v>935</v>
      </c>
      <c r="V53" s="219" t="s">
        <v>59</v>
      </c>
      <c r="W53" s="220"/>
      <c r="X53" s="221" t="s">
        <v>873</v>
      </c>
      <c r="Y53" s="222"/>
      <c r="Z53" s="222" t="s">
        <v>57</v>
      </c>
      <c r="AA53" s="221" t="s">
        <v>58</v>
      </c>
      <c r="AB53" s="206" t="s">
        <v>2949</v>
      </c>
      <c r="AC53" s="221" t="s">
        <v>59</v>
      </c>
      <c r="AD53" s="221" t="s">
        <v>91</v>
      </c>
      <c r="AE53" s="174"/>
      <c r="AF53" s="174"/>
      <c r="AG53" s="174"/>
      <c r="AH53" s="175"/>
      <c r="AI53" s="175"/>
      <c r="AJ53" s="193"/>
      <c r="AK53" s="193"/>
      <c r="AL53" s="193"/>
      <c r="AM53" s="193"/>
    </row>
    <row r="54" spans="1:39" s="135" customFormat="1" ht="14.25" hidden="1" x14ac:dyDescent="0.2">
      <c r="A54" s="187">
        <v>382</v>
      </c>
      <c r="B54" s="204" t="str">
        <f>IF(AND(A54&lt;&gt;"",ISNUMBER(A54)),VLOOKUP(A54,Studies!A:BR,2,FALSE),"")</f>
        <v>Olkkola 1996</v>
      </c>
      <c r="C54" s="204" t="str">
        <f>IF(AND(A54&lt;&gt;"",ISNUMBER(A54)),VLOOKUP(A54,Studies!A:BR,3,FALSE),"")</f>
        <v>https://www.ncbi.nlm.nih.gov/pubmed/8623953</v>
      </c>
      <c r="D54" s="204" t="str">
        <f>IF(AND(A54&lt;&gt;"",ISNUMBER(A54)),VLOOKUP(A54,Studies!A:BR,4,FALSE),"")</f>
        <v>day 6 (po) with Perpetrator (Fluconazole)</v>
      </c>
      <c r="E54" s="139" t="str">
        <f>IF(AND(A54&lt;&gt;"",ISNUMBER(A54)),VLOOKUP(A54,Studies!A:BR,5,FALSE),"")</f>
        <v>Midazolam</v>
      </c>
      <c r="F54" s="186" t="s">
        <v>1151</v>
      </c>
      <c r="G54" s="205" t="str">
        <f>IF(AND(A54&lt;&gt;"",ISNUMBER(A54)),VLOOKUP(A54,Studies!A:BR,13,FALSE),"")</f>
        <v>PO</v>
      </c>
      <c r="H54" s="138" t="str">
        <f t="shared" si="2"/>
        <v>PO</v>
      </c>
      <c r="I54" s="205" t="str">
        <f>IF(AND(A54&lt;&gt;"",ISNUMBER(A54)),VLOOKUP(A54,Studies!A:BR,6,FALSE),"")</f>
        <v>Plasma</v>
      </c>
      <c r="J54" s="211">
        <v>3.6</v>
      </c>
      <c r="K54" s="211" t="s">
        <v>115</v>
      </c>
      <c r="L54" s="212"/>
      <c r="M54" s="212"/>
      <c r="N54" s="213">
        <v>1.7</v>
      </c>
      <c r="O54" s="213" t="s">
        <v>334</v>
      </c>
      <c r="P54" s="214"/>
      <c r="Q54" s="214"/>
      <c r="R54" s="215">
        <v>0</v>
      </c>
      <c r="S54" s="216" t="s">
        <v>935</v>
      </c>
      <c r="T54" s="217">
        <v>122</v>
      </c>
      <c r="U54" s="218" t="s">
        <v>935</v>
      </c>
      <c r="V54" s="219" t="s">
        <v>59</v>
      </c>
      <c r="W54" s="220"/>
      <c r="X54" s="221" t="s">
        <v>873</v>
      </c>
      <c r="Y54" s="222"/>
      <c r="Z54" s="222" t="s">
        <v>57</v>
      </c>
      <c r="AA54" s="221" t="s">
        <v>58</v>
      </c>
      <c r="AB54" s="206" t="s">
        <v>2950</v>
      </c>
      <c r="AC54" s="221" t="s">
        <v>59</v>
      </c>
      <c r="AD54" s="221" t="s">
        <v>91</v>
      </c>
      <c r="AE54" s="174"/>
      <c r="AF54" s="174"/>
      <c r="AG54" s="174"/>
      <c r="AH54" s="175"/>
      <c r="AI54" s="175"/>
      <c r="AJ54" s="193"/>
      <c r="AK54" s="193"/>
      <c r="AL54" s="193"/>
      <c r="AM54" s="193"/>
    </row>
    <row r="55" spans="1:39" s="135" customFormat="1" ht="14.25" hidden="1" x14ac:dyDescent="0.2">
      <c r="A55" s="187">
        <v>370</v>
      </c>
      <c r="B55" s="204" t="str">
        <f>IF(AND(A55&lt;&gt;"",ISNUMBER(A55)),VLOOKUP(A55,Studies!A:BR,2,FALSE),"")</f>
        <v>Olkkola 1994</v>
      </c>
      <c r="C55" s="204" t="str">
        <f>IF(AND(A55&lt;&gt;"",ISNUMBER(A55)),VLOOKUP(A55,Studies!A:BR,3,FALSE),"")</f>
        <v>https://www.ncbi.nlm.nih.gov/pubmed/8181191</v>
      </c>
      <c r="D55" s="204" t="str">
        <f>IF(AND(A55&lt;&gt;"",ISNUMBER(A55)),VLOOKUP(A55,Studies!A:BR,4,FALSE),"")</f>
        <v>po with Perpetrator (Itraconazole)</v>
      </c>
      <c r="E55" s="139" t="str">
        <f>IF(AND(A55&lt;&gt;"",ISNUMBER(A55)),VLOOKUP(A55,Studies!A:BR,5,FALSE),"")</f>
        <v>Midazolam</v>
      </c>
      <c r="F55" s="186" t="s">
        <v>148</v>
      </c>
      <c r="G55" s="205" t="str">
        <f>IF(AND(A55&lt;&gt;"",ISNUMBER(A55)),VLOOKUP(A55,Studies!A:BR,13,FALSE),"")</f>
        <v>PO</v>
      </c>
      <c r="H55" s="138" t="str">
        <f t="shared" si="2"/>
        <v>PO</v>
      </c>
      <c r="I55" s="205" t="str">
        <f>IF(AND(A55&lt;&gt;"",ISNUMBER(A55)),VLOOKUP(A55,Studies!A:BR,6,FALSE),"")</f>
        <v>Plasma</v>
      </c>
      <c r="J55" s="211">
        <v>10.8</v>
      </c>
      <c r="K55" s="211" t="s">
        <v>115</v>
      </c>
      <c r="L55" s="212"/>
      <c r="M55" s="212"/>
      <c r="N55" s="213">
        <v>3.4</v>
      </c>
      <c r="O55" s="213" t="s">
        <v>334</v>
      </c>
      <c r="P55" s="214"/>
      <c r="Q55" s="214"/>
      <c r="R55" s="215">
        <v>0</v>
      </c>
      <c r="S55" s="216" t="s">
        <v>935</v>
      </c>
      <c r="T55" s="217">
        <v>73</v>
      </c>
      <c r="U55" s="218" t="s">
        <v>935</v>
      </c>
      <c r="V55" s="219" t="s">
        <v>59</v>
      </c>
      <c r="W55" s="220"/>
      <c r="X55" s="206">
        <v>200</v>
      </c>
      <c r="Y55" s="207"/>
      <c r="Z55" s="207" t="s">
        <v>57</v>
      </c>
      <c r="AA55" s="206" t="s">
        <v>58</v>
      </c>
      <c r="AB55" s="206" t="s">
        <v>830</v>
      </c>
      <c r="AC55" s="206" t="s">
        <v>59</v>
      </c>
      <c r="AD55" s="206" t="s">
        <v>91</v>
      </c>
      <c r="AE55" s="208" t="s">
        <v>831</v>
      </c>
      <c r="AF55" s="208" t="s">
        <v>832</v>
      </c>
      <c r="AG55" s="209"/>
      <c r="AH55" s="223"/>
      <c r="AI55" s="223"/>
      <c r="AJ55" s="193" t="s">
        <v>61</v>
      </c>
      <c r="AK55" s="193">
        <v>2</v>
      </c>
      <c r="AL55" s="193">
        <v>5</v>
      </c>
      <c r="AM55" s="193"/>
    </row>
    <row r="56" spans="1:39" s="135" customFormat="1" ht="14.25" hidden="1" x14ac:dyDescent="0.2">
      <c r="A56" s="187">
        <v>371</v>
      </c>
      <c r="B56" s="204" t="str">
        <f>IF(AND(A56&lt;&gt;"",ISNUMBER(A56)),VLOOKUP(A56,Studies!A:BR,2,FALSE),"")</f>
        <v>Olkkola 1994</v>
      </c>
      <c r="C56" s="204" t="str">
        <f>IF(AND(A56&lt;&gt;"",ISNUMBER(A56)),VLOOKUP(A56,Studies!A:BR,3,FALSE),"")</f>
        <v>https://www.ncbi.nlm.nih.gov/pubmed/8181191</v>
      </c>
      <c r="D56" s="204" t="str">
        <f>IF(AND(A56&lt;&gt;"",ISNUMBER(A56)),VLOOKUP(A56,Studies!A:BR,4,FALSE),"")</f>
        <v>po with Perpetrator (Ketoconazole</v>
      </c>
      <c r="E56" s="139" t="str">
        <f>IF(AND(A56&lt;&gt;"",ISNUMBER(A56)),VLOOKUP(A56,Studies!A:BR,5,FALSE),"")</f>
        <v>Midazolam</v>
      </c>
      <c r="F56" s="186" t="s">
        <v>833</v>
      </c>
      <c r="G56" s="205" t="str">
        <f>IF(AND(A56&lt;&gt;"",ISNUMBER(A56)),VLOOKUP(A56,Studies!A:BR,13,FALSE),"")</f>
        <v>PO</v>
      </c>
      <c r="H56" s="138" t="str">
        <f t="shared" si="2"/>
        <v>PO</v>
      </c>
      <c r="I56" s="205" t="str">
        <f>IF(AND(A56&lt;&gt;"",ISNUMBER(A56)),VLOOKUP(A56,Studies!A:BR,6,FALSE),"")</f>
        <v>Plasma</v>
      </c>
      <c r="J56" s="211">
        <v>15.9</v>
      </c>
      <c r="K56" s="211" t="s">
        <v>115</v>
      </c>
      <c r="L56" s="212"/>
      <c r="M56" s="212"/>
      <c r="N56" s="213">
        <v>4.0999999999999996</v>
      </c>
      <c r="O56" s="213" t="s">
        <v>334</v>
      </c>
      <c r="P56" s="214"/>
      <c r="Q56" s="214"/>
      <c r="R56" s="215">
        <v>0</v>
      </c>
      <c r="S56" s="216" t="s">
        <v>935</v>
      </c>
      <c r="T56" s="217">
        <v>73</v>
      </c>
      <c r="U56" s="218" t="s">
        <v>935</v>
      </c>
      <c r="V56" s="219" t="s">
        <v>59</v>
      </c>
      <c r="W56" s="220"/>
      <c r="X56" s="206">
        <v>400</v>
      </c>
      <c r="Y56" s="207"/>
      <c r="Z56" s="207" t="s">
        <v>57</v>
      </c>
      <c r="AA56" s="206" t="s">
        <v>58</v>
      </c>
      <c r="AB56" s="206" t="s">
        <v>830</v>
      </c>
      <c r="AC56" s="206" t="s">
        <v>59</v>
      </c>
      <c r="AD56" s="206" t="s">
        <v>91</v>
      </c>
      <c r="AE56" s="208" t="s">
        <v>834</v>
      </c>
      <c r="AF56" s="208" t="s">
        <v>835</v>
      </c>
      <c r="AG56" s="209"/>
      <c r="AH56" s="223"/>
      <c r="AI56" s="223"/>
      <c r="AJ56" s="193" t="s">
        <v>61</v>
      </c>
      <c r="AK56" s="193">
        <v>2</v>
      </c>
      <c r="AL56" s="193">
        <v>5</v>
      </c>
      <c r="AM56" s="193"/>
    </row>
    <row r="57" spans="1:39" s="135" customFormat="1" ht="14.25" hidden="1" x14ac:dyDescent="0.2">
      <c r="A57" s="187">
        <v>366</v>
      </c>
      <c r="B57" s="204" t="str">
        <f>IF(AND(A57&lt;&gt;"",ISNUMBER(A57)),VLOOKUP(A57,Studies!A:BR,2,FALSE),"")</f>
        <v>Olkkola 1993</v>
      </c>
      <c r="C57" s="204" t="str">
        <f>IF(AND(A57&lt;&gt;"",ISNUMBER(A57)),VLOOKUP(A57,Studies!A:BR,3,FALSE),"")</f>
        <v>https://www.ncbi.nlm.nih.gov/pubmed/8453848</v>
      </c>
      <c r="D57" s="204" t="str">
        <f>IF(AND(A57&lt;&gt;"",ISNUMBER(A57)),VLOOKUP(A57,Studies!A:BR,4,FALSE),"")</f>
        <v>po with Perpetrator (Erythromycin)</v>
      </c>
      <c r="E57" s="139" t="str">
        <f>IF(AND(A57&lt;&gt;"",ISNUMBER(A57)),VLOOKUP(A57,Studies!A:BR,5,FALSE),"")</f>
        <v>Midazolam</v>
      </c>
      <c r="F57" s="186" t="s">
        <v>355</v>
      </c>
      <c r="G57" s="205" t="str">
        <f>IF(AND(A57&lt;&gt;"",ISNUMBER(A57)),VLOOKUP(A57,Studies!A:BR,13,FALSE),"")</f>
        <v>PO</v>
      </c>
      <c r="H57" s="138" t="str">
        <f t="shared" si="2"/>
        <v>PO</v>
      </c>
      <c r="I57" s="205" t="str">
        <f>IF(AND(A57&lt;&gt;"",ISNUMBER(A57)),VLOOKUP(A57,Studies!A:BR,6,FALSE),"")</f>
        <v>Plasma</v>
      </c>
      <c r="J57" s="187">
        <v>4.0674020000000004</v>
      </c>
      <c r="K57" s="187" t="s">
        <v>1000</v>
      </c>
      <c r="L57" s="201" t="s">
        <v>2863</v>
      </c>
      <c r="M57" s="201" t="s">
        <v>971</v>
      </c>
      <c r="N57" s="193">
        <v>2.7</v>
      </c>
      <c r="O57" s="193" t="s">
        <v>1099</v>
      </c>
      <c r="P57" s="202"/>
      <c r="Q57" s="202"/>
      <c r="R57" s="182">
        <v>0</v>
      </c>
      <c r="S57" s="183" t="s">
        <v>935</v>
      </c>
      <c r="T57" s="184">
        <v>128</v>
      </c>
      <c r="U57" s="185" t="s">
        <v>935</v>
      </c>
      <c r="V57" s="186" t="s">
        <v>59</v>
      </c>
      <c r="W57" s="181" t="s">
        <v>2958</v>
      </c>
      <c r="X57" s="176">
        <v>500</v>
      </c>
      <c r="Y57" s="180"/>
      <c r="Z57" s="180" t="s">
        <v>57</v>
      </c>
      <c r="AA57" s="176" t="s">
        <v>58</v>
      </c>
      <c r="AB57" s="176" t="s">
        <v>1152</v>
      </c>
      <c r="AC57" s="176" t="s">
        <v>59</v>
      </c>
      <c r="AD57" s="176" t="s">
        <v>1153</v>
      </c>
      <c r="AE57" s="177" t="s">
        <v>357</v>
      </c>
      <c r="AF57" s="177" t="s">
        <v>1154</v>
      </c>
      <c r="AG57" s="178"/>
      <c r="AH57" s="177">
        <v>200</v>
      </c>
      <c r="AI57" s="177"/>
      <c r="AJ57" s="193"/>
      <c r="AK57" s="193"/>
      <c r="AL57" s="193"/>
      <c r="AM57" s="193"/>
    </row>
    <row r="58" spans="1:39" s="135" customFormat="1" ht="14.25" hidden="1" x14ac:dyDescent="0.2">
      <c r="A58" s="187">
        <v>368</v>
      </c>
      <c r="B58" s="204" t="str">
        <f>IF(AND(A58&lt;&gt;"",ISNUMBER(A58)),VLOOKUP(A58,Studies!A:BR,2,FALSE),"")</f>
        <v>Olkkola 1993</v>
      </c>
      <c r="C58" s="204" t="str">
        <f>IF(AND(A58&lt;&gt;"",ISNUMBER(A58)),VLOOKUP(A58,Studies!A:BR,3,FALSE),"")</f>
        <v>https://www.ncbi.nlm.nih.gov/pubmed/8453848</v>
      </c>
      <c r="D58" s="204" t="str">
        <f>IF(AND(A58&lt;&gt;"",ISNUMBER(A58)),VLOOKUP(A58,Studies!A:BR,4,FALSE),"")</f>
        <v>iv with Perpetrator (Erythromycin)</v>
      </c>
      <c r="E58" s="139" t="str">
        <f>IF(AND(A58&lt;&gt;"",ISNUMBER(A58)),VLOOKUP(A58,Studies!A:BR,5,FALSE),"")</f>
        <v>Midazolam</v>
      </c>
      <c r="F58" s="186" t="s">
        <v>355</v>
      </c>
      <c r="G58" s="205" t="str">
        <f>IF(AND(A58&lt;&gt;"",ISNUMBER(A58)),VLOOKUP(A58,Studies!A:BR,13,FALSE),"")</f>
        <v>IV</v>
      </c>
      <c r="H58" s="138" t="str">
        <f t="shared" si="2"/>
        <v>PO</v>
      </c>
      <c r="I58" s="205" t="str">
        <f>IF(AND(A58&lt;&gt;"",ISNUMBER(A58)),VLOOKUP(A58,Studies!A:BR,6,FALSE),"")</f>
        <v>Plasma</v>
      </c>
      <c r="J58" s="187">
        <v>1.9619340000000001</v>
      </c>
      <c r="K58" s="187" t="s">
        <v>1000</v>
      </c>
      <c r="L58" s="201" t="s">
        <v>2864</v>
      </c>
      <c r="M58" s="201" t="s">
        <v>971</v>
      </c>
      <c r="N58" s="193"/>
      <c r="O58" s="193"/>
      <c r="P58" s="202"/>
      <c r="Q58" s="202"/>
      <c r="R58" s="182">
        <v>0</v>
      </c>
      <c r="S58" s="183" t="s">
        <v>935</v>
      </c>
      <c r="T58" s="184">
        <v>128</v>
      </c>
      <c r="U58" s="185" t="s">
        <v>935</v>
      </c>
      <c r="V58" s="186" t="s">
        <v>59</v>
      </c>
      <c r="W58" s="181" t="s">
        <v>2958</v>
      </c>
      <c r="X58" s="176">
        <v>500</v>
      </c>
      <c r="Y58" s="180"/>
      <c r="Z58" s="180" t="s">
        <v>57</v>
      </c>
      <c r="AA58" s="176" t="s">
        <v>58</v>
      </c>
      <c r="AB58" s="176" t="s">
        <v>1152</v>
      </c>
      <c r="AC58" s="176" t="s">
        <v>59</v>
      </c>
      <c r="AD58" s="176" t="s">
        <v>1153</v>
      </c>
      <c r="AE58" s="177" t="s">
        <v>357</v>
      </c>
      <c r="AF58" s="177" t="s">
        <v>1154</v>
      </c>
      <c r="AG58" s="178"/>
      <c r="AH58" s="177">
        <v>200</v>
      </c>
      <c r="AI58" s="177"/>
      <c r="AJ58" s="193"/>
      <c r="AK58" s="193"/>
      <c r="AL58" s="193"/>
      <c r="AM58" s="193"/>
    </row>
    <row r="59" spans="1:39" s="135" customFormat="1" ht="14.25" hidden="1" x14ac:dyDescent="0.2">
      <c r="A59" s="187">
        <v>362</v>
      </c>
      <c r="B59" s="204" t="str">
        <f>IF(AND(A59&lt;&gt;"",ISNUMBER(A59)),VLOOKUP(A59,Studies!A:BR,2,FALSE),"")</f>
        <v>Okudaira 2007</v>
      </c>
      <c r="C59" s="204" t="str">
        <f>IF(AND(A59&lt;&gt;"",ISNUMBER(A59)),VLOOKUP(A59,Studies!A:BR,3,FALSE),"")</f>
        <v>https://www.ncbi.nlm.nih.gov/pubmed/17585116</v>
      </c>
      <c r="D59" s="204" t="str">
        <f>IF(AND(A59&lt;&gt;"",ISNUMBER(A59)),VLOOKUP(A59,Studies!A:BR,4,FALSE),"")</f>
        <v>EM 2 with Perpetrator (Erythromycin)</v>
      </c>
      <c r="E59" s="139" t="str">
        <f>IF(AND(A59&lt;&gt;"",ISNUMBER(A59)),VLOOKUP(A59,Studies!A:BR,5,FALSE),"")</f>
        <v>Midazolam</v>
      </c>
      <c r="F59" s="186" t="s">
        <v>355</v>
      </c>
      <c r="G59" s="205" t="str">
        <f>IF(AND(A59&lt;&gt;"",ISNUMBER(A59)),VLOOKUP(A59,Studies!A:BR,13,FALSE),"")</f>
        <v>PO</v>
      </c>
      <c r="H59" s="138" t="str">
        <f t="shared" si="2"/>
        <v>PO</v>
      </c>
      <c r="I59" s="205" t="str">
        <f>IF(AND(A59&lt;&gt;"",ISNUMBER(A59)),VLOOKUP(A59,Studies!A:BR,6,FALSE),"")</f>
        <v>Plasma</v>
      </c>
      <c r="J59" s="187">
        <f>2.32/2</f>
        <v>1.1599999999999999</v>
      </c>
      <c r="K59" s="187" t="s">
        <v>115</v>
      </c>
      <c r="L59" s="201">
        <f>0.9/2</f>
        <v>0.45</v>
      </c>
      <c r="M59" s="201" t="s">
        <v>116</v>
      </c>
      <c r="N59" s="193">
        <f>20/(11*2)</f>
        <v>0.90909090909090906</v>
      </c>
      <c r="O59" s="193" t="s">
        <v>1099</v>
      </c>
      <c r="P59" s="202"/>
      <c r="Q59" s="202"/>
      <c r="R59" s="182">
        <v>0</v>
      </c>
      <c r="S59" s="183" t="s">
        <v>935</v>
      </c>
      <c r="T59" s="184">
        <v>25</v>
      </c>
      <c r="U59" s="185" t="s">
        <v>935</v>
      </c>
      <c r="V59" s="186" t="s">
        <v>59</v>
      </c>
      <c r="W59" s="181" t="s">
        <v>2987</v>
      </c>
      <c r="X59" s="176">
        <v>200</v>
      </c>
      <c r="Y59" s="180"/>
      <c r="Z59" s="180" t="s">
        <v>57</v>
      </c>
      <c r="AA59" s="176" t="s">
        <v>58</v>
      </c>
      <c r="AB59" s="176" t="s">
        <v>1159</v>
      </c>
      <c r="AC59" s="176" t="s">
        <v>59</v>
      </c>
      <c r="AD59" s="176" t="s">
        <v>91</v>
      </c>
      <c r="AE59" s="177" t="s">
        <v>1160</v>
      </c>
      <c r="AF59" s="177" t="s">
        <v>2943</v>
      </c>
      <c r="AG59" s="178"/>
      <c r="AH59" s="177">
        <v>150</v>
      </c>
      <c r="AI59" s="177"/>
      <c r="AJ59" s="193" t="s">
        <v>435</v>
      </c>
      <c r="AK59" s="193"/>
      <c r="AL59" s="193"/>
      <c r="AM59" s="193" t="s">
        <v>1161</v>
      </c>
    </row>
    <row r="60" spans="1:39" s="135" customFormat="1" ht="14.25" hidden="1" x14ac:dyDescent="0.2">
      <c r="A60" s="187">
        <v>363</v>
      </c>
      <c r="B60" s="204" t="str">
        <f>IF(AND(A60&lt;&gt;"",ISNUMBER(A60)),VLOOKUP(A60,Studies!A:BR,2,FALSE),"")</f>
        <v>Okudaira 2007</v>
      </c>
      <c r="C60" s="204" t="str">
        <f>IF(AND(A60&lt;&gt;"",ISNUMBER(A60)),VLOOKUP(A60,Studies!A:BR,3,FALSE),"")</f>
        <v>https://www.ncbi.nlm.nih.gov/pubmed/17585116</v>
      </c>
      <c r="D60" s="204" t="str">
        <f>IF(AND(A60&lt;&gt;"",ISNUMBER(A60)),VLOOKUP(A60,Studies!A:BR,4,FALSE),"")</f>
        <v>EM 4 with Perpetrator (Erythromycin)</v>
      </c>
      <c r="E60" s="139" t="str">
        <f>IF(AND(A60&lt;&gt;"",ISNUMBER(A60)),VLOOKUP(A60,Studies!A:BR,5,FALSE),"")</f>
        <v>Midazolam</v>
      </c>
      <c r="F60" s="186" t="s">
        <v>355</v>
      </c>
      <c r="G60" s="205" t="str">
        <f>IF(AND(A60&lt;&gt;"",ISNUMBER(A60)),VLOOKUP(A60,Studies!A:BR,13,FALSE),"")</f>
        <v>PO</v>
      </c>
      <c r="H60" s="138" t="str">
        <f t="shared" si="2"/>
        <v>PO</v>
      </c>
      <c r="I60" s="205" t="str">
        <f>IF(AND(A60&lt;&gt;"",ISNUMBER(A60)),VLOOKUP(A60,Studies!A:BR,6,FALSE),"")</f>
        <v>Plasma</v>
      </c>
      <c r="J60" s="187">
        <f>3.38/2</f>
        <v>1.69</v>
      </c>
      <c r="K60" s="187" t="s">
        <v>115</v>
      </c>
      <c r="L60" s="201">
        <f>1.6/2</f>
        <v>0.8</v>
      </c>
      <c r="M60" s="201" t="s">
        <v>116</v>
      </c>
      <c r="N60" s="193">
        <f>26.4/(11*2)</f>
        <v>1.2</v>
      </c>
      <c r="O60" s="193" t="s">
        <v>1099</v>
      </c>
      <c r="P60" s="202"/>
      <c r="Q60" s="202"/>
      <c r="R60" s="182">
        <v>0</v>
      </c>
      <c r="S60" s="183" t="s">
        <v>935</v>
      </c>
      <c r="T60" s="184">
        <v>73</v>
      </c>
      <c r="U60" s="185" t="s">
        <v>935</v>
      </c>
      <c r="V60" s="186" t="s">
        <v>59</v>
      </c>
      <c r="W60" s="181" t="s">
        <v>2987</v>
      </c>
      <c r="X60" s="176">
        <v>200</v>
      </c>
      <c r="Y60" s="180"/>
      <c r="Z60" s="180" t="s">
        <v>57</v>
      </c>
      <c r="AA60" s="176" t="s">
        <v>58</v>
      </c>
      <c r="AB60" s="176" t="s">
        <v>1162</v>
      </c>
      <c r="AC60" s="176" t="s">
        <v>59</v>
      </c>
      <c r="AD60" s="176" t="s">
        <v>91</v>
      </c>
      <c r="AE60" s="177" t="s">
        <v>1160</v>
      </c>
      <c r="AF60" s="177" t="s">
        <v>2943</v>
      </c>
      <c r="AG60" s="178"/>
      <c r="AH60" s="177">
        <v>150</v>
      </c>
      <c r="AI60" s="177"/>
      <c r="AJ60" s="193" t="s">
        <v>435</v>
      </c>
      <c r="AK60" s="193"/>
      <c r="AL60" s="193"/>
      <c r="AM60" s="193" t="s">
        <v>1161</v>
      </c>
    </row>
    <row r="61" spans="1:39" s="135" customFormat="1" ht="14.25" hidden="1" x14ac:dyDescent="0.2">
      <c r="A61" s="187">
        <v>364</v>
      </c>
      <c r="B61" s="204" t="str">
        <f>IF(AND(A61&lt;&gt;"",ISNUMBER(A61)),VLOOKUP(A61,Studies!A:BR,2,FALSE),"")</f>
        <v>Okudaira 2007</v>
      </c>
      <c r="C61" s="204" t="str">
        <f>IF(AND(A61&lt;&gt;"",ISNUMBER(A61)),VLOOKUP(A61,Studies!A:BR,3,FALSE),"")</f>
        <v>https://www.ncbi.nlm.nih.gov/pubmed/17585116</v>
      </c>
      <c r="D61" s="204" t="str">
        <f>IF(AND(A61&lt;&gt;"",ISNUMBER(A61)),VLOOKUP(A61,Studies!A:BR,4,FALSE),"")</f>
        <v>EM 7 with Perpetrator (Erythromycin)</v>
      </c>
      <c r="E61" s="139" t="str">
        <f>IF(AND(A61&lt;&gt;"",ISNUMBER(A61)),VLOOKUP(A61,Studies!A:BR,5,FALSE),"")</f>
        <v>Midazolam</v>
      </c>
      <c r="F61" s="186" t="s">
        <v>355</v>
      </c>
      <c r="G61" s="205" t="str">
        <f>IF(AND(A61&lt;&gt;"",ISNUMBER(A61)),VLOOKUP(A61,Studies!A:BR,13,FALSE),"")</f>
        <v>PO</v>
      </c>
      <c r="H61" s="138" t="str">
        <f t="shared" si="2"/>
        <v>PO</v>
      </c>
      <c r="I61" s="205" t="str">
        <f>IF(AND(A61&lt;&gt;"",ISNUMBER(A61)),VLOOKUP(A61,Studies!A:BR,6,FALSE),"")</f>
        <v>Plasma</v>
      </c>
      <c r="J61" s="187">
        <f>3.38/2</f>
        <v>1.69</v>
      </c>
      <c r="K61" s="187" t="s">
        <v>115</v>
      </c>
      <c r="L61" s="201">
        <f>1.4/2</f>
        <v>0.7</v>
      </c>
      <c r="M61" s="201" t="s">
        <v>116</v>
      </c>
      <c r="N61" s="193">
        <f>25.8/(11*2)</f>
        <v>1.1727272727272728</v>
      </c>
      <c r="O61" s="193" t="s">
        <v>1099</v>
      </c>
      <c r="P61" s="202"/>
      <c r="Q61" s="202"/>
      <c r="R61" s="182">
        <v>0</v>
      </c>
      <c r="S61" s="183" t="s">
        <v>935</v>
      </c>
      <c r="T61" s="184">
        <v>145</v>
      </c>
      <c r="U61" s="185" t="s">
        <v>935</v>
      </c>
      <c r="V61" s="186" t="s">
        <v>59</v>
      </c>
      <c r="W61" s="181" t="s">
        <v>2987</v>
      </c>
      <c r="X61" s="176">
        <v>200</v>
      </c>
      <c r="Y61" s="180"/>
      <c r="Z61" s="180" t="s">
        <v>57</v>
      </c>
      <c r="AA61" s="176" t="s">
        <v>58</v>
      </c>
      <c r="AB61" s="176" t="s">
        <v>1163</v>
      </c>
      <c r="AC61" s="176" t="s">
        <v>59</v>
      </c>
      <c r="AD61" s="176" t="s">
        <v>91</v>
      </c>
      <c r="AE61" s="177" t="s">
        <v>1160</v>
      </c>
      <c r="AF61" s="177" t="s">
        <v>2943</v>
      </c>
      <c r="AG61" s="178"/>
      <c r="AH61" s="177">
        <v>150</v>
      </c>
      <c r="AI61" s="177"/>
      <c r="AJ61" s="193" t="s">
        <v>435</v>
      </c>
      <c r="AK61" s="193"/>
      <c r="AL61" s="193"/>
      <c r="AM61" s="193" t="s">
        <v>1161</v>
      </c>
    </row>
    <row r="62" spans="1:39" s="135" customFormat="1" ht="14.25" hidden="1" x14ac:dyDescent="0.2">
      <c r="A62" s="181">
        <v>1078</v>
      </c>
      <c r="B62" s="204" t="str">
        <f>IF(AND(A62&lt;&gt;"",ISNUMBER(A62)),VLOOKUP(A62,Studies!A:BR,2,FALSE),"")</f>
        <v>Neuvonen 1996</v>
      </c>
      <c r="C62" s="204" t="str">
        <f>IF(AND(A62&lt;&gt;"",ISNUMBER(A62)),VLOOKUP(A62,Studies!A:BR,3,FALSE),"")</f>
        <v>https://www.ncbi.nlm.nih.gov/pubmed/8841155</v>
      </c>
      <c r="D62" s="204" t="str">
        <f>IF(AND(A62&lt;&gt;"",ISNUMBER(A62)),VLOOKUP(A62,Studies!A:BR,4,FALSE),"")</f>
        <v>Treatment phase (triazolam + ITZ simultaneously)</v>
      </c>
      <c r="E62" s="139" t="str">
        <f>IF(AND(A62&lt;&gt;"",ISNUMBER(A62)),VLOOKUP(A62,Studies!A:BR,5,FALSE),"")</f>
        <v>Triazolam</v>
      </c>
      <c r="F62" s="186" t="s">
        <v>148</v>
      </c>
      <c r="G62" s="205" t="str">
        <f>IF(AND(A62&lt;&gt;"",ISNUMBER(A62)),VLOOKUP(A62,Studies!A:BR,13,FALSE),"")</f>
        <v>PO</v>
      </c>
      <c r="H62" s="138" t="s">
        <v>58</v>
      </c>
      <c r="I62" s="205" t="str">
        <f>IF(AND(A62&lt;&gt;"",ISNUMBER(A62)),VLOOKUP(A62,Studies!A:BR,6,FALSE),"")</f>
        <v>Plasma</v>
      </c>
      <c r="J62" s="187">
        <v>3.11</v>
      </c>
      <c r="K62" s="187" t="s">
        <v>2726</v>
      </c>
      <c r="L62" s="201"/>
      <c r="M62" s="201"/>
      <c r="N62" s="193">
        <v>1.41</v>
      </c>
      <c r="O62" s="193" t="s">
        <v>334</v>
      </c>
      <c r="P62" s="202"/>
      <c r="Q62" s="202"/>
      <c r="R62" s="182">
        <v>0</v>
      </c>
      <c r="S62" s="183" t="s">
        <v>935</v>
      </c>
      <c r="T62" s="184">
        <v>0</v>
      </c>
      <c r="U62" s="185" t="s">
        <v>935</v>
      </c>
      <c r="V62" s="186" t="s">
        <v>59</v>
      </c>
      <c r="W62" s="181" t="s">
        <v>2814</v>
      </c>
      <c r="X62" s="176">
        <v>200</v>
      </c>
      <c r="Y62" s="180"/>
      <c r="Z62" s="180" t="s">
        <v>57</v>
      </c>
      <c r="AA62" s="176" t="s">
        <v>58</v>
      </c>
      <c r="AB62" s="176">
        <v>0</v>
      </c>
      <c r="AC62" s="176" t="s">
        <v>59</v>
      </c>
      <c r="AD62" s="176" t="s">
        <v>78</v>
      </c>
      <c r="AE62" s="177"/>
      <c r="AF62" s="177" t="s">
        <v>2349</v>
      </c>
      <c r="AG62" s="178"/>
      <c r="AH62" s="177">
        <v>150</v>
      </c>
      <c r="AI62" s="177"/>
      <c r="AJ62" s="193" t="s">
        <v>642</v>
      </c>
      <c r="AK62" s="193">
        <v>3</v>
      </c>
      <c r="AL62" s="193">
        <v>4</v>
      </c>
      <c r="AM62" s="193" t="s">
        <v>2981</v>
      </c>
    </row>
    <row r="63" spans="1:39" s="135" customFormat="1" ht="14.25" hidden="1" x14ac:dyDescent="0.2">
      <c r="A63" s="181">
        <v>1079</v>
      </c>
      <c r="B63" s="204" t="str">
        <f>IF(AND(A63&lt;&gt;"",ISNUMBER(A63)),VLOOKUP(A63,Studies!A:BR,2,FALSE),"")</f>
        <v>Neuvonen 1996</v>
      </c>
      <c r="C63" s="204" t="str">
        <f>IF(AND(A63&lt;&gt;"",ISNUMBER(A63)),VLOOKUP(A63,Studies!A:BR,3,FALSE),"")</f>
        <v>https://www.ncbi.nlm.nih.gov/pubmed/8841155</v>
      </c>
      <c r="D63" s="204" t="str">
        <f>IF(AND(A63&lt;&gt;"",ISNUMBER(A63)),VLOOKUP(A63,Studies!A:BR,4,FALSE),"")</f>
        <v>Treatment phase (triazolam + ITZ 3 hr before)</v>
      </c>
      <c r="E63" s="139" t="str">
        <f>IF(AND(A63&lt;&gt;"",ISNUMBER(A63)),VLOOKUP(A63,Studies!A:BR,5,FALSE),"")</f>
        <v>Triazolam</v>
      </c>
      <c r="F63" s="186" t="s">
        <v>148</v>
      </c>
      <c r="G63" s="205" t="str">
        <f>IF(AND(A63&lt;&gt;"",ISNUMBER(A63)),VLOOKUP(A63,Studies!A:BR,13,FALSE),"")</f>
        <v>PO</v>
      </c>
      <c r="H63" s="138" t="s">
        <v>58</v>
      </c>
      <c r="I63" s="205" t="str">
        <f>IF(AND(A63&lt;&gt;"",ISNUMBER(A63)),VLOOKUP(A63,Studies!A:BR,6,FALSE),"")</f>
        <v>Plasma</v>
      </c>
      <c r="J63" s="187">
        <v>4.79</v>
      </c>
      <c r="K63" s="187" t="s">
        <v>2726</v>
      </c>
      <c r="L63" s="201"/>
      <c r="M63" s="201"/>
      <c r="N63" s="193">
        <v>1.76</v>
      </c>
      <c r="O63" s="193" t="s">
        <v>334</v>
      </c>
      <c r="P63" s="202"/>
      <c r="Q63" s="202"/>
      <c r="R63" s="182">
        <v>0</v>
      </c>
      <c r="S63" s="183" t="s">
        <v>935</v>
      </c>
      <c r="T63" s="184">
        <v>3</v>
      </c>
      <c r="U63" s="185" t="s">
        <v>935</v>
      </c>
      <c r="V63" s="186" t="s">
        <v>59</v>
      </c>
      <c r="W63" s="181" t="s">
        <v>2814</v>
      </c>
      <c r="X63" s="176">
        <v>200</v>
      </c>
      <c r="Y63" s="180"/>
      <c r="Z63" s="180" t="s">
        <v>57</v>
      </c>
      <c r="AA63" s="176" t="s">
        <v>58</v>
      </c>
      <c r="AB63" s="176">
        <v>0</v>
      </c>
      <c r="AC63" s="176" t="s">
        <v>59</v>
      </c>
      <c r="AD63" s="176" t="s">
        <v>78</v>
      </c>
      <c r="AE63" s="177"/>
      <c r="AF63" s="177" t="s">
        <v>2349</v>
      </c>
      <c r="AG63" s="178"/>
      <c r="AH63" s="177">
        <v>150</v>
      </c>
      <c r="AI63" s="177"/>
      <c r="AJ63" s="193" t="s">
        <v>642</v>
      </c>
      <c r="AK63" s="193">
        <v>0</v>
      </c>
      <c r="AL63" s="193"/>
      <c r="AM63" s="193" t="s">
        <v>2982</v>
      </c>
    </row>
    <row r="64" spans="1:39" s="135" customFormat="1" ht="14.25" hidden="1" x14ac:dyDescent="0.2">
      <c r="A64" s="181">
        <v>1080</v>
      </c>
      <c r="B64" s="204" t="str">
        <f>IF(AND(A64&lt;&gt;"",ISNUMBER(A64)),VLOOKUP(A64,Studies!A:BR,2,FALSE),"")</f>
        <v>Neuvonen 1996</v>
      </c>
      <c r="C64" s="204" t="str">
        <f>IF(AND(A64&lt;&gt;"",ISNUMBER(A64)),VLOOKUP(A64,Studies!A:BR,3,FALSE),"")</f>
        <v>https://www.ncbi.nlm.nih.gov/pubmed/8841155</v>
      </c>
      <c r="D64" s="204" t="str">
        <f>IF(AND(A64&lt;&gt;"",ISNUMBER(A64)),VLOOKUP(A64,Studies!A:BR,4,FALSE),"")</f>
        <v>Treatment phase (triazolam + ITZ 12 hr before)</v>
      </c>
      <c r="E64" s="139" t="str">
        <f>IF(AND(A64&lt;&gt;"",ISNUMBER(A64)),VLOOKUP(A64,Studies!A:BR,5,FALSE),"")</f>
        <v>Triazolam</v>
      </c>
      <c r="F64" s="186" t="s">
        <v>148</v>
      </c>
      <c r="G64" s="205" t="str">
        <f>IF(AND(A64&lt;&gt;"",ISNUMBER(A64)),VLOOKUP(A64,Studies!A:BR,13,FALSE),"")</f>
        <v>PO</v>
      </c>
      <c r="H64" s="138" t="s">
        <v>58</v>
      </c>
      <c r="I64" s="205" t="str">
        <f>IF(AND(A64&lt;&gt;"",ISNUMBER(A64)),VLOOKUP(A64,Studies!A:BR,6,FALSE),"")</f>
        <v>Plasma</v>
      </c>
      <c r="J64" s="187">
        <v>4.63</v>
      </c>
      <c r="K64" s="187" t="s">
        <v>2726</v>
      </c>
      <c r="L64" s="201"/>
      <c r="M64" s="201"/>
      <c r="N64" s="193">
        <v>1.76</v>
      </c>
      <c r="O64" s="193" t="s">
        <v>334</v>
      </c>
      <c r="P64" s="202"/>
      <c r="Q64" s="202"/>
      <c r="R64" s="182">
        <v>0</v>
      </c>
      <c r="S64" s="183" t="s">
        <v>935</v>
      </c>
      <c r="T64" s="184">
        <v>12</v>
      </c>
      <c r="U64" s="185" t="s">
        <v>935</v>
      </c>
      <c r="V64" s="186" t="s">
        <v>59</v>
      </c>
      <c r="W64" s="181" t="s">
        <v>2814</v>
      </c>
      <c r="X64" s="176">
        <v>200</v>
      </c>
      <c r="Y64" s="180"/>
      <c r="Z64" s="180" t="s">
        <v>57</v>
      </c>
      <c r="AA64" s="176" t="s">
        <v>58</v>
      </c>
      <c r="AB64" s="176">
        <v>0</v>
      </c>
      <c r="AC64" s="176" t="s">
        <v>59</v>
      </c>
      <c r="AD64" s="176" t="s">
        <v>78</v>
      </c>
      <c r="AE64" s="177"/>
      <c r="AF64" s="177" t="s">
        <v>2349</v>
      </c>
      <c r="AG64" s="178"/>
      <c r="AH64" s="177">
        <v>150</v>
      </c>
      <c r="AI64" s="177"/>
      <c r="AJ64" s="193" t="s">
        <v>642</v>
      </c>
      <c r="AK64" s="193">
        <v>0</v>
      </c>
      <c r="AL64" s="193"/>
      <c r="AM64" s="193" t="s">
        <v>2983</v>
      </c>
    </row>
    <row r="65" spans="1:39" s="135" customFormat="1" ht="14.25" hidden="1" x14ac:dyDescent="0.2">
      <c r="A65" s="181">
        <v>1081</v>
      </c>
      <c r="B65" s="204" t="str">
        <f>IF(AND(A65&lt;&gt;"",ISNUMBER(A65)),VLOOKUP(A65,Studies!A:BR,2,FALSE),"")</f>
        <v>Neuvonen 1996</v>
      </c>
      <c r="C65" s="204" t="str">
        <f>IF(AND(A65&lt;&gt;"",ISNUMBER(A65)),VLOOKUP(A65,Studies!A:BR,3,FALSE),"")</f>
        <v>https://www.ncbi.nlm.nih.gov/pubmed/8841155</v>
      </c>
      <c r="D65" s="204" t="str">
        <f>IF(AND(A65&lt;&gt;"",ISNUMBER(A65)),VLOOKUP(A65,Studies!A:BR,4,FALSE),"")</f>
        <v>Treatment phase (triazolam + ITZ 24 hr before)</v>
      </c>
      <c r="E65" s="139" t="str">
        <f>IF(AND(A65&lt;&gt;"",ISNUMBER(A65)),VLOOKUP(A65,Studies!A:BR,5,FALSE),"")</f>
        <v>Triazolam</v>
      </c>
      <c r="F65" s="186" t="s">
        <v>148</v>
      </c>
      <c r="G65" s="205" t="str">
        <f>IF(AND(A65&lt;&gt;"",ISNUMBER(A65)),VLOOKUP(A65,Studies!A:BR,13,FALSE),"")</f>
        <v>PO</v>
      </c>
      <c r="H65" s="138" t="s">
        <v>58</v>
      </c>
      <c r="I65" s="205" t="str">
        <f>IF(AND(A65&lt;&gt;"",ISNUMBER(A65)),VLOOKUP(A65,Studies!A:BR,6,FALSE),"")</f>
        <v>Plasma</v>
      </c>
      <c r="J65" s="187">
        <v>3.82</v>
      </c>
      <c r="K65" s="187" t="s">
        <v>2726</v>
      </c>
      <c r="L65" s="201"/>
      <c r="M65" s="201"/>
      <c r="N65" s="193">
        <v>1.71</v>
      </c>
      <c r="O65" s="193" t="s">
        <v>334</v>
      </c>
      <c r="P65" s="202"/>
      <c r="Q65" s="202"/>
      <c r="R65" s="182">
        <v>0</v>
      </c>
      <c r="S65" s="183" t="s">
        <v>935</v>
      </c>
      <c r="T65" s="184">
        <v>24</v>
      </c>
      <c r="U65" s="185" t="s">
        <v>935</v>
      </c>
      <c r="V65" s="186" t="s">
        <v>59</v>
      </c>
      <c r="W65" s="181" t="s">
        <v>2814</v>
      </c>
      <c r="X65" s="176">
        <v>200</v>
      </c>
      <c r="Y65" s="180"/>
      <c r="Z65" s="180" t="s">
        <v>57</v>
      </c>
      <c r="AA65" s="176" t="s">
        <v>58</v>
      </c>
      <c r="AB65" s="176">
        <v>0</v>
      </c>
      <c r="AC65" s="176" t="s">
        <v>59</v>
      </c>
      <c r="AD65" s="176" t="s">
        <v>78</v>
      </c>
      <c r="AE65" s="177"/>
      <c r="AF65" s="177" t="s">
        <v>2349</v>
      </c>
      <c r="AG65" s="178"/>
      <c r="AH65" s="177">
        <v>150</v>
      </c>
      <c r="AI65" s="177"/>
      <c r="AJ65" s="193" t="s">
        <v>642</v>
      </c>
      <c r="AK65" s="193">
        <v>0</v>
      </c>
      <c r="AL65" s="193"/>
      <c r="AM65" s="193" t="s">
        <v>2983</v>
      </c>
    </row>
    <row r="66" spans="1:39" s="135" customFormat="1" ht="14.25" hidden="1" x14ac:dyDescent="0.2">
      <c r="A66" s="181">
        <v>573</v>
      </c>
      <c r="B66" s="204" t="str">
        <f>IF(AND(A66&lt;&gt;"",ISNUMBER(A66)),VLOOKUP(A66,Studies!A:BR,2,FALSE),"")</f>
        <v>Neely 2010</v>
      </c>
      <c r="C66" s="204" t="str">
        <f>IF(AND(A66&lt;&gt;"",ISNUMBER(A66)),VLOOKUP(A66,Studies!A:BR,3,FALSE),"")</f>
        <v>https://www.ncbi.nlm.nih.gov/pubmed/20823282</v>
      </c>
      <c r="D66" s="204" t="str">
        <f>IF(AND(A66&lt;&gt;"",ISNUMBER(A66)),VLOOKUP(A66,Studies!A:BR,4,FALSE),"")</f>
        <v>Study arm B (Raltegravir 400mg OD + Atazanavir 400 mg OD)</v>
      </c>
      <c r="E66" s="139" t="str">
        <f>IF(AND(A66&lt;&gt;"",ISNUMBER(A66)),VLOOKUP(A66,Studies!A:BR,5,FALSE),"")</f>
        <v>Raltegravir</v>
      </c>
      <c r="F66" s="186" t="s">
        <v>1405</v>
      </c>
      <c r="G66" s="205" t="str">
        <f>IF(AND(A66&lt;&gt;"",ISNUMBER(A66)),VLOOKUP(A66,Studies!A:BR,13,FALSE),"")</f>
        <v>PO</v>
      </c>
      <c r="H66" s="138" t="s">
        <v>58</v>
      </c>
      <c r="I66" s="205" t="str">
        <f>IF(AND(A66&lt;&gt;"",ISNUMBER(A66)),VLOOKUP(A66,Studies!A:BR,6,FALSE),"")</f>
        <v>Plasma</v>
      </c>
      <c r="J66" s="187">
        <v>1.72</v>
      </c>
      <c r="K66" s="187" t="s">
        <v>1000</v>
      </c>
      <c r="L66" s="201" t="s">
        <v>1724</v>
      </c>
      <c r="M66" s="201" t="s">
        <v>1156</v>
      </c>
      <c r="N66" s="193">
        <v>1.37</v>
      </c>
      <c r="O66" s="193" t="s">
        <v>1000</v>
      </c>
      <c r="P66" s="202" t="s">
        <v>1725</v>
      </c>
      <c r="Q66" s="202" t="s">
        <v>1156</v>
      </c>
      <c r="R66" s="182">
        <v>168</v>
      </c>
      <c r="S66" s="183">
        <v>180</v>
      </c>
      <c r="T66" s="184">
        <v>168</v>
      </c>
      <c r="U66" s="185">
        <v>192</v>
      </c>
      <c r="V66" s="186" t="s">
        <v>59</v>
      </c>
      <c r="W66" s="181"/>
      <c r="X66" s="176">
        <v>400</v>
      </c>
      <c r="Y66" s="137"/>
      <c r="Z66" s="137" t="s">
        <v>57</v>
      </c>
      <c r="AA66" s="176" t="s">
        <v>58</v>
      </c>
      <c r="AB66" s="176" t="s">
        <v>1447</v>
      </c>
      <c r="AC66" s="136" t="s">
        <v>59</v>
      </c>
      <c r="AD66" s="176" t="s">
        <v>1497</v>
      </c>
      <c r="AE66" s="174"/>
      <c r="AF66" s="177"/>
      <c r="AG66" s="178"/>
      <c r="AH66" s="178"/>
      <c r="AI66" s="178" t="s">
        <v>149</v>
      </c>
      <c r="AJ66" s="193" t="s">
        <v>1445</v>
      </c>
      <c r="AK66" s="193">
        <v>1</v>
      </c>
      <c r="AL66" s="193">
        <v>2</v>
      </c>
      <c r="AM66" s="193"/>
    </row>
    <row r="67" spans="1:39" s="135" customFormat="1" ht="14.25" hidden="1" x14ac:dyDescent="0.2">
      <c r="A67" s="181">
        <v>2044</v>
      </c>
      <c r="B67" s="204" t="str">
        <f>IF(AND(A67&lt;&gt;"",ISNUMBER(A67)),VLOOKUP(A67,Studies!A:BR,2,FALSE),"")</f>
        <v>Mikus 2017</v>
      </c>
      <c r="C67" s="204" t="str">
        <f>IF(AND(A67&lt;&gt;"",ISNUMBER(A67)),VLOOKUP(A67,Studies!A:BR,3,FALSE),"")</f>
        <v>https://www.ncbi.nlm.nih.gov/pubmed/28194792</v>
      </c>
      <c r="D67" s="204" t="str">
        <f>IF(AND(A67&lt;&gt;"",ISNUMBER(A67)),VLOOKUP(A67,Studies!A:BR,4,FALSE),"")</f>
        <v>Efavirenz + Midazolam PO day 1</v>
      </c>
      <c r="E67" s="139" t="str">
        <f>IF(AND(A67&lt;&gt;"",ISNUMBER(A67)),VLOOKUP(A67,Studies!A:BR,5,FALSE),"")</f>
        <v>Midazolam</v>
      </c>
      <c r="F67" s="186" t="s">
        <v>2185</v>
      </c>
      <c r="G67" s="205" t="str">
        <f>IF(AND(A67&lt;&gt;"",ISNUMBER(A67)),VLOOKUP(A67,Studies!A:BR,13,FALSE),"")</f>
        <v>PO</v>
      </c>
      <c r="H67" s="138" t="s">
        <v>58</v>
      </c>
      <c r="I67" s="205" t="str">
        <f>IF(AND(A67&lt;&gt;"",ISNUMBER(A67)),VLOOKUP(A67,Studies!A:BR,6,FALSE),"")</f>
        <v>Plasma</v>
      </c>
      <c r="J67" s="187">
        <v>0.5905511</v>
      </c>
      <c r="K67" s="187" t="s">
        <v>2139</v>
      </c>
      <c r="L67" s="201"/>
      <c r="M67" s="201"/>
      <c r="N67" s="193"/>
      <c r="O67" s="193"/>
      <c r="P67" s="202"/>
      <c r="Q67" s="202"/>
      <c r="R67" s="182">
        <v>0</v>
      </c>
      <c r="S67" s="183">
        <v>6</v>
      </c>
      <c r="T67" s="184">
        <v>12</v>
      </c>
      <c r="U67" s="185">
        <v>18</v>
      </c>
      <c r="V67" s="186" t="s">
        <v>59</v>
      </c>
      <c r="W67" s="181"/>
      <c r="X67" s="176">
        <v>400</v>
      </c>
      <c r="Y67" s="180"/>
      <c r="Z67" s="180" t="s">
        <v>57</v>
      </c>
      <c r="AA67" s="176" t="s">
        <v>58</v>
      </c>
      <c r="AB67" s="176">
        <v>0</v>
      </c>
      <c r="AC67" s="176" t="s">
        <v>59</v>
      </c>
      <c r="AD67" s="176"/>
      <c r="AE67" s="177"/>
      <c r="AF67" s="177"/>
      <c r="AG67" s="178"/>
      <c r="AH67" s="177"/>
      <c r="AI67" s="177"/>
      <c r="AJ67" s="193"/>
      <c r="AK67" s="193"/>
      <c r="AL67" s="193"/>
      <c r="AM67" s="193"/>
    </row>
    <row r="68" spans="1:39" s="135" customFormat="1" ht="14.25" hidden="1" x14ac:dyDescent="0.2">
      <c r="A68" s="181">
        <v>2045</v>
      </c>
      <c r="B68" s="204" t="str">
        <f>IF(AND(A68&lt;&gt;"",ISNUMBER(A68)),VLOOKUP(A68,Studies!A:BR,2,FALSE),"")</f>
        <v>Mikus 2017</v>
      </c>
      <c r="C68" s="204" t="str">
        <f>IF(AND(A68&lt;&gt;"",ISNUMBER(A68)),VLOOKUP(A68,Studies!A:BR,3,FALSE),"")</f>
        <v>https://www.ncbi.nlm.nih.gov/pubmed/28194792</v>
      </c>
      <c r="D68" s="204" t="str">
        <f>IF(AND(A68&lt;&gt;"",ISNUMBER(A68)),VLOOKUP(A68,Studies!A:BR,4,FALSE),"")</f>
        <v>Efavirenz + Midazolam IV day 1</v>
      </c>
      <c r="E68" s="139" t="str">
        <f>IF(AND(A68&lt;&gt;"",ISNUMBER(A68)),VLOOKUP(A68,Studies!A:BR,5,FALSE),"")</f>
        <v>Midazolam</v>
      </c>
      <c r="F68" s="186" t="s">
        <v>2185</v>
      </c>
      <c r="G68" s="205" t="str">
        <f>IF(AND(A68&lt;&gt;"",ISNUMBER(A68)),VLOOKUP(A68,Studies!A:BR,13,FALSE),"")</f>
        <v>IV</v>
      </c>
      <c r="H68" s="138" t="s">
        <v>58</v>
      </c>
      <c r="I68" s="205" t="str">
        <f>IF(AND(A68&lt;&gt;"",ISNUMBER(A68)),VLOOKUP(A68,Studies!A:BR,6,FALSE),"")</f>
        <v>Plasma</v>
      </c>
      <c r="J68" s="187">
        <v>0.78537734999999997</v>
      </c>
      <c r="K68" s="187" t="s">
        <v>2139</v>
      </c>
      <c r="L68" s="201"/>
      <c r="M68" s="201"/>
      <c r="N68" s="193"/>
      <c r="O68" s="193"/>
      <c r="P68" s="202"/>
      <c r="Q68" s="202"/>
      <c r="R68" s="182">
        <v>6</v>
      </c>
      <c r="S68" s="183">
        <v>14</v>
      </c>
      <c r="T68" s="184">
        <v>18</v>
      </c>
      <c r="U68" s="185">
        <v>26</v>
      </c>
      <c r="V68" s="186" t="s">
        <v>59</v>
      </c>
      <c r="W68" s="181"/>
      <c r="X68" s="176">
        <v>400</v>
      </c>
      <c r="Y68" s="180"/>
      <c r="Z68" s="180" t="s">
        <v>57</v>
      </c>
      <c r="AA68" s="176" t="s">
        <v>58</v>
      </c>
      <c r="AB68" s="176"/>
      <c r="AC68" s="176"/>
      <c r="AD68" s="176"/>
      <c r="AE68" s="177"/>
      <c r="AF68" s="177"/>
      <c r="AG68" s="178"/>
      <c r="AH68" s="177"/>
      <c r="AI68" s="177"/>
      <c r="AJ68" s="193"/>
      <c r="AK68" s="193"/>
      <c r="AL68" s="193"/>
      <c r="AM68" s="193"/>
    </row>
    <row r="69" spans="1:39" s="135" customFormat="1" ht="14.25" hidden="1" x14ac:dyDescent="0.2">
      <c r="A69" s="181">
        <v>2047</v>
      </c>
      <c r="B69" s="204" t="str">
        <f>IF(AND(A69&lt;&gt;"",ISNUMBER(A69)),VLOOKUP(A69,Studies!A:BR,2,FALSE),"")</f>
        <v>Mikus 2017</v>
      </c>
      <c r="C69" s="204" t="str">
        <f>IF(AND(A69&lt;&gt;"",ISNUMBER(A69)),VLOOKUP(A69,Studies!A:BR,3,FALSE),"")</f>
        <v>https://www.ncbi.nlm.nih.gov/pubmed/28194792</v>
      </c>
      <c r="D69" s="204" t="str">
        <f>IF(AND(A69&lt;&gt;"",ISNUMBER(A69)),VLOOKUP(A69,Studies!A:BR,4,FALSE),"")</f>
        <v>Efavirenz + Midazolam PO day 6</v>
      </c>
      <c r="E69" s="139" t="str">
        <f>IF(AND(A69&lt;&gt;"",ISNUMBER(A69)),VLOOKUP(A69,Studies!A:BR,5,FALSE),"")</f>
        <v>Midazolam</v>
      </c>
      <c r="F69" s="186" t="s">
        <v>2185</v>
      </c>
      <c r="G69" s="205" t="str">
        <f>IF(AND(A69&lt;&gt;"",ISNUMBER(A69)),VLOOKUP(A69,Studies!A:BR,13,FALSE),"")</f>
        <v>PO</v>
      </c>
      <c r="H69" s="138" t="s">
        <v>58</v>
      </c>
      <c r="I69" s="205" t="str">
        <f>IF(AND(A69&lt;&gt;"",ISNUMBER(A69)),VLOOKUP(A69,Studies!A:BR,6,FALSE),"")</f>
        <v>Plasma</v>
      </c>
      <c r="J69" s="187">
        <v>0.61417319999999997</v>
      </c>
      <c r="K69" s="187" t="s">
        <v>2139</v>
      </c>
      <c r="L69" s="201"/>
      <c r="M69" s="201"/>
      <c r="N69" s="193"/>
      <c r="O69" s="193"/>
      <c r="P69" s="202"/>
      <c r="Q69" s="202"/>
      <c r="R69" s="182">
        <v>0</v>
      </c>
      <c r="S69" s="183">
        <v>6</v>
      </c>
      <c r="T69" s="184">
        <v>132</v>
      </c>
      <c r="U69" s="185">
        <v>138</v>
      </c>
      <c r="V69" s="186" t="s">
        <v>59</v>
      </c>
      <c r="W69" s="181"/>
      <c r="X69" s="176">
        <v>400</v>
      </c>
      <c r="Y69" s="180"/>
      <c r="Z69" s="180" t="s">
        <v>57</v>
      </c>
      <c r="AA69" s="176" t="s">
        <v>58</v>
      </c>
      <c r="AB69" s="176"/>
      <c r="AC69" s="176"/>
      <c r="AD69" s="176"/>
      <c r="AE69" s="177"/>
      <c r="AF69" s="177"/>
      <c r="AG69" s="178"/>
      <c r="AH69" s="177"/>
      <c r="AI69" s="177"/>
      <c r="AJ69" s="193"/>
      <c r="AK69" s="193"/>
      <c r="AL69" s="193"/>
      <c r="AM69" s="193"/>
    </row>
    <row r="70" spans="1:39" s="135" customFormat="1" ht="14.25" hidden="1" x14ac:dyDescent="0.2">
      <c r="A70" s="181">
        <v>2048</v>
      </c>
      <c r="B70" s="204" t="str">
        <f>IF(AND(A70&lt;&gt;"",ISNUMBER(A70)),VLOOKUP(A70,Studies!A:BR,2,FALSE),"")</f>
        <v>Mikus 2017</v>
      </c>
      <c r="C70" s="204" t="str">
        <f>IF(AND(A70&lt;&gt;"",ISNUMBER(A70)),VLOOKUP(A70,Studies!A:BR,3,FALSE),"")</f>
        <v>https://www.ncbi.nlm.nih.gov/pubmed/28194792</v>
      </c>
      <c r="D70" s="204" t="str">
        <f>IF(AND(A70&lt;&gt;"",ISNUMBER(A70)),VLOOKUP(A70,Studies!A:BR,4,FALSE),"")</f>
        <v>Efavirenz + Midazolam IV day 6</v>
      </c>
      <c r="E70" s="139" t="str">
        <f>IF(AND(A70&lt;&gt;"",ISNUMBER(A70)),VLOOKUP(A70,Studies!A:BR,5,FALSE),"")</f>
        <v>Midazolam</v>
      </c>
      <c r="F70" s="186" t="s">
        <v>2185</v>
      </c>
      <c r="G70" s="205" t="str">
        <f>IF(AND(A70&lt;&gt;"",ISNUMBER(A70)),VLOOKUP(A70,Studies!A:BR,13,FALSE),"")</f>
        <v>IV</v>
      </c>
      <c r="H70" s="138" t="s">
        <v>58</v>
      </c>
      <c r="I70" s="205" t="str">
        <f>IF(AND(A70&lt;&gt;"",ISNUMBER(A70)),VLOOKUP(A70,Studies!A:BR,6,FALSE),"")</f>
        <v>Plasma</v>
      </c>
      <c r="J70" s="187">
        <v>0.7771226</v>
      </c>
      <c r="K70" s="187" t="s">
        <v>2139</v>
      </c>
      <c r="L70" s="201"/>
      <c r="M70" s="201"/>
      <c r="N70" s="193"/>
      <c r="O70" s="193"/>
      <c r="P70" s="202"/>
      <c r="Q70" s="202"/>
      <c r="R70" s="182">
        <v>6</v>
      </c>
      <c r="S70" s="183">
        <v>14</v>
      </c>
      <c r="T70" s="184">
        <v>138</v>
      </c>
      <c r="U70" s="185">
        <v>146</v>
      </c>
      <c r="V70" s="186" t="s">
        <v>59</v>
      </c>
      <c r="W70" s="181"/>
      <c r="X70" s="176">
        <v>400</v>
      </c>
      <c r="Y70" s="180"/>
      <c r="Z70" s="180" t="s">
        <v>57</v>
      </c>
      <c r="AA70" s="176" t="s">
        <v>58</v>
      </c>
      <c r="AB70" s="176"/>
      <c r="AC70" s="176"/>
      <c r="AD70" s="176"/>
      <c r="AE70" s="177"/>
      <c r="AF70" s="177"/>
      <c r="AG70" s="178"/>
      <c r="AH70" s="177"/>
      <c r="AI70" s="177"/>
      <c r="AJ70" s="193"/>
      <c r="AK70" s="193"/>
      <c r="AL70" s="193"/>
      <c r="AM70" s="193"/>
    </row>
    <row r="71" spans="1:39" s="135" customFormat="1" ht="14.25" hidden="1" x14ac:dyDescent="0.2">
      <c r="A71" s="181">
        <v>2049</v>
      </c>
      <c r="B71" s="204" t="str">
        <f>IF(AND(A71&lt;&gt;"",ISNUMBER(A71)),VLOOKUP(A71,Studies!A:BR,2,FALSE),"")</f>
        <v>Mikus 2017</v>
      </c>
      <c r="C71" s="204" t="str">
        <f>IF(AND(A71&lt;&gt;"",ISNUMBER(A71)),VLOOKUP(A71,Studies!A:BR,3,FALSE),"")</f>
        <v>https://www.ncbi.nlm.nih.gov/pubmed/28194792</v>
      </c>
      <c r="D71" s="204" t="str">
        <f>IF(AND(A71&lt;&gt;"",ISNUMBER(A71)),VLOOKUP(A71,Studies!A:BR,4,FALSE),"")</f>
        <v>Efavirenz + Midazolam PO day 11</v>
      </c>
      <c r="E71" s="139" t="str">
        <f>IF(AND(A71&lt;&gt;"",ISNUMBER(A71)),VLOOKUP(A71,Studies!A:BR,5,FALSE),"")</f>
        <v>Midazolam</v>
      </c>
      <c r="F71" s="186" t="s">
        <v>2185</v>
      </c>
      <c r="G71" s="205" t="str">
        <f>IF(AND(A71&lt;&gt;"",ISNUMBER(A71)),VLOOKUP(A71,Studies!A:BR,13,FALSE),"")</f>
        <v>PO</v>
      </c>
      <c r="H71" s="138" t="s">
        <v>58</v>
      </c>
      <c r="I71" s="205" t="str">
        <f>IF(AND(A71&lt;&gt;"",ISNUMBER(A71)),VLOOKUP(A71,Studies!A:BR,6,FALSE),"")</f>
        <v>Plasma</v>
      </c>
      <c r="J71" s="187">
        <v>0.76968499999999995</v>
      </c>
      <c r="K71" s="187" t="s">
        <v>2139</v>
      </c>
      <c r="L71" s="201"/>
      <c r="M71" s="201"/>
      <c r="N71" s="193"/>
      <c r="O71" s="193"/>
      <c r="P71" s="202"/>
      <c r="Q71" s="202"/>
      <c r="R71" s="182">
        <v>0</v>
      </c>
      <c r="S71" s="183">
        <v>6</v>
      </c>
      <c r="T71" s="184">
        <v>252</v>
      </c>
      <c r="U71" s="185">
        <v>258</v>
      </c>
      <c r="V71" s="186" t="s">
        <v>59</v>
      </c>
      <c r="W71" s="181"/>
      <c r="X71" s="176">
        <v>400</v>
      </c>
      <c r="Y71" s="180"/>
      <c r="Z71" s="180" t="s">
        <v>57</v>
      </c>
      <c r="AA71" s="176" t="s">
        <v>58</v>
      </c>
      <c r="AB71" s="176"/>
      <c r="AC71" s="176"/>
      <c r="AD71" s="176"/>
      <c r="AE71" s="177"/>
      <c r="AF71" s="177"/>
      <c r="AG71" s="178"/>
      <c r="AH71" s="177"/>
      <c r="AI71" s="177"/>
      <c r="AJ71" s="193"/>
      <c r="AK71" s="193"/>
      <c r="AL71" s="193"/>
      <c r="AM71" s="193"/>
    </row>
    <row r="72" spans="1:39" s="135" customFormat="1" ht="14.25" hidden="1" x14ac:dyDescent="0.2">
      <c r="A72" s="181">
        <v>2050</v>
      </c>
      <c r="B72" s="204" t="str">
        <f>IF(AND(A72&lt;&gt;"",ISNUMBER(A72)),VLOOKUP(A72,Studies!A:BR,2,FALSE),"")</f>
        <v>Mikus 2017</v>
      </c>
      <c r="C72" s="204" t="str">
        <f>IF(AND(A72&lt;&gt;"",ISNUMBER(A72)),VLOOKUP(A72,Studies!A:BR,3,FALSE),"")</f>
        <v>https://www.ncbi.nlm.nih.gov/pubmed/28194792</v>
      </c>
      <c r="D72" s="204" t="str">
        <f>IF(AND(A72&lt;&gt;"",ISNUMBER(A72)),VLOOKUP(A72,Studies!A:BR,4,FALSE),"")</f>
        <v>Efavirenz + Midazolam IV day 11</v>
      </c>
      <c r="E72" s="139" t="str">
        <f>IF(AND(A72&lt;&gt;"",ISNUMBER(A72)),VLOOKUP(A72,Studies!A:BR,5,FALSE),"")</f>
        <v>Midazolam</v>
      </c>
      <c r="F72" s="186" t="s">
        <v>2185</v>
      </c>
      <c r="G72" s="205" t="str">
        <f>IF(AND(A72&lt;&gt;"",ISNUMBER(A72)),VLOOKUP(A72,Studies!A:BR,13,FALSE),"")</f>
        <v>IV</v>
      </c>
      <c r="H72" s="138" t="s">
        <v>58</v>
      </c>
      <c r="I72" s="205" t="str">
        <f>IF(AND(A72&lt;&gt;"",ISNUMBER(A72)),VLOOKUP(A72,Studies!A:BR,6,FALSE),"")</f>
        <v>Plasma</v>
      </c>
      <c r="J72" s="187">
        <v>0.9375</v>
      </c>
      <c r="K72" s="187" t="s">
        <v>2139</v>
      </c>
      <c r="L72" s="201"/>
      <c r="M72" s="201"/>
      <c r="N72" s="193"/>
      <c r="O72" s="193"/>
      <c r="P72" s="202"/>
      <c r="Q72" s="202"/>
      <c r="R72" s="182">
        <v>6</v>
      </c>
      <c r="S72" s="183">
        <v>14</v>
      </c>
      <c r="T72" s="184">
        <v>258</v>
      </c>
      <c r="U72" s="185">
        <v>266</v>
      </c>
      <c r="V72" s="186" t="s">
        <v>59</v>
      </c>
      <c r="W72" s="181"/>
      <c r="X72" s="176">
        <v>400</v>
      </c>
      <c r="Y72" s="180"/>
      <c r="Z72" s="180" t="s">
        <v>57</v>
      </c>
      <c r="AA72" s="176" t="s">
        <v>58</v>
      </c>
      <c r="AB72" s="176"/>
      <c r="AC72" s="176"/>
      <c r="AD72" s="176"/>
      <c r="AE72" s="177"/>
      <c r="AF72" s="177"/>
      <c r="AG72" s="178"/>
      <c r="AH72" s="177"/>
      <c r="AI72" s="177"/>
      <c r="AJ72" s="193"/>
      <c r="AK72" s="193"/>
      <c r="AL72" s="193"/>
      <c r="AM72" s="193"/>
    </row>
    <row r="73" spans="1:39" s="135" customFormat="1" ht="14.25" hidden="1" x14ac:dyDescent="0.2">
      <c r="A73" s="181">
        <v>2051</v>
      </c>
      <c r="B73" s="204" t="str">
        <f>IF(AND(A73&lt;&gt;"",ISNUMBER(A73)),VLOOKUP(A73,Studies!A:BR,2,FALSE),"")</f>
        <v>Mikus 2017</v>
      </c>
      <c r="C73" s="204" t="str">
        <f>IF(AND(A73&lt;&gt;"",ISNUMBER(A73)),VLOOKUP(A73,Studies!A:BR,3,FALSE),"")</f>
        <v>https://www.ncbi.nlm.nih.gov/pubmed/28194792</v>
      </c>
      <c r="D73" s="204" t="str">
        <f>IF(AND(A73&lt;&gt;"",ISNUMBER(A73)),VLOOKUP(A73,Studies!A:BR,4,FALSE),"")</f>
        <v>Efavirenz + Midazolam PO day 16</v>
      </c>
      <c r="E73" s="139" t="str">
        <f>IF(AND(A73&lt;&gt;"",ISNUMBER(A73)),VLOOKUP(A73,Studies!A:BR,5,FALSE),"")</f>
        <v>Midazolam</v>
      </c>
      <c r="F73" s="186" t="s">
        <v>2185</v>
      </c>
      <c r="G73" s="205" t="str">
        <f>IF(AND(A73&lt;&gt;"",ISNUMBER(A73)),VLOOKUP(A73,Studies!A:BR,13,FALSE),"")</f>
        <v>PO</v>
      </c>
      <c r="H73" s="138" t="s">
        <v>58</v>
      </c>
      <c r="I73" s="205" t="str">
        <f>IF(AND(A73&lt;&gt;"",ISNUMBER(A73)),VLOOKUP(A73,Studies!A:BR,6,FALSE),"")</f>
        <v>Plasma</v>
      </c>
      <c r="J73" s="187">
        <v>0.74803140000000001</v>
      </c>
      <c r="K73" s="187" t="s">
        <v>2139</v>
      </c>
      <c r="L73" s="201"/>
      <c r="M73" s="201"/>
      <c r="N73" s="193"/>
      <c r="O73" s="193"/>
      <c r="P73" s="202"/>
      <c r="Q73" s="202"/>
      <c r="R73" s="182">
        <v>0</v>
      </c>
      <c r="S73" s="183">
        <v>6</v>
      </c>
      <c r="T73" s="184">
        <v>372</v>
      </c>
      <c r="U73" s="185">
        <v>378</v>
      </c>
      <c r="V73" s="186" t="s">
        <v>59</v>
      </c>
      <c r="W73" s="181"/>
      <c r="X73" s="176">
        <v>400</v>
      </c>
      <c r="Y73" s="180"/>
      <c r="Z73" s="180" t="s">
        <v>57</v>
      </c>
      <c r="AA73" s="176" t="s">
        <v>58</v>
      </c>
      <c r="AB73" s="176"/>
      <c r="AC73" s="176"/>
      <c r="AD73" s="176"/>
      <c r="AE73" s="177"/>
      <c r="AF73" s="177"/>
      <c r="AG73" s="178"/>
      <c r="AH73" s="177"/>
      <c r="AI73" s="177"/>
      <c r="AJ73" s="193"/>
      <c r="AK73" s="193"/>
      <c r="AL73" s="193"/>
      <c r="AM73" s="193"/>
    </row>
    <row r="74" spans="1:39" s="135" customFormat="1" ht="14.25" hidden="1" x14ac:dyDescent="0.2">
      <c r="A74" s="181">
        <v>2052</v>
      </c>
      <c r="B74" s="204" t="str">
        <f>IF(AND(A74&lt;&gt;"",ISNUMBER(A74)),VLOOKUP(A74,Studies!A:BR,2,FALSE),"")</f>
        <v>Mikus 2017</v>
      </c>
      <c r="C74" s="204" t="str">
        <f>IF(AND(A74&lt;&gt;"",ISNUMBER(A74)),VLOOKUP(A74,Studies!A:BR,3,FALSE),"")</f>
        <v>https://www.ncbi.nlm.nih.gov/pubmed/28194792</v>
      </c>
      <c r="D74" s="204" t="str">
        <f>IF(AND(A74&lt;&gt;"",ISNUMBER(A74)),VLOOKUP(A74,Studies!A:BR,4,FALSE),"")</f>
        <v>Efavirenz + Midazolam IV day 16</v>
      </c>
      <c r="E74" s="139" t="str">
        <f>IF(AND(A74&lt;&gt;"",ISNUMBER(A74)),VLOOKUP(A74,Studies!A:BR,5,FALSE),"")</f>
        <v>Midazolam</v>
      </c>
      <c r="F74" s="186" t="s">
        <v>2185</v>
      </c>
      <c r="G74" s="205" t="str">
        <f>IF(AND(A74&lt;&gt;"",ISNUMBER(A74)),VLOOKUP(A74,Studies!A:BR,13,FALSE),"")</f>
        <v>IV</v>
      </c>
      <c r="H74" s="138" t="s">
        <v>58</v>
      </c>
      <c r="I74" s="205" t="str">
        <f>IF(AND(A74&lt;&gt;"",ISNUMBER(A74)),VLOOKUP(A74,Studies!A:BR,6,FALSE),"")</f>
        <v>Plasma</v>
      </c>
      <c r="J74" s="187">
        <v>0.85377349999999996</v>
      </c>
      <c r="K74" s="187" t="s">
        <v>2139</v>
      </c>
      <c r="L74" s="201"/>
      <c r="M74" s="201"/>
      <c r="N74" s="193"/>
      <c r="O74" s="193"/>
      <c r="P74" s="202"/>
      <c r="Q74" s="202"/>
      <c r="R74" s="182">
        <v>6</v>
      </c>
      <c r="S74" s="183">
        <v>14</v>
      </c>
      <c r="T74" s="184">
        <v>378</v>
      </c>
      <c r="U74" s="185">
        <v>386</v>
      </c>
      <c r="V74" s="186" t="s">
        <v>59</v>
      </c>
      <c r="W74" s="181"/>
      <c r="X74" s="176">
        <v>400</v>
      </c>
      <c r="Y74" s="180"/>
      <c r="Z74" s="180" t="s">
        <v>57</v>
      </c>
      <c r="AA74" s="176" t="s">
        <v>58</v>
      </c>
      <c r="AB74" s="176"/>
      <c r="AC74" s="176"/>
      <c r="AD74" s="176"/>
      <c r="AE74" s="177"/>
      <c r="AF74" s="177"/>
      <c r="AG74" s="178"/>
      <c r="AH74" s="177"/>
      <c r="AI74" s="177"/>
      <c r="AJ74" s="193"/>
      <c r="AK74" s="193"/>
      <c r="AL74" s="193"/>
      <c r="AM74" s="193"/>
    </row>
    <row r="75" spans="1:39" s="135" customFormat="1" ht="14.25" hidden="1" x14ac:dyDescent="0.2">
      <c r="A75" s="181">
        <v>2053</v>
      </c>
      <c r="B75" s="204" t="str">
        <f>IF(AND(A75&lt;&gt;"",ISNUMBER(A75)),VLOOKUP(A75,Studies!A:BR,2,FALSE),"")</f>
        <v>Mikus 2017</v>
      </c>
      <c r="C75" s="204" t="str">
        <f>IF(AND(A75&lt;&gt;"",ISNUMBER(A75)),VLOOKUP(A75,Studies!A:BR,3,FALSE),"")</f>
        <v>https://www.ncbi.nlm.nih.gov/pubmed/28194792</v>
      </c>
      <c r="D75" s="204" t="str">
        <f>IF(AND(A75&lt;&gt;"",ISNUMBER(A75)),VLOOKUP(A75,Studies!A:BR,4,FALSE),"")</f>
        <v>Efavirenz + Midazolam PO  day 22</v>
      </c>
      <c r="E75" s="139" t="str">
        <f>IF(AND(A75&lt;&gt;"",ISNUMBER(A75)),VLOOKUP(A75,Studies!A:BR,5,FALSE),"")</f>
        <v>Midazolam</v>
      </c>
      <c r="F75" s="186" t="s">
        <v>2185</v>
      </c>
      <c r="G75" s="205" t="str">
        <f>IF(AND(A75&lt;&gt;"",ISNUMBER(A75)),VLOOKUP(A75,Studies!A:BR,13,FALSE),"")</f>
        <v>PO</v>
      </c>
      <c r="H75" s="138" t="s">
        <v>58</v>
      </c>
      <c r="I75" s="205" t="str">
        <f>IF(AND(A75&lt;&gt;"",ISNUMBER(A75)),VLOOKUP(A75,Studies!A:BR,6,FALSE),"")</f>
        <v>Plasma</v>
      </c>
      <c r="J75" s="187">
        <v>0.83661410000000003</v>
      </c>
      <c r="K75" s="187" t="s">
        <v>2139</v>
      </c>
      <c r="L75" s="201"/>
      <c r="M75" s="201"/>
      <c r="N75" s="193"/>
      <c r="O75" s="193"/>
      <c r="P75" s="202"/>
      <c r="Q75" s="202"/>
      <c r="R75" s="182">
        <v>0</v>
      </c>
      <c r="S75" s="183">
        <v>6</v>
      </c>
      <c r="T75" s="184">
        <v>516</v>
      </c>
      <c r="U75" s="185">
        <v>522</v>
      </c>
      <c r="V75" s="186" t="s">
        <v>59</v>
      </c>
      <c r="W75" s="181"/>
      <c r="X75" s="176">
        <v>400</v>
      </c>
      <c r="Y75" s="180"/>
      <c r="Z75" s="180" t="s">
        <v>57</v>
      </c>
      <c r="AA75" s="176" t="s">
        <v>58</v>
      </c>
      <c r="AB75" s="176"/>
      <c r="AC75" s="176"/>
      <c r="AD75" s="176"/>
      <c r="AE75" s="177"/>
      <c r="AF75" s="177"/>
      <c r="AG75" s="178"/>
      <c r="AH75" s="177"/>
      <c r="AI75" s="177"/>
      <c r="AJ75" s="193"/>
      <c r="AK75" s="193"/>
      <c r="AL75" s="193"/>
      <c r="AM75" s="193"/>
    </row>
    <row r="76" spans="1:39" s="135" customFormat="1" ht="14.25" hidden="1" x14ac:dyDescent="0.2">
      <c r="A76" s="181">
        <v>2054</v>
      </c>
      <c r="B76" s="204" t="str">
        <f>IF(AND(A76&lt;&gt;"",ISNUMBER(A76)),VLOOKUP(A76,Studies!A:BR,2,FALSE),"")</f>
        <v>Mikus 2017</v>
      </c>
      <c r="C76" s="204" t="str">
        <f>IF(AND(A76&lt;&gt;"",ISNUMBER(A76)),VLOOKUP(A76,Studies!A:BR,3,FALSE),"")</f>
        <v>https://www.ncbi.nlm.nih.gov/pubmed/28194792</v>
      </c>
      <c r="D76" s="204" t="str">
        <f>IF(AND(A76&lt;&gt;"",ISNUMBER(A76)),VLOOKUP(A76,Studies!A:BR,4,FALSE),"")</f>
        <v>Efavirenz + Midazolam IV  day 22</v>
      </c>
      <c r="E76" s="139" t="str">
        <f>IF(AND(A76&lt;&gt;"",ISNUMBER(A76)),VLOOKUP(A76,Studies!A:BR,5,FALSE),"")</f>
        <v>Midazolam</v>
      </c>
      <c r="F76" s="186" t="s">
        <v>2185</v>
      </c>
      <c r="G76" s="205" t="str">
        <f>IF(AND(A76&lt;&gt;"",ISNUMBER(A76)),VLOOKUP(A76,Studies!A:BR,13,FALSE),"")</f>
        <v>IV</v>
      </c>
      <c r="H76" s="138" t="s">
        <v>58</v>
      </c>
      <c r="I76" s="205" t="str">
        <f>IF(AND(A76&lt;&gt;"",ISNUMBER(A76)),VLOOKUP(A76,Studies!A:BR,6,FALSE),"")</f>
        <v>Plasma</v>
      </c>
      <c r="J76" s="187">
        <v>0.92216980000000004</v>
      </c>
      <c r="K76" s="187" t="s">
        <v>2139</v>
      </c>
      <c r="L76" s="201"/>
      <c r="M76" s="201"/>
      <c r="N76" s="193"/>
      <c r="O76" s="193"/>
      <c r="P76" s="202"/>
      <c r="Q76" s="202"/>
      <c r="R76" s="182">
        <v>6</v>
      </c>
      <c r="S76" s="183">
        <v>14</v>
      </c>
      <c r="T76" s="184">
        <v>522</v>
      </c>
      <c r="U76" s="185">
        <v>530</v>
      </c>
      <c r="V76" s="186" t="s">
        <v>59</v>
      </c>
      <c r="W76" s="181"/>
      <c r="X76" s="176">
        <v>400</v>
      </c>
      <c r="Y76" s="180"/>
      <c r="Z76" s="180" t="s">
        <v>57</v>
      </c>
      <c r="AA76" s="176" t="s">
        <v>58</v>
      </c>
      <c r="AB76" s="176"/>
      <c r="AC76" s="176"/>
      <c r="AD76" s="176"/>
      <c r="AE76" s="177"/>
      <c r="AF76" s="177"/>
      <c r="AG76" s="178"/>
      <c r="AH76" s="177"/>
      <c r="AI76" s="177"/>
      <c r="AJ76" s="193"/>
      <c r="AK76" s="193"/>
      <c r="AL76" s="193"/>
      <c r="AM76" s="193"/>
    </row>
    <row r="77" spans="1:39" s="135" customFormat="1" ht="14.25" hidden="1" x14ac:dyDescent="0.2">
      <c r="A77" s="181">
        <v>354</v>
      </c>
      <c r="B77" s="204" t="str">
        <f>IF(AND(A77&lt;&gt;"",ISNUMBER(A77)),VLOOKUP(A77,Studies!A:BR,2,FALSE),"")</f>
        <v>Markert 2013</v>
      </c>
      <c r="C77" s="204" t="str">
        <f>IF(AND(A77&lt;&gt;"",ISNUMBER(A77)),VLOOKUP(A77,Studies!A:BR,3,FALSE),"")</f>
        <v>https://www.ncbi.nlm.nih.gov/pubmed/23748747</v>
      </c>
      <c r="D77" s="204" t="str">
        <f>IF(AND(A77&lt;&gt;"",ISNUMBER(A77)),VLOOKUP(A77,Studies!A:BR,4,FALSE),"")</f>
        <v>with Perpetrator (Clarithromycin)</v>
      </c>
      <c r="E77" s="139" t="str">
        <f>IF(AND(A77&lt;&gt;"",ISNUMBER(A77)),VLOOKUP(A77,Studies!A:BR,5,FALSE),"")</f>
        <v>Midazolam</v>
      </c>
      <c r="F77" s="186" t="s">
        <v>1110</v>
      </c>
      <c r="G77" s="205" t="str">
        <f>IF(AND(A77&lt;&gt;"",ISNUMBER(A77)),VLOOKUP(A77,Studies!A:BR,13,FALSE),"")</f>
        <v>PO</v>
      </c>
      <c r="H77" s="138" t="s">
        <v>58</v>
      </c>
      <c r="I77" s="205" t="str">
        <f>IF(AND(A77&lt;&gt;"",ISNUMBER(A77)),VLOOKUP(A77,Studies!A:BR,6,FALSE),"")</f>
        <v>Plasma</v>
      </c>
      <c r="J77" s="187">
        <f>1/0.18</f>
        <v>5.5555555555555554</v>
      </c>
      <c r="K77" s="187" t="s">
        <v>2879</v>
      </c>
      <c r="L77" s="201" t="str">
        <f>1/0.21&amp;"-"&amp;1/0.15</f>
        <v>4.76190476190476-6.66666666666667</v>
      </c>
      <c r="M77" s="201"/>
      <c r="N77" s="193"/>
      <c r="O77" s="193"/>
      <c r="P77" s="202"/>
      <c r="Q77" s="202"/>
      <c r="R77" s="182">
        <v>0</v>
      </c>
      <c r="S77" s="183" t="s">
        <v>935</v>
      </c>
      <c r="T77" s="184">
        <f>3*24+15/60</f>
        <v>72.25</v>
      </c>
      <c r="U77" s="185" t="s">
        <v>935</v>
      </c>
      <c r="V77" s="186" t="s">
        <v>59</v>
      </c>
      <c r="W77" s="181" t="s">
        <v>2878</v>
      </c>
      <c r="X77" s="176">
        <v>500</v>
      </c>
      <c r="Y77" s="180"/>
      <c r="Z77" s="180" t="s">
        <v>57</v>
      </c>
      <c r="AA77" s="176" t="s">
        <v>58</v>
      </c>
      <c r="AB77" s="136" t="s">
        <v>2876</v>
      </c>
      <c r="AC77" s="176" t="s">
        <v>59</v>
      </c>
      <c r="AD77" s="176" t="s">
        <v>91</v>
      </c>
      <c r="AE77" s="177"/>
      <c r="AF77" s="177" t="s">
        <v>2877</v>
      </c>
      <c r="AG77" s="178"/>
      <c r="AH77" s="177"/>
      <c r="AI77" s="177"/>
      <c r="AJ77" s="193"/>
      <c r="AK77" s="193"/>
      <c r="AL77" s="193"/>
      <c r="AM77" s="193"/>
    </row>
    <row r="78" spans="1:39" s="135" customFormat="1" ht="14.25" hidden="1" x14ac:dyDescent="0.2">
      <c r="A78" s="187">
        <v>342</v>
      </c>
      <c r="B78" s="204" t="str">
        <f>IF(AND(A78&lt;&gt;"",ISNUMBER(A78)),VLOOKUP(A78,Studies!A:BR,2,FALSE),"")</f>
        <v>Link 2008</v>
      </c>
      <c r="C78" s="204" t="str">
        <f>IF(AND(A78&lt;&gt;"",ISNUMBER(A78)),VLOOKUP(A78,Studies!A:BR,3,FALSE),"")</f>
        <v>https://www.ncbi.nlm.nih.gov/pubmed/18537963</v>
      </c>
      <c r="D78" s="204" t="str">
        <f>IF(AND(A78&lt;&gt;"",ISNUMBER(A78)),VLOOKUP(A78,Studies!A:BR,4,FALSE),"")</f>
        <v>iv with Perpetrator (Rifampicin)</v>
      </c>
      <c r="E78" s="139" t="str">
        <f>IF(AND(A78&lt;&gt;"",ISNUMBER(A78)),VLOOKUP(A78,Studies!A:BR,5,FALSE),"")</f>
        <v>Midazolam</v>
      </c>
      <c r="F78" s="186" t="s">
        <v>53</v>
      </c>
      <c r="G78" s="205" t="str">
        <f>IF(AND(A78&lt;&gt;"",ISNUMBER(A78)),VLOOKUP(A78,Studies!A:BR,13,FALSE),"")</f>
        <v>IV</v>
      </c>
      <c r="H78" s="138" t="str">
        <f t="shared" ref="H78:H85" si="3">AA78</f>
        <v>PO</v>
      </c>
      <c r="I78" s="205" t="str">
        <f>IF(AND(A78&lt;&gt;"",ISNUMBER(A78)),VLOOKUP(A78,Studies!A:BR,6,FALSE),"")</f>
        <v>Plasma</v>
      </c>
      <c r="J78" s="187">
        <v>0.65500794910000004</v>
      </c>
      <c r="K78" s="187" t="s">
        <v>1140</v>
      </c>
      <c r="L78" s="201"/>
      <c r="M78" s="201"/>
      <c r="N78" s="193">
        <v>1.1059602649</v>
      </c>
      <c r="O78" s="193" t="s">
        <v>1140</v>
      </c>
      <c r="P78" s="202"/>
      <c r="Q78" s="202"/>
      <c r="R78" s="182">
        <v>0</v>
      </c>
      <c r="S78" s="183" t="s">
        <v>935</v>
      </c>
      <c r="T78" s="184">
        <v>144</v>
      </c>
      <c r="U78" s="185" t="s">
        <v>935</v>
      </c>
      <c r="V78" s="186" t="s">
        <v>59</v>
      </c>
      <c r="W78" s="181"/>
      <c r="X78" s="176">
        <v>600</v>
      </c>
      <c r="Y78" s="180"/>
      <c r="Z78" s="180" t="s">
        <v>57</v>
      </c>
      <c r="AA78" s="176" t="s">
        <v>58</v>
      </c>
      <c r="AB78" s="176" t="s">
        <v>1136</v>
      </c>
      <c r="AC78" s="176" t="s">
        <v>59</v>
      </c>
      <c r="AD78" s="176" t="s">
        <v>91</v>
      </c>
      <c r="AE78" s="177" t="s">
        <v>1141</v>
      </c>
      <c r="AF78" s="177" t="s">
        <v>1142</v>
      </c>
      <c r="AG78" s="178"/>
      <c r="AH78" s="177"/>
      <c r="AI78" s="177" t="s">
        <v>1143</v>
      </c>
      <c r="AJ78" s="193"/>
      <c r="AK78" s="193"/>
      <c r="AL78" s="193"/>
      <c r="AM78" s="193"/>
    </row>
    <row r="79" spans="1:39" s="135" customFormat="1" ht="14.25" hidden="1" x14ac:dyDescent="0.2">
      <c r="A79" s="187">
        <v>344</v>
      </c>
      <c r="B79" s="204" t="str">
        <f>IF(AND(A79&lt;&gt;"",ISNUMBER(A79)),VLOOKUP(A79,Studies!A:BR,2,FALSE),"")</f>
        <v>Link 2008</v>
      </c>
      <c r="C79" s="204" t="str">
        <f>IF(AND(A79&lt;&gt;"",ISNUMBER(A79)),VLOOKUP(A79,Studies!A:BR,3,FALSE),"")</f>
        <v>https://www.ncbi.nlm.nih.gov/pubmed/18537963</v>
      </c>
      <c r="D79" s="204" t="str">
        <f>IF(AND(A79&lt;&gt;"",ISNUMBER(A79)),VLOOKUP(A79,Studies!A:BR,4,FALSE),"")</f>
        <v>po with Perpetrator (Rifampicin)</v>
      </c>
      <c r="E79" s="139" t="str">
        <f>IF(AND(A79&lt;&gt;"",ISNUMBER(A79)),VLOOKUP(A79,Studies!A:BR,5,FALSE),"")</f>
        <v>Midazolam</v>
      </c>
      <c r="F79" s="186" t="s">
        <v>53</v>
      </c>
      <c r="G79" s="205" t="str">
        <f>IF(AND(A79&lt;&gt;"",ISNUMBER(A79)),VLOOKUP(A79,Studies!A:BR,13,FALSE),"")</f>
        <v>PO</v>
      </c>
      <c r="H79" s="138" t="str">
        <f t="shared" si="3"/>
        <v>PO</v>
      </c>
      <c r="I79" s="205" t="str">
        <f>IF(AND(A79&lt;&gt;"",ISNUMBER(A79)),VLOOKUP(A79,Studies!A:BR,6,FALSE),"")</f>
        <v>Plasma</v>
      </c>
      <c r="J79" s="187">
        <v>1.554907677E-2</v>
      </c>
      <c r="K79" s="187" t="s">
        <v>1140</v>
      </c>
      <c r="L79" s="201"/>
      <c r="M79" s="201"/>
      <c r="N79" s="193">
        <v>3.4865292999999999E-2</v>
      </c>
      <c r="O79" s="193" t="s">
        <v>1140</v>
      </c>
      <c r="P79" s="202"/>
      <c r="Q79" s="202"/>
      <c r="R79" s="182">
        <v>0</v>
      </c>
      <c r="S79" s="183" t="s">
        <v>935</v>
      </c>
      <c r="T79" s="184">
        <v>144</v>
      </c>
      <c r="U79" s="185" t="s">
        <v>935</v>
      </c>
      <c r="V79" s="186" t="s">
        <v>59</v>
      </c>
      <c r="W79" s="181"/>
      <c r="X79" s="176">
        <v>600</v>
      </c>
      <c r="Y79" s="180"/>
      <c r="Z79" s="180" t="s">
        <v>57</v>
      </c>
      <c r="AA79" s="176" t="s">
        <v>58</v>
      </c>
      <c r="AB79" s="176" t="s">
        <v>1136</v>
      </c>
      <c r="AC79" s="176" t="s">
        <v>59</v>
      </c>
      <c r="AD79" s="176" t="s">
        <v>91</v>
      </c>
      <c r="AE79" s="177" t="s">
        <v>1141</v>
      </c>
      <c r="AF79" s="177" t="s">
        <v>1142</v>
      </c>
      <c r="AG79" s="178"/>
      <c r="AH79" s="177"/>
      <c r="AI79" s="177" t="s">
        <v>1143</v>
      </c>
      <c r="AJ79" s="193"/>
      <c r="AK79" s="193"/>
      <c r="AL79" s="193"/>
      <c r="AM79" s="193"/>
    </row>
    <row r="80" spans="1:39" s="135" customFormat="1" ht="14.25" hidden="1" x14ac:dyDescent="0.2">
      <c r="A80" s="187">
        <v>337</v>
      </c>
      <c r="B80" s="204" t="str">
        <f>IF(AND(A80&lt;&gt;"",ISNUMBER(A80)),VLOOKUP(A80,Studies!A:BR,2,FALSE),"")</f>
        <v>Larsen 2007</v>
      </c>
      <c r="C80" s="204" t="str">
        <f>IF(AND(A80&lt;&gt;"",ISNUMBER(A80)),VLOOKUP(A80,Studies!A:BR,3,FALSE),"")</f>
        <v>https://www.ncbi.nlm.nih.gov/pubmed/17365992</v>
      </c>
      <c r="D80" s="204" t="str">
        <f>IF(AND(A80&lt;&gt;"",ISNUMBER(A80)),VLOOKUP(A80,Studies!A:BR,4,FALSE),"")</f>
        <v>with Perpetrator (Rifampicin)</v>
      </c>
      <c r="E80" s="139" t="str">
        <f>IF(AND(A80&lt;&gt;"",ISNUMBER(A80)),VLOOKUP(A80,Studies!A:BR,5,FALSE),"")</f>
        <v>Digoxin</v>
      </c>
      <c r="F80" s="186" t="s">
        <v>53</v>
      </c>
      <c r="G80" s="205" t="str">
        <f>IF(AND(A80&lt;&gt;"",ISNUMBER(A80)),VLOOKUP(A80,Studies!A:BR,13,FALSE),"")</f>
        <v>PO</v>
      </c>
      <c r="H80" s="138">
        <f t="shared" si="3"/>
        <v>0</v>
      </c>
      <c r="I80" s="205" t="str">
        <f>IF(AND(A80&lt;&gt;"",ISNUMBER(A80)),VLOOKUP(A80,Studies!A:BR,6,FALSE),"")</f>
        <v>Serum</v>
      </c>
      <c r="J80" s="187">
        <v>0.81734693877551023</v>
      </c>
      <c r="K80" s="187" t="s">
        <v>1099</v>
      </c>
      <c r="L80" s="201"/>
      <c r="M80" s="201"/>
      <c r="N80" s="193"/>
      <c r="O80" s="193"/>
      <c r="P80" s="202"/>
      <c r="Q80" s="202"/>
      <c r="R80" s="182">
        <v>0</v>
      </c>
      <c r="S80" s="183" t="s">
        <v>935</v>
      </c>
      <c r="T80" s="184">
        <v>144</v>
      </c>
      <c r="U80" s="185" t="s">
        <v>935</v>
      </c>
      <c r="V80" s="186" t="s">
        <v>59</v>
      </c>
      <c r="W80" s="181"/>
      <c r="X80" s="136">
        <v>600</v>
      </c>
      <c r="Y80" s="137"/>
      <c r="Z80" s="137" t="s">
        <v>57</v>
      </c>
      <c r="AA80" s="136"/>
      <c r="AB80" s="136" t="s">
        <v>1136</v>
      </c>
      <c r="AC80" s="136" t="s">
        <v>59</v>
      </c>
      <c r="AD80" s="136" t="s">
        <v>91</v>
      </c>
      <c r="AE80" s="174"/>
      <c r="AF80" s="174"/>
      <c r="AG80" s="174"/>
      <c r="AH80" s="175"/>
      <c r="AI80" s="175"/>
      <c r="AJ80" s="193"/>
      <c r="AK80" s="193"/>
      <c r="AL80" s="193"/>
      <c r="AM80" s="193"/>
    </row>
    <row r="81" spans="1:39" s="135" customFormat="1" ht="14.25" hidden="1" x14ac:dyDescent="0.2">
      <c r="A81" s="187">
        <v>338</v>
      </c>
      <c r="B81" s="204" t="str">
        <f>IF(AND(A81&lt;&gt;"",ISNUMBER(A81)),VLOOKUP(A81,Studies!A:BR,2,FALSE),"")</f>
        <v>Larsen 2007</v>
      </c>
      <c r="C81" s="204" t="str">
        <f>IF(AND(A81&lt;&gt;"",ISNUMBER(A81)),VLOOKUP(A81,Studies!A:BR,3,FALSE),"")</f>
        <v>https://www.ncbi.nlm.nih.gov/pubmed/17365992</v>
      </c>
      <c r="D81" s="204" t="str">
        <f>IF(AND(A81&lt;&gt;"",ISNUMBER(A81)),VLOOKUP(A81,Studies!A:BR,4,FALSE),"")</f>
        <v>with Perpetrator (Ketoconazole)</v>
      </c>
      <c r="E81" s="139" t="str">
        <f>IF(AND(A81&lt;&gt;"",ISNUMBER(A81)),VLOOKUP(A81,Studies!A:BR,5,FALSE),"")</f>
        <v>Digoxin</v>
      </c>
      <c r="F81" s="186" t="s">
        <v>833</v>
      </c>
      <c r="G81" s="205" t="str">
        <f>IF(AND(A81&lt;&gt;"",ISNUMBER(A81)),VLOOKUP(A81,Studies!A:BR,13,FALSE),"")</f>
        <v>PO</v>
      </c>
      <c r="H81" s="138">
        <f t="shared" si="3"/>
        <v>0</v>
      </c>
      <c r="I81" s="205" t="str">
        <f>IF(AND(A81&lt;&gt;"",ISNUMBER(A81)),VLOOKUP(A81,Studies!A:BR,6,FALSE),"")</f>
        <v>Serum</v>
      </c>
      <c r="J81" s="187">
        <v>1.0918367346938775</v>
      </c>
      <c r="K81" s="187" t="s">
        <v>1099</v>
      </c>
      <c r="L81" s="201"/>
      <c r="M81" s="201"/>
      <c r="N81" s="193"/>
      <c r="O81" s="193"/>
      <c r="P81" s="202"/>
      <c r="Q81" s="202"/>
      <c r="R81" s="182">
        <v>0</v>
      </c>
      <c r="S81" s="183" t="s">
        <v>935</v>
      </c>
      <c r="T81" s="184">
        <v>96</v>
      </c>
      <c r="U81" s="185" t="s">
        <v>935</v>
      </c>
      <c r="V81" s="186" t="s">
        <v>59</v>
      </c>
      <c r="W81" s="181"/>
      <c r="X81" s="136">
        <v>200</v>
      </c>
      <c r="Y81" s="137"/>
      <c r="Z81" s="137" t="s">
        <v>57</v>
      </c>
      <c r="AA81" s="136"/>
      <c r="AB81" s="136" t="s">
        <v>830</v>
      </c>
      <c r="AC81" s="136" t="s">
        <v>59</v>
      </c>
      <c r="AD81" s="136" t="s">
        <v>91</v>
      </c>
      <c r="AE81" s="174"/>
      <c r="AF81" s="174"/>
      <c r="AG81" s="174"/>
      <c r="AH81" s="175"/>
      <c r="AI81" s="175"/>
      <c r="AJ81" s="193"/>
      <c r="AK81" s="193"/>
      <c r="AL81" s="193"/>
      <c r="AM81" s="193"/>
    </row>
    <row r="82" spans="1:39" s="135" customFormat="1" ht="14.25" hidden="1" x14ac:dyDescent="0.2">
      <c r="A82" s="181">
        <v>331</v>
      </c>
      <c r="B82" s="204" t="str">
        <f>IF(AND(A82&lt;&gt;"",ISNUMBER(A82)),VLOOKUP(A82,Studies!A:BR,2,FALSE),"")</f>
        <v>Lamberg 1998c</v>
      </c>
      <c r="C82" s="204" t="str">
        <f>IF(AND(A82&lt;&gt;"",ISNUMBER(A82)),VLOOKUP(A82,Studies!A:BR,3,FALSE),"")</f>
        <v>https://www.ncbi.nlm.nih.gov/pubmed/9663178</v>
      </c>
      <c r="D82" s="204" t="str">
        <f>IF(AND(A82&lt;&gt;"",ISNUMBER(A82)),VLOOKUP(A82,Studies!A:BR,4,FALSE),"")</f>
        <v>with Perpetrator (Verapamil)</v>
      </c>
      <c r="E82" s="139" t="str">
        <f>IF(AND(A82&lt;&gt;"",ISNUMBER(A82)),VLOOKUP(A82,Studies!A:BR,5,FALSE),"")</f>
        <v>Buspirone</v>
      </c>
      <c r="F82" s="186" t="s">
        <v>382</v>
      </c>
      <c r="G82" s="205" t="str">
        <f>IF(AND(A82&lt;&gt;"",ISNUMBER(A82)),VLOOKUP(A82,Studies!A:BR,13,FALSE),"")</f>
        <v>PO</v>
      </c>
      <c r="H82" s="138" t="str">
        <f t="shared" si="3"/>
        <v>PO</v>
      </c>
      <c r="I82" s="205" t="str">
        <f>IF(AND(A82&lt;&gt;"",ISNUMBER(A82)),VLOOKUP(A82,Studies!A:BR,6,FALSE),"")</f>
        <v>Plasma</v>
      </c>
      <c r="J82" s="187">
        <v>3.4</v>
      </c>
      <c r="K82" s="187"/>
      <c r="L82" s="201"/>
      <c r="M82" s="201"/>
      <c r="N82" s="166">
        <v>3.4</v>
      </c>
      <c r="O82" s="166"/>
      <c r="P82" s="178"/>
      <c r="Q82" s="178"/>
      <c r="R82" s="182">
        <v>0</v>
      </c>
      <c r="S82" s="183" t="s">
        <v>935</v>
      </c>
      <c r="T82" s="184">
        <v>30</v>
      </c>
      <c r="U82" s="185" t="s">
        <v>935</v>
      </c>
      <c r="V82" s="186" t="s">
        <v>59</v>
      </c>
      <c r="W82" s="181"/>
      <c r="X82" s="176">
        <v>80</v>
      </c>
      <c r="Y82" s="137"/>
      <c r="Z82" s="137" t="s">
        <v>57</v>
      </c>
      <c r="AA82" s="176" t="s">
        <v>58</v>
      </c>
      <c r="AB82" s="176" t="s">
        <v>383</v>
      </c>
      <c r="AC82" s="136" t="s">
        <v>59</v>
      </c>
      <c r="AD82" s="176" t="s">
        <v>78</v>
      </c>
      <c r="AE82" s="174"/>
      <c r="AF82" s="177" t="s">
        <v>384</v>
      </c>
      <c r="AG82" s="178"/>
      <c r="AH82" s="178">
        <v>150</v>
      </c>
      <c r="AI82" s="178"/>
      <c r="AJ82" s="165" t="s">
        <v>61</v>
      </c>
      <c r="AK82" s="166">
        <v>2</v>
      </c>
      <c r="AL82" s="166">
        <v>3</v>
      </c>
      <c r="AM82" s="165" t="s">
        <v>352</v>
      </c>
    </row>
    <row r="83" spans="1:39" s="135" customFormat="1" ht="14.25" hidden="1" x14ac:dyDescent="0.2">
      <c r="A83" s="181">
        <v>333</v>
      </c>
      <c r="B83" s="204" t="str">
        <f>IF(AND(A83&lt;&gt;"",ISNUMBER(A83)),VLOOKUP(A83,Studies!A:BR,2,FALSE),"")</f>
        <v>Lamberg 1998c</v>
      </c>
      <c r="C83" s="204" t="str">
        <f>IF(AND(A83&lt;&gt;"",ISNUMBER(A83)),VLOOKUP(A83,Studies!A:BR,3,FALSE),"")</f>
        <v>https://www.ncbi.nlm.nih.gov/pubmed/9663178</v>
      </c>
      <c r="D83" s="204" t="str">
        <f>IF(AND(A83&lt;&gt;"",ISNUMBER(A83)),VLOOKUP(A83,Studies!A:BR,4,FALSE),"")</f>
        <v>with Perpetrator (Diltiazem)</v>
      </c>
      <c r="E83" s="139" t="str">
        <f>IF(AND(A83&lt;&gt;"",ISNUMBER(A83)),VLOOKUP(A83,Studies!A:BR,5,FALSE),"")</f>
        <v>Buspirone</v>
      </c>
      <c r="F83" s="186" t="s">
        <v>386</v>
      </c>
      <c r="G83" s="205" t="str">
        <f>IF(AND(A83&lt;&gt;"",ISNUMBER(A83)),VLOOKUP(A83,Studies!A:BR,13,FALSE),"")</f>
        <v>PO</v>
      </c>
      <c r="H83" s="138" t="str">
        <f t="shared" si="3"/>
        <v>PO</v>
      </c>
      <c r="I83" s="205" t="str">
        <f>IF(AND(A83&lt;&gt;"",ISNUMBER(A83)),VLOOKUP(A83,Studies!A:BR,6,FALSE),"")</f>
        <v>Plasma</v>
      </c>
      <c r="J83" s="187">
        <v>5.5</v>
      </c>
      <c r="K83" s="187"/>
      <c r="L83" s="201"/>
      <c r="M83" s="201"/>
      <c r="N83" s="166">
        <v>4.0999999999999996</v>
      </c>
      <c r="O83" s="166"/>
      <c r="P83" s="178"/>
      <c r="Q83" s="178"/>
      <c r="R83" s="182">
        <v>0</v>
      </c>
      <c r="S83" s="183" t="s">
        <v>935</v>
      </c>
      <c r="T83" s="184">
        <v>30</v>
      </c>
      <c r="U83" s="185" t="s">
        <v>935</v>
      </c>
      <c r="V83" s="186" t="s">
        <v>59</v>
      </c>
      <c r="W83" s="181"/>
      <c r="X83" s="176">
        <v>60</v>
      </c>
      <c r="Y83" s="137"/>
      <c r="Z83" s="137" t="s">
        <v>57</v>
      </c>
      <c r="AA83" s="176" t="s">
        <v>58</v>
      </c>
      <c r="AB83" s="176" t="s">
        <v>383</v>
      </c>
      <c r="AC83" s="136" t="s">
        <v>59</v>
      </c>
      <c r="AD83" s="176" t="s">
        <v>78</v>
      </c>
      <c r="AE83" s="174"/>
      <c r="AF83" s="177" t="s">
        <v>387</v>
      </c>
      <c r="AG83" s="178"/>
      <c r="AH83" s="178">
        <v>150</v>
      </c>
      <c r="AI83" s="178"/>
      <c r="AJ83" s="165" t="s">
        <v>61</v>
      </c>
      <c r="AK83" s="166">
        <v>2</v>
      </c>
      <c r="AL83" s="166">
        <v>3</v>
      </c>
      <c r="AM83" s="165" t="s">
        <v>352</v>
      </c>
    </row>
    <row r="84" spans="1:39" s="135" customFormat="1" ht="14.25" hidden="1" x14ac:dyDescent="0.2">
      <c r="A84" s="181">
        <v>329</v>
      </c>
      <c r="B84" s="204" t="str">
        <f>IF(AND(A84&lt;&gt;"",ISNUMBER(A84)),VLOOKUP(A84,Studies!A:BR,2,FALSE),"")</f>
        <v>Lamberg 1998b</v>
      </c>
      <c r="C84" s="204" t="str">
        <f>IF(AND(A84&lt;&gt;"",ISNUMBER(A84)),VLOOKUP(A84,Studies!A:BR,3,FALSE),"")</f>
        <v>https://www.ncbi.nlm.nih.gov/pubmed/9578186</v>
      </c>
      <c r="D84" s="204" t="str">
        <f>IF(AND(A84&lt;&gt;"",ISNUMBER(A84)),VLOOKUP(A84,Studies!A:BR,4,FALSE),"")</f>
        <v>with Perpetrator (Rifampicin)</v>
      </c>
      <c r="E84" s="139" t="str">
        <f>IF(AND(A84&lt;&gt;"",ISNUMBER(A84)),VLOOKUP(A84,Studies!A:BR,5,FALSE),"")</f>
        <v>Buspirone</v>
      </c>
      <c r="F84" s="186" t="s">
        <v>53</v>
      </c>
      <c r="G84" s="205" t="str">
        <f>IF(AND(A84&lt;&gt;"",ISNUMBER(A84)),VLOOKUP(A84,Studies!A:BR,13,FALSE),"")</f>
        <v>PO</v>
      </c>
      <c r="H84" s="138" t="str">
        <f t="shared" si="3"/>
        <v>PO</v>
      </c>
      <c r="I84" s="205" t="str">
        <f>IF(AND(A84&lt;&gt;"",ISNUMBER(A84)),VLOOKUP(A84,Studies!A:BR,6,FALSE),"")</f>
        <v>Plasma</v>
      </c>
      <c r="J84" s="187">
        <v>0.104</v>
      </c>
      <c r="K84" s="187"/>
      <c r="L84" s="201" t="s">
        <v>1095</v>
      </c>
      <c r="M84" s="201" t="s">
        <v>1096</v>
      </c>
      <c r="N84" s="166">
        <v>0.16300000000000001</v>
      </c>
      <c r="O84" s="166"/>
      <c r="P84" s="178" t="s">
        <v>1097</v>
      </c>
      <c r="Q84" s="178" t="s">
        <v>1096</v>
      </c>
      <c r="R84" s="182">
        <v>0</v>
      </c>
      <c r="S84" s="183" t="s">
        <v>935</v>
      </c>
      <c r="T84" s="184">
        <v>113</v>
      </c>
      <c r="U84" s="185" t="s">
        <v>935</v>
      </c>
      <c r="V84" s="186" t="s">
        <v>59</v>
      </c>
      <c r="W84" s="181"/>
      <c r="X84" s="176">
        <v>30</v>
      </c>
      <c r="Y84" s="137"/>
      <c r="Z84" s="137" t="s">
        <v>57</v>
      </c>
      <c r="AA84" s="176" t="s">
        <v>58</v>
      </c>
      <c r="AB84" s="176" t="s">
        <v>182</v>
      </c>
      <c r="AC84" s="136" t="s">
        <v>59</v>
      </c>
      <c r="AD84" s="176" t="s">
        <v>78</v>
      </c>
      <c r="AE84" s="174"/>
      <c r="AF84" s="177" t="s">
        <v>1098</v>
      </c>
      <c r="AG84" s="178"/>
      <c r="AH84" s="178">
        <v>150</v>
      </c>
      <c r="AI84" s="178"/>
      <c r="AJ84" s="165" t="s">
        <v>61</v>
      </c>
      <c r="AK84" s="166">
        <v>2</v>
      </c>
      <c r="AL84" s="166">
        <v>3</v>
      </c>
      <c r="AM84" s="165" t="s">
        <v>352</v>
      </c>
    </row>
    <row r="85" spans="1:39" s="135" customFormat="1" ht="14.25" hidden="1" x14ac:dyDescent="0.2">
      <c r="A85" s="181">
        <v>327</v>
      </c>
      <c r="B85" s="204" t="str">
        <f>IF(AND(A85&lt;&gt;"",ISNUMBER(A85)),VLOOKUP(A85,Studies!A:BR,2,FALSE),"")</f>
        <v>Lamberg 1998a</v>
      </c>
      <c r="C85" s="204" t="str">
        <f>IF(AND(A85&lt;&gt;"",ISNUMBER(A85)),VLOOKUP(A85,Studies!A:BR,3,FALSE),"")</f>
        <v>https://www.ncbi.nlm.nih.gov/pubmed/9923581</v>
      </c>
      <c r="D85" s="204" t="str">
        <f>IF(AND(A85&lt;&gt;"",ISNUMBER(A85)),VLOOKUP(A85,Studies!A:BR,4,FALSE),"")</f>
        <v>with Perpetrator (Fluvoxamine)</v>
      </c>
      <c r="E85" s="139" t="str">
        <f>IF(AND(A85&lt;&gt;"",ISNUMBER(A85)),VLOOKUP(A85,Studies!A:BR,5,FALSE),"")</f>
        <v>Buspirone</v>
      </c>
      <c r="F85" s="186" t="s">
        <v>1091</v>
      </c>
      <c r="G85" s="205" t="str">
        <f>IF(AND(A85&lt;&gt;"",ISNUMBER(A85)),VLOOKUP(A85,Studies!A:BR,13,FALSE),"")</f>
        <v>PO</v>
      </c>
      <c r="H85" s="138" t="str">
        <f t="shared" si="3"/>
        <v>PO</v>
      </c>
      <c r="I85" s="205" t="str">
        <f>IF(AND(A85&lt;&gt;"",ISNUMBER(A85)),VLOOKUP(A85,Studies!A:BR,6,FALSE),"")</f>
        <v>Plasma</v>
      </c>
      <c r="J85" s="187">
        <v>2.35</v>
      </c>
      <c r="K85" s="187"/>
      <c r="L85" s="201" t="s">
        <v>1092</v>
      </c>
      <c r="M85" s="201" t="s">
        <v>971</v>
      </c>
      <c r="N85" s="166">
        <v>2.0099999999999998</v>
      </c>
      <c r="O85" s="166"/>
      <c r="P85" s="178" t="s">
        <v>1093</v>
      </c>
      <c r="Q85" s="178" t="s">
        <v>971</v>
      </c>
      <c r="R85" s="182">
        <v>0</v>
      </c>
      <c r="S85" s="183" t="s">
        <v>935</v>
      </c>
      <c r="T85" s="184">
        <v>114</v>
      </c>
      <c r="U85" s="185" t="s">
        <v>935</v>
      </c>
      <c r="V85" s="186" t="s">
        <v>59</v>
      </c>
      <c r="W85" s="181"/>
      <c r="X85" s="176">
        <v>100</v>
      </c>
      <c r="Y85" s="137"/>
      <c r="Z85" s="137" t="s">
        <v>57</v>
      </c>
      <c r="AA85" s="176" t="s">
        <v>58</v>
      </c>
      <c r="AB85" s="176" t="s">
        <v>182</v>
      </c>
      <c r="AC85" s="136" t="s">
        <v>59</v>
      </c>
      <c r="AD85" s="176" t="s">
        <v>78</v>
      </c>
      <c r="AE85" s="174"/>
      <c r="AF85" s="177" t="s">
        <v>1094</v>
      </c>
      <c r="AG85" s="178"/>
      <c r="AH85" s="178">
        <v>150</v>
      </c>
      <c r="AI85" s="178"/>
      <c r="AJ85" s="19" t="s">
        <v>61</v>
      </c>
      <c r="AK85" s="166">
        <v>2</v>
      </c>
      <c r="AL85" s="166">
        <v>3</v>
      </c>
      <c r="AM85" s="165" t="s">
        <v>352</v>
      </c>
    </row>
    <row r="86" spans="1:39" s="135" customFormat="1" ht="14.25" hidden="1" x14ac:dyDescent="0.2">
      <c r="A86" s="181">
        <v>1087</v>
      </c>
      <c r="B86" s="204" t="str">
        <f>IF(AND(A86&lt;&gt;"",ISNUMBER(A86)),VLOOKUP(A86,Studies!A:BR,2,FALSE),"")</f>
        <v>Lam 2003</v>
      </c>
      <c r="C86" s="204" t="str">
        <f>IF(AND(A86&lt;&gt;"",ISNUMBER(A86)),VLOOKUP(A86,Studies!A:BR,3,FALSE),"")</f>
        <v>https://www.ncbi.nlm.nih.gov/pubmed/14551182</v>
      </c>
      <c r="D86" s="204" t="str">
        <f>IF(AND(A86&lt;&gt;"",ISNUMBER(A86)),VLOOKUP(A86,Studies!A:BR,4,FALSE),"")</f>
        <v>Midazolam after Ketoconazole</v>
      </c>
      <c r="E86" s="139" t="str">
        <f>IF(AND(A86&lt;&gt;"",ISNUMBER(A86)),VLOOKUP(A86,Studies!A:BR,5,FALSE),"")</f>
        <v>Midazolam</v>
      </c>
      <c r="F86" s="186" t="s">
        <v>833</v>
      </c>
      <c r="G86" s="205" t="str">
        <f>IF(AND(A86&lt;&gt;"",ISNUMBER(A86)),VLOOKUP(A86,Studies!A:BR,13,FALSE),"")</f>
        <v>PO</v>
      </c>
      <c r="H86" s="138" t="s">
        <v>58</v>
      </c>
      <c r="I86" s="205" t="str">
        <f>IF(AND(A86&lt;&gt;"",ISNUMBER(A86)),VLOOKUP(A86,Studies!A:BR,6,FALSE),"")</f>
        <v>Plasma</v>
      </c>
      <c r="J86" s="187">
        <f>772/100+1</f>
        <v>8.7199999999999989</v>
      </c>
      <c r="K86" s="187" t="s">
        <v>2626</v>
      </c>
      <c r="L86" s="201">
        <f>596/100</f>
        <v>5.96</v>
      </c>
      <c r="M86" s="201" t="s">
        <v>78</v>
      </c>
      <c r="N86" s="193">
        <f>268/100+1</f>
        <v>3.68</v>
      </c>
      <c r="O86" s="193" t="s">
        <v>2626</v>
      </c>
      <c r="P86" s="202">
        <f>222/100</f>
        <v>2.2200000000000002</v>
      </c>
      <c r="Q86" s="202" t="s">
        <v>78</v>
      </c>
      <c r="R86" s="182">
        <v>0</v>
      </c>
      <c r="S86" s="183" t="s">
        <v>935</v>
      </c>
      <c r="T86" s="184">
        <v>265</v>
      </c>
      <c r="U86" s="185" t="s">
        <v>935</v>
      </c>
      <c r="V86" s="186" t="s">
        <v>59</v>
      </c>
      <c r="W86" s="181"/>
      <c r="X86" s="176">
        <v>200</v>
      </c>
      <c r="Y86" s="180"/>
      <c r="Z86" s="180" t="s">
        <v>57</v>
      </c>
      <c r="AA86" s="176"/>
      <c r="AB86" s="176" t="s">
        <v>2627</v>
      </c>
      <c r="AC86" s="176" t="s">
        <v>59</v>
      </c>
      <c r="AD86" s="176" t="s">
        <v>2628</v>
      </c>
      <c r="AE86" s="177" t="s">
        <v>834</v>
      </c>
      <c r="AF86" s="177"/>
      <c r="AG86" s="178"/>
      <c r="AH86" s="177"/>
      <c r="AI86" s="177"/>
      <c r="AJ86" s="193"/>
      <c r="AK86" s="193"/>
      <c r="AL86" s="193"/>
      <c r="AM86" s="193"/>
    </row>
    <row r="87" spans="1:39" s="135" customFormat="1" ht="14.25" hidden="1" x14ac:dyDescent="0.2">
      <c r="A87" s="181">
        <v>1089</v>
      </c>
      <c r="B87" s="204" t="str">
        <f>IF(AND(A87&lt;&gt;"",ISNUMBER(A87)),VLOOKUP(A87,Studies!A:BR,2,FALSE),"")</f>
        <v>Lam 2003</v>
      </c>
      <c r="C87" s="204" t="str">
        <f>IF(AND(A87&lt;&gt;"",ISNUMBER(A87)),VLOOKUP(A87,Studies!A:BR,3,FALSE),"")</f>
        <v>https://www.ncbi.nlm.nih.gov/pubmed/14551182</v>
      </c>
      <c r="D87" s="204" t="str">
        <f>IF(AND(A87&lt;&gt;"",ISNUMBER(A87)),VLOOKUP(A87,Studies!A:BR,4,FALSE),"")</f>
        <v>Midazolam after Fluvoxamine</v>
      </c>
      <c r="E87" s="139" t="str">
        <f>IF(AND(A87&lt;&gt;"",ISNUMBER(A87)),VLOOKUP(A87,Studies!A:BR,5,FALSE),"")</f>
        <v>Midazolam</v>
      </c>
      <c r="F87" s="186" t="s">
        <v>1091</v>
      </c>
      <c r="G87" s="205" t="str">
        <f>IF(AND(A87&lt;&gt;"",ISNUMBER(A87)),VLOOKUP(A87,Studies!A:BR,13,FALSE),"")</f>
        <v>PO</v>
      </c>
      <c r="H87" s="138" t="s">
        <v>58</v>
      </c>
      <c r="I87" s="205" t="str">
        <f>IF(AND(A87&lt;&gt;"",ISNUMBER(A87)),VLOOKUP(A87,Studies!A:BR,6,FALSE),"")</f>
        <v>Plasma</v>
      </c>
      <c r="J87" s="187">
        <f>66/100+1</f>
        <v>1.6600000000000001</v>
      </c>
      <c r="K87" s="187" t="s">
        <v>2626</v>
      </c>
      <c r="L87" s="201">
        <f>80/100</f>
        <v>0.8</v>
      </c>
      <c r="M87" s="201" t="s">
        <v>78</v>
      </c>
      <c r="N87" s="193">
        <f>63/100+1</f>
        <v>1.63</v>
      </c>
      <c r="O87" s="193" t="s">
        <v>2626</v>
      </c>
      <c r="P87" s="202">
        <f>107/100</f>
        <v>1.07</v>
      </c>
      <c r="Q87" s="202" t="s">
        <v>78</v>
      </c>
      <c r="R87" s="182">
        <v>0</v>
      </c>
      <c r="S87" s="183" t="s">
        <v>935</v>
      </c>
      <c r="T87" s="184">
        <v>265</v>
      </c>
      <c r="U87" s="185" t="s">
        <v>935</v>
      </c>
      <c r="V87" s="186" t="s">
        <v>59</v>
      </c>
      <c r="W87" s="181"/>
      <c r="X87" s="176" t="s">
        <v>2617</v>
      </c>
      <c r="Y87" s="180"/>
      <c r="Z87" s="180" t="s">
        <v>57</v>
      </c>
      <c r="AA87" s="176"/>
      <c r="AB87" s="176" t="s">
        <v>2629</v>
      </c>
      <c r="AC87" s="176" t="s">
        <v>59</v>
      </c>
      <c r="AD87" s="176" t="s">
        <v>2984</v>
      </c>
      <c r="AE87" s="177" t="s">
        <v>2630</v>
      </c>
      <c r="AF87" s="177"/>
      <c r="AG87" s="178"/>
      <c r="AH87" s="177"/>
      <c r="AI87" s="177"/>
      <c r="AJ87" s="193"/>
      <c r="AK87" s="193"/>
      <c r="AL87" s="193"/>
      <c r="AM87" s="193"/>
    </row>
    <row r="88" spans="1:39" s="135" customFormat="1" ht="14.25" hidden="1" x14ac:dyDescent="0.2">
      <c r="A88" s="181">
        <v>575</v>
      </c>
      <c r="B88" s="204" t="str">
        <f>IF(AND(A88&lt;&gt;"",ISNUMBER(A88)),VLOOKUP(A88,Studies!A:BR,2,FALSE),"")</f>
        <v>Krishna 2016</v>
      </c>
      <c r="C88" s="204" t="str">
        <f>IF(AND(A88&lt;&gt;"",ISNUMBER(A88)),VLOOKUP(A88,Studies!A:BR,3,FALSE),"")</f>
        <v>https://www.ncbi.nlm.nih.gov/pubmed/27696440</v>
      </c>
      <c r="D88" s="204" t="str">
        <f>IF(AND(A88&lt;&gt;"",ISNUMBER(A88)),VLOOKUP(A88,Studies!A:BR,4,FALSE),"")</f>
        <v>Period 2, Day 7 (1200 mg raltegravir SD with OD doses of 400 mg ATV)</v>
      </c>
      <c r="E88" s="139" t="str">
        <f>IF(AND(A88&lt;&gt;"",ISNUMBER(A88)),VLOOKUP(A88,Studies!A:BR,5,FALSE),"")</f>
        <v>Raltegravir</v>
      </c>
      <c r="F88" s="186" t="s">
        <v>1405</v>
      </c>
      <c r="G88" s="205" t="str">
        <f>IF(AND(A88&lt;&gt;"",ISNUMBER(A88)),VLOOKUP(A88,Studies!A:BR,13,FALSE),"")</f>
        <v>PO</v>
      </c>
      <c r="H88" s="138" t="s">
        <v>58</v>
      </c>
      <c r="I88" s="205" t="str">
        <f>IF(AND(A88&lt;&gt;"",ISNUMBER(A88)),VLOOKUP(A88,Studies!A:BR,6,FALSE),"")</f>
        <v>Plasma</v>
      </c>
      <c r="J88" s="187">
        <v>1.67</v>
      </c>
      <c r="K88" s="187" t="s">
        <v>1000</v>
      </c>
      <c r="L88" s="201" t="s">
        <v>1498</v>
      </c>
      <c r="M88" s="201" t="s">
        <v>1156</v>
      </c>
      <c r="N88" s="193">
        <v>1.1599999999999999</v>
      </c>
      <c r="O88" s="193" t="s">
        <v>1000</v>
      </c>
      <c r="P88" s="202" t="s">
        <v>1499</v>
      </c>
      <c r="Q88" s="202" t="s">
        <v>1156</v>
      </c>
      <c r="R88" s="182">
        <v>0</v>
      </c>
      <c r="S88" s="183" t="s">
        <v>935</v>
      </c>
      <c r="T88" s="184">
        <v>144</v>
      </c>
      <c r="U88" s="185" t="s">
        <v>935</v>
      </c>
      <c r="V88" s="186" t="s">
        <v>59</v>
      </c>
      <c r="W88" s="181"/>
      <c r="X88" s="176">
        <v>400</v>
      </c>
      <c r="Y88" s="137"/>
      <c r="Z88" s="137" t="s">
        <v>57</v>
      </c>
      <c r="AA88" s="176" t="s">
        <v>58</v>
      </c>
      <c r="AB88" s="176" t="s">
        <v>1496</v>
      </c>
      <c r="AC88" s="136" t="s">
        <v>59</v>
      </c>
      <c r="AD88" s="176" t="s">
        <v>1497</v>
      </c>
      <c r="AE88" s="174"/>
      <c r="AF88" s="177"/>
      <c r="AG88" s="178"/>
      <c r="AH88" s="178"/>
      <c r="AI88" s="178"/>
      <c r="AJ88" s="193" t="s">
        <v>435</v>
      </c>
      <c r="AK88" s="193"/>
      <c r="AL88" s="193"/>
      <c r="AM88" s="193" t="s">
        <v>1500</v>
      </c>
    </row>
    <row r="89" spans="1:39" s="135" customFormat="1" ht="14.25" hidden="1" x14ac:dyDescent="0.2">
      <c r="A89" s="181">
        <v>318</v>
      </c>
      <c r="B89" s="204" t="str">
        <f>IF(AND(A89&lt;&gt;"",ISNUMBER(A89)),VLOOKUP(A89,Studies!A:BR,2,FALSE),"")</f>
        <v>Kivistö 1997</v>
      </c>
      <c r="C89" s="204" t="str">
        <f>IF(AND(A89&lt;&gt;"",ISNUMBER(A89)),VLOOKUP(A89,Studies!A:BR,3,FALSE),"")</f>
        <v>https://www.ncbi.nlm.nih.gov/pubmed/9333111</v>
      </c>
      <c r="D89" s="204" t="str">
        <f>IF(AND(A89&lt;&gt;"",ISNUMBER(A89)),VLOOKUP(A89,Studies!A:BR,4,FALSE),"")</f>
        <v>with Perpetrator (Erythromycin)</v>
      </c>
      <c r="E89" s="139" t="str">
        <f>IF(AND(A89&lt;&gt;"",ISNUMBER(A89)),VLOOKUP(A89,Studies!A:BR,5,FALSE),"")</f>
        <v>Buspirone</v>
      </c>
      <c r="F89" s="186" t="s">
        <v>355</v>
      </c>
      <c r="G89" s="205" t="str">
        <f>IF(AND(A89&lt;&gt;"",ISNUMBER(A89)),VLOOKUP(A89,Studies!A:BR,13,FALSE),"")</f>
        <v>PO</v>
      </c>
      <c r="H89" s="138" t="str">
        <f>AA89</f>
        <v>PO</v>
      </c>
      <c r="I89" s="205" t="str">
        <f>IF(AND(A89&lt;&gt;"",ISNUMBER(A89)),VLOOKUP(A89,Studies!A:BR,6,FALSE),"")</f>
        <v>Plasma</v>
      </c>
      <c r="J89" s="187">
        <v>5.9</v>
      </c>
      <c r="K89" s="187"/>
      <c r="L89" s="201"/>
      <c r="M89" s="201"/>
      <c r="N89" s="166">
        <v>5</v>
      </c>
      <c r="O89" s="166"/>
      <c r="P89" s="178"/>
      <c r="Q89" s="178"/>
      <c r="R89" s="182">
        <v>0</v>
      </c>
      <c r="S89" s="183" t="s">
        <v>935</v>
      </c>
      <c r="T89" s="184">
        <v>79</v>
      </c>
      <c r="U89" s="185" t="s">
        <v>935</v>
      </c>
      <c r="V89" s="186" t="s">
        <v>59</v>
      </c>
      <c r="W89" s="181"/>
      <c r="X89" s="176">
        <v>500</v>
      </c>
      <c r="Y89" s="137"/>
      <c r="Z89" s="137" t="s">
        <v>57</v>
      </c>
      <c r="AA89" s="176" t="s">
        <v>58</v>
      </c>
      <c r="AB89" s="176" t="s">
        <v>356</v>
      </c>
      <c r="AC89" s="136" t="s">
        <v>59</v>
      </c>
      <c r="AD89" s="176" t="s">
        <v>91</v>
      </c>
      <c r="AE89" s="174" t="s">
        <v>357</v>
      </c>
      <c r="AF89" s="177" t="s">
        <v>358</v>
      </c>
      <c r="AG89" s="178"/>
      <c r="AH89" s="178">
        <v>150</v>
      </c>
      <c r="AI89" s="178"/>
      <c r="AJ89" s="19" t="s">
        <v>61</v>
      </c>
      <c r="AK89" s="166">
        <v>2</v>
      </c>
      <c r="AL89" s="166">
        <v>3</v>
      </c>
      <c r="AM89" s="165" t="s">
        <v>352</v>
      </c>
    </row>
    <row r="90" spans="1:39" s="135" customFormat="1" ht="14.25" hidden="1" x14ac:dyDescent="0.2">
      <c r="A90" s="181">
        <v>320</v>
      </c>
      <c r="B90" s="204" t="str">
        <f>IF(AND(A90&lt;&gt;"",ISNUMBER(A90)),VLOOKUP(A90,Studies!A:BR,2,FALSE),"")</f>
        <v>Kivistö 1997</v>
      </c>
      <c r="C90" s="204" t="str">
        <f>IF(AND(A90&lt;&gt;"",ISNUMBER(A90)),VLOOKUP(A90,Studies!A:BR,3,FALSE),"")</f>
        <v>https://www.ncbi.nlm.nih.gov/pubmed/9333111</v>
      </c>
      <c r="D90" s="204" t="str">
        <f>IF(AND(A90&lt;&gt;"",ISNUMBER(A90)),VLOOKUP(A90,Studies!A:BR,4,FALSE),"")</f>
        <v>with Perpetrator (Itraconazole)</v>
      </c>
      <c r="E90" s="139" t="str">
        <f>IF(AND(A90&lt;&gt;"",ISNUMBER(A90)),VLOOKUP(A90,Studies!A:BR,5,FALSE),"")</f>
        <v>Buspirone</v>
      </c>
      <c r="F90" s="186" t="s">
        <v>148</v>
      </c>
      <c r="G90" s="205" t="str">
        <f>IF(AND(A90&lt;&gt;"",ISNUMBER(A90)),VLOOKUP(A90,Studies!A:BR,13,FALSE),"")</f>
        <v>PO</v>
      </c>
      <c r="H90" s="138" t="str">
        <f>AA90</f>
        <v>PO</v>
      </c>
      <c r="I90" s="205" t="str">
        <f>IF(AND(A90&lt;&gt;"",ISNUMBER(A90)),VLOOKUP(A90,Studies!A:BR,6,FALSE),"")</f>
        <v>Plasma</v>
      </c>
      <c r="J90" s="37">
        <v>19.2</v>
      </c>
      <c r="K90" s="37"/>
      <c r="L90" s="201"/>
      <c r="M90" s="201"/>
      <c r="N90" s="64">
        <v>13.4</v>
      </c>
      <c r="O90" s="64"/>
      <c r="P90" s="66"/>
      <c r="Q90" s="66"/>
      <c r="R90" s="182">
        <v>0</v>
      </c>
      <c r="S90" s="183" t="s">
        <v>935</v>
      </c>
      <c r="T90" s="184">
        <v>79</v>
      </c>
      <c r="U90" s="185" t="s">
        <v>935</v>
      </c>
      <c r="V90" s="186" t="s">
        <v>59</v>
      </c>
      <c r="W90" s="181"/>
      <c r="X90" s="176">
        <v>100</v>
      </c>
      <c r="Y90" s="137"/>
      <c r="Z90" s="137" t="s">
        <v>57</v>
      </c>
      <c r="AA90" s="176" t="s">
        <v>58</v>
      </c>
      <c r="AB90" s="27" t="s">
        <v>360</v>
      </c>
      <c r="AC90" s="136" t="s">
        <v>59</v>
      </c>
      <c r="AD90" s="176" t="s">
        <v>91</v>
      </c>
      <c r="AE90" s="174"/>
      <c r="AF90" s="177" t="s">
        <v>361</v>
      </c>
      <c r="AG90" s="178"/>
      <c r="AH90" s="178">
        <v>150</v>
      </c>
      <c r="AI90" s="178"/>
      <c r="AJ90" s="19" t="s">
        <v>61</v>
      </c>
      <c r="AK90" s="166">
        <v>2</v>
      </c>
      <c r="AL90" s="166">
        <v>3</v>
      </c>
      <c r="AM90" s="165" t="s">
        <v>352</v>
      </c>
    </row>
    <row r="91" spans="1:39" s="135" customFormat="1" ht="14.25" hidden="1" x14ac:dyDescent="0.2">
      <c r="A91" s="187">
        <v>314</v>
      </c>
      <c r="B91" s="204" t="str">
        <f>IF(AND(A91&lt;&gt;"",ISNUMBER(A91)),VLOOKUP(A91,Studies!A:BR,2,FALSE),"")</f>
        <v>Kirby 2012</v>
      </c>
      <c r="C91" s="204" t="str">
        <f>IF(AND(A91&lt;&gt;"",ISNUMBER(A91)),VLOOKUP(A91,Studies!A:BR,3,FALSE),"")</f>
        <v>https://www.ncbi.nlm.nih.gov/pubmed/22190694</v>
      </c>
      <c r="D91" s="204" t="str">
        <f>IF(AND(A91&lt;&gt;"",ISNUMBER(A91)),VLOOKUP(A91,Studies!A:BR,4,FALSE),"")</f>
        <v>Study 1 - Staggered Administration with RIF</v>
      </c>
      <c r="E91" s="139" t="str">
        <f>IF(AND(A91&lt;&gt;"",ISNUMBER(A91)),VLOOKUP(A91,Studies!A:BR,5,FALSE),"")</f>
        <v>Digoxin</v>
      </c>
      <c r="F91" s="186" t="s">
        <v>53</v>
      </c>
      <c r="G91" s="205" t="str">
        <f>IF(AND(A91&lt;&gt;"",ISNUMBER(A91)),VLOOKUP(A91,Studies!A:BR,13,FALSE),"")</f>
        <v>PO</v>
      </c>
      <c r="H91" s="138" t="str">
        <f>AA91</f>
        <v>PO</v>
      </c>
      <c r="I91" s="205" t="str">
        <f>IF(AND(A91&lt;&gt;"",ISNUMBER(A91)),VLOOKUP(A91,Studies!A:BR,6,FALSE),"")</f>
        <v>Plasma</v>
      </c>
      <c r="J91" s="187">
        <v>0.81</v>
      </c>
      <c r="K91" s="187" t="s">
        <v>1000</v>
      </c>
      <c r="L91" s="201"/>
      <c r="M91" s="201"/>
      <c r="N91" s="193">
        <v>0.78</v>
      </c>
      <c r="O91" s="193" t="s">
        <v>1000</v>
      </c>
      <c r="P91" s="202"/>
      <c r="Q91" s="202"/>
      <c r="R91" s="182">
        <v>0</v>
      </c>
      <c r="S91" s="183" t="s">
        <v>935</v>
      </c>
      <c r="T91" s="184">
        <v>324</v>
      </c>
      <c r="U91" s="185" t="s">
        <v>935</v>
      </c>
      <c r="V91" s="186" t="s">
        <v>59</v>
      </c>
      <c r="W91" s="181"/>
      <c r="X91" s="136">
        <v>600</v>
      </c>
      <c r="Y91" s="137"/>
      <c r="Z91" s="137" t="s">
        <v>57</v>
      </c>
      <c r="AA91" s="136" t="s">
        <v>58</v>
      </c>
      <c r="AB91" s="136" t="s">
        <v>434</v>
      </c>
      <c r="AC91" s="136" t="s">
        <v>59</v>
      </c>
      <c r="AD91" s="136" t="s">
        <v>1318</v>
      </c>
      <c r="AE91" s="174" t="s">
        <v>1137</v>
      </c>
      <c r="AF91" s="174" t="s">
        <v>2942</v>
      </c>
      <c r="AG91" s="174"/>
      <c r="AH91" s="175"/>
      <c r="AI91" s="175"/>
      <c r="AJ91" s="193"/>
      <c r="AK91" s="193"/>
      <c r="AL91" s="193"/>
      <c r="AM91" s="193"/>
    </row>
    <row r="92" spans="1:39" s="135" customFormat="1" ht="14.25" hidden="1" x14ac:dyDescent="0.2">
      <c r="A92" s="187">
        <v>316</v>
      </c>
      <c r="B92" s="204" t="str">
        <f>IF(AND(A92&lt;&gt;"",ISNUMBER(A92)),VLOOKUP(A92,Studies!A:BR,2,FALSE),"")</f>
        <v>Kirby 2012</v>
      </c>
      <c r="C92" s="204" t="str">
        <f>IF(AND(A92&lt;&gt;"",ISNUMBER(A92)),VLOOKUP(A92,Studies!A:BR,3,FALSE),"")</f>
        <v>https://www.ncbi.nlm.nih.gov/pubmed/22190694</v>
      </c>
      <c r="D92" s="204" t="str">
        <f>IF(AND(A92&lt;&gt;"",ISNUMBER(A92)),VLOOKUP(A92,Studies!A:BR,4,FALSE),"")</f>
        <v>Study 2 - Simultaneous Administration with RIF</v>
      </c>
      <c r="E92" s="139" t="str">
        <f>IF(AND(A92&lt;&gt;"",ISNUMBER(A92)),VLOOKUP(A92,Studies!A:BR,5,FALSE),"")</f>
        <v>Digoxin</v>
      </c>
      <c r="F92" s="186" t="s">
        <v>53</v>
      </c>
      <c r="G92" s="205" t="str">
        <f>IF(AND(A92&lt;&gt;"",ISNUMBER(A92)),VLOOKUP(A92,Studies!A:BR,13,FALSE),"")</f>
        <v>PO</v>
      </c>
      <c r="H92" s="138" t="str">
        <f>AA92</f>
        <v>PO</v>
      </c>
      <c r="I92" s="205" t="str">
        <f>IF(AND(A92&lt;&gt;"",ISNUMBER(A92)),VLOOKUP(A92,Studies!A:BR,6,FALSE),"")</f>
        <v>Plasma</v>
      </c>
      <c r="J92" s="187">
        <v>1.25</v>
      </c>
      <c r="K92" s="187" t="s">
        <v>1000</v>
      </c>
      <c r="L92" s="201"/>
      <c r="M92" s="201"/>
      <c r="N92" s="193">
        <v>1.55</v>
      </c>
      <c r="O92" s="193" t="s">
        <v>1000</v>
      </c>
      <c r="P92" s="202"/>
      <c r="Q92" s="202"/>
      <c r="R92" s="182">
        <v>0</v>
      </c>
      <c r="S92" s="183" t="s">
        <v>935</v>
      </c>
      <c r="T92" s="184">
        <v>360</v>
      </c>
      <c r="U92" s="185" t="s">
        <v>935</v>
      </c>
      <c r="V92" s="186" t="s">
        <v>59</v>
      </c>
      <c r="W92" s="181"/>
      <c r="X92" s="136">
        <v>600</v>
      </c>
      <c r="Y92" s="137"/>
      <c r="Z92" s="137" t="s">
        <v>57</v>
      </c>
      <c r="AA92" s="136" t="s">
        <v>58</v>
      </c>
      <c r="AB92" s="136" t="s">
        <v>434</v>
      </c>
      <c r="AC92" s="136" t="s">
        <v>59</v>
      </c>
      <c r="AD92" s="136" t="s">
        <v>1318</v>
      </c>
      <c r="AE92" s="174" t="s">
        <v>1137</v>
      </c>
      <c r="AF92" s="174" t="s">
        <v>2942</v>
      </c>
      <c r="AG92" s="174"/>
      <c r="AH92" s="175"/>
      <c r="AI92" s="175"/>
      <c r="AJ92" s="193"/>
      <c r="AK92" s="193"/>
      <c r="AL92" s="193"/>
      <c r="AM92" s="193"/>
    </row>
    <row r="93" spans="1:39" s="135" customFormat="1" ht="14.25" hidden="1" x14ac:dyDescent="0.2">
      <c r="A93" s="181">
        <v>2035</v>
      </c>
      <c r="B93" s="204" t="str">
        <f>IF(AND(A93&lt;&gt;"",ISNUMBER(A93)),VLOOKUP(A93,Studies!A:BR,2,FALSE),"")</f>
        <v>Kim 2018</v>
      </c>
      <c r="C93" s="204" t="str">
        <f>IF(AND(A93&lt;&gt;"",ISNUMBER(A93)),VLOOKUP(A93,Studies!A:BR,3,FALSE),"")</f>
        <v>https://www.ncbi.nlm.nih.gov/pubmed/28877336</v>
      </c>
      <c r="D93" s="204" t="str">
        <f>IF(AND(A93&lt;&gt;"",ISNUMBER(A93)),VLOOKUP(A93,Studies!A:BR,4,FALSE),"")</f>
        <v>Midazolam + Ketoconazole Male</v>
      </c>
      <c r="E93" s="139" t="str">
        <f>IF(AND(A93&lt;&gt;"",ISNUMBER(A93)),VLOOKUP(A93,Studies!A:BR,5,FALSE),"")</f>
        <v>Midazolam</v>
      </c>
      <c r="F93" s="186" t="s">
        <v>833</v>
      </c>
      <c r="G93" s="205" t="str">
        <f>IF(AND(A93&lt;&gt;"",ISNUMBER(A93)),VLOOKUP(A93,Studies!A:BR,13,FALSE),"")</f>
        <v>IV</v>
      </c>
      <c r="H93" s="138" t="s">
        <v>58</v>
      </c>
      <c r="I93" s="205" t="str">
        <f>IF(AND(A93&lt;&gt;"",ISNUMBER(A93)),VLOOKUP(A93,Studies!A:BR,6,FALSE),"")</f>
        <v>Plasma</v>
      </c>
      <c r="J93" s="187">
        <v>2.89</v>
      </c>
      <c r="K93" s="187" t="s">
        <v>2631</v>
      </c>
      <c r="L93" s="201" t="s">
        <v>2649</v>
      </c>
      <c r="M93" s="201" t="s">
        <v>1156</v>
      </c>
      <c r="N93" s="193"/>
      <c r="O93" s="193"/>
      <c r="P93" s="202"/>
      <c r="Q93" s="202"/>
      <c r="R93" s="182">
        <v>0</v>
      </c>
      <c r="S93" s="183" t="s">
        <v>935</v>
      </c>
      <c r="T93" s="184">
        <v>72</v>
      </c>
      <c r="U93" s="185" t="s">
        <v>935</v>
      </c>
      <c r="V93" s="186" t="s">
        <v>59</v>
      </c>
      <c r="W93" s="181"/>
      <c r="X93" s="176">
        <v>400</v>
      </c>
      <c r="Y93" s="180"/>
      <c r="Z93" s="180" t="s">
        <v>57</v>
      </c>
      <c r="AA93" s="176" t="s">
        <v>58</v>
      </c>
      <c r="AB93" s="176" t="s">
        <v>2288</v>
      </c>
      <c r="AC93" s="176" t="s">
        <v>59</v>
      </c>
      <c r="AD93" s="176" t="s">
        <v>2651</v>
      </c>
      <c r="AE93" s="177" t="s">
        <v>834</v>
      </c>
      <c r="AF93" s="177" t="s">
        <v>2667</v>
      </c>
      <c r="AG93" s="178"/>
      <c r="AH93" s="177"/>
      <c r="AI93" s="177"/>
      <c r="AJ93" s="193"/>
      <c r="AK93" s="193"/>
      <c r="AL93" s="193"/>
      <c r="AM93" s="193"/>
    </row>
    <row r="94" spans="1:39" x14ac:dyDescent="0.2">
      <c r="A94" s="181">
        <v>2036</v>
      </c>
      <c r="B94" s="204" t="str">
        <f>IF(AND(A94&lt;&gt;"",ISNUMBER(A94)),VLOOKUP(A94,Studies!A:BR,2,FALSE),"")</f>
        <v>Kim 2018</v>
      </c>
      <c r="C94" s="204" t="str">
        <f>IF(AND(A94&lt;&gt;"",ISNUMBER(A94)),VLOOKUP(A94,Studies!A:BR,3,FALSE),"")</f>
        <v>https://www.ncbi.nlm.nih.gov/pubmed/28877336</v>
      </c>
      <c r="D94" s="204" t="str">
        <f>IF(AND(A94&lt;&gt;"",ISNUMBER(A94)),VLOOKUP(A94,Studies!A:BR,4,FALSE),"")</f>
        <v>Midazolam + Rifampicin Male</v>
      </c>
      <c r="E94" s="139" t="str">
        <f>IF(AND(A94&lt;&gt;"",ISNUMBER(A94)),VLOOKUP(A94,Studies!A:BR,5,FALSE),"")</f>
        <v>Midazolam</v>
      </c>
      <c r="F94" s="186" t="s">
        <v>53</v>
      </c>
      <c r="G94" s="205" t="str">
        <f>IF(AND(A94&lt;&gt;"",ISNUMBER(A94)),VLOOKUP(A94,Studies!A:BR,13,FALSE),"")</f>
        <v>IV</v>
      </c>
      <c r="H94" s="138" t="s">
        <v>58</v>
      </c>
      <c r="I94" s="205" t="str">
        <f>IF(AND(A94&lt;&gt;"",ISNUMBER(A94)),VLOOKUP(A94,Studies!A:BR,6,FALSE),"")</f>
        <v>Plasma</v>
      </c>
      <c r="J94" s="187">
        <f>0.46*2.5</f>
        <v>1.1500000000000001</v>
      </c>
      <c r="K94" s="187" t="s">
        <v>2631</v>
      </c>
      <c r="L94" s="201" t="str">
        <f>0.41*2.5&amp;" - "&amp;2.5*0.51</f>
        <v>1.025 - 1.275</v>
      </c>
      <c r="M94" s="201" t="s">
        <v>1156</v>
      </c>
      <c r="N94" s="193"/>
      <c r="O94" s="193"/>
      <c r="P94" s="202"/>
      <c r="Q94" s="202"/>
      <c r="R94" s="182">
        <v>0</v>
      </c>
      <c r="S94" s="183" t="s">
        <v>935</v>
      </c>
      <c r="T94" s="184">
        <v>216</v>
      </c>
      <c r="U94" s="185" t="s">
        <v>935</v>
      </c>
      <c r="V94" s="186" t="s">
        <v>59</v>
      </c>
      <c r="W94" s="181" t="s">
        <v>2992</v>
      </c>
      <c r="X94" s="176">
        <v>600</v>
      </c>
      <c r="Y94" s="180"/>
      <c r="Z94" s="180" t="s">
        <v>57</v>
      </c>
      <c r="AA94" s="176" t="s">
        <v>58</v>
      </c>
      <c r="AB94" s="176" t="s">
        <v>2622</v>
      </c>
      <c r="AC94" s="176" t="s">
        <v>59</v>
      </c>
      <c r="AD94" s="176" t="s">
        <v>2655</v>
      </c>
      <c r="AE94" s="177" t="s">
        <v>1141</v>
      </c>
      <c r="AF94" s="177" t="s">
        <v>2667</v>
      </c>
      <c r="AG94" s="178"/>
      <c r="AH94" s="177"/>
      <c r="AI94" s="177"/>
      <c r="AJ94" s="193"/>
      <c r="AK94" s="193"/>
      <c r="AL94" s="193"/>
      <c r="AM94" s="193"/>
    </row>
    <row r="95" spans="1:39" hidden="1" x14ac:dyDescent="0.2">
      <c r="A95" s="181">
        <v>2038</v>
      </c>
      <c r="B95" s="204" t="str">
        <f>IF(AND(A95&lt;&gt;"",ISNUMBER(A95)),VLOOKUP(A95,Studies!A:BR,2,FALSE),"")</f>
        <v>Kim 2018</v>
      </c>
      <c r="C95" s="204" t="str">
        <f>IF(AND(A95&lt;&gt;"",ISNUMBER(A95)),VLOOKUP(A95,Studies!A:BR,3,FALSE),"")</f>
        <v>https://www.ncbi.nlm.nih.gov/pubmed/28877336</v>
      </c>
      <c r="D95" s="204" t="str">
        <f>IF(AND(A95&lt;&gt;"",ISNUMBER(A95)),VLOOKUP(A95,Studies!A:BR,4,FALSE),"")</f>
        <v>Midazolam + Ketoconazole Female</v>
      </c>
      <c r="E95" s="139" t="str">
        <f>IF(AND(A95&lt;&gt;"",ISNUMBER(A95)),VLOOKUP(A95,Studies!A:BR,5,FALSE),"")</f>
        <v>Midazolam</v>
      </c>
      <c r="F95" s="186" t="s">
        <v>833</v>
      </c>
      <c r="G95" s="205" t="str">
        <f>IF(AND(A95&lt;&gt;"",ISNUMBER(A95)),VLOOKUP(A95,Studies!A:BR,13,FALSE),"")</f>
        <v>IV</v>
      </c>
      <c r="H95" s="138" t="s">
        <v>58</v>
      </c>
      <c r="I95" s="205" t="str">
        <f>IF(AND(A95&lt;&gt;"",ISNUMBER(A95)),VLOOKUP(A95,Studies!A:BR,6,FALSE),"")</f>
        <v>Plasma</v>
      </c>
      <c r="J95" s="187">
        <v>4.7699999999999996</v>
      </c>
      <c r="K95" s="187" t="s">
        <v>2631</v>
      </c>
      <c r="L95" s="201" t="s">
        <v>2658</v>
      </c>
      <c r="M95" s="201" t="s">
        <v>1156</v>
      </c>
      <c r="N95" s="193"/>
      <c r="O95" s="193"/>
      <c r="P95" s="202"/>
      <c r="Q95" s="202"/>
      <c r="R95" s="182">
        <v>0</v>
      </c>
      <c r="S95" s="183" t="s">
        <v>935</v>
      </c>
      <c r="T95" s="184">
        <v>72</v>
      </c>
      <c r="U95" s="185" t="s">
        <v>935</v>
      </c>
      <c r="V95" s="186" t="s">
        <v>59</v>
      </c>
      <c r="X95" s="176">
        <v>400</v>
      </c>
      <c r="Y95" s="180"/>
      <c r="Z95" s="180" t="s">
        <v>57</v>
      </c>
      <c r="AA95" s="176" t="s">
        <v>58</v>
      </c>
      <c r="AB95" s="176" t="s">
        <v>2288</v>
      </c>
      <c r="AC95" s="176" t="s">
        <v>59</v>
      </c>
      <c r="AD95" s="176" t="s">
        <v>2651</v>
      </c>
      <c r="AE95" s="177" t="s">
        <v>834</v>
      </c>
      <c r="AF95" s="177" t="s">
        <v>2667</v>
      </c>
      <c r="AG95" s="178"/>
      <c r="AH95" s="177"/>
      <c r="AI95" s="177"/>
      <c r="AJ95" s="193"/>
      <c r="AK95" s="193"/>
      <c r="AL95" s="193"/>
      <c r="AM95" s="193"/>
    </row>
    <row r="96" spans="1:39" x14ac:dyDescent="0.2">
      <c r="A96" s="30">
        <v>2039</v>
      </c>
      <c r="B96" s="204" t="str">
        <f>IF(AND(A96&lt;&gt;"",ISNUMBER(A96)),VLOOKUP(A96,Studies!A:BR,2,FALSE),"")</f>
        <v>Kim 2018</v>
      </c>
      <c r="C96" s="204" t="str">
        <f>IF(AND(A96&lt;&gt;"",ISNUMBER(A96)),VLOOKUP(A96,Studies!A:BR,3,FALSE),"")</f>
        <v>https://www.ncbi.nlm.nih.gov/pubmed/28877336</v>
      </c>
      <c r="D96" s="204" t="str">
        <f>IF(AND(A96&lt;&gt;"",ISNUMBER(A96)),VLOOKUP(A96,Studies!A:BR,4,FALSE),"")</f>
        <v>Midazolam + Rifampicin Female</v>
      </c>
      <c r="E96" s="139" t="str">
        <f>IF(AND(A96&lt;&gt;"",ISNUMBER(A96)),VLOOKUP(A96,Studies!A:BR,5,FALSE),"")</f>
        <v>Midazolam</v>
      </c>
      <c r="F96" s="42" t="s">
        <v>53</v>
      </c>
      <c r="G96" s="205" t="str">
        <f>IF(AND(A96&lt;&gt;"",ISNUMBER(A96)),VLOOKUP(A96,Studies!A:BR,13,FALSE),"")</f>
        <v>IV</v>
      </c>
      <c r="H96" s="68" t="s">
        <v>58</v>
      </c>
      <c r="I96" s="205" t="str">
        <f>IF(AND(A96&lt;&gt;"",ISNUMBER(A96)),VLOOKUP(A96,Studies!A:BR,6,FALSE),"")</f>
        <v>Plasma</v>
      </c>
      <c r="J96" s="43">
        <f>0.49*2.5</f>
        <v>1.2250000000000001</v>
      </c>
      <c r="K96" s="187" t="s">
        <v>2631</v>
      </c>
      <c r="L96" s="76" t="str">
        <f>2.5*0.46&amp;" - "&amp;0.53*2.5</f>
        <v>1.15 - 1.325</v>
      </c>
      <c r="M96" s="76" t="s">
        <v>1156</v>
      </c>
      <c r="O96" s="193"/>
      <c r="R96" s="38">
        <v>0</v>
      </c>
      <c r="S96" s="39" t="s">
        <v>935</v>
      </c>
      <c r="T96" s="40">
        <v>216</v>
      </c>
      <c r="U96" s="41" t="s">
        <v>935</v>
      </c>
      <c r="V96" s="42" t="s">
        <v>59</v>
      </c>
      <c r="W96" s="181" t="s">
        <v>2992</v>
      </c>
      <c r="X96" s="22">
        <v>600</v>
      </c>
      <c r="Y96" s="180"/>
      <c r="Z96" s="180" t="s">
        <v>57</v>
      </c>
      <c r="AA96" s="176" t="s">
        <v>58</v>
      </c>
      <c r="AB96" s="176" t="s">
        <v>2622</v>
      </c>
      <c r="AC96" s="176" t="s">
        <v>59</v>
      </c>
      <c r="AD96" s="176" t="s">
        <v>2655</v>
      </c>
      <c r="AE96" s="177" t="s">
        <v>1141</v>
      </c>
      <c r="AF96" s="177" t="s">
        <v>2667</v>
      </c>
      <c r="AG96" s="178"/>
      <c r="AH96" s="177"/>
      <c r="AI96" s="177"/>
    </row>
    <row r="97" spans="1:37" hidden="1" x14ac:dyDescent="0.2">
      <c r="A97" s="30">
        <v>801</v>
      </c>
      <c r="B97" s="204" t="str">
        <f>IF(AND(A97&lt;&gt;"",ISNUMBER(A97)),VLOOKUP(A97,Studies!A:BR,2,FALSE),"")</f>
        <v>Kharasch 2012</v>
      </c>
      <c r="C97" s="204" t="str">
        <f>IF(AND(A97&lt;&gt;"",ISNUMBER(A97)),VLOOKUP(A97,Studies!A:BR,3,FALSE),"")</f>
        <v>https://www.ncbi.nlm.nih.gov/pubmed/22398970</v>
      </c>
      <c r="D97" s="204" t="str">
        <f>IF(AND(A97&lt;&gt;"",ISNUMBER(A97)),VLOOKUP(A97,Studies!A:BR,4,FALSE),"")</f>
        <v>Alfenatil PO + efavirenz</v>
      </c>
      <c r="E97" s="139" t="str">
        <f>IF(AND(A97&lt;&gt;"",ISNUMBER(A97)),VLOOKUP(A97,Studies!A:BR,5,FALSE),"")</f>
        <v>Alfentanil</v>
      </c>
      <c r="F97" s="42" t="s">
        <v>2185</v>
      </c>
      <c r="G97" s="205" t="str">
        <f>IF(AND(A97&lt;&gt;"",ISNUMBER(A97)),VLOOKUP(A97,Studies!A:BR,13,FALSE),"")</f>
        <v>PO</v>
      </c>
      <c r="H97" s="68" t="s">
        <v>58</v>
      </c>
      <c r="I97" s="205" t="str">
        <f>IF(AND(A97&lt;&gt;"",ISNUMBER(A97)),VLOOKUP(A97,Studies!A:BR,6,FALSE),"")</f>
        <v>Plasma</v>
      </c>
      <c r="J97" s="43">
        <v>0.22</v>
      </c>
      <c r="K97" s="187" t="s">
        <v>2139</v>
      </c>
      <c r="L97" s="76" t="s">
        <v>2253</v>
      </c>
      <c r="M97" s="201" t="s">
        <v>1156</v>
      </c>
      <c r="N97" s="52">
        <v>0.42857139999999999</v>
      </c>
      <c r="O97" s="193" t="s">
        <v>1099</v>
      </c>
      <c r="Q97" s="202"/>
      <c r="R97" s="38">
        <v>0</v>
      </c>
      <c r="S97" s="39" t="s">
        <v>935</v>
      </c>
      <c r="T97" s="40">
        <v>336.5</v>
      </c>
      <c r="U97" s="41" t="s">
        <v>935</v>
      </c>
      <c r="V97" s="42" t="s">
        <v>59</v>
      </c>
      <c r="W97" s="181" t="s">
        <v>2954</v>
      </c>
      <c r="X97" s="22">
        <v>600</v>
      </c>
      <c r="Y97" s="180"/>
      <c r="Z97" s="180" t="s">
        <v>57</v>
      </c>
      <c r="AA97" s="176" t="s">
        <v>58</v>
      </c>
      <c r="AB97" s="176" t="s">
        <v>2246</v>
      </c>
      <c r="AC97" s="176" t="s">
        <v>59</v>
      </c>
      <c r="AD97" s="176" t="s">
        <v>1497</v>
      </c>
      <c r="AE97" s="177"/>
      <c r="AG97" s="178"/>
      <c r="AH97" s="177"/>
      <c r="AI97" s="177"/>
    </row>
    <row r="98" spans="1:37" hidden="1" x14ac:dyDescent="0.2">
      <c r="A98" s="30">
        <v>803</v>
      </c>
      <c r="B98" s="204" t="str">
        <f>IF(AND(A98&lt;&gt;"",ISNUMBER(A98)),VLOOKUP(A98,Studies!A:BR,2,FALSE),"")</f>
        <v>Kharasch 2012</v>
      </c>
      <c r="C98" s="204" t="str">
        <f>IF(AND(A98&lt;&gt;"",ISNUMBER(A98)),VLOOKUP(A98,Studies!A:BR,3,FALSE),"")</f>
        <v>https://www.ncbi.nlm.nih.gov/pubmed/22398970</v>
      </c>
      <c r="D98" s="204" t="str">
        <f>IF(AND(A98&lt;&gt;"",ISNUMBER(A98)),VLOOKUP(A98,Studies!A:BR,4,FALSE),"")</f>
        <v>Alfenatil IV + efavirenz</v>
      </c>
      <c r="E98" s="139" t="str">
        <f>IF(AND(A98&lt;&gt;"",ISNUMBER(A98)),VLOOKUP(A98,Studies!A:BR,5,FALSE),"")</f>
        <v>Alfentanil</v>
      </c>
      <c r="F98" s="186" t="s">
        <v>2185</v>
      </c>
      <c r="G98" s="205" t="str">
        <f>IF(AND(A98&lt;&gt;"",ISNUMBER(A98)),VLOOKUP(A98,Studies!A:BR,13,FALSE),"")</f>
        <v>IV</v>
      </c>
      <c r="H98" s="138" t="s">
        <v>58</v>
      </c>
      <c r="I98" s="205" t="str">
        <f>IF(AND(A98&lt;&gt;"",ISNUMBER(A98)),VLOOKUP(A98,Studies!A:BR,6,FALSE),"")</f>
        <v>Plasma</v>
      </c>
      <c r="J98" s="43">
        <v>0.54</v>
      </c>
      <c r="K98" s="187" t="s">
        <v>2139</v>
      </c>
      <c r="L98" s="76" t="s">
        <v>2252</v>
      </c>
      <c r="M98" s="201" t="s">
        <v>1156</v>
      </c>
      <c r="N98" s="52">
        <v>1.097826</v>
      </c>
      <c r="O98" s="193" t="s">
        <v>1099</v>
      </c>
      <c r="Q98" s="202"/>
      <c r="R98" s="38">
        <v>0</v>
      </c>
      <c r="S98" s="39" t="s">
        <v>935</v>
      </c>
      <c r="T98" s="40">
        <v>360.5</v>
      </c>
      <c r="U98" s="41" t="s">
        <v>935</v>
      </c>
      <c r="V98" s="42" t="s">
        <v>59</v>
      </c>
      <c r="W98" s="181" t="s">
        <v>2954</v>
      </c>
      <c r="X98" s="22">
        <v>600</v>
      </c>
      <c r="Y98" s="180"/>
      <c r="Z98" s="180" t="s">
        <v>57</v>
      </c>
      <c r="AA98" s="176" t="s">
        <v>58</v>
      </c>
      <c r="AB98" s="176" t="s">
        <v>2246</v>
      </c>
      <c r="AC98" s="176" t="s">
        <v>59</v>
      </c>
      <c r="AD98" s="176" t="s">
        <v>1497</v>
      </c>
      <c r="AE98" s="177"/>
      <c r="AG98" s="178"/>
      <c r="AH98" s="177"/>
      <c r="AI98" s="177"/>
    </row>
    <row r="99" spans="1:37" hidden="1" x14ac:dyDescent="0.2">
      <c r="A99" s="30">
        <v>761</v>
      </c>
      <c r="B99" s="204" t="str">
        <f>IF(AND(A99&lt;&gt;"",ISNUMBER(A99)),VLOOKUP(A99,Studies!A:BR,2,FALSE),"")</f>
        <v>Kharasch 2011b</v>
      </c>
      <c r="C99" s="204" t="str">
        <f>IF(AND(A99&lt;&gt;"",ISNUMBER(A99)),VLOOKUP(A99,Studies!A:BR,3,FALSE),"")</f>
        <v>https://www.ncbi.nlm.nih.gov/pmc/articles/PMC3584707/</v>
      </c>
      <c r="D99" s="204" t="str">
        <f>IF(AND(A99&lt;&gt;"",ISNUMBER(A99)),VLOOKUP(A99,Studies!A:BR,4,FALSE),"")</f>
        <v>Alfentanil IV Grapefruit coadmin sequential</v>
      </c>
      <c r="E99" s="139" t="str">
        <f>IF(AND(A99&lt;&gt;"",ISNUMBER(A99)),VLOOKUP(A99,Studies!A:BR,5,FALSE),"")</f>
        <v>Alfentanil</v>
      </c>
      <c r="F99" s="186" t="s">
        <v>2138</v>
      </c>
      <c r="G99" s="205" t="str">
        <f>IF(AND(A99&lt;&gt;"",ISNUMBER(A99)),VLOOKUP(A99,Studies!A:BR,13,FALSE),"")</f>
        <v>IV</v>
      </c>
      <c r="H99" s="138" t="s">
        <v>58</v>
      </c>
      <c r="I99" s="205" t="str">
        <f>IF(AND(A99&lt;&gt;"",ISNUMBER(A99)),VLOOKUP(A99,Studies!A:BR,6,FALSE),"")</f>
        <v>Plasma</v>
      </c>
      <c r="J99" s="43">
        <v>1</v>
      </c>
      <c r="K99" s="187" t="s">
        <v>2139</v>
      </c>
      <c r="L99" s="76" t="s">
        <v>2140</v>
      </c>
      <c r="M99" s="201" t="s">
        <v>1156</v>
      </c>
      <c r="O99" s="193"/>
      <c r="Q99" s="202"/>
      <c r="R99" s="38">
        <v>0</v>
      </c>
      <c r="S99" s="39" t="s">
        <v>935</v>
      </c>
      <c r="T99" s="40">
        <v>0</v>
      </c>
      <c r="U99" s="41" t="s">
        <v>935</v>
      </c>
      <c r="V99" s="42" t="s">
        <v>59</v>
      </c>
      <c r="X99" s="22">
        <v>8</v>
      </c>
      <c r="Y99" s="137"/>
      <c r="Z99" s="137" t="s">
        <v>2141</v>
      </c>
      <c r="AA99" s="176" t="s">
        <v>58</v>
      </c>
      <c r="AB99" s="176">
        <v>0</v>
      </c>
      <c r="AC99" s="136" t="s">
        <v>59</v>
      </c>
      <c r="AE99" s="174"/>
      <c r="AG99" s="178"/>
      <c r="AH99" s="178"/>
      <c r="AI99" s="178"/>
    </row>
    <row r="100" spans="1:37" hidden="1" x14ac:dyDescent="0.2">
      <c r="A100" s="30">
        <v>762</v>
      </c>
      <c r="B100" s="204" t="str">
        <f>IF(AND(A100&lt;&gt;"",ISNUMBER(A100)),VLOOKUP(A100,Studies!A:BR,2,FALSE),"")</f>
        <v>Kharasch 2011b</v>
      </c>
      <c r="C100" s="204" t="str">
        <f>IF(AND(A100&lt;&gt;"",ISNUMBER(A100)),VLOOKUP(A100,Studies!A:BR,3,FALSE),"")</f>
        <v>https://www.ncbi.nlm.nih.gov/pmc/articles/PMC3584707/</v>
      </c>
      <c r="D100" s="204" t="str">
        <f>IF(AND(A100&lt;&gt;"",ISNUMBER(A100)),VLOOKUP(A100,Studies!A:BR,4,FALSE),"")</f>
        <v>Alfentanil IV Ketoconazole coadmin sequential</v>
      </c>
      <c r="E100" s="139" t="str">
        <f>IF(AND(A100&lt;&gt;"",ISNUMBER(A100)),VLOOKUP(A100,Studies!A:BR,5,FALSE),"")</f>
        <v>Alfentanil</v>
      </c>
      <c r="F100" s="42" t="s">
        <v>833</v>
      </c>
      <c r="G100" s="205" t="str">
        <f>IF(AND(A100&lt;&gt;"",ISNUMBER(A100)),VLOOKUP(A100,Studies!A:BR,13,FALSE),"")</f>
        <v>IV</v>
      </c>
      <c r="H100" s="68" t="s">
        <v>58</v>
      </c>
      <c r="I100" s="205" t="str">
        <f>IF(AND(A100&lt;&gt;"",ISNUMBER(A100)),VLOOKUP(A100,Studies!A:BR,6,FALSE),"")</f>
        <v>Plasma</v>
      </c>
      <c r="J100" s="43">
        <v>2.4</v>
      </c>
      <c r="K100" s="43" t="s">
        <v>2139</v>
      </c>
      <c r="R100" s="38">
        <v>0</v>
      </c>
      <c r="S100" s="39" t="s">
        <v>935</v>
      </c>
      <c r="T100" s="40">
        <v>60</v>
      </c>
      <c r="U100" s="41" t="s">
        <v>935</v>
      </c>
      <c r="V100" s="42" t="s">
        <v>59</v>
      </c>
      <c r="W100" s="181" t="s">
        <v>2142</v>
      </c>
      <c r="X100" s="22">
        <v>400</v>
      </c>
      <c r="Y100" s="180"/>
      <c r="Z100" s="180" t="s">
        <v>57</v>
      </c>
      <c r="AA100" s="176" t="s">
        <v>58</v>
      </c>
      <c r="AB100" s="176" t="s">
        <v>830</v>
      </c>
      <c r="AC100" s="176" t="s">
        <v>59</v>
      </c>
      <c r="AD100" s="176" t="s">
        <v>1497</v>
      </c>
      <c r="AE100" s="177"/>
      <c r="AG100" s="178"/>
      <c r="AH100" s="177"/>
      <c r="AI100" s="177"/>
    </row>
    <row r="101" spans="1:37" hidden="1" x14ac:dyDescent="0.2">
      <c r="A101" s="30">
        <v>763</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Rifampin coadmin sequential</v>
      </c>
      <c r="E101" s="139" t="str">
        <f>IF(AND(A101&lt;&gt;"",ISNUMBER(A101)),VLOOKUP(A101,Studies!A:BR,5,FALSE),"")</f>
        <v>Alfentanil</v>
      </c>
      <c r="F101" s="42" t="s">
        <v>53</v>
      </c>
      <c r="G101" s="205" t="str">
        <f>IF(AND(A101&lt;&gt;"",ISNUMBER(A101)),VLOOKUP(A101,Studies!A:BR,13,FALSE),"")</f>
        <v>IV</v>
      </c>
      <c r="H101" s="68" t="s">
        <v>58</v>
      </c>
      <c r="I101" s="205" t="str">
        <f>IF(AND(A101&lt;&gt;"",ISNUMBER(A101)),VLOOKUP(A101,Studies!A:BR,6,FALSE),"")</f>
        <v>Plasma</v>
      </c>
      <c r="J101" s="43">
        <v>0.4</v>
      </c>
      <c r="K101" s="43" t="s">
        <v>2139</v>
      </c>
      <c r="L101" s="76" t="s">
        <v>2143</v>
      </c>
      <c r="M101" s="76" t="s">
        <v>1156</v>
      </c>
      <c r="R101" s="38">
        <v>0</v>
      </c>
      <c r="S101" s="39" t="s">
        <v>935</v>
      </c>
      <c r="T101" s="40">
        <v>108</v>
      </c>
      <c r="U101" s="41" t="s">
        <v>935</v>
      </c>
      <c r="V101" s="42" t="s">
        <v>59</v>
      </c>
      <c r="X101" s="22">
        <v>600</v>
      </c>
      <c r="Y101" s="180"/>
      <c r="Z101" s="180" t="s">
        <v>57</v>
      </c>
      <c r="AA101" s="22" t="s">
        <v>58</v>
      </c>
      <c r="AB101" s="22" t="s">
        <v>1136</v>
      </c>
      <c r="AC101" s="176" t="s">
        <v>59</v>
      </c>
      <c r="AD101" s="176" t="s">
        <v>1497</v>
      </c>
      <c r="AE101" s="177"/>
      <c r="AH101" s="177"/>
      <c r="AI101" s="177"/>
    </row>
    <row r="102" spans="1:37" hidden="1" x14ac:dyDescent="0.2">
      <c r="A102" s="30">
        <v>765</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Grapefruit coadmin simultaneous</v>
      </c>
      <c r="E102" s="139" t="str">
        <f>IF(AND(A102&lt;&gt;"",ISNUMBER(A102)),VLOOKUP(A102,Studies!A:BR,5,FALSE),"")</f>
        <v>Alfentanil</v>
      </c>
      <c r="F102" s="42" t="s">
        <v>2138</v>
      </c>
      <c r="G102" s="205" t="str">
        <f>IF(AND(A102&lt;&gt;"",ISNUMBER(A102)),VLOOKUP(A102,Studies!A:BR,13,FALSE),"")</f>
        <v>IV</v>
      </c>
      <c r="H102" s="68" t="s">
        <v>58</v>
      </c>
      <c r="I102" s="205" t="str">
        <f>IF(AND(A102&lt;&gt;"",ISNUMBER(A102)),VLOOKUP(A102,Studies!A:BR,6,FALSE),"")</f>
        <v>Plasma</v>
      </c>
      <c r="J102" s="43">
        <v>1.2</v>
      </c>
      <c r="K102" s="43" t="s">
        <v>2139</v>
      </c>
      <c r="L102" s="76" t="s">
        <v>2144</v>
      </c>
      <c r="M102" s="76" t="s">
        <v>1156</v>
      </c>
      <c r="R102" s="38">
        <v>0</v>
      </c>
      <c r="S102" s="39" t="s">
        <v>935</v>
      </c>
      <c r="T102" s="40">
        <v>24</v>
      </c>
      <c r="U102" s="41" t="s">
        <v>935</v>
      </c>
      <c r="V102" s="42" t="s">
        <v>59</v>
      </c>
      <c r="X102" s="22">
        <v>8</v>
      </c>
      <c r="Z102" s="28" t="s">
        <v>2141</v>
      </c>
      <c r="AA102" s="22" t="s">
        <v>58</v>
      </c>
      <c r="AB102" s="22">
        <v>0</v>
      </c>
      <c r="AC102" s="22" t="s">
        <v>59</v>
      </c>
    </row>
    <row r="103" spans="1:37" hidden="1" x14ac:dyDescent="0.2">
      <c r="A103" s="30">
        <v>766</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Ketoconazole coadmin simultaneous</v>
      </c>
      <c r="E103" s="139" t="str">
        <f>IF(AND(A103&lt;&gt;"",ISNUMBER(A103)),VLOOKUP(A103,Studies!A:BR,5,FALSE),"")</f>
        <v>Alfentanil</v>
      </c>
      <c r="F103" s="42" t="s">
        <v>833</v>
      </c>
      <c r="G103" s="205" t="str">
        <f>IF(AND(A103&lt;&gt;"",ISNUMBER(A103)),VLOOKUP(A103,Studies!A:BR,13,FALSE),"")</f>
        <v>IV</v>
      </c>
      <c r="H103" s="68" t="s">
        <v>58</v>
      </c>
      <c r="I103" s="205" t="str">
        <f>IF(AND(A103&lt;&gt;"",ISNUMBER(A103)),VLOOKUP(A103,Studies!A:BR,6,FALSE),"")</f>
        <v>Plasma</v>
      </c>
      <c r="J103" s="43">
        <v>2.5</v>
      </c>
      <c r="K103" s="43" t="s">
        <v>2139</v>
      </c>
      <c r="R103" s="38">
        <v>0</v>
      </c>
      <c r="S103" s="39" t="s">
        <v>935</v>
      </c>
      <c r="T103" s="40">
        <v>84</v>
      </c>
      <c r="U103" s="41" t="s">
        <v>935</v>
      </c>
      <c r="V103" s="42" t="s">
        <v>59</v>
      </c>
      <c r="W103" s="181" t="s">
        <v>2142</v>
      </c>
      <c r="X103" s="22">
        <v>400</v>
      </c>
      <c r="Z103" s="28" t="s">
        <v>57</v>
      </c>
      <c r="AA103" s="22" t="s">
        <v>58</v>
      </c>
      <c r="AB103" s="22" t="s">
        <v>830</v>
      </c>
      <c r="AC103" s="22" t="s">
        <v>59</v>
      </c>
      <c r="AD103" s="176" t="s">
        <v>1497</v>
      </c>
    </row>
    <row r="104" spans="1:37" hidden="1" x14ac:dyDescent="0.2">
      <c r="A104" s="30">
        <v>767</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Rifampin coadmin simultaneous</v>
      </c>
      <c r="E104" s="139" t="str">
        <f>IF(AND(A104&lt;&gt;"",ISNUMBER(A104)),VLOOKUP(A104,Studies!A:BR,5,FALSE),"")</f>
        <v>Alfentanil</v>
      </c>
      <c r="F104" s="42" t="s">
        <v>53</v>
      </c>
      <c r="G104" s="205" t="str">
        <f>IF(AND(A104&lt;&gt;"",ISNUMBER(A104)),VLOOKUP(A104,Studies!A:BR,13,FALSE),"")</f>
        <v>IV</v>
      </c>
      <c r="H104" s="68" t="s">
        <v>58</v>
      </c>
      <c r="I104" s="205" t="str">
        <f>IF(AND(A104&lt;&gt;"",ISNUMBER(A104)),VLOOKUP(A104,Studies!A:BR,6,FALSE),"")</f>
        <v>Plasma</v>
      </c>
      <c r="J104" s="43">
        <v>0.4</v>
      </c>
      <c r="K104" s="43" t="s">
        <v>2139</v>
      </c>
      <c r="L104" s="76" t="s">
        <v>2145</v>
      </c>
      <c r="M104" s="76" t="s">
        <v>1156</v>
      </c>
      <c r="R104" s="38">
        <v>0</v>
      </c>
      <c r="S104" s="39" t="s">
        <v>935</v>
      </c>
      <c r="T104" s="40">
        <v>132</v>
      </c>
      <c r="U104" s="41" t="s">
        <v>935</v>
      </c>
      <c r="V104" s="42" t="s">
        <v>59</v>
      </c>
      <c r="X104" s="22">
        <v>600</v>
      </c>
      <c r="Z104" s="28" t="s">
        <v>57</v>
      </c>
      <c r="AA104" s="22" t="s">
        <v>58</v>
      </c>
      <c r="AB104" s="22" t="s">
        <v>1136</v>
      </c>
      <c r="AC104" s="22" t="s">
        <v>59</v>
      </c>
      <c r="AD104" s="176" t="s">
        <v>1497</v>
      </c>
    </row>
    <row r="105" spans="1:37" hidden="1" x14ac:dyDescent="0.2">
      <c r="A105" s="30">
        <v>769</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PO Grapefruit coadmin sequential</v>
      </c>
      <c r="E105" s="139" t="str">
        <f>IF(AND(A105&lt;&gt;"",ISNUMBER(A105)),VLOOKUP(A105,Studies!A:BR,5,FALSE),"")</f>
        <v>Alfentanil</v>
      </c>
      <c r="F105" s="42" t="s">
        <v>2138</v>
      </c>
      <c r="G105" s="205" t="str">
        <f>IF(AND(A105&lt;&gt;"",ISNUMBER(A105)),VLOOKUP(A105,Studies!A:BR,13,FALSE),"")</f>
        <v>PO</v>
      </c>
      <c r="H105" s="68" t="s">
        <v>58</v>
      </c>
      <c r="I105" s="205" t="str">
        <f>IF(AND(A105&lt;&gt;"",ISNUMBER(A105)),VLOOKUP(A105,Studies!A:BR,6,FALSE),"")</f>
        <v>Plasma</v>
      </c>
      <c r="J105" s="43">
        <v>1.7</v>
      </c>
      <c r="K105" s="43" t="s">
        <v>2139</v>
      </c>
      <c r="L105" s="76" t="s">
        <v>2146</v>
      </c>
      <c r="M105" s="76" t="s">
        <v>1156</v>
      </c>
      <c r="R105" s="38">
        <v>0</v>
      </c>
      <c r="S105" s="39" t="s">
        <v>935</v>
      </c>
      <c r="T105" s="40">
        <v>0</v>
      </c>
      <c r="U105" s="41" t="s">
        <v>935</v>
      </c>
      <c r="V105" s="42" t="s">
        <v>59</v>
      </c>
      <c r="X105" s="22">
        <v>8</v>
      </c>
      <c r="Z105" s="28" t="s">
        <v>2141</v>
      </c>
      <c r="AA105" s="22" t="s">
        <v>58</v>
      </c>
      <c r="AB105" s="22">
        <v>0</v>
      </c>
      <c r="AC105" s="22" t="s">
        <v>59</v>
      </c>
    </row>
    <row r="106" spans="1:37" hidden="1" x14ac:dyDescent="0.2">
      <c r="A106" s="30">
        <v>770</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PO Ketoconazole coadmin sequential</v>
      </c>
      <c r="E106" s="139" t="str">
        <f>IF(AND(A106&lt;&gt;"",ISNUMBER(A106)),VLOOKUP(A106,Studies!A:BR,5,FALSE),"")</f>
        <v>Alfentanil</v>
      </c>
      <c r="F106" s="42" t="s">
        <v>833</v>
      </c>
      <c r="G106" s="205" t="str">
        <f>IF(AND(A106&lt;&gt;"",ISNUMBER(A106)),VLOOKUP(A106,Studies!A:BR,13,FALSE),"")</f>
        <v>PO</v>
      </c>
      <c r="H106" s="68" t="s">
        <v>58</v>
      </c>
      <c r="I106" s="205" t="str">
        <f>IF(AND(A106&lt;&gt;"",ISNUMBER(A106)),VLOOKUP(A106,Studies!A:BR,6,FALSE),"")</f>
        <v>Plasma</v>
      </c>
      <c r="J106" s="43">
        <v>2.2999999999999998</v>
      </c>
      <c r="K106" s="43" t="s">
        <v>2139</v>
      </c>
      <c r="R106" s="38">
        <v>0</v>
      </c>
      <c r="S106" s="39" t="s">
        <v>935</v>
      </c>
      <c r="T106" s="40">
        <v>63</v>
      </c>
      <c r="U106" s="41" t="s">
        <v>935</v>
      </c>
      <c r="V106" s="42" t="s">
        <v>59</v>
      </c>
      <c r="W106" s="181" t="s">
        <v>2142</v>
      </c>
      <c r="X106" s="22">
        <v>400</v>
      </c>
      <c r="Z106" s="28" t="s">
        <v>57</v>
      </c>
      <c r="AA106" s="22" t="s">
        <v>58</v>
      </c>
      <c r="AB106" s="22" t="s">
        <v>830</v>
      </c>
      <c r="AC106" s="22" t="s">
        <v>59</v>
      </c>
      <c r="AD106" s="176" t="s">
        <v>1497</v>
      </c>
    </row>
    <row r="107" spans="1:37" hidden="1" x14ac:dyDescent="0.2">
      <c r="A107" s="30">
        <v>771</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Rifampin coadmin sequential</v>
      </c>
      <c r="E107" s="139" t="str">
        <f>IF(AND(A107&lt;&gt;"",ISNUMBER(A107)),VLOOKUP(A107,Studies!A:BR,5,FALSE),"")</f>
        <v>Alfentanil</v>
      </c>
      <c r="F107" s="42" t="s">
        <v>53</v>
      </c>
      <c r="G107" s="205" t="str">
        <f>IF(AND(A107&lt;&gt;"",ISNUMBER(A107)),VLOOKUP(A107,Studies!A:BR,13,FALSE),"")</f>
        <v>PO</v>
      </c>
      <c r="H107" s="68" t="s">
        <v>58</v>
      </c>
      <c r="I107" s="205" t="str">
        <f>IF(AND(A107&lt;&gt;"",ISNUMBER(A107)),VLOOKUP(A107,Studies!A:BR,6,FALSE),"")</f>
        <v>Plasma</v>
      </c>
      <c r="J107" s="43">
        <v>0.06</v>
      </c>
      <c r="K107" s="43" t="s">
        <v>2139</v>
      </c>
      <c r="L107" s="76" t="s">
        <v>2147</v>
      </c>
      <c r="M107" s="76" t="s">
        <v>1156</v>
      </c>
      <c r="R107" s="38">
        <v>0</v>
      </c>
      <c r="S107" s="39" t="s">
        <v>935</v>
      </c>
      <c r="T107" s="40">
        <v>111</v>
      </c>
      <c r="U107" s="41" t="s">
        <v>935</v>
      </c>
      <c r="V107" s="42" t="s">
        <v>59</v>
      </c>
      <c r="X107" s="22">
        <v>600</v>
      </c>
      <c r="Z107" s="28" t="s">
        <v>57</v>
      </c>
      <c r="AA107" s="22" t="s">
        <v>58</v>
      </c>
      <c r="AB107" s="22" t="s">
        <v>1136</v>
      </c>
      <c r="AC107" s="22" t="s">
        <v>59</v>
      </c>
      <c r="AD107" s="176" t="s">
        <v>1497</v>
      </c>
    </row>
    <row r="108" spans="1:37" hidden="1" x14ac:dyDescent="0.2">
      <c r="A108" s="30">
        <v>773</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Grapefruit coadmin simultaneous</v>
      </c>
      <c r="E108" s="139" t="str">
        <f>IF(AND(A108&lt;&gt;"",ISNUMBER(A108)),VLOOKUP(A108,Studies!A:BR,5,FALSE),"")</f>
        <v>Alfentanil</v>
      </c>
      <c r="F108" s="42" t="s">
        <v>2138</v>
      </c>
      <c r="G108" s="205" t="str">
        <f>IF(AND(A108&lt;&gt;"",ISNUMBER(A108)),VLOOKUP(A108,Studies!A:BR,13,FALSE),"")</f>
        <v>PO</v>
      </c>
      <c r="H108" s="68" t="s">
        <v>58</v>
      </c>
      <c r="I108" s="205" t="str">
        <f>IF(AND(A108&lt;&gt;"",ISNUMBER(A108)),VLOOKUP(A108,Studies!A:BR,6,FALSE),"")</f>
        <v>Plasma</v>
      </c>
      <c r="J108" s="43">
        <v>2.2000000000000002</v>
      </c>
      <c r="K108" s="43" t="s">
        <v>2139</v>
      </c>
      <c r="L108" s="76" t="s">
        <v>2148</v>
      </c>
      <c r="M108" s="76" t="s">
        <v>1156</v>
      </c>
      <c r="R108" s="38">
        <v>0</v>
      </c>
      <c r="S108" s="39" t="s">
        <v>935</v>
      </c>
      <c r="T108" s="40">
        <v>21</v>
      </c>
      <c r="U108" s="41" t="s">
        <v>935</v>
      </c>
      <c r="V108" s="42" t="s">
        <v>59</v>
      </c>
      <c r="X108" s="22">
        <v>8</v>
      </c>
      <c r="Z108" s="28" t="s">
        <v>2141</v>
      </c>
      <c r="AA108" s="22" t="s">
        <v>58</v>
      </c>
      <c r="AB108" s="22">
        <v>0</v>
      </c>
      <c r="AC108" s="22" t="s">
        <v>59</v>
      </c>
    </row>
    <row r="109" spans="1:37" hidden="1" x14ac:dyDescent="0.2">
      <c r="A109" s="30">
        <v>774</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Ketoconazole coadmin simultaneous</v>
      </c>
      <c r="E109" s="139" t="str">
        <f>IF(AND(A109&lt;&gt;"",ISNUMBER(A109)),VLOOKUP(A109,Studies!A:BR,5,FALSE),"")</f>
        <v>Alfentanil</v>
      </c>
      <c r="F109" s="42" t="s">
        <v>833</v>
      </c>
      <c r="G109" s="205" t="str">
        <f>IF(AND(A109&lt;&gt;"",ISNUMBER(A109)),VLOOKUP(A109,Studies!A:BR,13,FALSE),"")</f>
        <v>PO</v>
      </c>
      <c r="H109" s="68" t="s">
        <v>58</v>
      </c>
      <c r="I109" s="205" t="str">
        <f>IF(AND(A109&lt;&gt;"",ISNUMBER(A109)),VLOOKUP(A109,Studies!A:BR,6,FALSE),"")</f>
        <v>Plasma</v>
      </c>
      <c r="J109" s="43">
        <v>3</v>
      </c>
      <c r="K109" s="43" t="s">
        <v>2139</v>
      </c>
      <c r="R109" s="38">
        <v>0</v>
      </c>
      <c r="S109" s="39" t="s">
        <v>935</v>
      </c>
      <c r="T109" s="40">
        <v>84</v>
      </c>
      <c r="U109" s="41" t="s">
        <v>935</v>
      </c>
      <c r="V109" s="42" t="s">
        <v>59</v>
      </c>
      <c r="W109" s="181" t="s">
        <v>2142</v>
      </c>
      <c r="X109" s="22">
        <v>400</v>
      </c>
      <c r="Z109" s="28" t="s">
        <v>57</v>
      </c>
      <c r="AA109" s="22" t="s">
        <v>58</v>
      </c>
      <c r="AB109" s="22" t="s">
        <v>830</v>
      </c>
      <c r="AC109" s="22" t="s">
        <v>59</v>
      </c>
      <c r="AD109" s="176" t="s">
        <v>1497</v>
      </c>
    </row>
    <row r="110" spans="1:37" hidden="1" x14ac:dyDescent="0.2">
      <c r="A110" s="30">
        <v>775</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Rifampin coadmin simultaneous</v>
      </c>
      <c r="E110" s="139" t="str">
        <f>IF(AND(A110&lt;&gt;"",ISNUMBER(A110)),VLOOKUP(A110,Studies!A:BR,5,FALSE),"")</f>
        <v>Alfentanil</v>
      </c>
      <c r="F110" s="42" t="s">
        <v>53</v>
      </c>
      <c r="G110" s="205" t="str">
        <f>IF(AND(A110&lt;&gt;"",ISNUMBER(A110)),VLOOKUP(A110,Studies!A:BR,13,FALSE),"")</f>
        <v>PO</v>
      </c>
      <c r="H110" s="68" t="s">
        <v>58</v>
      </c>
      <c r="I110" s="205" t="str">
        <f>IF(AND(A110&lt;&gt;"",ISNUMBER(A110)),VLOOKUP(A110,Studies!A:BR,6,FALSE),"")</f>
        <v>Plasma</v>
      </c>
      <c r="J110" s="43">
        <v>0.06</v>
      </c>
      <c r="K110" s="43" t="s">
        <v>2139</v>
      </c>
      <c r="L110" s="76" t="s">
        <v>2149</v>
      </c>
      <c r="M110" s="76" t="s">
        <v>1156</v>
      </c>
      <c r="R110" s="38">
        <v>0</v>
      </c>
      <c r="S110" s="39" t="s">
        <v>935</v>
      </c>
      <c r="T110" s="40">
        <v>132</v>
      </c>
      <c r="U110" s="41" t="s">
        <v>935</v>
      </c>
      <c r="V110" s="42" t="s">
        <v>59</v>
      </c>
      <c r="X110" s="22">
        <v>600</v>
      </c>
      <c r="Z110" s="28" t="s">
        <v>57</v>
      </c>
      <c r="AA110" s="22" t="s">
        <v>58</v>
      </c>
      <c r="AB110" s="22" t="s">
        <v>1136</v>
      </c>
      <c r="AC110" s="22" t="s">
        <v>59</v>
      </c>
      <c r="AD110" s="176" t="s">
        <v>1497</v>
      </c>
    </row>
    <row r="111" spans="1:37" hidden="1" x14ac:dyDescent="0.2">
      <c r="A111" s="187">
        <v>294</v>
      </c>
      <c r="B111" s="204" t="str">
        <f>IF(AND(A111&lt;&gt;"",ISNUMBER(A111)),VLOOKUP(A111,Studies!A:BR,2,FALSE),"")</f>
        <v>Kharasch 2011</v>
      </c>
      <c r="C111" s="204" t="str">
        <f>IF(AND(A111&lt;&gt;"",ISNUMBER(A111)),VLOOKUP(A111,Studies!A:BR,3,FALSE),"")</f>
        <v>https://www.ncbi.nlm.nih.gov/pubmed/21562488</v>
      </c>
      <c r="D111" s="204" t="str">
        <f>IF(AND(A111&lt;&gt;"",ISNUMBER(A111)),VLOOKUP(A111,Studies!A:BR,4,FALSE),"")</f>
        <v>iv with Perpetrator (Rifampicin @ 5 mg)</v>
      </c>
      <c r="E111" s="139" t="str">
        <f>IF(AND(A111&lt;&gt;"",ISNUMBER(A111)),VLOOKUP(A111,Studies!A:BR,5,FALSE),"")</f>
        <v>Midazolam</v>
      </c>
      <c r="F111" s="42" t="s">
        <v>53</v>
      </c>
      <c r="G111" s="205" t="str">
        <f>IF(AND(A111&lt;&gt;"",ISNUMBER(A111)),VLOOKUP(A111,Studies!A:BR,13,FALSE),"")</f>
        <v>IV</v>
      </c>
      <c r="H111" s="68" t="str">
        <f t="shared" ref="H111:H132" si="4">AA111</f>
        <v>PO</v>
      </c>
      <c r="I111" s="205" t="str">
        <f>IF(AND(A111&lt;&gt;"",ISNUMBER(A111)),VLOOKUP(A111,Studies!A:BR,6,FALSE),"")</f>
        <v>Plasma</v>
      </c>
      <c r="J111" s="43">
        <v>0.84</v>
      </c>
      <c r="K111" s="43" t="s">
        <v>1000</v>
      </c>
      <c r="L111" s="76">
        <v>0.13</v>
      </c>
      <c r="M111" s="121" t="s">
        <v>1135</v>
      </c>
      <c r="N111" s="52">
        <v>1.03225806</v>
      </c>
      <c r="O111" s="52" t="s">
        <v>334</v>
      </c>
      <c r="R111" s="38">
        <v>0</v>
      </c>
      <c r="S111" s="39" t="s">
        <v>935</v>
      </c>
      <c r="T111" s="40">
        <v>108</v>
      </c>
      <c r="U111" s="41" t="s">
        <v>935</v>
      </c>
      <c r="V111" s="42" t="s">
        <v>59</v>
      </c>
      <c r="X111" s="22">
        <v>5</v>
      </c>
      <c r="Z111" s="28" t="s">
        <v>57</v>
      </c>
      <c r="AA111" s="22" t="s">
        <v>58</v>
      </c>
      <c r="AB111" s="22" t="s">
        <v>1136</v>
      </c>
      <c r="AC111" s="22" t="s">
        <v>59</v>
      </c>
      <c r="AD111" s="176" t="s">
        <v>91</v>
      </c>
      <c r="AE111" s="23" t="s">
        <v>1137</v>
      </c>
      <c r="AF111" s="177" t="s">
        <v>1138</v>
      </c>
      <c r="AI111" s="23" t="s">
        <v>1139</v>
      </c>
    </row>
    <row r="112" spans="1:37" hidden="1" x14ac:dyDescent="0.2">
      <c r="A112" s="187">
        <v>295</v>
      </c>
      <c r="B112" s="204" t="str">
        <f>IF(AND(A112&lt;&gt;"",ISNUMBER(A112)),VLOOKUP(A112,Studies!A:BR,2,FALSE),"")</f>
        <v>Kharasch 2011</v>
      </c>
      <c r="C112" s="204" t="str">
        <f>IF(AND(A112&lt;&gt;"",ISNUMBER(A112)),VLOOKUP(A112,Studies!A:BR,3,FALSE),"")</f>
        <v>https://www.ncbi.nlm.nih.gov/pubmed/21562488</v>
      </c>
      <c r="D112" s="204" t="str">
        <f>IF(AND(A112&lt;&gt;"",ISNUMBER(A112)),VLOOKUP(A112,Studies!A:BR,4,FALSE),"")</f>
        <v>iv with Perpetrator (Rifampicin @ 10 mg)</v>
      </c>
      <c r="E112" s="139" t="str">
        <f>IF(AND(A112&lt;&gt;"",ISNUMBER(A112)),VLOOKUP(A112,Studies!A:BR,5,FALSE),"")</f>
        <v>Midazolam</v>
      </c>
      <c r="F112" s="42" t="s">
        <v>53</v>
      </c>
      <c r="G112" s="205" t="str">
        <f>IF(AND(A112&lt;&gt;"",ISNUMBER(A112)),VLOOKUP(A112,Studies!A:BR,13,FALSE),"")</f>
        <v>IV</v>
      </c>
      <c r="H112" s="68" t="str">
        <f t="shared" si="4"/>
        <v>PO</v>
      </c>
      <c r="I112" s="205" t="str">
        <f>IF(AND(A112&lt;&gt;"",ISNUMBER(A112)),VLOOKUP(A112,Studies!A:BR,6,FALSE),"")</f>
        <v>Plasma</v>
      </c>
      <c r="J112" s="43">
        <v>0.77</v>
      </c>
      <c r="K112" s="187" t="s">
        <v>1000</v>
      </c>
      <c r="L112" s="76">
        <v>0.12</v>
      </c>
      <c r="M112" s="121" t="s">
        <v>1135</v>
      </c>
      <c r="N112" s="52">
        <v>1.064516129</v>
      </c>
      <c r="O112" s="193" t="s">
        <v>334</v>
      </c>
      <c r="R112" s="38">
        <v>0</v>
      </c>
      <c r="S112" s="39" t="s">
        <v>935</v>
      </c>
      <c r="T112" s="40">
        <v>108</v>
      </c>
      <c r="U112" s="41" t="s">
        <v>935</v>
      </c>
      <c r="V112" s="42" t="s">
        <v>59</v>
      </c>
      <c r="X112" s="22">
        <v>10</v>
      </c>
      <c r="Z112" s="28" t="s">
        <v>57</v>
      </c>
      <c r="AA112" s="22" t="s">
        <v>58</v>
      </c>
      <c r="AB112" s="22" t="s">
        <v>1136</v>
      </c>
      <c r="AC112" s="22" t="s">
        <v>59</v>
      </c>
      <c r="AD112" s="176" t="s">
        <v>91</v>
      </c>
      <c r="AE112" s="23" t="s">
        <v>1137</v>
      </c>
      <c r="AF112" s="177" t="s">
        <v>1138</v>
      </c>
      <c r="AI112" s="23" t="s">
        <v>1139</v>
      </c>
      <c r="AJ112" s="193"/>
      <c r="AK112" s="193"/>
    </row>
    <row r="113" spans="1:39" hidden="1" x14ac:dyDescent="0.2">
      <c r="A113" s="187">
        <v>296</v>
      </c>
      <c r="B113" s="204" t="str">
        <f>IF(AND(A113&lt;&gt;"",ISNUMBER(A113)),VLOOKUP(A113,Studies!A:BR,2,FALSE),"")</f>
        <v>Kharasch 2011</v>
      </c>
      <c r="C113" s="204" t="str">
        <f>IF(AND(A113&lt;&gt;"",ISNUMBER(A113)),VLOOKUP(A113,Studies!A:BR,3,FALSE),"")</f>
        <v>https://www.ncbi.nlm.nih.gov/pubmed/21562488</v>
      </c>
      <c r="D113" s="204" t="str">
        <f>IF(AND(A113&lt;&gt;"",ISNUMBER(A113)),VLOOKUP(A113,Studies!A:BR,4,FALSE),"")</f>
        <v>iv with Perpetrator (Rifampicin @ 25 mg)</v>
      </c>
      <c r="E113" s="139" t="str">
        <f>IF(AND(A113&lt;&gt;"",ISNUMBER(A113)),VLOOKUP(A113,Studies!A:BR,5,FALSE),"")</f>
        <v>Midazolam</v>
      </c>
      <c r="F113" s="186" t="s">
        <v>53</v>
      </c>
      <c r="G113" s="205" t="str">
        <f>IF(AND(A113&lt;&gt;"",ISNUMBER(A113)),VLOOKUP(A113,Studies!A:BR,13,FALSE),"")</f>
        <v>IV</v>
      </c>
      <c r="H113" s="68" t="str">
        <f t="shared" si="4"/>
        <v>PO</v>
      </c>
      <c r="I113" s="205" t="str">
        <f>IF(AND(A113&lt;&gt;"",ISNUMBER(A113)),VLOOKUP(A113,Studies!A:BR,6,FALSE),"")</f>
        <v>Plasma</v>
      </c>
      <c r="J113" s="43">
        <v>0.63</v>
      </c>
      <c r="K113" s="187" t="s">
        <v>1000</v>
      </c>
      <c r="L113" s="76">
        <v>0.11</v>
      </c>
      <c r="M113" s="121" t="s">
        <v>1135</v>
      </c>
      <c r="N113" s="52">
        <v>0.83870967699999999</v>
      </c>
      <c r="O113" s="52" t="s">
        <v>334</v>
      </c>
      <c r="R113" s="38">
        <v>0</v>
      </c>
      <c r="S113" s="39" t="s">
        <v>935</v>
      </c>
      <c r="T113" s="40">
        <v>108</v>
      </c>
      <c r="U113" s="41" t="s">
        <v>935</v>
      </c>
      <c r="V113" s="42" t="s">
        <v>59</v>
      </c>
      <c r="X113" s="22">
        <v>25</v>
      </c>
      <c r="Z113" s="28" t="s">
        <v>57</v>
      </c>
      <c r="AA113" s="22" t="s">
        <v>58</v>
      </c>
      <c r="AB113" s="22" t="s">
        <v>1136</v>
      </c>
      <c r="AC113" s="22" t="s">
        <v>59</v>
      </c>
      <c r="AD113" s="176" t="s">
        <v>91</v>
      </c>
      <c r="AE113" s="23" t="s">
        <v>1137</v>
      </c>
      <c r="AF113" s="177" t="s">
        <v>1138</v>
      </c>
      <c r="AI113" s="23" t="s">
        <v>1139</v>
      </c>
    </row>
    <row r="114" spans="1:39" hidden="1" x14ac:dyDescent="0.2">
      <c r="A114" s="187">
        <v>297</v>
      </c>
      <c r="B114" s="204" t="str">
        <f>IF(AND(A114&lt;&gt;"",ISNUMBER(A114)),VLOOKUP(A114,Studies!A:BR,2,FALSE),"")</f>
        <v>Kharasch 2011</v>
      </c>
      <c r="C114" s="204" t="str">
        <f>IF(AND(A114&lt;&gt;"",ISNUMBER(A114)),VLOOKUP(A114,Studies!A:BR,3,FALSE),"")</f>
        <v>https://www.ncbi.nlm.nih.gov/pubmed/21562488</v>
      </c>
      <c r="D114" s="204" t="str">
        <f>IF(AND(A114&lt;&gt;"",ISNUMBER(A114)),VLOOKUP(A114,Studies!A:BR,4,FALSE),"")</f>
        <v>iv with Perpetrator (Rifampicin @ 75 mg)</v>
      </c>
      <c r="E114" s="139" t="str">
        <f>IF(AND(A114&lt;&gt;"",ISNUMBER(A114)),VLOOKUP(A114,Studies!A:BR,5,FALSE),"")</f>
        <v>Midazolam</v>
      </c>
      <c r="F114" s="186" t="s">
        <v>53</v>
      </c>
      <c r="G114" s="205" t="str">
        <f>IF(AND(A114&lt;&gt;"",ISNUMBER(A114)),VLOOKUP(A114,Studies!A:BR,13,FALSE),"")</f>
        <v>IV</v>
      </c>
      <c r="H114" s="68" t="str">
        <f t="shared" si="4"/>
        <v>PO</v>
      </c>
      <c r="I114" s="205" t="str">
        <f>IF(AND(A114&lt;&gt;"",ISNUMBER(A114)),VLOOKUP(A114,Studies!A:BR,6,FALSE),"")</f>
        <v>Plasma</v>
      </c>
      <c r="J114" s="43">
        <v>0.6</v>
      </c>
      <c r="K114" s="187" t="s">
        <v>1000</v>
      </c>
      <c r="L114" s="76">
        <v>0.12</v>
      </c>
      <c r="M114" s="121" t="s">
        <v>1135</v>
      </c>
      <c r="N114" s="52">
        <v>1.3225806449999999</v>
      </c>
      <c r="O114" s="52" t="s">
        <v>334</v>
      </c>
      <c r="R114" s="38">
        <v>0</v>
      </c>
      <c r="S114" s="39" t="s">
        <v>935</v>
      </c>
      <c r="T114" s="40">
        <v>108</v>
      </c>
      <c r="U114" s="41" t="s">
        <v>935</v>
      </c>
      <c r="V114" s="42" t="s">
        <v>59</v>
      </c>
      <c r="X114" s="22">
        <v>75</v>
      </c>
      <c r="Z114" s="28" t="s">
        <v>57</v>
      </c>
      <c r="AA114" s="22" t="s">
        <v>58</v>
      </c>
      <c r="AB114" s="22" t="s">
        <v>1136</v>
      </c>
      <c r="AC114" s="22" t="s">
        <v>59</v>
      </c>
      <c r="AD114" s="176" t="s">
        <v>91</v>
      </c>
      <c r="AE114" s="23" t="s">
        <v>1137</v>
      </c>
      <c r="AF114" s="177" t="s">
        <v>1138</v>
      </c>
      <c r="AI114" s="23" t="s">
        <v>1139</v>
      </c>
    </row>
    <row r="115" spans="1:39" hidden="1" x14ac:dyDescent="0.2">
      <c r="A115" s="187">
        <v>299</v>
      </c>
      <c r="B115" s="204" t="str">
        <f>IF(AND(A115&lt;&gt;"",ISNUMBER(A115)),VLOOKUP(A115,Studies!A:BR,2,FALSE),"")</f>
        <v>Kharasch 2011</v>
      </c>
      <c r="C115" s="204" t="str">
        <f>IF(AND(A115&lt;&gt;"",ISNUMBER(A115)),VLOOKUP(A115,Studies!A:BR,3,FALSE),"")</f>
        <v>https://www.ncbi.nlm.nih.gov/pubmed/21562488</v>
      </c>
      <c r="D115" s="204" t="str">
        <f>IF(AND(A115&lt;&gt;"",ISNUMBER(A115)),VLOOKUP(A115,Studies!A:BR,4,FALSE),"")</f>
        <v>iv with Perpetrator (Rifampicin @ 5 mg)</v>
      </c>
      <c r="E115" s="139" t="str">
        <f>IF(AND(A115&lt;&gt;"",ISNUMBER(A115)),VLOOKUP(A115,Studies!A:BR,5,FALSE),"")</f>
        <v>Alfentanil</v>
      </c>
      <c r="F115" s="42" t="s">
        <v>53</v>
      </c>
      <c r="G115" s="205" t="str">
        <f>IF(AND(A115&lt;&gt;"",ISNUMBER(A115)),VLOOKUP(A115,Studies!A:BR,13,FALSE),"")</f>
        <v>IV</v>
      </c>
      <c r="H115" s="138" t="str">
        <f t="shared" si="4"/>
        <v>PO</v>
      </c>
      <c r="I115" s="205" t="str">
        <f>IF(AND(A115&lt;&gt;"",ISNUMBER(A115)),VLOOKUP(A115,Studies!A:BR,6,FALSE),"")</f>
        <v>Plasma</v>
      </c>
      <c r="J115" s="43">
        <v>0.83</v>
      </c>
      <c r="K115" s="43" t="s">
        <v>1000</v>
      </c>
      <c r="L115" s="76">
        <v>0.16</v>
      </c>
      <c r="M115" s="121" t="s">
        <v>1135</v>
      </c>
      <c r="N115" s="52">
        <v>1.0392156859999999</v>
      </c>
      <c r="O115" s="193" t="s">
        <v>334</v>
      </c>
      <c r="R115" s="38">
        <v>0</v>
      </c>
      <c r="S115" s="39" t="s">
        <v>935</v>
      </c>
      <c r="T115" s="40">
        <v>109</v>
      </c>
      <c r="U115" s="41" t="s">
        <v>935</v>
      </c>
      <c r="V115" s="42" t="s">
        <v>59</v>
      </c>
      <c r="X115" s="22">
        <v>5</v>
      </c>
      <c r="Z115" s="28" t="s">
        <v>57</v>
      </c>
      <c r="AA115" s="22" t="s">
        <v>58</v>
      </c>
      <c r="AB115" s="22" t="s">
        <v>1136</v>
      </c>
      <c r="AC115" s="22" t="s">
        <v>59</v>
      </c>
      <c r="AD115" s="176" t="s">
        <v>91</v>
      </c>
      <c r="AE115" s="23" t="s">
        <v>1137</v>
      </c>
      <c r="AF115" s="177" t="s">
        <v>1138</v>
      </c>
      <c r="AI115" s="23" t="s">
        <v>1139</v>
      </c>
      <c r="AJ115" s="193"/>
      <c r="AK115" s="193"/>
      <c r="AL115" s="193"/>
      <c r="AM115" s="193"/>
    </row>
    <row r="116" spans="1:39" hidden="1" x14ac:dyDescent="0.2">
      <c r="A116" s="187">
        <v>300</v>
      </c>
      <c r="B116" s="204" t="str">
        <f>IF(AND(A116&lt;&gt;"",ISNUMBER(A116)),VLOOKUP(A116,Studies!A:BR,2,FALSE),"")</f>
        <v>Kharasch 2011</v>
      </c>
      <c r="C116" s="204" t="str">
        <f>IF(AND(A116&lt;&gt;"",ISNUMBER(A116)),VLOOKUP(A116,Studies!A:BR,3,FALSE),"")</f>
        <v>https://www.ncbi.nlm.nih.gov/pubmed/21562488</v>
      </c>
      <c r="D116" s="204" t="str">
        <f>IF(AND(A116&lt;&gt;"",ISNUMBER(A116)),VLOOKUP(A116,Studies!A:BR,4,FALSE),"")</f>
        <v>iv with Perpetrator (Rifampicin @ 10 mg)</v>
      </c>
      <c r="E116" s="139" t="str">
        <f>IF(AND(A116&lt;&gt;"",ISNUMBER(A116)),VLOOKUP(A116,Studies!A:BR,5,FALSE),"")</f>
        <v>Alfentanil</v>
      </c>
      <c r="F116" s="186" t="s">
        <v>53</v>
      </c>
      <c r="G116" s="205" t="str">
        <f>IF(AND(A116&lt;&gt;"",ISNUMBER(A116)),VLOOKUP(A116,Studies!A:BR,13,FALSE),"")</f>
        <v>IV</v>
      </c>
      <c r="H116" s="68" t="str">
        <f t="shared" si="4"/>
        <v>PO</v>
      </c>
      <c r="I116" s="205" t="str">
        <f>IF(AND(A116&lt;&gt;"",ISNUMBER(A116)),VLOOKUP(A116,Studies!A:BR,6,FALSE),"")</f>
        <v>Plasma</v>
      </c>
      <c r="J116" s="43">
        <v>0.75</v>
      </c>
      <c r="K116" s="187" t="s">
        <v>1000</v>
      </c>
      <c r="L116" s="76">
        <v>0.15</v>
      </c>
      <c r="M116" s="121" t="s">
        <v>1135</v>
      </c>
      <c r="N116" s="52">
        <v>1.0490196078</v>
      </c>
      <c r="O116" s="193" t="s">
        <v>334</v>
      </c>
      <c r="R116" s="38">
        <v>0</v>
      </c>
      <c r="S116" s="39" t="s">
        <v>935</v>
      </c>
      <c r="T116" s="40">
        <v>109</v>
      </c>
      <c r="U116" s="41" t="s">
        <v>935</v>
      </c>
      <c r="V116" s="42" t="s">
        <v>59</v>
      </c>
      <c r="X116" s="22">
        <v>10</v>
      </c>
      <c r="Z116" s="28" t="s">
        <v>57</v>
      </c>
      <c r="AA116" s="22" t="s">
        <v>58</v>
      </c>
      <c r="AB116" s="22" t="s">
        <v>1136</v>
      </c>
      <c r="AC116" s="22" t="s">
        <v>59</v>
      </c>
      <c r="AD116" s="176" t="s">
        <v>91</v>
      </c>
      <c r="AE116" s="23" t="s">
        <v>1137</v>
      </c>
      <c r="AF116" s="177" t="s">
        <v>1138</v>
      </c>
      <c r="AI116" s="23" t="s">
        <v>1139</v>
      </c>
      <c r="AJ116" s="193"/>
      <c r="AK116" s="193"/>
      <c r="AL116" s="193"/>
      <c r="AM116" s="193"/>
    </row>
    <row r="117" spans="1:39" hidden="1" x14ac:dyDescent="0.2">
      <c r="A117" s="187">
        <v>301</v>
      </c>
      <c r="B117" s="204" t="str">
        <f>IF(AND(A117&lt;&gt;"",ISNUMBER(A117)),VLOOKUP(A117,Studies!A:BR,2,FALSE),"")</f>
        <v>Kharasch 2011</v>
      </c>
      <c r="C117" s="204" t="str">
        <f>IF(AND(A117&lt;&gt;"",ISNUMBER(A117)),VLOOKUP(A117,Studies!A:BR,3,FALSE),"")</f>
        <v>https://www.ncbi.nlm.nih.gov/pubmed/21562488</v>
      </c>
      <c r="D117" s="204" t="str">
        <f>IF(AND(A117&lt;&gt;"",ISNUMBER(A117)),VLOOKUP(A117,Studies!A:BR,4,FALSE),"")</f>
        <v>iv with Perpetrator (Rifampicin @ 25 mg)</v>
      </c>
      <c r="E117" s="139" t="str">
        <f>IF(AND(A117&lt;&gt;"",ISNUMBER(A117)),VLOOKUP(A117,Studies!A:BR,5,FALSE),"")</f>
        <v>Alfentanil</v>
      </c>
      <c r="F117" s="42" t="s">
        <v>53</v>
      </c>
      <c r="G117" s="205" t="str">
        <f>IF(AND(A117&lt;&gt;"",ISNUMBER(A117)),VLOOKUP(A117,Studies!A:BR,13,FALSE),"")</f>
        <v>IV</v>
      </c>
      <c r="H117" s="138" t="str">
        <f t="shared" si="4"/>
        <v>PO</v>
      </c>
      <c r="I117" s="205" t="str">
        <f>IF(AND(A117&lt;&gt;"",ISNUMBER(A117)),VLOOKUP(A117,Studies!A:BR,6,FALSE),"")</f>
        <v>Plasma</v>
      </c>
      <c r="J117" s="43">
        <v>0.59</v>
      </c>
      <c r="K117" s="43" t="s">
        <v>1000</v>
      </c>
      <c r="L117" s="201">
        <v>0.12</v>
      </c>
      <c r="M117" s="121" t="s">
        <v>1135</v>
      </c>
      <c r="N117" s="52">
        <v>1</v>
      </c>
      <c r="O117" s="193" t="s">
        <v>334</v>
      </c>
      <c r="R117" s="38">
        <v>0</v>
      </c>
      <c r="S117" s="39" t="s">
        <v>935</v>
      </c>
      <c r="T117" s="40">
        <v>109</v>
      </c>
      <c r="U117" s="41" t="s">
        <v>935</v>
      </c>
      <c r="V117" s="42" t="s">
        <v>59</v>
      </c>
      <c r="X117" s="22">
        <v>25</v>
      </c>
      <c r="Z117" s="28" t="s">
        <v>57</v>
      </c>
      <c r="AA117" s="22" t="s">
        <v>58</v>
      </c>
      <c r="AB117" s="22" t="s">
        <v>1136</v>
      </c>
      <c r="AC117" s="22" t="s">
        <v>59</v>
      </c>
      <c r="AD117" s="176" t="s">
        <v>91</v>
      </c>
      <c r="AE117" s="23" t="s">
        <v>1137</v>
      </c>
      <c r="AF117" s="177" t="s">
        <v>1138</v>
      </c>
      <c r="AI117" s="23" t="s">
        <v>1139</v>
      </c>
    </row>
    <row r="118" spans="1:39" hidden="1" x14ac:dyDescent="0.2">
      <c r="A118" s="187">
        <v>302</v>
      </c>
      <c r="B118" s="204" t="str">
        <f>IF(AND(A118&lt;&gt;"",ISNUMBER(A118)),VLOOKUP(A118,Studies!A:BR,2,FALSE),"")</f>
        <v>Kharasch 2011</v>
      </c>
      <c r="C118" s="204" t="str">
        <f>IF(AND(A118&lt;&gt;"",ISNUMBER(A118)),VLOOKUP(A118,Studies!A:BR,3,FALSE),"")</f>
        <v>https://www.ncbi.nlm.nih.gov/pubmed/21562488</v>
      </c>
      <c r="D118" s="204" t="str">
        <f>IF(AND(A118&lt;&gt;"",ISNUMBER(A118)),VLOOKUP(A118,Studies!A:BR,4,FALSE),"")</f>
        <v>iv with Perpetrator (Rifampicin @ 75 mg)</v>
      </c>
      <c r="E118" s="139" t="str">
        <f>IF(AND(A118&lt;&gt;"",ISNUMBER(A118)),VLOOKUP(A118,Studies!A:BR,5,FALSE),"")</f>
        <v>Alfentanil</v>
      </c>
      <c r="F118" s="42" t="s">
        <v>53</v>
      </c>
      <c r="G118" s="205" t="str">
        <f>IF(AND(A118&lt;&gt;"",ISNUMBER(A118)),VLOOKUP(A118,Studies!A:BR,13,FALSE),"")</f>
        <v>IV</v>
      </c>
      <c r="H118" s="138" t="str">
        <f t="shared" si="4"/>
        <v>PO</v>
      </c>
      <c r="I118" s="205" t="str">
        <f>IF(AND(A118&lt;&gt;"",ISNUMBER(A118)),VLOOKUP(A118,Studies!A:BR,6,FALSE),"")</f>
        <v>Plasma</v>
      </c>
      <c r="J118" s="43">
        <v>0.51</v>
      </c>
      <c r="K118" s="43" t="s">
        <v>1000</v>
      </c>
      <c r="L118" s="201">
        <v>0.12</v>
      </c>
      <c r="M118" s="121" t="s">
        <v>1135</v>
      </c>
      <c r="N118" s="52">
        <v>1.0294117647000001</v>
      </c>
      <c r="O118" s="193" t="s">
        <v>334</v>
      </c>
      <c r="R118" s="38">
        <v>0</v>
      </c>
      <c r="S118" s="39" t="s">
        <v>935</v>
      </c>
      <c r="T118" s="40">
        <v>109</v>
      </c>
      <c r="U118" s="41" t="s">
        <v>935</v>
      </c>
      <c r="V118" s="42" t="s">
        <v>59</v>
      </c>
      <c r="X118" s="22">
        <v>75</v>
      </c>
      <c r="Z118" s="28" t="s">
        <v>57</v>
      </c>
      <c r="AA118" s="22" t="s">
        <v>58</v>
      </c>
      <c r="AB118" s="22" t="s">
        <v>1136</v>
      </c>
      <c r="AC118" s="22" t="s">
        <v>59</v>
      </c>
      <c r="AD118" s="176" t="s">
        <v>91</v>
      </c>
      <c r="AE118" s="23" t="s">
        <v>1137</v>
      </c>
      <c r="AF118" s="177" t="s">
        <v>1138</v>
      </c>
      <c r="AI118" s="23" t="s">
        <v>1139</v>
      </c>
    </row>
    <row r="119" spans="1:39" hidden="1" x14ac:dyDescent="0.2">
      <c r="A119" s="187">
        <v>304</v>
      </c>
      <c r="B119" s="204" t="str">
        <f>IF(AND(A119&lt;&gt;"",ISNUMBER(A119)),VLOOKUP(A119,Studies!A:BR,2,FALSE),"")</f>
        <v>Kharasch 2011</v>
      </c>
      <c r="C119" s="204" t="str">
        <f>IF(AND(A119&lt;&gt;"",ISNUMBER(A119)),VLOOKUP(A119,Studies!A:BR,3,FALSE),"")</f>
        <v>https://www.ncbi.nlm.nih.gov/pubmed/21562488</v>
      </c>
      <c r="D119" s="204" t="str">
        <f>IF(AND(A119&lt;&gt;"",ISNUMBER(A119)),VLOOKUP(A119,Studies!A:BR,4,FALSE),"")</f>
        <v>po with Perpetrator (Rifampicin @ 5 mg)</v>
      </c>
      <c r="E119" s="139" t="str">
        <f>IF(AND(A119&lt;&gt;"",ISNUMBER(A119)),VLOOKUP(A119,Studies!A:BR,5,FALSE),"")</f>
        <v>Midazolam</v>
      </c>
      <c r="F119" s="42" t="s">
        <v>53</v>
      </c>
      <c r="G119" s="205" t="str">
        <f>IF(AND(A119&lt;&gt;"",ISNUMBER(A119)),VLOOKUP(A119,Studies!A:BR,13,FALSE),"")</f>
        <v>PO</v>
      </c>
      <c r="H119" s="68" t="str">
        <f t="shared" si="4"/>
        <v>PO</v>
      </c>
      <c r="I119" s="205" t="str">
        <f>IF(AND(A119&lt;&gt;"",ISNUMBER(A119)),VLOOKUP(A119,Studies!A:BR,6,FALSE),"")</f>
        <v>Plasma</v>
      </c>
      <c r="J119" s="43">
        <v>0.8</v>
      </c>
      <c r="K119" s="43" t="s">
        <v>1000</v>
      </c>
      <c r="L119" s="201">
        <v>0.19</v>
      </c>
      <c r="M119" s="121" t="s">
        <v>1135</v>
      </c>
      <c r="N119" s="52">
        <v>0.8</v>
      </c>
      <c r="O119" s="52" t="s">
        <v>334</v>
      </c>
      <c r="R119" s="38">
        <v>0</v>
      </c>
      <c r="S119" s="39" t="s">
        <v>935</v>
      </c>
      <c r="T119" s="40">
        <v>132</v>
      </c>
      <c r="U119" s="41" t="s">
        <v>935</v>
      </c>
      <c r="V119" s="42" t="s">
        <v>59</v>
      </c>
      <c r="X119" s="22">
        <v>5</v>
      </c>
      <c r="Z119" s="28" t="s">
        <v>57</v>
      </c>
      <c r="AA119" s="22" t="s">
        <v>58</v>
      </c>
      <c r="AB119" s="22" t="s">
        <v>1136</v>
      </c>
      <c r="AC119" s="22" t="s">
        <v>59</v>
      </c>
      <c r="AD119" s="176" t="s">
        <v>91</v>
      </c>
      <c r="AE119" s="23" t="s">
        <v>1137</v>
      </c>
      <c r="AF119" s="177" t="s">
        <v>1138</v>
      </c>
      <c r="AI119" s="23" t="s">
        <v>1139</v>
      </c>
    </row>
    <row r="120" spans="1:39" hidden="1" x14ac:dyDescent="0.2">
      <c r="A120" s="187">
        <v>305</v>
      </c>
      <c r="B120" s="204" t="str">
        <f>IF(AND(A120&lt;&gt;"",ISNUMBER(A120)),VLOOKUP(A120,Studies!A:BR,2,FALSE),"")</f>
        <v>Kharasch 2011</v>
      </c>
      <c r="C120" s="204" t="str">
        <f>IF(AND(A120&lt;&gt;"",ISNUMBER(A120)),VLOOKUP(A120,Studies!A:BR,3,FALSE),"")</f>
        <v>https://www.ncbi.nlm.nih.gov/pubmed/21562488</v>
      </c>
      <c r="D120" s="204" t="str">
        <f>IF(AND(A120&lt;&gt;"",ISNUMBER(A120)),VLOOKUP(A120,Studies!A:BR,4,FALSE),"")</f>
        <v>po with Perpetrator (Rifampicin @ 10 mg)</v>
      </c>
      <c r="E120" s="139" t="str">
        <f>IF(AND(A120&lt;&gt;"",ISNUMBER(A120)),VLOOKUP(A120,Studies!A:BR,5,FALSE),"")</f>
        <v>Midazolam</v>
      </c>
      <c r="F120" s="42" t="s">
        <v>53</v>
      </c>
      <c r="G120" s="205" t="str">
        <f>IF(AND(A120&lt;&gt;"",ISNUMBER(A120)),VLOOKUP(A120,Studies!A:BR,13,FALSE),"")</f>
        <v>PO</v>
      </c>
      <c r="H120" s="68" t="str">
        <f t="shared" si="4"/>
        <v>PO</v>
      </c>
      <c r="I120" s="205" t="str">
        <f>IF(AND(A120&lt;&gt;"",ISNUMBER(A120)),VLOOKUP(A120,Studies!A:BR,6,FALSE),"")</f>
        <v>Plasma</v>
      </c>
      <c r="J120" s="43">
        <v>0.68</v>
      </c>
      <c r="K120" s="43" t="s">
        <v>1000</v>
      </c>
      <c r="L120" s="76">
        <v>0.17</v>
      </c>
      <c r="M120" s="121" t="s">
        <v>1135</v>
      </c>
      <c r="N120" s="52">
        <v>0.93333332999999996</v>
      </c>
      <c r="O120" s="52" t="s">
        <v>334</v>
      </c>
      <c r="R120" s="38">
        <v>0</v>
      </c>
      <c r="S120" s="39" t="s">
        <v>935</v>
      </c>
      <c r="T120" s="40">
        <v>132</v>
      </c>
      <c r="U120" s="41" t="s">
        <v>935</v>
      </c>
      <c r="V120" s="42" t="s">
        <v>59</v>
      </c>
      <c r="X120" s="22">
        <v>10</v>
      </c>
      <c r="Z120" s="28" t="s">
        <v>57</v>
      </c>
      <c r="AA120" s="22" t="s">
        <v>58</v>
      </c>
      <c r="AB120" s="22" t="s">
        <v>1136</v>
      </c>
      <c r="AC120" s="22" t="s">
        <v>59</v>
      </c>
      <c r="AD120" s="176" t="s">
        <v>91</v>
      </c>
      <c r="AE120" s="23" t="s">
        <v>1137</v>
      </c>
      <c r="AF120" s="177" t="s">
        <v>1138</v>
      </c>
      <c r="AI120" s="23" t="s">
        <v>1139</v>
      </c>
    </row>
    <row r="121" spans="1:39" hidden="1" x14ac:dyDescent="0.2">
      <c r="A121" s="187">
        <v>306</v>
      </c>
      <c r="B121" s="204" t="str">
        <f>IF(AND(A121&lt;&gt;"",ISNUMBER(A121)),VLOOKUP(A121,Studies!A:BR,2,FALSE),"")</f>
        <v>Kharasch 2011</v>
      </c>
      <c r="C121" s="204" t="str">
        <f>IF(AND(A121&lt;&gt;"",ISNUMBER(A121)),VLOOKUP(A121,Studies!A:BR,3,FALSE),"")</f>
        <v>https://www.ncbi.nlm.nih.gov/pubmed/21562488</v>
      </c>
      <c r="D121" s="204" t="str">
        <f>IF(AND(A121&lt;&gt;"",ISNUMBER(A121)),VLOOKUP(A121,Studies!A:BR,4,FALSE),"")</f>
        <v>po with Perpetrator (Rifampicin @ 25 mg)</v>
      </c>
      <c r="E121" s="139" t="str">
        <f>IF(AND(A121&lt;&gt;"",ISNUMBER(A121)),VLOOKUP(A121,Studies!A:BR,5,FALSE),"")</f>
        <v>Midazolam</v>
      </c>
      <c r="F121" s="42" t="s">
        <v>53</v>
      </c>
      <c r="G121" s="205" t="str">
        <f>IF(AND(A121&lt;&gt;"",ISNUMBER(A121)),VLOOKUP(A121,Studies!A:BR,13,FALSE),"")</f>
        <v>PO</v>
      </c>
      <c r="H121" s="68" t="str">
        <f t="shared" si="4"/>
        <v>PO</v>
      </c>
      <c r="I121" s="205" t="str">
        <f>IF(AND(A121&lt;&gt;"",ISNUMBER(A121)),VLOOKUP(A121,Studies!A:BR,6,FALSE),"")</f>
        <v>Plasma</v>
      </c>
      <c r="J121" s="43">
        <v>0.4</v>
      </c>
      <c r="K121" s="43" t="s">
        <v>1000</v>
      </c>
      <c r="L121" s="76">
        <v>0.1</v>
      </c>
      <c r="M121" s="121" t="s">
        <v>1135</v>
      </c>
      <c r="N121" s="52">
        <v>0.50666666660000004</v>
      </c>
      <c r="O121" s="52" t="s">
        <v>334</v>
      </c>
      <c r="R121" s="38">
        <v>0</v>
      </c>
      <c r="S121" s="39" t="s">
        <v>935</v>
      </c>
      <c r="T121" s="40">
        <v>132</v>
      </c>
      <c r="U121" s="41" t="s">
        <v>935</v>
      </c>
      <c r="V121" s="42" t="s">
        <v>59</v>
      </c>
      <c r="X121" s="22">
        <v>25</v>
      </c>
      <c r="Z121" s="28" t="s">
        <v>57</v>
      </c>
      <c r="AA121" s="22" t="s">
        <v>58</v>
      </c>
      <c r="AB121" s="22" t="s">
        <v>1136</v>
      </c>
      <c r="AC121" s="22" t="s">
        <v>59</v>
      </c>
      <c r="AD121" s="176" t="s">
        <v>91</v>
      </c>
      <c r="AE121" s="23" t="s">
        <v>1137</v>
      </c>
      <c r="AF121" s="177" t="s">
        <v>1138</v>
      </c>
      <c r="AI121" s="23" t="s">
        <v>1139</v>
      </c>
    </row>
    <row r="122" spans="1:39" hidden="1" x14ac:dyDescent="0.2">
      <c r="A122" s="187">
        <v>307</v>
      </c>
      <c r="B122" s="204" t="str">
        <f>IF(AND(A122&lt;&gt;"",ISNUMBER(A122)),VLOOKUP(A122,Studies!A:BR,2,FALSE),"")</f>
        <v>Kharasch 2011</v>
      </c>
      <c r="C122" s="204" t="str">
        <f>IF(AND(A122&lt;&gt;"",ISNUMBER(A122)),VLOOKUP(A122,Studies!A:BR,3,FALSE),"")</f>
        <v>https://www.ncbi.nlm.nih.gov/pubmed/21562488</v>
      </c>
      <c r="D122" s="204" t="str">
        <f>IF(AND(A122&lt;&gt;"",ISNUMBER(A122)),VLOOKUP(A122,Studies!A:BR,4,FALSE),"")</f>
        <v>po with Perpetrator (Rifampicin @ 75 mg)</v>
      </c>
      <c r="E122" s="139" t="str">
        <f>IF(AND(A122&lt;&gt;"",ISNUMBER(A122)),VLOOKUP(A122,Studies!A:BR,5,FALSE),"")</f>
        <v>Midazolam</v>
      </c>
      <c r="F122" s="42" t="s">
        <v>53</v>
      </c>
      <c r="G122" s="205" t="str">
        <f>IF(AND(A122&lt;&gt;"",ISNUMBER(A122)),VLOOKUP(A122,Studies!A:BR,13,FALSE),"")</f>
        <v>PO</v>
      </c>
      <c r="H122" s="68" t="str">
        <f t="shared" si="4"/>
        <v>PO</v>
      </c>
      <c r="I122" s="205" t="str">
        <f>IF(AND(A122&lt;&gt;"",ISNUMBER(A122)),VLOOKUP(A122,Studies!A:BR,6,FALSE),"")</f>
        <v>Plasma</v>
      </c>
      <c r="J122" s="43">
        <v>0.25</v>
      </c>
      <c r="K122" s="43" t="s">
        <v>1000</v>
      </c>
      <c r="L122" s="76">
        <v>0.09</v>
      </c>
      <c r="M122" s="121" t="s">
        <v>1135</v>
      </c>
      <c r="N122" s="52">
        <v>0.34</v>
      </c>
      <c r="O122" s="52" t="s">
        <v>334</v>
      </c>
      <c r="R122" s="38">
        <v>0</v>
      </c>
      <c r="S122" s="39" t="s">
        <v>935</v>
      </c>
      <c r="T122" s="40">
        <v>132</v>
      </c>
      <c r="U122" s="41" t="s">
        <v>935</v>
      </c>
      <c r="V122" s="42" t="s">
        <v>59</v>
      </c>
      <c r="X122" s="22">
        <v>75</v>
      </c>
      <c r="Z122" s="28" t="s">
        <v>57</v>
      </c>
      <c r="AA122" s="22" t="s">
        <v>58</v>
      </c>
      <c r="AB122" s="22" t="s">
        <v>1136</v>
      </c>
      <c r="AC122" s="22" t="s">
        <v>59</v>
      </c>
      <c r="AD122" s="176" t="s">
        <v>91</v>
      </c>
      <c r="AE122" s="23" t="s">
        <v>1137</v>
      </c>
      <c r="AF122" s="177" t="s">
        <v>1138</v>
      </c>
      <c r="AI122" s="23" t="s">
        <v>1139</v>
      </c>
    </row>
    <row r="123" spans="1:39" hidden="1" x14ac:dyDescent="0.2">
      <c r="A123" s="187">
        <v>309</v>
      </c>
      <c r="B123" s="204" t="str">
        <f>IF(AND(A123&lt;&gt;"",ISNUMBER(A123)),VLOOKUP(A123,Studies!A:BR,2,FALSE),"")</f>
        <v>Kharasch 2011</v>
      </c>
      <c r="C123" s="204" t="str">
        <f>IF(AND(A123&lt;&gt;"",ISNUMBER(A123)),VLOOKUP(A123,Studies!A:BR,3,FALSE),"")</f>
        <v>https://www.ncbi.nlm.nih.gov/pubmed/21562488</v>
      </c>
      <c r="D123" s="204" t="str">
        <f>IF(AND(A123&lt;&gt;"",ISNUMBER(A123)),VLOOKUP(A123,Studies!A:BR,4,FALSE),"")</f>
        <v>po with Perpetrator (Rifampicin @ 5 mg)</v>
      </c>
      <c r="E123" s="139" t="str">
        <f>IF(AND(A123&lt;&gt;"",ISNUMBER(A123)),VLOOKUP(A123,Studies!A:BR,5,FALSE),"")</f>
        <v>Alfentanil</v>
      </c>
      <c r="F123" s="42" t="s">
        <v>53</v>
      </c>
      <c r="G123" s="205" t="str">
        <f>IF(AND(A123&lt;&gt;"",ISNUMBER(A123)),VLOOKUP(A123,Studies!A:BR,13,FALSE),"")</f>
        <v>PO</v>
      </c>
      <c r="H123" s="68" t="str">
        <f t="shared" si="4"/>
        <v>PO</v>
      </c>
      <c r="I123" s="205" t="str">
        <f>IF(AND(A123&lt;&gt;"",ISNUMBER(A123)),VLOOKUP(A123,Studies!A:BR,6,FALSE),"")</f>
        <v>Plasma</v>
      </c>
      <c r="J123" s="43">
        <v>0.74</v>
      </c>
      <c r="K123" s="43" t="s">
        <v>1000</v>
      </c>
      <c r="L123" s="76">
        <v>0.16</v>
      </c>
      <c r="M123" s="121" t="s">
        <v>1135</v>
      </c>
      <c r="N123" s="52">
        <v>0.86274509799999999</v>
      </c>
      <c r="O123" s="52" t="s">
        <v>334</v>
      </c>
      <c r="R123" s="38">
        <v>0</v>
      </c>
      <c r="S123" s="39" t="s">
        <v>935</v>
      </c>
      <c r="T123" s="40">
        <v>133</v>
      </c>
      <c r="U123" s="41" t="s">
        <v>935</v>
      </c>
      <c r="V123" s="42" t="s">
        <v>59</v>
      </c>
      <c r="X123" s="22">
        <v>5</v>
      </c>
      <c r="Z123" s="28" t="s">
        <v>57</v>
      </c>
      <c r="AA123" s="22" t="s">
        <v>58</v>
      </c>
      <c r="AB123" s="22" t="s">
        <v>1136</v>
      </c>
      <c r="AC123" s="22" t="s">
        <v>59</v>
      </c>
      <c r="AD123" s="176" t="s">
        <v>91</v>
      </c>
      <c r="AE123" s="23" t="s">
        <v>1137</v>
      </c>
      <c r="AF123" s="177" t="s">
        <v>1138</v>
      </c>
      <c r="AI123" s="23" t="s">
        <v>1139</v>
      </c>
    </row>
    <row r="124" spans="1:39" hidden="1" x14ac:dyDescent="0.2">
      <c r="A124" s="187">
        <v>310</v>
      </c>
      <c r="B124" s="204" t="str">
        <f>IF(AND(A124&lt;&gt;"",ISNUMBER(A124)),VLOOKUP(A124,Studies!A:BR,2,FALSE),"")</f>
        <v>Kharasch 2011</v>
      </c>
      <c r="C124" s="204" t="str">
        <f>IF(AND(A124&lt;&gt;"",ISNUMBER(A124)),VLOOKUP(A124,Studies!A:BR,3,FALSE),"")</f>
        <v>https://www.ncbi.nlm.nih.gov/pubmed/21562488</v>
      </c>
      <c r="D124" s="204" t="str">
        <f>IF(AND(A124&lt;&gt;"",ISNUMBER(A124)),VLOOKUP(A124,Studies!A:BR,4,FALSE),"")</f>
        <v>po with Perpetrator (Rifampicin @ 10 mg)</v>
      </c>
      <c r="E124" s="139" t="str">
        <f>IF(AND(A124&lt;&gt;"",ISNUMBER(A124)),VLOOKUP(A124,Studies!A:BR,5,FALSE),"")</f>
        <v>Alfentanil</v>
      </c>
      <c r="F124" s="42" t="s">
        <v>53</v>
      </c>
      <c r="G124" s="205" t="str">
        <f>IF(AND(A124&lt;&gt;"",ISNUMBER(A124)),VLOOKUP(A124,Studies!A:BR,13,FALSE),"")</f>
        <v>PO</v>
      </c>
      <c r="H124" s="138" t="str">
        <f t="shared" si="4"/>
        <v>PO</v>
      </c>
      <c r="I124" s="205" t="str">
        <f>IF(AND(A124&lt;&gt;"",ISNUMBER(A124)),VLOOKUP(A124,Studies!A:BR,6,FALSE),"")</f>
        <v>Plasma</v>
      </c>
      <c r="J124" s="43">
        <v>0.61</v>
      </c>
      <c r="K124" s="43" t="s">
        <v>1000</v>
      </c>
      <c r="L124" s="76">
        <v>0.23</v>
      </c>
      <c r="M124" s="121" t="s">
        <v>1135</v>
      </c>
      <c r="N124" s="52">
        <v>0.86274509799999999</v>
      </c>
      <c r="O124" s="52" t="s">
        <v>334</v>
      </c>
      <c r="R124" s="38">
        <v>0</v>
      </c>
      <c r="S124" s="39" t="s">
        <v>935</v>
      </c>
      <c r="T124" s="40">
        <v>133</v>
      </c>
      <c r="U124" s="41" t="s">
        <v>935</v>
      </c>
      <c r="V124" s="42" t="s">
        <v>59</v>
      </c>
      <c r="X124" s="22">
        <v>10</v>
      </c>
      <c r="Z124" s="28" t="s">
        <v>57</v>
      </c>
      <c r="AA124" s="22" t="s">
        <v>58</v>
      </c>
      <c r="AB124" s="22" t="s">
        <v>1136</v>
      </c>
      <c r="AC124" s="22" t="s">
        <v>59</v>
      </c>
      <c r="AD124" s="176" t="s">
        <v>91</v>
      </c>
      <c r="AE124" s="23" t="s">
        <v>1137</v>
      </c>
      <c r="AF124" s="177" t="s">
        <v>1138</v>
      </c>
      <c r="AI124" s="23" t="s">
        <v>1139</v>
      </c>
    </row>
    <row r="125" spans="1:39" hidden="1" x14ac:dyDescent="0.2">
      <c r="A125" s="187">
        <v>311</v>
      </c>
      <c r="B125" s="204" t="str">
        <f>IF(AND(A125&lt;&gt;"",ISNUMBER(A125)),VLOOKUP(A125,Studies!A:BR,2,FALSE),"")</f>
        <v>Kharasch 2011</v>
      </c>
      <c r="C125" s="204" t="str">
        <f>IF(AND(A125&lt;&gt;"",ISNUMBER(A125)),VLOOKUP(A125,Studies!A:BR,3,FALSE),"")</f>
        <v>https://www.ncbi.nlm.nih.gov/pubmed/21562488</v>
      </c>
      <c r="D125" s="204" t="str">
        <f>IF(AND(A125&lt;&gt;"",ISNUMBER(A125)),VLOOKUP(A125,Studies!A:BR,4,FALSE),"")</f>
        <v>po with Perpetrator (Rifampicin @ 25 mg)</v>
      </c>
      <c r="E125" s="139" t="str">
        <f>IF(AND(A125&lt;&gt;"",ISNUMBER(A125)),VLOOKUP(A125,Studies!A:BR,5,FALSE),"")</f>
        <v>Alfentanil</v>
      </c>
      <c r="F125" s="42" t="s">
        <v>53</v>
      </c>
      <c r="G125" s="205" t="str">
        <f>IF(AND(A125&lt;&gt;"",ISNUMBER(A125)),VLOOKUP(A125,Studies!A:BR,13,FALSE),"")</f>
        <v>PO</v>
      </c>
      <c r="H125" s="138" t="str">
        <f t="shared" si="4"/>
        <v>PO</v>
      </c>
      <c r="I125" s="205" t="str">
        <f>IF(AND(A125&lt;&gt;"",ISNUMBER(A125)),VLOOKUP(A125,Studies!A:BR,6,FALSE),"")</f>
        <v>Plasma</v>
      </c>
      <c r="J125" s="43">
        <v>0.3</v>
      </c>
      <c r="K125" s="43" t="s">
        <v>1000</v>
      </c>
      <c r="L125" s="76">
        <v>0.1</v>
      </c>
      <c r="M125" s="121" t="s">
        <v>1135</v>
      </c>
      <c r="N125" s="52">
        <v>0.49019607840000001</v>
      </c>
      <c r="O125" s="52" t="s">
        <v>334</v>
      </c>
      <c r="R125" s="38">
        <v>0</v>
      </c>
      <c r="S125" s="39" t="s">
        <v>935</v>
      </c>
      <c r="T125" s="40">
        <v>133</v>
      </c>
      <c r="U125" s="41" t="s">
        <v>935</v>
      </c>
      <c r="V125" s="42" t="s">
        <v>59</v>
      </c>
      <c r="X125" s="22">
        <v>25</v>
      </c>
      <c r="Z125" s="28" t="s">
        <v>57</v>
      </c>
      <c r="AA125" s="22" t="s">
        <v>58</v>
      </c>
      <c r="AB125" s="22" t="s">
        <v>1136</v>
      </c>
      <c r="AC125" s="22" t="s">
        <v>59</v>
      </c>
      <c r="AD125" s="176" t="s">
        <v>91</v>
      </c>
      <c r="AE125" s="23" t="s">
        <v>1137</v>
      </c>
      <c r="AF125" s="177" t="s">
        <v>1138</v>
      </c>
      <c r="AI125" s="23" t="s">
        <v>1139</v>
      </c>
    </row>
    <row r="126" spans="1:39" hidden="1" x14ac:dyDescent="0.2">
      <c r="A126" s="187">
        <v>312</v>
      </c>
      <c r="B126" s="204" t="str">
        <f>IF(AND(A126&lt;&gt;"",ISNUMBER(A126)),VLOOKUP(A126,Studies!A:BR,2,FALSE),"")</f>
        <v>Kharasch 2011</v>
      </c>
      <c r="C126" s="204" t="str">
        <f>IF(AND(A126&lt;&gt;"",ISNUMBER(A126)),VLOOKUP(A126,Studies!A:BR,3,FALSE),"")</f>
        <v>https://www.ncbi.nlm.nih.gov/pubmed/21562488</v>
      </c>
      <c r="D126" s="204" t="str">
        <f>IF(AND(A126&lt;&gt;"",ISNUMBER(A126)),VLOOKUP(A126,Studies!A:BR,4,FALSE),"")</f>
        <v>po with Perpetrator (Rifampicin @ 75 mg)</v>
      </c>
      <c r="E126" s="139" t="str">
        <f>IF(AND(A126&lt;&gt;"",ISNUMBER(A126)),VLOOKUP(A126,Studies!A:BR,5,FALSE),"")</f>
        <v>Alfentanil</v>
      </c>
      <c r="F126" s="42" t="s">
        <v>53</v>
      </c>
      <c r="G126" s="205" t="str">
        <f>IF(AND(A126&lt;&gt;"",ISNUMBER(A126)),VLOOKUP(A126,Studies!A:BR,13,FALSE),"")</f>
        <v>PO</v>
      </c>
      <c r="H126" s="68" t="str">
        <f t="shared" si="4"/>
        <v>PO</v>
      </c>
      <c r="I126" s="205" t="str">
        <f>IF(AND(A126&lt;&gt;"",ISNUMBER(A126)),VLOOKUP(A126,Studies!A:BR,6,FALSE),"")</f>
        <v>Plasma</v>
      </c>
      <c r="J126" s="43">
        <v>0.13</v>
      </c>
      <c r="K126" s="43" t="s">
        <v>1000</v>
      </c>
      <c r="L126" s="76">
        <v>0.06</v>
      </c>
      <c r="M126" s="121" t="s">
        <v>1135</v>
      </c>
      <c r="N126" s="52">
        <v>0.25490196078400001</v>
      </c>
      <c r="O126" s="52" t="s">
        <v>334</v>
      </c>
      <c r="R126" s="38">
        <v>0</v>
      </c>
      <c r="S126" s="39" t="s">
        <v>935</v>
      </c>
      <c r="T126" s="40">
        <v>133</v>
      </c>
      <c r="U126" s="41" t="s">
        <v>935</v>
      </c>
      <c r="V126" s="42" t="s">
        <v>59</v>
      </c>
      <c r="X126" s="22">
        <v>75</v>
      </c>
      <c r="Z126" s="28" t="s">
        <v>57</v>
      </c>
      <c r="AA126" s="22" t="s">
        <v>58</v>
      </c>
      <c r="AB126" s="22" t="s">
        <v>1136</v>
      </c>
      <c r="AC126" s="22" t="s">
        <v>59</v>
      </c>
      <c r="AD126" s="176" t="s">
        <v>91</v>
      </c>
      <c r="AE126" s="23" t="s">
        <v>1137</v>
      </c>
      <c r="AF126" s="177" t="s">
        <v>1138</v>
      </c>
      <c r="AI126" s="23" t="s">
        <v>1139</v>
      </c>
    </row>
    <row r="127" spans="1:39" hidden="1" x14ac:dyDescent="0.2">
      <c r="A127" s="30">
        <v>280</v>
      </c>
      <c r="B127" s="204" t="str">
        <f>IF(AND(A127&lt;&gt;"",ISNUMBER(A127)),VLOOKUP(A127,Studies!A:BR,2,FALSE),"")</f>
        <v>Kharasch 2004</v>
      </c>
      <c r="C127" s="204" t="str">
        <f>IF(AND(A127&lt;&gt;"",ISNUMBER(A127)),VLOOKUP(A127,Studies!A:BR,3,FALSE),"")</f>
        <v>https://www.ncbi.nlm.nih.gov/pubmed/15536460</v>
      </c>
      <c r="D127" s="204" t="str">
        <f>IF(AND(A127&lt;&gt;"",ISNUMBER(A127)),VLOOKUP(A127,Studies!A:BR,4,FALSE),"")</f>
        <v>iv with Perpetrator (Rifampicin)</v>
      </c>
      <c r="E127" s="139" t="str">
        <f>IF(AND(A127&lt;&gt;"",ISNUMBER(A127)),VLOOKUP(A127,Studies!A:BR,5,FALSE),"")</f>
        <v>Midazolam</v>
      </c>
      <c r="F127" s="42" t="s">
        <v>53</v>
      </c>
      <c r="G127" s="205" t="str">
        <f>IF(AND(A127&lt;&gt;"",ISNUMBER(A127)),VLOOKUP(A127,Studies!A:BR,13,FALSE),"")</f>
        <v>IV</v>
      </c>
      <c r="H127" s="68" t="str">
        <f t="shared" si="4"/>
        <v>PO</v>
      </c>
      <c r="I127" s="205" t="str">
        <f>IF(AND(A127&lt;&gt;"",ISNUMBER(A127)),VLOOKUP(A127,Studies!A:BR,6,FALSE),"")</f>
        <v>Plasma</v>
      </c>
      <c r="J127" s="43">
        <f>14.8/28.4</f>
        <v>0.52112676056338036</v>
      </c>
      <c r="K127" s="43" t="s">
        <v>1099</v>
      </c>
      <c r="N127" s="52">
        <f>50.7/50.2</f>
        <v>1.0099601593625498</v>
      </c>
      <c r="O127" s="52" t="s">
        <v>1100</v>
      </c>
      <c r="R127" s="38">
        <v>0</v>
      </c>
      <c r="S127" s="39" t="s">
        <v>935</v>
      </c>
      <c r="T127" s="40">
        <v>104</v>
      </c>
      <c r="U127" s="41">
        <v>128</v>
      </c>
      <c r="V127" s="42" t="s">
        <v>59</v>
      </c>
      <c r="X127" s="22">
        <v>600</v>
      </c>
      <c r="Z127" s="28" t="s">
        <v>57</v>
      </c>
      <c r="AA127" s="22" t="s">
        <v>58</v>
      </c>
      <c r="AB127" s="22" t="s">
        <v>530</v>
      </c>
      <c r="AC127" s="22" t="s">
        <v>59</v>
      </c>
      <c r="AD127" s="176" t="s">
        <v>460</v>
      </c>
    </row>
    <row r="128" spans="1:39" hidden="1" x14ac:dyDescent="0.2">
      <c r="A128" s="30">
        <v>283</v>
      </c>
      <c r="B128" s="204" t="str">
        <f>IF(AND(A128&lt;&gt;"",ISNUMBER(A128)),VLOOKUP(A128,Studies!A:BR,2,FALSE),"")</f>
        <v>Kharasch 2004</v>
      </c>
      <c r="C128" s="204" t="str">
        <f>IF(AND(A128&lt;&gt;"",ISNUMBER(A128)),VLOOKUP(A128,Studies!A:BR,3,FALSE),"")</f>
        <v>https://www.ncbi.nlm.nih.gov/pubmed/15536460</v>
      </c>
      <c r="D128" s="204" t="str">
        <f>IF(AND(A128&lt;&gt;"",ISNUMBER(A128)),VLOOKUP(A128,Studies!A:BR,4,FALSE),"")</f>
        <v>iv with Perpetrator (Rifampicin)</v>
      </c>
      <c r="E128" s="139" t="str">
        <f>IF(AND(A128&lt;&gt;"",ISNUMBER(A128)),VLOOKUP(A128,Studies!A:BR,5,FALSE),"")</f>
        <v>Alfentanil</v>
      </c>
      <c r="F128" s="42" t="s">
        <v>53</v>
      </c>
      <c r="G128" s="205" t="str">
        <f>IF(AND(A128&lt;&gt;"",ISNUMBER(A128)),VLOOKUP(A128,Studies!A:BR,13,FALSE),"")</f>
        <v>IV</v>
      </c>
      <c r="H128" s="68" t="str">
        <f t="shared" si="4"/>
        <v>PO</v>
      </c>
      <c r="I128" s="205" t="str">
        <f>IF(AND(A128&lt;&gt;"",ISNUMBER(A128)),VLOOKUP(A128,Studies!A:BR,6,FALSE),"")</f>
        <v>Plasma</v>
      </c>
      <c r="J128" s="43">
        <f>24.3/64.8</f>
        <v>0.375</v>
      </c>
      <c r="K128" s="43" t="s">
        <v>1099</v>
      </c>
      <c r="N128" s="52">
        <f>90.5/90.2</f>
        <v>1.0033259423503325</v>
      </c>
      <c r="O128" s="52" t="s">
        <v>1100</v>
      </c>
      <c r="R128" s="38">
        <v>0</v>
      </c>
      <c r="S128" s="39" t="s">
        <v>935</v>
      </c>
      <c r="T128" s="40">
        <v>105</v>
      </c>
      <c r="U128" s="41">
        <v>129</v>
      </c>
      <c r="V128" s="42" t="s">
        <v>59</v>
      </c>
      <c r="X128" s="22">
        <v>600</v>
      </c>
      <c r="Z128" s="28" t="s">
        <v>57</v>
      </c>
      <c r="AA128" s="22" t="s">
        <v>58</v>
      </c>
      <c r="AB128" s="22" t="s">
        <v>530</v>
      </c>
      <c r="AC128" s="22" t="s">
        <v>59</v>
      </c>
      <c r="AD128" s="176" t="s">
        <v>460</v>
      </c>
    </row>
    <row r="129" spans="1:39" hidden="1" x14ac:dyDescent="0.2">
      <c r="A129" s="30">
        <v>286</v>
      </c>
      <c r="B129" s="204" t="str">
        <f>IF(AND(A129&lt;&gt;"",ISNUMBER(A129)),VLOOKUP(A129,Studies!A:BR,2,FALSE),"")</f>
        <v>Kharasch 2004</v>
      </c>
      <c r="C129" s="204" t="str">
        <f>IF(AND(A129&lt;&gt;"",ISNUMBER(A129)),VLOOKUP(A129,Studies!A:BR,3,FALSE),"")</f>
        <v>https://www.ncbi.nlm.nih.gov/pubmed/15536460</v>
      </c>
      <c r="D129" s="204" t="str">
        <f>IF(AND(A129&lt;&gt;"",ISNUMBER(A129)),VLOOKUP(A129,Studies!A:BR,4,FALSE),"")</f>
        <v>po #1 with Perpetrator (Rifampicin)</v>
      </c>
      <c r="E129" s="139" t="str">
        <f>IF(AND(A129&lt;&gt;"",ISNUMBER(A129)),VLOOKUP(A129,Studies!A:BR,5,FALSE),"")</f>
        <v>Midazolam</v>
      </c>
      <c r="F129" s="42" t="s">
        <v>53</v>
      </c>
      <c r="G129" s="205" t="str">
        <f>IF(AND(A129&lt;&gt;"",ISNUMBER(A129)),VLOOKUP(A129,Studies!A:BR,13,FALSE),"")</f>
        <v>PO</v>
      </c>
      <c r="H129" s="68" t="str">
        <f t="shared" si="4"/>
        <v>PO</v>
      </c>
      <c r="I129" s="205" t="str">
        <f>IF(AND(A129&lt;&gt;"",ISNUMBER(A129)),VLOOKUP(A129,Studies!A:BR,6,FALSE),"")</f>
        <v>Plasma</v>
      </c>
      <c r="J129" s="43">
        <f>1.1/20.9</f>
        <v>5.2631578947368432E-2</v>
      </c>
      <c r="K129" s="43" t="s">
        <v>1099</v>
      </c>
      <c r="N129" s="52">
        <f>1/9.1</f>
        <v>0.10989010989010989</v>
      </c>
      <c r="O129" s="52" t="s">
        <v>1100</v>
      </c>
      <c r="R129" s="38">
        <v>0</v>
      </c>
      <c r="S129" s="39" t="s">
        <v>935</v>
      </c>
      <c r="T129" s="40">
        <v>128</v>
      </c>
      <c r="U129" s="41" t="s">
        <v>935</v>
      </c>
      <c r="V129" s="42" t="s">
        <v>59</v>
      </c>
      <c r="X129" s="22">
        <v>600</v>
      </c>
      <c r="Z129" s="28" t="s">
        <v>57</v>
      </c>
      <c r="AA129" s="22" t="s">
        <v>58</v>
      </c>
      <c r="AB129" s="22" t="s">
        <v>530</v>
      </c>
      <c r="AC129" s="22" t="s">
        <v>59</v>
      </c>
      <c r="AD129" s="176" t="s">
        <v>460</v>
      </c>
    </row>
    <row r="130" spans="1:39" hidden="1" x14ac:dyDescent="0.2">
      <c r="A130" s="30">
        <v>288</v>
      </c>
      <c r="B130" s="204" t="str">
        <f>IF(AND(A130&lt;&gt;"",ISNUMBER(A130)),VLOOKUP(A130,Studies!A:BR,2,FALSE),"")</f>
        <v>Kharasch 2004</v>
      </c>
      <c r="C130" s="204" t="str">
        <f>IF(AND(A130&lt;&gt;"",ISNUMBER(A130)),VLOOKUP(A130,Studies!A:BR,3,FALSE),"")</f>
        <v>https://www.ncbi.nlm.nih.gov/pubmed/15536460</v>
      </c>
      <c r="D130" s="204" t="str">
        <f>IF(AND(A130&lt;&gt;"",ISNUMBER(A130)),VLOOKUP(A130,Studies!A:BR,4,FALSE),"")</f>
        <v>po #1 (60 µg/kg) with Perpetrator (Rifampicin)</v>
      </c>
      <c r="E130" s="139" t="str">
        <f>IF(AND(A130&lt;&gt;"",ISNUMBER(A130)),VLOOKUP(A130,Studies!A:BR,5,FALSE),"")</f>
        <v>Alfentanil</v>
      </c>
      <c r="F130" s="42" t="s">
        <v>53</v>
      </c>
      <c r="G130" s="205" t="str">
        <f>IF(AND(A130&lt;&gt;"",ISNUMBER(A130)),VLOOKUP(A130,Studies!A:BR,13,FALSE),"")</f>
        <v>PO</v>
      </c>
      <c r="H130" s="68" t="str">
        <f t="shared" si="4"/>
        <v>PO</v>
      </c>
      <c r="I130" s="205" t="str">
        <f>IF(AND(A130&lt;&gt;"",ISNUMBER(A130)),VLOOKUP(A130,Studies!A:BR,6,FALSE),"")</f>
        <v>Plasma</v>
      </c>
      <c r="J130" s="43">
        <f>4.7/103</f>
        <v>4.5631067961165048E-2</v>
      </c>
      <c r="K130" s="43" t="s">
        <v>1099</v>
      </c>
      <c r="N130" s="52">
        <f>5/45</f>
        <v>0.1111111111111111</v>
      </c>
      <c r="O130" s="52" t="s">
        <v>1100</v>
      </c>
      <c r="R130" s="38">
        <v>0</v>
      </c>
      <c r="S130" s="39" t="s">
        <v>935</v>
      </c>
      <c r="T130" s="40">
        <v>129</v>
      </c>
      <c r="U130" s="41" t="s">
        <v>935</v>
      </c>
      <c r="V130" s="42" t="s">
        <v>59</v>
      </c>
      <c r="X130" s="22">
        <v>600</v>
      </c>
      <c r="Z130" s="28" t="s">
        <v>57</v>
      </c>
      <c r="AA130" s="22" t="s">
        <v>58</v>
      </c>
      <c r="AB130" s="22" t="s">
        <v>530</v>
      </c>
      <c r="AC130" s="22" t="s">
        <v>59</v>
      </c>
      <c r="AD130" s="176" t="s">
        <v>460</v>
      </c>
    </row>
    <row r="131" spans="1:39" hidden="1" x14ac:dyDescent="0.2">
      <c r="A131" s="187">
        <v>276</v>
      </c>
      <c r="B131" s="204" t="str">
        <f>IF(AND(A131&lt;&gt;"",ISNUMBER(A131)),VLOOKUP(A131,Studies!A:BR,2,FALSE),"")</f>
        <v>Kharasch 1997</v>
      </c>
      <c r="C131" s="204" t="str">
        <f>IF(AND(A131&lt;&gt;"",ISNUMBER(A131)),VLOOKUP(A131,Studies!A:BR,3,FALSE),"")</f>
        <v>https://www.ncbi.nlm.nih.gov/pubmed/9232132</v>
      </c>
      <c r="D131" s="204" t="str">
        <f>IF(AND(A131&lt;&gt;"",ISNUMBER(A131)),VLOOKUP(A131,Studies!A:BR,4,FALSE),"")</f>
        <v>with Perpetrator (Rifampicin)</v>
      </c>
      <c r="E131" s="139" t="str">
        <f>IF(AND(A131&lt;&gt;"",ISNUMBER(A131)),VLOOKUP(A131,Studies!A:BR,5,FALSE),"")</f>
        <v>Midazolam</v>
      </c>
      <c r="F131" s="42" t="s">
        <v>53</v>
      </c>
      <c r="G131" s="205" t="str">
        <f>IF(AND(A131&lt;&gt;"",ISNUMBER(A131)),VLOOKUP(A131,Studies!A:BR,13,FALSE),"")</f>
        <v>IV</v>
      </c>
      <c r="H131" s="68" t="str">
        <f t="shared" si="4"/>
        <v>PO</v>
      </c>
      <c r="I131" s="205" t="str">
        <f>IF(AND(A131&lt;&gt;"",ISNUMBER(A131)),VLOOKUP(A131,Studies!A:BR,6,FALSE),"")</f>
        <v>Plasma</v>
      </c>
      <c r="J131" s="43">
        <f>3.3/8.7</f>
        <v>0.37931034482758624</v>
      </c>
      <c r="K131" s="43" t="s">
        <v>1099</v>
      </c>
      <c r="R131" s="38">
        <v>0</v>
      </c>
      <c r="S131" s="39" t="s">
        <v>935</v>
      </c>
      <c r="T131" s="40">
        <f>4*24+24</f>
        <v>120</v>
      </c>
      <c r="U131" s="41" t="s">
        <v>935</v>
      </c>
      <c r="V131" s="42" t="s">
        <v>59</v>
      </c>
      <c r="W131" s="120" t="s">
        <v>1150</v>
      </c>
      <c r="X131" s="158">
        <v>600</v>
      </c>
      <c r="Y131" s="159"/>
      <c r="Z131" s="159" t="s">
        <v>57</v>
      </c>
      <c r="AA131" s="158" t="s">
        <v>58</v>
      </c>
      <c r="AB131" s="22" t="s">
        <v>182</v>
      </c>
      <c r="AC131" s="158" t="s">
        <v>59</v>
      </c>
      <c r="AD131" s="158" t="s">
        <v>91</v>
      </c>
      <c r="AE131" s="174"/>
      <c r="AF131" s="174"/>
      <c r="AG131" s="174"/>
      <c r="AH131" s="175"/>
      <c r="AI131" s="175"/>
    </row>
    <row r="132" spans="1:39" hidden="1" x14ac:dyDescent="0.2">
      <c r="A132" s="187">
        <v>278</v>
      </c>
      <c r="B132" s="204" t="str">
        <f>IF(AND(A132&lt;&gt;"",ISNUMBER(A132)),VLOOKUP(A132,Studies!A:BR,2,FALSE),"")</f>
        <v>Kharasch 1997</v>
      </c>
      <c r="C132" s="204" t="str">
        <f>IF(AND(A132&lt;&gt;"",ISNUMBER(A132)),VLOOKUP(A132,Studies!A:BR,3,FALSE),"")</f>
        <v>https://www.ncbi.nlm.nih.gov/pubmed/9232132</v>
      </c>
      <c r="D132" s="204" t="str">
        <f>IF(AND(A132&lt;&gt;"",ISNUMBER(A132)),VLOOKUP(A132,Studies!A:BR,4,FALSE),"")</f>
        <v>with Perpetrator (Rifampicin)</v>
      </c>
      <c r="E132" s="139" t="str">
        <f>IF(AND(A132&lt;&gt;"",ISNUMBER(A132)),VLOOKUP(A132,Studies!A:BR,5,FALSE),"")</f>
        <v>Alfentanil</v>
      </c>
      <c r="F132" s="42" t="s">
        <v>53</v>
      </c>
      <c r="G132" s="205" t="str">
        <f>IF(AND(A132&lt;&gt;"",ISNUMBER(A132)),VLOOKUP(A132,Studies!A:BR,13,FALSE),"")</f>
        <v>IV</v>
      </c>
      <c r="H132" s="68" t="str">
        <f t="shared" si="4"/>
        <v>PO</v>
      </c>
      <c r="I132" s="205" t="str">
        <f>IF(AND(A132&lt;&gt;"",ISNUMBER(A132)),VLOOKUP(A132,Studies!A:BR,6,FALSE),"")</f>
        <v>Plasma</v>
      </c>
      <c r="J132" s="43">
        <f>5.3/14.6</f>
        <v>0.36301369863013699</v>
      </c>
      <c r="K132" s="43" t="s">
        <v>1099</v>
      </c>
      <c r="R132" s="38">
        <v>0</v>
      </c>
      <c r="S132" s="39" t="s">
        <v>935</v>
      </c>
      <c r="T132" s="40">
        <v>120.5</v>
      </c>
      <c r="U132" s="41" t="s">
        <v>935</v>
      </c>
      <c r="V132" s="42" t="s">
        <v>59</v>
      </c>
      <c r="W132" s="120" t="s">
        <v>1150</v>
      </c>
      <c r="X132" s="158">
        <v>600</v>
      </c>
      <c r="Y132" s="159"/>
      <c r="Z132" s="159" t="s">
        <v>57</v>
      </c>
      <c r="AA132" s="158" t="s">
        <v>58</v>
      </c>
      <c r="AB132" s="22" t="s">
        <v>182</v>
      </c>
      <c r="AC132" s="158" t="s">
        <v>59</v>
      </c>
      <c r="AD132" s="158" t="s">
        <v>91</v>
      </c>
      <c r="AE132" s="174"/>
      <c r="AF132" s="174"/>
      <c r="AG132" s="174"/>
      <c r="AH132" s="175"/>
      <c r="AI132" s="175"/>
    </row>
    <row r="133" spans="1:39" hidden="1" x14ac:dyDescent="0.2">
      <c r="A133" s="30">
        <v>642</v>
      </c>
      <c r="B133" s="204" t="str">
        <f>IF(AND(A133&lt;&gt;"",ISNUMBER(A133)),VLOOKUP(A133,Studies!A:BR,2,FALSE),"")</f>
        <v>Kasichayanula 2013a</v>
      </c>
      <c r="C133" s="204" t="str">
        <f>IF(AND(A133&lt;&gt;"",ISNUMBER(A133)),VLOOKUP(A133,Studies!A:BR,3,FALSE),"")</f>
        <v>https://www.ncbi.nlm.nih.gov/pubmed/23061428</v>
      </c>
      <c r="D133" s="204" t="str">
        <f>IF(AND(A133&lt;&gt;"",ISNUMBER(A133)),VLOOKUP(A133,Studies!A:BR,4,FALSE),"")</f>
        <v>Study 2: with Perpetrator (Mefenamic Acid)</v>
      </c>
      <c r="E133" s="139" t="str">
        <f>IF(AND(A133&lt;&gt;"",ISNUMBER(A133)),VLOOKUP(A133,Studies!A:BR,5,FALSE),"")</f>
        <v>Dapagliflozin</v>
      </c>
      <c r="F133" s="42" t="s">
        <v>1637</v>
      </c>
      <c r="G133" s="205" t="str">
        <f>IF(AND(A133&lt;&gt;"",ISNUMBER(A133)),VLOOKUP(A133,Studies!A:BR,13,FALSE),"")</f>
        <v>PO</v>
      </c>
      <c r="H133" s="68" t="s">
        <v>58</v>
      </c>
      <c r="I133" s="205" t="str">
        <f>IF(AND(A133&lt;&gt;"",ISNUMBER(A133)),VLOOKUP(A133,Studies!A:BR,6,FALSE),"")</f>
        <v>Plasma</v>
      </c>
      <c r="J133" s="43">
        <v>1.51</v>
      </c>
      <c r="K133" s="43" t="s">
        <v>1000</v>
      </c>
      <c r="L133" s="76" t="s">
        <v>1639</v>
      </c>
      <c r="M133" s="76" t="s">
        <v>1156</v>
      </c>
      <c r="N133" s="52">
        <v>1.1299999999999999</v>
      </c>
      <c r="O133" s="52" t="s">
        <v>1000</v>
      </c>
      <c r="P133" s="84" t="s">
        <v>1641</v>
      </c>
      <c r="Q133" s="84" t="s">
        <v>1156</v>
      </c>
      <c r="R133" s="38">
        <v>0</v>
      </c>
      <c r="S133" s="39" t="s">
        <v>935</v>
      </c>
      <c r="T133" s="40">
        <v>24</v>
      </c>
      <c r="U133" s="41" t="s">
        <v>935</v>
      </c>
      <c r="V133" s="42" t="s">
        <v>59</v>
      </c>
      <c r="X133" s="22" t="s">
        <v>1726</v>
      </c>
      <c r="Y133" s="137"/>
      <c r="Z133" s="137" t="s">
        <v>57</v>
      </c>
      <c r="AA133" s="22" t="s">
        <v>58</v>
      </c>
      <c r="AB133" s="22" t="s">
        <v>1645</v>
      </c>
      <c r="AC133" s="136" t="s">
        <v>59</v>
      </c>
      <c r="AD133" s="176" t="s">
        <v>1642</v>
      </c>
      <c r="AE133" s="174"/>
      <c r="AH133" s="178"/>
      <c r="AI133" s="178"/>
      <c r="AJ133" s="52" t="s">
        <v>1643</v>
      </c>
      <c r="AM133" s="52" t="s">
        <v>1644</v>
      </c>
    </row>
    <row r="134" spans="1:39" hidden="1" x14ac:dyDescent="0.2">
      <c r="A134" s="30">
        <v>643</v>
      </c>
      <c r="B134" s="204" t="str">
        <f>IF(AND(A134&lt;&gt;"",ISNUMBER(A134)),VLOOKUP(A134,Studies!A:BR,2,FALSE),"")</f>
        <v>Kasichayanula 2013a</v>
      </c>
      <c r="C134" s="204" t="str">
        <f>IF(AND(A134&lt;&gt;"",ISNUMBER(A134)),VLOOKUP(A134,Studies!A:BR,3,FALSE),"")</f>
        <v>https://www.ncbi.nlm.nih.gov/pubmed/23061428</v>
      </c>
      <c r="D134" s="204" t="str">
        <f>IF(AND(A134&lt;&gt;"",ISNUMBER(A134)),VLOOKUP(A134,Studies!A:BR,4,FALSE),"")</f>
        <v>Study 1: with Perpetrator (Rifampicin)</v>
      </c>
      <c r="E134" s="139" t="str">
        <f>IF(AND(A134&lt;&gt;"",ISNUMBER(A134)),VLOOKUP(A134,Studies!A:BR,5,FALSE),"")</f>
        <v>Dapagliflozin</v>
      </c>
      <c r="F134" s="42" t="s">
        <v>53</v>
      </c>
      <c r="G134" s="205" t="str">
        <f>IF(AND(A134&lt;&gt;"",ISNUMBER(A134)),VLOOKUP(A134,Studies!A:BR,13,FALSE),"")</f>
        <v>PO</v>
      </c>
      <c r="H134" s="68" t="s">
        <v>58</v>
      </c>
      <c r="I134" s="205" t="str">
        <f>IF(AND(A134&lt;&gt;"",ISNUMBER(A134)),VLOOKUP(A134,Studies!A:BR,6,FALSE),"")</f>
        <v>Plasma</v>
      </c>
      <c r="J134" s="43">
        <v>0.78</v>
      </c>
      <c r="K134" s="43" t="s">
        <v>1000</v>
      </c>
      <c r="L134" s="76" t="s">
        <v>1638</v>
      </c>
      <c r="M134" s="76" t="s">
        <v>1156</v>
      </c>
      <c r="N134" s="52">
        <v>0.93</v>
      </c>
      <c r="O134" s="52" t="s">
        <v>1000</v>
      </c>
      <c r="P134" s="84" t="s">
        <v>1640</v>
      </c>
      <c r="Q134" s="84" t="s">
        <v>1156</v>
      </c>
      <c r="R134" s="38">
        <v>0</v>
      </c>
      <c r="S134" s="39" t="s">
        <v>935</v>
      </c>
      <c r="T134" s="40">
        <v>120</v>
      </c>
      <c r="U134" s="41" t="s">
        <v>935</v>
      </c>
      <c r="V134" s="42" t="s">
        <v>59</v>
      </c>
      <c r="X134" s="22">
        <v>600</v>
      </c>
      <c r="Y134" s="137"/>
      <c r="Z134" s="137" t="s">
        <v>57</v>
      </c>
      <c r="AA134" s="22" t="s">
        <v>58</v>
      </c>
      <c r="AB134" s="22" t="s">
        <v>1477</v>
      </c>
      <c r="AC134" s="136" t="s">
        <v>59</v>
      </c>
      <c r="AD134" s="176" t="s">
        <v>166</v>
      </c>
      <c r="AH134" s="178"/>
      <c r="AI134" s="178"/>
    </row>
    <row r="135" spans="1:39" hidden="1" x14ac:dyDescent="0.2">
      <c r="A135" s="30">
        <v>2007</v>
      </c>
      <c r="B135" s="204" t="str">
        <f>IF(AND(A135&lt;&gt;"",ISNUMBER(A135)),VLOOKUP(A135,Studies!A:BR,2,FALSE),"")</f>
        <v>Kashuba 1998</v>
      </c>
      <c r="C135" s="204" t="str">
        <f>IF(AND(A135&lt;&gt;"",ISNUMBER(A135)),VLOOKUP(A135,Studies!A:BR,3,FALSE),"")</f>
        <v>https://www.ncbi.nlm.nih.gov/pubmed/9757149</v>
      </c>
      <c r="D135" s="204" t="str">
        <f>IF(AND(A135&lt;&gt;"",ISNUMBER(A135)),VLOOKUP(A135,Studies!A:BR,4,FALSE),"")</f>
        <v>Midazolam after Fluvoxamine</v>
      </c>
      <c r="E135" s="139" t="str">
        <f>IF(AND(A135&lt;&gt;"",ISNUMBER(A135)),VLOOKUP(A135,Studies!A:BR,5,FALSE),"")</f>
        <v>Midazolam</v>
      </c>
      <c r="F135" s="42" t="s">
        <v>1091</v>
      </c>
      <c r="G135" s="205" t="str">
        <f>IF(AND(A135&lt;&gt;"",ISNUMBER(A135)),VLOOKUP(A135,Studies!A:BR,13,FALSE),"")</f>
        <v>IV</v>
      </c>
      <c r="H135" s="68" t="s">
        <v>58</v>
      </c>
      <c r="I135" s="205" t="str">
        <f>IF(AND(A135&lt;&gt;"",ISNUMBER(A135)),VLOOKUP(A135,Studies!A:BR,6,FALSE),"")</f>
        <v>Plasma</v>
      </c>
      <c r="J135" s="43">
        <f>0.0081/0.0054</f>
        <v>1.4999999999999998</v>
      </c>
      <c r="K135" s="43" t="s">
        <v>1099</v>
      </c>
      <c r="R135" s="38">
        <v>0</v>
      </c>
      <c r="S135" s="39" t="s">
        <v>935</v>
      </c>
      <c r="T135" s="40">
        <f>(349+685)/2</f>
        <v>517</v>
      </c>
      <c r="U135" s="41" t="s">
        <v>935</v>
      </c>
      <c r="V135" s="42" t="s">
        <v>59</v>
      </c>
      <c r="W135" s="181" t="s">
        <v>2884</v>
      </c>
      <c r="X135" s="176" t="s">
        <v>2617</v>
      </c>
      <c r="Y135" s="180"/>
      <c r="Z135" s="180" t="s">
        <v>57</v>
      </c>
      <c r="AA135" s="176" t="s">
        <v>58</v>
      </c>
      <c r="AB135" s="176" t="s">
        <v>2682</v>
      </c>
      <c r="AC135" s="176" t="s">
        <v>59</v>
      </c>
      <c r="AD135" s="176" t="s">
        <v>2985</v>
      </c>
      <c r="AE135" s="23" t="s">
        <v>2630</v>
      </c>
      <c r="AF135" s="177" t="s">
        <v>2683</v>
      </c>
    </row>
    <row r="136" spans="1:39" hidden="1" x14ac:dyDescent="0.2">
      <c r="A136" s="187">
        <v>271</v>
      </c>
      <c r="B136" s="204" t="str">
        <f>IF(AND(A136&lt;&gt;"",ISNUMBER(A136)),VLOOKUP(A136,Studies!A:BR,2,FALSE),"")</f>
        <v>Jalava 1997</v>
      </c>
      <c r="C136" s="204" t="str">
        <f>IF(AND(A136&lt;&gt;"",ISNUMBER(A136)),VLOOKUP(A136,Studies!A:BR,3,FALSE),"")</f>
        <v>https://www.ncbi.nlm.nih.gov/pubmed/9421099</v>
      </c>
      <c r="D136" s="204" t="str">
        <f>IF(AND(A136&lt;&gt;"",ISNUMBER(A136)),VLOOKUP(A136,Studies!A:BR,4,FALSE),"")</f>
        <v>po with Perpetrator (Itraconazole)</v>
      </c>
      <c r="E136" s="139" t="str">
        <f>IF(AND(A136&lt;&gt;"",ISNUMBER(A136)),VLOOKUP(A136,Studies!A:BR,5,FALSE),"")</f>
        <v>Digoxin</v>
      </c>
      <c r="F136" s="42" t="s">
        <v>148</v>
      </c>
      <c r="G136" s="205" t="str">
        <f>IF(AND(A136&lt;&gt;"",ISNUMBER(A136)),VLOOKUP(A136,Studies!A:BR,13,FALSE),"")</f>
        <v>PO</v>
      </c>
      <c r="H136" s="68" t="s">
        <v>58</v>
      </c>
      <c r="I136" s="205" t="str">
        <f>IF(AND(A136&lt;&gt;"",ISNUMBER(A136)),VLOOKUP(A136,Studies!A:BR,6,FALSE),"")</f>
        <v>Serum</v>
      </c>
      <c r="J136" s="43">
        <v>168</v>
      </c>
      <c r="K136" s="43" t="s">
        <v>334</v>
      </c>
      <c r="N136" s="52">
        <v>134</v>
      </c>
      <c r="O136" s="52" t="s">
        <v>334</v>
      </c>
      <c r="R136" s="38">
        <v>0</v>
      </c>
      <c r="S136" s="39" t="s">
        <v>935</v>
      </c>
      <c r="T136" s="40">
        <v>49</v>
      </c>
      <c r="U136" s="41" t="s">
        <v>935</v>
      </c>
      <c r="V136" s="42" t="s">
        <v>59</v>
      </c>
      <c r="X136" s="136">
        <v>200</v>
      </c>
      <c r="Y136" s="137"/>
      <c r="Z136" s="137" t="s">
        <v>57</v>
      </c>
      <c r="AA136" s="136"/>
      <c r="AB136" s="136" t="s">
        <v>182</v>
      </c>
      <c r="AC136" s="136"/>
      <c r="AD136" s="136"/>
      <c r="AE136" s="174"/>
      <c r="AF136" s="174" t="s">
        <v>1394</v>
      </c>
      <c r="AG136" s="174"/>
      <c r="AH136" s="175">
        <v>120</v>
      </c>
      <c r="AI136" s="175"/>
    </row>
    <row r="137" spans="1:39" hidden="1" x14ac:dyDescent="0.2">
      <c r="A137" s="30">
        <v>571</v>
      </c>
      <c r="B137" s="204" t="str">
        <f>IF(AND(A137&lt;&gt;"",ISNUMBER(A137)),VLOOKUP(A137,Studies!A:BR,2,FALSE),"")</f>
        <v>Iwamoto 2008</v>
      </c>
      <c r="C137" s="204" t="str">
        <f>IF(AND(A137&lt;&gt;"",ISNUMBER(A137)),VLOOKUP(A137,Studies!A:BR,3,FALSE),"")</f>
        <v>https://www.ncbi.nlm.nih.gov/pubmed/18513146</v>
      </c>
      <c r="D137" s="204" t="str">
        <f>IF(AND(A137&lt;&gt;"",ISNUMBER(A137)),VLOOKUP(A137,Studies!A:BR,4,FALSE),"")</f>
        <v>Study I, Period 2 (ATV treatment)</v>
      </c>
      <c r="E137" s="139" t="str">
        <f>IF(AND(A137&lt;&gt;"",ISNUMBER(A137)),VLOOKUP(A137,Studies!A:BR,5,FALSE),"")</f>
        <v>Raltegravir</v>
      </c>
      <c r="F137" s="42" t="s">
        <v>1405</v>
      </c>
      <c r="G137" s="205" t="str">
        <f>IF(AND(A137&lt;&gt;"",ISNUMBER(A137)),VLOOKUP(A137,Studies!A:BR,13,FALSE),"")</f>
        <v>PO</v>
      </c>
      <c r="H137" s="68" t="s">
        <v>58</v>
      </c>
      <c r="I137" s="205" t="str">
        <f>IF(AND(A137&lt;&gt;"",ISNUMBER(A137)),VLOOKUP(A137,Studies!A:BR,6,FALSE),"")</f>
        <v>Plasma</v>
      </c>
      <c r="J137" s="43">
        <v>1.72</v>
      </c>
      <c r="K137" s="43" t="s">
        <v>1000</v>
      </c>
      <c r="L137" s="76" t="s">
        <v>1494</v>
      </c>
      <c r="M137" s="76" t="s">
        <v>1156</v>
      </c>
      <c r="N137" s="52">
        <v>1.53</v>
      </c>
      <c r="O137" s="52" t="s">
        <v>1000</v>
      </c>
      <c r="P137" s="84" t="s">
        <v>1495</v>
      </c>
      <c r="Q137" s="84" t="s">
        <v>1156</v>
      </c>
      <c r="R137" s="38">
        <v>0</v>
      </c>
      <c r="S137" s="39" t="s">
        <v>935</v>
      </c>
      <c r="T137" s="40">
        <v>144</v>
      </c>
      <c r="U137" s="41" t="s">
        <v>935</v>
      </c>
      <c r="V137" s="42" t="s">
        <v>59</v>
      </c>
      <c r="X137" s="22">
        <v>400</v>
      </c>
      <c r="Y137" s="137"/>
      <c r="Z137" s="137" t="s">
        <v>57</v>
      </c>
      <c r="AA137" s="22" t="s">
        <v>58</v>
      </c>
      <c r="AB137" s="22" t="s">
        <v>1496</v>
      </c>
      <c r="AC137" s="136" t="s">
        <v>59</v>
      </c>
      <c r="AD137" s="176" t="s">
        <v>1497</v>
      </c>
      <c r="AE137" s="174"/>
      <c r="AH137" s="178"/>
      <c r="AI137" s="178"/>
      <c r="AJ137" s="52" t="s">
        <v>435</v>
      </c>
    </row>
    <row r="138" spans="1:39" hidden="1" x14ac:dyDescent="0.2">
      <c r="A138" s="187">
        <v>227</v>
      </c>
      <c r="B138" s="204" t="str">
        <f>IF(AND(A138&lt;&gt;"",ISNUMBER(A138)),VLOOKUP(A138,Studies!A:BR,2,FALSE),"")</f>
        <v>Gurley 2008b</v>
      </c>
      <c r="C138" s="204" t="str">
        <f>IF(AND(A138&lt;&gt;"",ISNUMBER(A138)),VLOOKUP(A138,Studies!A:BR,3,FALSE),"")</f>
        <v>https://www.ncbi.nlm.nih.gov/pubmed/18214850</v>
      </c>
      <c r="D138" s="204" t="str">
        <f>IF(AND(A138&lt;&gt;"",ISNUMBER(A138)),VLOOKUP(A138,Studies!A:BR,4,FALSE),"")</f>
        <v>with Perpetrator (Rifampicin)</v>
      </c>
      <c r="E138" s="139" t="str">
        <f>IF(AND(A138&lt;&gt;"",ISNUMBER(A138)),VLOOKUP(A138,Studies!A:BR,5,FALSE),"")</f>
        <v>Digoxin</v>
      </c>
      <c r="F138" s="42" t="s">
        <v>53</v>
      </c>
      <c r="G138" s="205" t="str">
        <f>IF(AND(A138&lt;&gt;"",ISNUMBER(A138)),VLOOKUP(A138,Studies!A:BR,13,FALSE),"")</f>
        <v>PO</v>
      </c>
      <c r="H138" s="68" t="str">
        <f t="shared" ref="H138:H145" si="5">AA138</f>
        <v>PO</v>
      </c>
      <c r="I138" s="205" t="str">
        <f>IF(AND(A138&lt;&gt;"",ISNUMBER(A138)),VLOOKUP(A138,Studies!A:BR,6,FALSE),"")</f>
        <v>Serum</v>
      </c>
      <c r="J138" s="43">
        <v>0.69565217000000001</v>
      </c>
      <c r="K138" s="211" t="s">
        <v>1099</v>
      </c>
      <c r="N138" s="52">
        <v>0.61538461499999997</v>
      </c>
      <c r="O138" s="52" t="s">
        <v>334</v>
      </c>
      <c r="R138" s="38">
        <v>0</v>
      </c>
      <c r="S138" s="39" t="s">
        <v>935</v>
      </c>
      <c r="T138" s="40">
        <v>146</v>
      </c>
      <c r="U138" s="41" t="s">
        <v>935</v>
      </c>
      <c r="V138" s="42" t="s">
        <v>59</v>
      </c>
      <c r="X138" s="22">
        <v>300</v>
      </c>
      <c r="Z138" s="28" t="s">
        <v>57</v>
      </c>
      <c r="AA138" s="206" t="s">
        <v>58</v>
      </c>
      <c r="AB138" s="22" t="s">
        <v>1127</v>
      </c>
      <c r="AC138" s="22" t="s">
        <v>59</v>
      </c>
      <c r="AD138" s="176" t="s">
        <v>91</v>
      </c>
      <c r="AE138" s="23" t="s">
        <v>1128</v>
      </c>
      <c r="AF138" s="177" t="s">
        <v>1133</v>
      </c>
      <c r="AI138" s="23" t="s">
        <v>1130</v>
      </c>
    </row>
    <row r="139" spans="1:39" hidden="1" x14ac:dyDescent="0.2">
      <c r="A139" s="187">
        <v>229</v>
      </c>
      <c r="B139" s="204" t="str">
        <f>IF(AND(A139&lt;&gt;"",ISNUMBER(A139)),VLOOKUP(A139,Studies!A:BR,2,FALSE),"")</f>
        <v>Gurley 2008b</v>
      </c>
      <c r="C139" s="204" t="str">
        <f>IF(AND(A139&lt;&gt;"",ISNUMBER(A139)),VLOOKUP(A139,Studies!A:BR,3,FALSE),"")</f>
        <v>https://www.ncbi.nlm.nih.gov/pubmed/18214850</v>
      </c>
      <c r="D139" s="204" t="str">
        <f>IF(AND(A139&lt;&gt;"",ISNUMBER(A139)),VLOOKUP(A139,Studies!A:BR,4,FALSE),"")</f>
        <v>with Perpetrator (Clarithomycin)</v>
      </c>
      <c r="E139" s="139" t="str">
        <f>IF(AND(A139&lt;&gt;"",ISNUMBER(A139)),VLOOKUP(A139,Studies!A:BR,5,FALSE),"")</f>
        <v>Digoxin</v>
      </c>
      <c r="F139" s="42" t="s">
        <v>1110</v>
      </c>
      <c r="G139" s="205" t="str">
        <f>IF(AND(A139&lt;&gt;"",ISNUMBER(A139)),VLOOKUP(A139,Studies!A:BR,13,FALSE),"")</f>
        <v>PO</v>
      </c>
      <c r="H139" s="68" t="str">
        <f t="shared" si="5"/>
        <v>PO</v>
      </c>
      <c r="I139" s="205" t="str">
        <f>IF(AND(A139&lt;&gt;"",ISNUMBER(A139)),VLOOKUP(A139,Studies!A:BR,6,FALSE),"")</f>
        <v>Serum</v>
      </c>
      <c r="J139" s="43">
        <v>1.46575342</v>
      </c>
      <c r="K139" s="211" t="s">
        <v>1099</v>
      </c>
      <c r="N139" s="52">
        <v>1.75</v>
      </c>
      <c r="O139" s="52" t="s">
        <v>334</v>
      </c>
      <c r="R139" s="38">
        <v>0</v>
      </c>
      <c r="S139" s="39" t="s">
        <v>935</v>
      </c>
      <c r="T139" s="40">
        <v>144</v>
      </c>
      <c r="U139" s="41" t="s">
        <v>935</v>
      </c>
      <c r="V139" s="42" t="s">
        <v>59</v>
      </c>
      <c r="X139" s="22">
        <v>500</v>
      </c>
      <c r="Z139" s="28" t="s">
        <v>57</v>
      </c>
      <c r="AA139" s="206" t="s">
        <v>58</v>
      </c>
      <c r="AB139" s="22" t="s">
        <v>1127</v>
      </c>
      <c r="AC139" s="22" t="s">
        <v>59</v>
      </c>
      <c r="AD139" s="176" t="s">
        <v>91</v>
      </c>
      <c r="AE139" s="23" t="s">
        <v>1131</v>
      </c>
      <c r="AF139" s="177" t="s">
        <v>1134</v>
      </c>
      <c r="AI139" s="23" t="s">
        <v>1130</v>
      </c>
    </row>
    <row r="140" spans="1:39" hidden="1" x14ac:dyDescent="0.2">
      <c r="A140" s="187">
        <v>221</v>
      </c>
      <c r="B140" s="204" t="str">
        <f>IF(AND(A140&lt;&gt;"",ISNUMBER(A140)),VLOOKUP(A140,Studies!A:BR,2,FALSE),"")</f>
        <v>Gurley 2008a</v>
      </c>
      <c r="C140" s="204" t="str">
        <f>IF(AND(A140&lt;&gt;"",ISNUMBER(A140)),VLOOKUP(A140,Studies!A:BR,3,FALSE),"")</f>
        <v>https://www.ncbi.nlm.nih.gov/pubmed/17495878</v>
      </c>
      <c r="D140" s="204" t="str">
        <f>IF(AND(A140&lt;&gt;"",ISNUMBER(A140)),VLOOKUP(A140,Studies!A:BR,4,FALSE),"")</f>
        <v>with Perpetrator (Rifampicin)</v>
      </c>
      <c r="E140" s="139" t="str">
        <f>IF(AND(A140&lt;&gt;"",ISNUMBER(A140)),VLOOKUP(A140,Studies!A:BR,5,FALSE),"")</f>
        <v>Midazolam</v>
      </c>
      <c r="F140" s="42" t="s">
        <v>53</v>
      </c>
      <c r="G140" s="205" t="str">
        <f>IF(AND(A140&lt;&gt;"",ISNUMBER(A140)),VLOOKUP(A140,Studies!A:BR,13,FALSE),"")</f>
        <v>PO</v>
      </c>
      <c r="H140" s="68" t="str">
        <f t="shared" si="5"/>
        <v>PO</v>
      </c>
      <c r="I140" s="205" t="str">
        <f>IF(AND(A140&lt;&gt;"",ISNUMBER(A140)),VLOOKUP(A140,Studies!A:BR,6,FALSE),"")</f>
        <v>Plasma</v>
      </c>
      <c r="J140" s="211">
        <v>6.0317460316999999E-2</v>
      </c>
      <c r="K140" s="211" t="s">
        <v>1099</v>
      </c>
      <c r="N140" s="213">
        <v>0.107623318</v>
      </c>
      <c r="O140" s="213" t="s">
        <v>334</v>
      </c>
      <c r="R140" s="38">
        <v>0</v>
      </c>
      <c r="S140" s="39" t="s">
        <v>935</v>
      </c>
      <c r="T140" s="40">
        <v>146</v>
      </c>
      <c r="U140" s="41" t="s">
        <v>935</v>
      </c>
      <c r="V140" s="219" t="s">
        <v>59</v>
      </c>
      <c r="W140" s="220"/>
      <c r="X140" s="206">
        <v>300</v>
      </c>
      <c r="Y140" s="207"/>
      <c r="Z140" s="207" t="s">
        <v>57</v>
      </c>
      <c r="AA140" s="206" t="s">
        <v>58</v>
      </c>
      <c r="AB140" s="22" t="s">
        <v>1127</v>
      </c>
      <c r="AC140" s="206" t="s">
        <v>59</v>
      </c>
      <c r="AD140" s="206" t="s">
        <v>91</v>
      </c>
      <c r="AE140" s="208" t="s">
        <v>1128</v>
      </c>
      <c r="AF140" s="208" t="s">
        <v>1129</v>
      </c>
      <c r="AG140" s="209"/>
      <c r="AH140" s="208"/>
      <c r="AI140" s="208" t="s">
        <v>1130</v>
      </c>
    </row>
    <row r="141" spans="1:39" hidden="1" x14ac:dyDescent="0.2">
      <c r="A141" s="187">
        <v>223</v>
      </c>
      <c r="B141" s="204" t="str">
        <f>IF(AND(A141&lt;&gt;"",ISNUMBER(A141)),VLOOKUP(A141,Studies!A:BR,2,FALSE),"")</f>
        <v>Gurley 2008a</v>
      </c>
      <c r="C141" s="204" t="str">
        <f>IF(AND(A141&lt;&gt;"",ISNUMBER(A141)),VLOOKUP(A141,Studies!A:BR,3,FALSE),"")</f>
        <v>https://www.ncbi.nlm.nih.gov/pubmed/17495878</v>
      </c>
      <c r="D141" s="204" t="str">
        <f>IF(AND(A141&lt;&gt;"",ISNUMBER(A141)),VLOOKUP(A141,Studies!A:BR,4,FALSE),"")</f>
        <v>with Perpetrator (Clarithomycin)</v>
      </c>
      <c r="E141" s="139" t="str">
        <f>IF(AND(A141&lt;&gt;"",ISNUMBER(A141)),VLOOKUP(A141,Studies!A:BR,5,FALSE),"")</f>
        <v>Midazolam</v>
      </c>
      <c r="F141" s="42" t="s">
        <v>1110</v>
      </c>
      <c r="G141" s="205" t="str">
        <f>IF(AND(A141&lt;&gt;"",ISNUMBER(A141)),VLOOKUP(A141,Studies!A:BR,13,FALSE),"")</f>
        <v>PO</v>
      </c>
      <c r="H141" s="68" t="str">
        <f t="shared" si="5"/>
        <v>PO</v>
      </c>
      <c r="I141" s="205" t="str">
        <f>IF(AND(A141&lt;&gt;"",ISNUMBER(A141)),VLOOKUP(A141,Studies!A:BR,6,FALSE),"")</f>
        <v>Plasma</v>
      </c>
      <c r="J141" s="211">
        <v>5.4833983999999996</v>
      </c>
      <c r="K141" s="211" t="s">
        <v>1099</v>
      </c>
      <c r="N141" s="213">
        <v>2.1743295019</v>
      </c>
      <c r="O141" s="213" t="s">
        <v>334</v>
      </c>
      <c r="R141" s="38">
        <v>0</v>
      </c>
      <c r="S141" s="39" t="s">
        <v>935</v>
      </c>
      <c r="T141" s="40">
        <v>146</v>
      </c>
      <c r="U141" s="41" t="s">
        <v>935</v>
      </c>
      <c r="V141" s="219" t="s">
        <v>59</v>
      </c>
      <c r="W141" s="220"/>
      <c r="X141" s="206">
        <v>500</v>
      </c>
      <c r="Y141" s="207"/>
      <c r="Z141" s="207" t="s">
        <v>57</v>
      </c>
      <c r="AA141" s="206" t="s">
        <v>58</v>
      </c>
      <c r="AB141" s="22" t="s">
        <v>1127</v>
      </c>
      <c r="AC141" s="206" t="s">
        <v>59</v>
      </c>
      <c r="AD141" s="206" t="s">
        <v>91</v>
      </c>
      <c r="AE141" s="208" t="s">
        <v>1131</v>
      </c>
      <c r="AF141" s="208" t="s">
        <v>1132</v>
      </c>
      <c r="AG141" s="209"/>
      <c r="AH141" s="208"/>
      <c r="AI141" s="208" t="s">
        <v>1130</v>
      </c>
    </row>
    <row r="142" spans="1:39" hidden="1" x14ac:dyDescent="0.2">
      <c r="A142" s="187">
        <v>215</v>
      </c>
      <c r="B142" s="204" t="str">
        <f>IF(AND(A142&lt;&gt;"",ISNUMBER(A142)),VLOOKUP(A142,Studies!A:BR,2,FALSE),"")</f>
        <v>Gurley 2006</v>
      </c>
      <c r="C142" s="204" t="str">
        <f>IF(AND(A142&lt;&gt;"",ISNUMBER(A142)),VLOOKUP(A142,Studies!A:BR,3,FALSE),"")</f>
        <v>https://www.ncbi.nlm.nih.gov/pubmed/16432272</v>
      </c>
      <c r="D142" s="204" t="str">
        <f>IF(AND(A142&lt;&gt;"",ISNUMBER(A142)),VLOOKUP(A142,Studies!A:BR,4,FALSE),"")</f>
        <v>with Perpetrator (Rifampicin)</v>
      </c>
      <c r="E142" s="139" t="str">
        <f>IF(AND(A142&lt;&gt;"",ISNUMBER(A142)),VLOOKUP(A142,Studies!A:BR,5,FALSE),"")</f>
        <v>Midazolam</v>
      </c>
      <c r="F142" s="42" t="s">
        <v>53</v>
      </c>
      <c r="G142" s="205" t="str">
        <f>IF(AND(A142&lt;&gt;"",ISNUMBER(A142)),VLOOKUP(A142,Studies!A:BR,13,FALSE),"")</f>
        <v>PO</v>
      </c>
      <c r="H142" s="68" t="str">
        <f t="shared" si="5"/>
        <v>PO</v>
      </c>
      <c r="I142" s="205" t="str">
        <f>IF(AND(A142&lt;&gt;"",ISNUMBER(A142)),VLOOKUP(A142,Studies!A:BR,6,FALSE),"")</f>
        <v>Plasma</v>
      </c>
      <c r="J142" s="211">
        <v>5.7160804000000003E-2</v>
      </c>
      <c r="K142" s="211" t="s">
        <v>1099</v>
      </c>
      <c r="N142" s="213">
        <v>0.1209150326797</v>
      </c>
      <c r="O142" s="213" t="s">
        <v>334</v>
      </c>
      <c r="R142" s="38">
        <v>0</v>
      </c>
      <c r="S142" s="39" t="s">
        <v>935</v>
      </c>
      <c r="T142" s="40">
        <v>146</v>
      </c>
      <c r="U142" s="41" t="s">
        <v>935</v>
      </c>
      <c r="V142" s="219" t="s">
        <v>59</v>
      </c>
      <c r="W142" s="220"/>
      <c r="X142" s="206">
        <v>300</v>
      </c>
      <c r="Y142" s="207"/>
      <c r="Z142" s="207" t="s">
        <v>57</v>
      </c>
      <c r="AA142" s="206" t="s">
        <v>58</v>
      </c>
      <c r="AB142" s="22" t="s">
        <v>1127</v>
      </c>
      <c r="AC142" s="206" t="s">
        <v>59</v>
      </c>
      <c r="AD142" s="206" t="s">
        <v>91</v>
      </c>
      <c r="AE142" s="208" t="s">
        <v>1128</v>
      </c>
      <c r="AF142" s="208" t="s">
        <v>1129</v>
      </c>
      <c r="AG142" s="209"/>
      <c r="AH142" s="208"/>
      <c r="AI142" s="208" t="s">
        <v>1130</v>
      </c>
    </row>
    <row r="143" spans="1:39" hidden="1" x14ac:dyDescent="0.2">
      <c r="A143" s="187">
        <v>217</v>
      </c>
      <c r="B143" s="204" t="str">
        <f>IF(AND(A143&lt;&gt;"",ISNUMBER(A143)),VLOOKUP(A143,Studies!A:BR,2,FALSE),"")</f>
        <v>Gurley 2006</v>
      </c>
      <c r="C143" s="204" t="str">
        <f>IF(AND(A143&lt;&gt;"",ISNUMBER(A143)),VLOOKUP(A143,Studies!A:BR,3,FALSE),"")</f>
        <v>https://www.ncbi.nlm.nih.gov/pubmed/16432272</v>
      </c>
      <c r="D143" s="204" t="str">
        <f>IF(AND(A143&lt;&gt;"",ISNUMBER(A143)),VLOOKUP(A143,Studies!A:BR,4,FALSE),"")</f>
        <v>with Perpetrator (Clarithomycin)</v>
      </c>
      <c r="E143" s="139" t="str">
        <f>IF(AND(A143&lt;&gt;"",ISNUMBER(A143)),VLOOKUP(A143,Studies!A:BR,5,FALSE),"")</f>
        <v>Midazolam</v>
      </c>
      <c r="F143" s="42" t="s">
        <v>1110</v>
      </c>
      <c r="G143" s="205" t="str">
        <f>IF(AND(A143&lt;&gt;"",ISNUMBER(A143)),VLOOKUP(A143,Studies!A:BR,13,FALSE),"")</f>
        <v>PO</v>
      </c>
      <c r="H143" s="68" t="str">
        <f t="shared" si="5"/>
        <v>PO</v>
      </c>
      <c r="I143" s="205" t="str">
        <f>IF(AND(A143&lt;&gt;"",ISNUMBER(A143)),VLOOKUP(A143,Studies!A:BR,6,FALSE),"")</f>
        <v>Plasma</v>
      </c>
      <c r="J143" s="211">
        <v>8.3928571400000003</v>
      </c>
      <c r="K143" s="211" t="s">
        <v>1099</v>
      </c>
      <c r="N143" s="213">
        <v>3.795597484</v>
      </c>
      <c r="O143" s="213" t="s">
        <v>334</v>
      </c>
      <c r="R143" s="38">
        <v>0</v>
      </c>
      <c r="S143" s="39" t="s">
        <v>935</v>
      </c>
      <c r="T143" s="40">
        <v>146</v>
      </c>
      <c r="U143" s="41" t="s">
        <v>935</v>
      </c>
      <c r="V143" s="219" t="s">
        <v>59</v>
      </c>
      <c r="W143" s="220"/>
      <c r="X143" s="206">
        <v>500</v>
      </c>
      <c r="Y143" s="207"/>
      <c r="Z143" s="207" t="s">
        <v>57</v>
      </c>
      <c r="AA143" s="206" t="s">
        <v>58</v>
      </c>
      <c r="AB143" s="22" t="s">
        <v>1127</v>
      </c>
      <c r="AC143" s="206" t="s">
        <v>59</v>
      </c>
      <c r="AD143" s="206" t="s">
        <v>91</v>
      </c>
      <c r="AE143" s="208" t="s">
        <v>1131</v>
      </c>
      <c r="AF143" s="208" t="s">
        <v>1132</v>
      </c>
      <c r="AG143" s="209"/>
      <c r="AH143" s="208"/>
      <c r="AI143" s="208" t="s">
        <v>1130</v>
      </c>
    </row>
    <row r="144" spans="1:39" hidden="1" x14ac:dyDescent="0.2">
      <c r="A144" s="187">
        <v>191</v>
      </c>
      <c r="B144" s="204" t="str">
        <f>IF(AND(A144&lt;&gt;"",ISNUMBER(A144)),VLOOKUP(A144,Studies!A:BR,2,FALSE),"")</f>
        <v>Greiner 1999</v>
      </c>
      <c r="C144" s="204" t="str">
        <f>IF(AND(A144&lt;&gt;"",ISNUMBER(A144)),VLOOKUP(A144,Studies!A:BR,3,FALSE),"")</f>
        <v>https://www.ncbi.nlm.nih.gov/pubmed/10411543</v>
      </c>
      <c r="D144" s="204" t="str">
        <f>IF(AND(A144&lt;&gt;"",ISNUMBER(A144)),VLOOKUP(A144,Studies!A:BR,4,FALSE),"")</f>
        <v>po with Perpetrator (Rifampicin)</v>
      </c>
      <c r="E144" s="139" t="str">
        <f>IF(AND(A144&lt;&gt;"",ISNUMBER(A144)),VLOOKUP(A144,Studies!A:BR,5,FALSE),"")</f>
        <v>Digoxin</v>
      </c>
      <c r="F144" s="42" t="s">
        <v>53</v>
      </c>
      <c r="G144" s="205" t="str">
        <f>IF(AND(A144&lt;&gt;"",ISNUMBER(A144)),VLOOKUP(A144,Studies!A:BR,13,FALSE),"")</f>
        <v>PO</v>
      </c>
      <c r="H144" s="68" t="str">
        <f t="shared" si="5"/>
        <v>PO</v>
      </c>
      <c r="I144" s="205" t="str">
        <f>IF(AND(A144&lt;&gt;"",ISNUMBER(A144)),VLOOKUP(A144,Studies!A:BR,6,FALSE),"")</f>
        <v>Plasma</v>
      </c>
      <c r="J144" s="43">
        <v>0.69708029197080301</v>
      </c>
      <c r="K144" s="43" t="s">
        <v>1099</v>
      </c>
      <c r="N144" s="52">
        <v>0.48148148148148145</v>
      </c>
      <c r="O144" s="52" t="s">
        <v>1099</v>
      </c>
      <c r="R144" s="38">
        <v>0</v>
      </c>
      <c r="S144" s="39" t="s">
        <v>935</v>
      </c>
      <c r="T144" s="40">
        <v>240</v>
      </c>
      <c r="U144" s="41" t="s">
        <v>935</v>
      </c>
      <c r="V144" s="42" t="s">
        <v>59</v>
      </c>
      <c r="X144" s="22">
        <v>600</v>
      </c>
      <c r="Z144" s="137" t="s">
        <v>57</v>
      </c>
      <c r="AA144" s="22" t="s">
        <v>58</v>
      </c>
      <c r="AB144" s="22" t="s">
        <v>1147</v>
      </c>
      <c r="AC144" s="22" t="s">
        <v>59</v>
      </c>
      <c r="AD144" s="176" t="s">
        <v>91</v>
      </c>
      <c r="AE144" s="23" t="s">
        <v>1137</v>
      </c>
      <c r="AF144" s="177" t="s">
        <v>2941</v>
      </c>
    </row>
    <row r="145" spans="1:39" hidden="1" x14ac:dyDescent="0.2">
      <c r="A145" s="187">
        <v>193</v>
      </c>
      <c r="B145" s="204" t="str">
        <f>IF(AND(A145&lt;&gt;"",ISNUMBER(A145)),VLOOKUP(A145,Studies!A:BR,2,FALSE),"")</f>
        <v>Greiner 1999</v>
      </c>
      <c r="C145" s="204" t="str">
        <f>IF(AND(A145&lt;&gt;"",ISNUMBER(A145)),VLOOKUP(A145,Studies!A:BR,3,FALSE),"")</f>
        <v>https://www.ncbi.nlm.nih.gov/pubmed/10411543</v>
      </c>
      <c r="D145" s="204" t="str">
        <f>IF(AND(A145&lt;&gt;"",ISNUMBER(A145)),VLOOKUP(A145,Studies!A:BR,4,FALSE),"")</f>
        <v>iv with Perpetrator (Rifampicin)</v>
      </c>
      <c r="E145" s="139" t="str">
        <f>IF(AND(A145&lt;&gt;"",ISNUMBER(A145)),VLOOKUP(A145,Studies!A:BR,5,FALSE),"")</f>
        <v>Digoxin</v>
      </c>
      <c r="F145" s="42" t="s">
        <v>53</v>
      </c>
      <c r="G145" s="205" t="str">
        <f>IF(AND(A145&lt;&gt;"",ISNUMBER(A145)),VLOOKUP(A145,Studies!A:BR,13,FALSE),"")</f>
        <v>IV</v>
      </c>
      <c r="H145" s="68" t="str">
        <f t="shared" si="5"/>
        <v>PO</v>
      </c>
      <c r="I145" s="205" t="str">
        <f>IF(AND(A145&lt;&gt;"",ISNUMBER(A145)),VLOOKUP(A145,Studies!A:BR,6,FALSE),"")</f>
        <v>Plasma</v>
      </c>
      <c r="J145" s="43">
        <v>0.85337915234822459</v>
      </c>
      <c r="K145" s="43" t="s">
        <v>1099</v>
      </c>
      <c r="N145" s="52">
        <v>0.834008097165992</v>
      </c>
      <c r="O145" s="52" t="s">
        <v>1099</v>
      </c>
      <c r="R145" s="38">
        <v>0</v>
      </c>
      <c r="S145" s="39" t="s">
        <v>935</v>
      </c>
      <c r="T145" s="40">
        <v>240</v>
      </c>
      <c r="U145" s="41" t="s">
        <v>935</v>
      </c>
      <c r="V145" s="42" t="s">
        <v>59</v>
      </c>
      <c r="X145" s="136">
        <v>600</v>
      </c>
      <c r="Y145" s="137"/>
      <c r="Z145" s="137" t="s">
        <v>57</v>
      </c>
      <c r="AA145" s="22" t="s">
        <v>58</v>
      </c>
      <c r="AB145" s="22" t="s">
        <v>1147</v>
      </c>
      <c r="AC145" s="22" t="s">
        <v>59</v>
      </c>
      <c r="AD145" s="136" t="s">
        <v>91</v>
      </c>
      <c r="AE145" s="23" t="s">
        <v>1137</v>
      </c>
      <c r="AF145" s="177" t="s">
        <v>2941</v>
      </c>
      <c r="AG145" s="174"/>
      <c r="AH145" s="175"/>
      <c r="AI145" s="175"/>
    </row>
    <row r="146" spans="1:39" hidden="1" x14ac:dyDescent="0.2">
      <c r="A146" s="30">
        <v>781</v>
      </c>
      <c r="B146" s="204" t="str">
        <f>IF(AND(A146&lt;&gt;"",ISNUMBER(A146)),VLOOKUP(A146,Studies!A:BR,2,FALSE),"")</f>
        <v>Greenblatt 1998a</v>
      </c>
      <c r="C146" s="204" t="str">
        <f>IF(AND(A146&lt;&gt;"",ISNUMBER(A146)),VLOOKUP(A146,Studies!A:BR,3,FALSE),"")</f>
        <v>https://www.ncbi.nlm.nih.gov/pubmed/9757151</v>
      </c>
      <c r="D146" s="204" t="str">
        <f>IF(AND(A146&lt;&gt;"",ISNUMBER(A146)),VLOOKUP(A146,Studies!A:BR,4,FALSE),"")</f>
        <v>Triazolam + Erythromycin (Trial D)</v>
      </c>
      <c r="E146" s="139" t="str">
        <f>IF(AND(A146&lt;&gt;"",ISNUMBER(A146)),VLOOKUP(A146,Studies!A:BR,5,FALSE),"")</f>
        <v>Triazolam</v>
      </c>
      <c r="F146" s="42" t="s">
        <v>355</v>
      </c>
      <c r="G146" s="205" t="str">
        <f>IF(AND(A146&lt;&gt;"",ISNUMBER(A146)),VLOOKUP(A146,Studies!A:BR,13,FALSE),"")</f>
        <v>PO</v>
      </c>
      <c r="H146" s="68" t="s">
        <v>58</v>
      </c>
      <c r="I146" s="205" t="str">
        <f>IF(AND(A146&lt;&gt;"",ISNUMBER(A146)),VLOOKUP(A146,Studies!A:BR,6,FALSE),"")</f>
        <v>Plasma</v>
      </c>
      <c r="J146" s="43">
        <v>3.65</v>
      </c>
      <c r="K146" s="43" t="s">
        <v>1122</v>
      </c>
      <c r="L146" s="76">
        <v>0.42</v>
      </c>
      <c r="M146" s="76" t="s">
        <v>1121</v>
      </c>
      <c r="N146" s="52">
        <v>1.768</v>
      </c>
      <c r="O146" s="52" t="s">
        <v>1099</v>
      </c>
      <c r="Q146" s="202"/>
      <c r="R146" s="38">
        <v>0</v>
      </c>
      <c r="S146" s="39" t="s">
        <v>935</v>
      </c>
      <c r="T146" s="40">
        <v>25</v>
      </c>
      <c r="U146" s="41" t="s">
        <v>935</v>
      </c>
      <c r="V146" s="42" t="s">
        <v>59</v>
      </c>
      <c r="X146" s="22">
        <v>500</v>
      </c>
      <c r="Z146" s="28" t="s">
        <v>57</v>
      </c>
      <c r="AA146" s="22" t="s">
        <v>58</v>
      </c>
      <c r="AB146" s="22" t="s">
        <v>2174</v>
      </c>
      <c r="AC146" s="22" t="s">
        <v>59</v>
      </c>
      <c r="AD146" s="176" t="s">
        <v>2624</v>
      </c>
      <c r="AF146" s="177" t="s">
        <v>1138</v>
      </c>
      <c r="AI146" s="23" t="s">
        <v>2625</v>
      </c>
      <c r="AJ146" s="165" t="s">
        <v>435</v>
      </c>
      <c r="AK146" s="166"/>
      <c r="AL146" s="106" t="s">
        <v>202</v>
      </c>
      <c r="AM146" s="165" t="s">
        <v>516</v>
      </c>
    </row>
    <row r="147" spans="1:39" hidden="1" x14ac:dyDescent="0.2">
      <c r="A147" s="30">
        <v>1102</v>
      </c>
      <c r="B147" s="204" t="str">
        <f>IF(AND(A147&lt;&gt;"",ISNUMBER(A147)),VLOOKUP(A147,Studies!A:BR,2,FALSE),"")</f>
        <v>Greenblatt 1998a</v>
      </c>
      <c r="C147" s="204" t="str">
        <f>IF(AND(A147&lt;&gt;"",ISNUMBER(A147)),VLOOKUP(A147,Studies!A:BR,3,FALSE),"")</f>
        <v>https://www.ncbi.nlm.nih.gov/pubmed/9757151</v>
      </c>
      <c r="D147" s="204" t="str">
        <f>IF(AND(A147&lt;&gt;"",ISNUMBER(A147)),VLOOKUP(A147,Studies!A:BR,4,FALSE),"")</f>
        <v>Triazolam + Clarithromycin (Trial E)</v>
      </c>
      <c r="E147" s="139" t="str">
        <f>IF(AND(A147&lt;&gt;"",ISNUMBER(A147)),VLOOKUP(A147,Studies!A:BR,5,FALSE),"")</f>
        <v>Triazolam</v>
      </c>
      <c r="F147" s="42" t="s">
        <v>1110</v>
      </c>
      <c r="G147" s="205" t="str">
        <f>IF(AND(A147&lt;&gt;"",ISNUMBER(A147)),VLOOKUP(A147,Studies!A:BR,13,FALSE),"")</f>
        <v>PO</v>
      </c>
      <c r="H147" s="68" t="s">
        <v>58</v>
      </c>
      <c r="I147" s="205" t="str">
        <f>IF(AND(A147&lt;&gt;"",ISNUMBER(A147)),VLOOKUP(A147,Studies!A:BR,6,FALSE),"")</f>
        <v>Plasma</v>
      </c>
      <c r="J147" s="43">
        <v>5.0599999999999996</v>
      </c>
      <c r="K147" s="43" t="s">
        <v>2593</v>
      </c>
      <c r="L147" s="201">
        <v>0.44</v>
      </c>
      <c r="M147" s="76" t="s">
        <v>1121</v>
      </c>
      <c r="N147" s="52">
        <v>1.968</v>
      </c>
      <c r="O147" s="193" t="s">
        <v>1099</v>
      </c>
      <c r="Q147" s="202"/>
      <c r="R147" s="38">
        <v>0</v>
      </c>
      <c r="S147" s="39" t="s">
        <v>935</v>
      </c>
      <c r="T147" s="40">
        <v>25</v>
      </c>
      <c r="U147" s="41" t="s">
        <v>935</v>
      </c>
      <c r="V147" s="42" t="s">
        <v>59</v>
      </c>
      <c r="X147" s="22">
        <v>500</v>
      </c>
      <c r="Z147" s="28" t="s">
        <v>57</v>
      </c>
      <c r="AA147" s="22" t="s">
        <v>58</v>
      </c>
      <c r="AB147" s="22" t="s">
        <v>2174</v>
      </c>
      <c r="AC147" s="22" t="s">
        <v>59</v>
      </c>
      <c r="AD147" s="176" t="s">
        <v>2624</v>
      </c>
      <c r="AF147" s="177" t="s">
        <v>1138</v>
      </c>
      <c r="AI147" s="23" t="s">
        <v>2625</v>
      </c>
      <c r="AJ147" s="52" t="s">
        <v>642</v>
      </c>
      <c r="AL147" s="52">
        <v>4</v>
      </c>
      <c r="AM147" s="52" t="s">
        <v>516</v>
      </c>
    </row>
    <row r="148" spans="1:39" hidden="1" x14ac:dyDescent="0.2">
      <c r="A148" s="187">
        <v>177</v>
      </c>
      <c r="B148" s="204" t="str">
        <f>IF(AND(A148&lt;&gt;"",ISNUMBER(A148)),VLOOKUP(A148,Studies!A:BR,2,FALSE),"")</f>
        <v>Gorski 2003</v>
      </c>
      <c r="C148" s="204" t="str">
        <f>IF(AND(A148&lt;&gt;"",ISNUMBER(A148)),VLOOKUP(A148,Studies!A:BR,3,FALSE),"")</f>
        <v>https://www.ncbi.nlm.nih.gov/pubmed/12966371</v>
      </c>
      <c r="D148" s="204" t="str">
        <f>IF(AND(A148&lt;&gt;"",ISNUMBER(A148)),VLOOKUP(A148,Studies!A:BR,4,FALSE),"")</f>
        <v>po with Perpetrator (Rifampicin)</v>
      </c>
      <c r="E148" s="139" t="str">
        <f>IF(AND(A148&lt;&gt;"",ISNUMBER(A148)),VLOOKUP(A148,Studies!A:BR,5,FALSE),"")</f>
        <v>Midazolam</v>
      </c>
      <c r="F148" s="42" t="s">
        <v>53</v>
      </c>
      <c r="G148" s="205" t="str">
        <f>IF(AND(A148&lt;&gt;"",ISNUMBER(A148)),VLOOKUP(A148,Studies!A:BR,13,FALSE),"")</f>
        <v>PO</v>
      </c>
      <c r="H148" s="68" t="str">
        <f>AA148</f>
        <v>PO</v>
      </c>
      <c r="I148" s="205" t="str">
        <f>IF(AND(A148&lt;&gt;"",ISNUMBER(A148)),VLOOKUP(A148,Studies!A:BR,6,FALSE),"")</f>
        <v>Whole Blood</v>
      </c>
      <c r="J148" s="187">
        <f>3.7/35.8</f>
        <v>0.10335195530726259</v>
      </c>
      <c r="K148" s="43" t="s">
        <v>1099</v>
      </c>
      <c r="N148" s="52">
        <f>(1.8*4/6)/17.9</f>
        <v>6.7039106145251395E-2</v>
      </c>
      <c r="O148" s="193" t="s">
        <v>334</v>
      </c>
      <c r="R148" s="38">
        <v>0</v>
      </c>
      <c r="S148" s="39" t="s">
        <v>935</v>
      </c>
      <c r="T148" s="40">
        <v>132</v>
      </c>
      <c r="U148" s="41" t="s">
        <v>935</v>
      </c>
      <c r="V148" s="42" t="s">
        <v>59</v>
      </c>
      <c r="W148" s="181" t="s">
        <v>2990</v>
      </c>
      <c r="X148" s="22">
        <v>600</v>
      </c>
      <c r="Z148" s="28" t="s">
        <v>57</v>
      </c>
      <c r="AA148" s="22" t="s">
        <v>58</v>
      </c>
      <c r="AB148" s="22" t="s">
        <v>1124</v>
      </c>
      <c r="AC148" s="22" t="s">
        <v>59</v>
      </c>
      <c r="AD148" s="176" t="s">
        <v>91</v>
      </c>
      <c r="AF148" s="160" t="s">
        <v>1125</v>
      </c>
    </row>
    <row r="149" spans="1:39" hidden="1" x14ac:dyDescent="0.2">
      <c r="A149" s="187">
        <v>179</v>
      </c>
      <c r="B149" s="204" t="str">
        <f>IF(AND(A149&lt;&gt;"",ISNUMBER(A149)),VLOOKUP(A149,Studies!A:BR,2,FALSE),"")</f>
        <v>Gorski 2003</v>
      </c>
      <c r="C149" s="204" t="str">
        <f>IF(AND(A149&lt;&gt;"",ISNUMBER(A149)),VLOOKUP(A149,Studies!A:BR,3,FALSE),"")</f>
        <v>https://www.ncbi.nlm.nih.gov/pubmed/12966371</v>
      </c>
      <c r="D149" s="204" t="str">
        <f>IF(AND(A149&lt;&gt;"",ISNUMBER(A149)),VLOOKUP(A149,Studies!A:BR,4,FALSE),"")</f>
        <v>iv with Perpetrator (Rifampicin)</v>
      </c>
      <c r="E149" s="139" t="str">
        <f>IF(AND(A149&lt;&gt;"",ISNUMBER(A149)),VLOOKUP(A149,Studies!A:BR,5,FALSE),"")</f>
        <v>Midazolam</v>
      </c>
      <c r="F149" s="42" t="s">
        <v>53</v>
      </c>
      <c r="G149" s="205" t="str">
        <f>IF(AND(A149&lt;&gt;"",ISNUMBER(A149)),VLOOKUP(A149,Studies!A:BR,13,FALSE),"")</f>
        <v>IV</v>
      </c>
      <c r="H149" s="68" t="str">
        <f>AA149</f>
        <v>PO</v>
      </c>
      <c r="I149" s="205" t="str">
        <f>IF(AND(A149&lt;&gt;"",ISNUMBER(A149)),VLOOKUP(A149,Studies!A:BR,6,FALSE),"")</f>
        <v>Whole Blood</v>
      </c>
      <c r="J149" s="43">
        <f>52.8/117.6</f>
        <v>0.44897959183673469</v>
      </c>
      <c r="K149" s="43" t="s">
        <v>1099</v>
      </c>
      <c r="O149" s="193"/>
      <c r="Q149" s="202"/>
      <c r="R149" s="38">
        <v>0</v>
      </c>
      <c r="S149" s="39" t="s">
        <v>935</v>
      </c>
      <c r="T149" s="40">
        <v>132</v>
      </c>
      <c r="U149" s="41" t="s">
        <v>935</v>
      </c>
      <c r="V149" s="42" t="s">
        <v>59</v>
      </c>
      <c r="X149" s="22">
        <v>600</v>
      </c>
      <c r="Z149" s="28" t="s">
        <v>57</v>
      </c>
      <c r="AA149" s="22" t="s">
        <v>58</v>
      </c>
      <c r="AB149" s="22" t="s">
        <v>1124</v>
      </c>
      <c r="AC149" s="22" t="s">
        <v>59</v>
      </c>
      <c r="AD149" s="176" t="s">
        <v>91</v>
      </c>
      <c r="AF149" s="160" t="s">
        <v>1125</v>
      </c>
    </row>
    <row r="150" spans="1:39" hidden="1" x14ac:dyDescent="0.2">
      <c r="A150" s="187">
        <v>173</v>
      </c>
      <c r="B150" s="204" t="str">
        <f>IF(AND(A150&lt;&gt;"",ISNUMBER(A150)),VLOOKUP(A150,Studies!A:BR,2,FALSE),"")</f>
        <v>Gorski 1998</v>
      </c>
      <c r="C150" s="204" t="str">
        <f>IF(AND(A150&lt;&gt;"",ISNUMBER(A150)),VLOOKUP(A150,Studies!A:BR,3,FALSE),"")</f>
        <v>https://www.ncbi.nlm.nih.gov/pubmed/9728893</v>
      </c>
      <c r="D150" s="204" t="str">
        <f>IF(AND(A150&lt;&gt;"",ISNUMBER(A150)),VLOOKUP(A150,Studies!A:BR,4,FALSE),"")</f>
        <v>po with Perpetrator (Clarithromycin)</v>
      </c>
      <c r="E150" s="139" t="str">
        <f>IF(AND(A150&lt;&gt;"",ISNUMBER(A150)),VLOOKUP(A150,Studies!A:BR,5,FALSE),"")</f>
        <v>Midazolam</v>
      </c>
      <c r="F150" s="42" t="s">
        <v>1110</v>
      </c>
      <c r="G150" s="205" t="str">
        <f>IF(AND(A150&lt;&gt;"",ISNUMBER(A150)),VLOOKUP(A150,Studies!A:BR,13,FALSE),"")</f>
        <v>PO</v>
      </c>
      <c r="H150" s="68" t="str">
        <f>AA150</f>
        <v>PO</v>
      </c>
      <c r="I150" s="205" t="str">
        <f>IF(AND(A150&lt;&gt;"",ISNUMBER(A150)),VLOOKUP(A150,Studies!A:BR,6,FALSE),"")</f>
        <v>Whole Blood</v>
      </c>
      <c r="J150" s="43">
        <f>1.5/0.21</f>
        <v>7.1428571428571432</v>
      </c>
      <c r="K150" s="43" t="s">
        <v>1099</v>
      </c>
      <c r="R150" s="38">
        <v>0</v>
      </c>
      <c r="S150" s="39" t="s">
        <v>935</v>
      </c>
      <c r="T150" s="40">
        <v>146</v>
      </c>
      <c r="U150" s="41" t="s">
        <v>935</v>
      </c>
      <c r="V150" s="42" t="s">
        <v>59</v>
      </c>
      <c r="W150" s="181" t="s">
        <v>1126</v>
      </c>
      <c r="X150" s="158">
        <v>500</v>
      </c>
      <c r="Y150" s="159"/>
      <c r="Z150" s="159" t="s">
        <v>57</v>
      </c>
      <c r="AA150" s="158" t="s">
        <v>58</v>
      </c>
      <c r="AB150" s="22" t="s">
        <v>1148</v>
      </c>
      <c r="AC150" s="158" t="s">
        <v>59</v>
      </c>
      <c r="AD150" s="158" t="s">
        <v>91</v>
      </c>
      <c r="AE150" s="160"/>
      <c r="AF150" s="160" t="s">
        <v>1149</v>
      </c>
      <c r="AG150" s="174"/>
      <c r="AH150" s="175"/>
      <c r="AI150" s="175"/>
    </row>
    <row r="151" spans="1:39" hidden="1" x14ac:dyDescent="0.2">
      <c r="A151" s="187">
        <v>175</v>
      </c>
      <c r="B151" s="204" t="str">
        <f>IF(AND(A151&lt;&gt;"",ISNUMBER(A151)),VLOOKUP(A151,Studies!A:BR,2,FALSE),"")</f>
        <v>Gorski 1998</v>
      </c>
      <c r="C151" s="204" t="str">
        <f>IF(AND(A151&lt;&gt;"",ISNUMBER(A151)),VLOOKUP(A151,Studies!A:BR,3,FALSE),"")</f>
        <v>https://www.ncbi.nlm.nih.gov/pubmed/9728893</v>
      </c>
      <c r="D151" s="204" t="str">
        <f>IF(AND(A151&lt;&gt;"",ISNUMBER(A151)),VLOOKUP(A151,Studies!A:BR,4,FALSE),"")</f>
        <v>iv with Perpetrator (Clarithromycin)</v>
      </c>
      <c r="E151" s="139" t="str">
        <f>IF(AND(A151&lt;&gt;"",ISNUMBER(A151)),VLOOKUP(A151,Studies!A:BR,5,FALSE),"")</f>
        <v>Midazolam</v>
      </c>
      <c r="F151" s="42" t="s">
        <v>1110</v>
      </c>
      <c r="G151" s="205" t="str">
        <f>IF(AND(A151&lt;&gt;"",ISNUMBER(A151)),VLOOKUP(A151,Studies!A:BR,13,FALSE),"")</f>
        <v>IV</v>
      </c>
      <c r="H151" s="68" t="str">
        <f>AA151</f>
        <v>PO</v>
      </c>
      <c r="I151" s="205" t="str">
        <f>IF(AND(A151&lt;&gt;"",ISNUMBER(A151)),VLOOKUP(A151,Studies!A:BR,6,FALSE),"")</f>
        <v>Whole Blood</v>
      </c>
      <c r="J151" s="43">
        <f>0.4/0.15</f>
        <v>2.666666666666667</v>
      </c>
      <c r="K151" s="43" t="s">
        <v>1099</v>
      </c>
      <c r="R151" s="38">
        <v>0</v>
      </c>
      <c r="S151" s="39" t="s">
        <v>935</v>
      </c>
      <c r="T151" s="40">
        <v>146</v>
      </c>
      <c r="U151" s="41" t="s">
        <v>935</v>
      </c>
      <c r="V151" s="42" t="s">
        <v>59</v>
      </c>
      <c r="W151" s="181" t="s">
        <v>1126</v>
      </c>
      <c r="X151" s="158">
        <v>500</v>
      </c>
      <c r="Y151" s="159"/>
      <c r="Z151" s="159" t="s">
        <v>57</v>
      </c>
      <c r="AA151" s="158" t="s">
        <v>58</v>
      </c>
      <c r="AB151" s="22" t="s">
        <v>1148</v>
      </c>
      <c r="AC151" s="158" t="s">
        <v>59</v>
      </c>
      <c r="AD151" s="158" t="s">
        <v>91</v>
      </c>
      <c r="AE151" s="160"/>
      <c r="AF151" s="160" t="s">
        <v>1149</v>
      </c>
      <c r="AG151" s="174"/>
      <c r="AH151" s="175"/>
      <c r="AI151" s="175"/>
    </row>
    <row r="152" spans="1:39" hidden="1" x14ac:dyDescent="0.2">
      <c r="A152" s="30">
        <v>2009</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Rifampin treatment (5 day rifampin treatment, day 7)</v>
      </c>
      <c r="E152" s="139" t="str">
        <f>IF(AND(A152&lt;&gt;"",ISNUMBER(A152)),VLOOKUP(A152,Studies!A:BR,5,FALSE),"")</f>
        <v>Alprazolam</v>
      </c>
      <c r="F152" s="42" t="s">
        <v>1128</v>
      </c>
      <c r="G152" s="205" t="str">
        <f>IF(AND(A152&lt;&gt;"",ISNUMBER(A152)),VLOOKUP(A152,Studies!A:BR,13,FALSE),"")</f>
        <v>PO</v>
      </c>
      <c r="H152" s="68" t="s">
        <v>58</v>
      </c>
      <c r="I152" s="205" t="str">
        <f>IF(AND(A152&lt;&gt;"",ISNUMBER(A152)),VLOOKUP(A152,Studies!A:BR,6,FALSE),"")</f>
        <v>Plasma</v>
      </c>
      <c r="J152" s="43">
        <v>0.1793478</v>
      </c>
      <c r="K152" s="43" t="s">
        <v>1099</v>
      </c>
      <c r="R152" s="38">
        <v>0</v>
      </c>
      <c r="S152" s="39" t="s">
        <v>935</v>
      </c>
      <c r="T152" s="40">
        <v>100</v>
      </c>
      <c r="U152" s="41">
        <v>436</v>
      </c>
      <c r="V152" s="42" t="s">
        <v>59</v>
      </c>
      <c r="W152" s="181" t="s">
        <v>2827</v>
      </c>
      <c r="X152" s="22">
        <v>450</v>
      </c>
      <c r="Z152" s="28" t="s">
        <v>57</v>
      </c>
      <c r="AA152" s="22" t="s">
        <v>58</v>
      </c>
      <c r="AB152" s="22" t="s">
        <v>2668</v>
      </c>
      <c r="AC152" s="22" t="s">
        <v>59</v>
      </c>
      <c r="AD152" s="176" t="s">
        <v>2636</v>
      </c>
      <c r="AF152" s="177" t="s">
        <v>2948</v>
      </c>
    </row>
    <row r="153" spans="1:39" hidden="1" x14ac:dyDescent="0.2">
      <c r="A153" s="30">
        <v>2010</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wash out (day 22)</v>
      </c>
      <c r="E153" s="139" t="str">
        <f>IF(AND(A153&lt;&gt;"",ISNUMBER(A153)),VLOOKUP(A153,Studies!A:BR,5,FALSE),"")</f>
        <v>Alprazolam</v>
      </c>
      <c r="F153" s="42" t="s">
        <v>1128</v>
      </c>
      <c r="G153" s="205" t="str">
        <f>IF(AND(A153&lt;&gt;"",ISNUMBER(A153)),VLOOKUP(A153,Studies!A:BR,13,FALSE),"")</f>
        <v>PO</v>
      </c>
      <c r="H153" s="68" t="s">
        <v>58</v>
      </c>
      <c r="I153" s="205" t="str">
        <f>IF(AND(A153&lt;&gt;"",ISNUMBER(A153)),VLOOKUP(A153,Studies!A:BR,6,FALSE),"")</f>
        <v>Plasma</v>
      </c>
      <c r="J153" s="43">
        <v>0.91666669999999995</v>
      </c>
      <c r="K153" s="43" t="s">
        <v>1099</v>
      </c>
      <c r="O153" s="193"/>
      <c r="R153" s="38">
        <v>0</v>
      </c>
      <c r="S153" s="39" t="s">
        <v>935</v>
      </c>
      <c r="T153" s="40">
        <v>436</v>
      </c>
      <c r="U153" s="41" t="s">
        <v>935</v>
      </c>
      <c r="V153" s="42" t="s">
        <v>59</v>
      </c>
      <c r="W153" s="181" t="s">
        <v>2827</v>
      </c>
      <c r="X153" s="22">
        <v>450</v>
      </c>
      <c r="Z153" s="28" t="s">
        <v>57</v>
      </c>
      <c r="AA153" s="22" t="s">
        <v>58</v>
      </c>
      <c r="AB153" s="22" t="s">
        <v>2668</v>
      </c>
      <c r="AC153" s="22" t="s">
        <v>59</v>
      </c>
      <c r="AD153" s="176" t="s">
        <v>2636</v>
      </c>
      <c r="AF153" s="177" t="s">
        <v>2948</v>
      </c>
    </row>
    <row r="154" spans="1:39" hidden="1" x14ac:dyDescent="0.2">
      <c r="A154" s="30">
        <v>1104</v>
      </c>
      <c r="B154" s="204" t="str">
        <f>IF(AND(A154&lt;&gt;"",ISNUMBER(A154)),VLOOKUP(A154,Studies!A:BR,2,FALSE),"")</f>
        <v>Fleishaker 1994</v>
      </c>
      <c r="C154" s="204" t="str">
        <f>IF(AND(A154&lt;&gt;"",ISNUMBER(A154)),VLOOKUP(A154,Studies!A:BR,3,FALSE),"")</f>
        <v>https://www.ncbi.nlm.nih.gov/pubmed/8005185</v>
      </c>
      <c r="D154" s="204" t="str">
        <f>IF(AND(A154&lt;&gt;"",ISNUMBER(A154)),VLOOKUP(A154,Studies!A:BR,4,FALSE),"")</f>
        <v>Alprazolam + fluvoxamine</v>
      </c>
      <c r="E154" s="139" t="str">
        <f>IF(AND(A154&lt;&gt;"",ISNUMBER(A154)),VLOOKUP(A154,Studies!A:BR,5,FALSE),"")</f>
        <v>Alprazolam</v>
      </c>
      <c r="F154" s="42" t="s">
        <v>1091</v>
      </c>
      <c r="G154" s="205" t="str">
        <f>IF(AND(A154&lt;&gt;"",ISNUMBER(A154)),VLOOKUP(A154,Studies!A:BR,13,FALSE),"")</f>
        <v>PO</v>
      </c>
      <c r="H154" s="68" t="s">
        <v>58</v>
      </c>
      <c r="I154" s="205" t="str">
        <f>IF(AND(A154&lt;&gt;"",ISNUMBER(A154)),VLOOKUP(A154,Studies!A:BR,6,FALSE),"")</f>
        <v>Plasma</v>
      </c>
      <c r="J154" s="43">
        <f>61/48.6</f>
        <v>1.2551440329218106</v>
      </c>
      <c r="K154" s="187" t="s">
        <v>1099</v>
      </c>
      <c r="N154" s="52">
        <v>1.176923076923077</v>
      </c>
      <c r="O154" s="193" t="s">
        <v>1100</v>
      </c>
      <c r="R154" s="38">
        <v>0</v>
      </c>
      <c r="S154" s="39">
        <v>5</v>
      </c>
      <c r="T154" s="184">
        <v>144</v>
      </c>
      <c r="U154" s="41">
        <v>149</v>
      </c>
      <c r="V154" s="42" t="s">
        <v>59</v>
      </c>
      <c r="W154" s="181" t="s">
        <v>2616</v>
      </c>
      <c r="X154" s="22" t="s">
        <v>2617</v>
      </c>
      <c r="Z154" s="28" t="s">
        <v>57</v>
      </c>
      <c r="AA154" s="22" t="s">
        <v>58</v>
      </c>
      <c r="AB154" s="176" t="s">
        <v>2618</v>
      </c>
      <c r="AC154" s="22" t="s">
        <v>59</v>
      </c>
      <c r="AD154" s="176" t="s">
        <v>2619</v>
      </c>
      <c r="AE154" s="23" t="s">
        <v>2413</v>
      </c>
      <c r="AF154" s="177" t="s">
        <v>2414</v>
      </c>
      <c r="AI154" s="23" t="s">
        <v>2620</v>
      </c>
      <c r="AJ154" s="52" t="s">
        <v>642</v>
      </c>
      <c r="AM154" s="52" t="s">
        <v>2408</v>
      </c>
    </row>
    <row r="155" spans="1:39" hidden="1" x14ac:dyDescent="0.2">
      <c r="A155" s="30">
        <v>1106</v>
      </c>
      <c r="B155" s="204" t="str">
        <f>IF(AND(A155&lt;&gt;"",ISNUMBER(A155)),VLOOKUP(A155,Studies!A:BR,2,FALSE),"")</f>
        <v>Fleishaker 1994</v>
      </c>
      <c r="C155" s="204" t="str">
        <f>IF(AND(A155&lt;&gt;"",ISNUMBER(A155)),VLOOKUP(A155,Studies!A:BR,3,FALSE),"")</f>
        <v>https://www.ncbi.nlm.nih.gov/pubmed/8005185</v>
      </c>
      <c r="D155" s="204" t="str">
        <f>IF(AND(A155&lt;&gt;"",ISNUMBER(A155)),VLOOKUP(A155,Studies!A:BR,4,FALSE),"")</f>
        <v>Fluvoxamine + alprazolam</v>
      </c>
      <c r="E155" s="139" t="str">
        <f>IF(AND(A155&lt;&gt;"",ISNUMBER(A155)),VLOOKUP(A155,Studies!A:BR,5,FALSE),"")</f>
        <v>Fluvoxamine</v>
      </c>
      <c r="F155" s="42" t="s">
        <v>2037</v>
      </c>
      <c r="G155" s="205" t="str">
        <f>IF(AND(A155&lt;&gt;"",ISNUMBER(A155)),VLOOKUP(A155,Studies!A:BR,13,FALSE),"")</f>
        <v>PO</v>
      </c>
      <c r="H155" s="68" t="s">
        <v>58</v>
      </c>
      <c r="I155" s="205" t="str">
        <f>IF(AND(A155&lt;&gt;"",ISNUMBER(A155)),VLOOKUP(A155,Studies!A:BR,6,FALSE),"")</f>
        <v>Plasma</v>
      </c>
      <c r="J155" s="43">
        <v>0.92073170731707321</v>
      </c>
      <c r="K155" s="187" t="s">
        <v>1099</v>
      </c>
      <c r="N155" s="52">
        <v>0.96279069767441861</v>
      </c>
      <c r="O155" s="193" t="s">
        <v>1100</v>
      </c>
      <c r="R155" s="38">
        <v>0</v>
      </c>
      <c r="S155" s="39" t="s">
        <v>935</v>
      </c>
      <c r="T155" s="184">
        <v>0</v>
      </c>
      <c r="U155" s="41" t="s">
        <v>935</v>
      </c>
      <c r="V155" s="42" t="s">
        <v>59</v>
      </c>
      <c r="W155" s="181" t="s">
        <v>2623</v>
      </c>
      <c r="X155" s="22">
        <v>1</v>
      </c>
      <c r="Z155" s="28" t="s">
        <v>57</v>
      </c>
      <c r="AA155" s="22" t="s">
        <v>58</v>
      </c>
      <c r="AB155" s="176" t="s">
        <v>2410</v>
      </c>
      <c r="AC155" s="22" t="s">
        <v>59</v>
      </c>
      <c r="AD155" s="176" t="s">
        <v>2407</v>
      </c>
      <c r="AE155" s="23" t="s">
        <v>2275</v>
      </c>
      <c r="AF155" s="177" t="s">
        <v>1889</v>
      </c>
      <c r="AJ155" s="52" t="s">
        <v>642</v>
      </c>
      <c r="AM155" s="52" t="s">
        <v>2408</v>
      </c>
    </row>
    <row r="156" spans="1:39" hidden="1" x14ac:dyDescent="0.2">
      <c r="A156" s="30">
        <v>1113</v>
      </c>
      <c r="B156" s="204" t="str">
        <f>IF(AND(A156&lt;&gt;"",ISNUMBER(A156)),VLOOKUP(A156,Studies!A:BR,2,FALSE),"")</f>
        <v>Fleishaker 1994</v>
      </c>
      <c r="C156" s="204" t="str">
        <f>IF(AND(A156&lt;&gt;"",ISNUMBER(A156)),VLOOKUP(A156,Studies!A:BR,3,FALSE),"")</f>
        <v>https://www.ncbi.nlm.nih.gov/pubmed/8005185</v>
      </c>
      <c r="D156" s="204" t="str">
        <f>IF(AND(A156&lt;&gt;"",ISNUMBER(A156)),VLOOKUP(A156,Studies!A:BR,4,FALSE),"")</f>
        <v>Alprazolam + fluvoxamine (day 10)</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J156" s="43">
        <f>2077/1058</f>
        <v>1.9631379962192816</v>
      </c>
      <c r="K156" s="187" t="s">
        <v>1099</v>
      </c>
      <c r="N156" s="52">
        <f>1/0.5370741</f>
        <v>1.8619404659431538</v>
      </c>
      <c r="O156" s="193" t="s">
        <v>1100</v>
      </c>
      <c r="R156" s="38">
        <v>72</v>
      </c>
      <c r="S156" s="39">
        <v>96</v>
      </c>
      <c r="T156" s="184">
        <v>216</v>
      </c>
      <c r="U156" s="41">
        <f>216+24</f>
        <v>240</v>
      </c>
      <c r="V156" s="42" t="s">
        <v>59</v>
      </c>
      <c r="W156" s="181" t="s">
        <v>2821</v>
      </c>
      <c r="X156" s="22" t="s">
        <v>2822</v>
      </c>
      <c r="Y156" s="180"/>
      <c r="Z156" s="180" t="s">
        <v>57</v>
      </c>
      <c r="AA156" s="176" t="s">
        <v>58</v>
      </c>
      <c r="AB156" s="176" t="s">
        <v>2622</v>
      </c>
      <c r="AC156" s="176" t="s">
        <v>59</v>
      </c>
      <c r="AD156" s="176" t="s">
        <v>2811</v>
      </c>
      <c r="AE156" s="177" t="s">
        <v>2823</v>
      </c>
      <c r="AG156" s="178"/>
      <c r="AH156" s="177"/>
      <c r="AI156" s="177"/>
      <c r="AJ156" s="52" t="s">
        <v>642</v>
      </c>
      <c r="AM156" s="52" t="s">
        <v>2408</v>
      </c>
    </row>
    <row r="157" spans="1:39" hidden="1" x14ac:dyDescent="0.2">
      <c r="A157" s="30">
        <v>1114</v>
      </c>
      <c r="B157" s="204" t="str">
        <f>IF(AND(A157&lt;&gt;"",ISNUMBER(A157)),VLOOKUP(A157,Studies!A:BR,2,FALSE),"")</f>
        <v>Fleishaker 1994</v>
      </c>
      <c r="C157" s="204" t="str">
        <f>IF(AND(A157&lt;&gt;"",ISNUMBER(A157)),VLOOKUP(A157,Studies!A:BR,3,FALSE),"")</f>
        <v>https://www.ncbi.nlm.nih.gov/pubmed/8005185</v>
      </c>
      <c r="D157" s="204" t="str">
        <f>IF(AND(A157&lt;&gt;"",ISNUMBER(A157)),VLOOKUP(A157,Studies!A:BR,4,FALSE),"")</f>
        <v>Fluvoxamine + alprazolam (day 10)</v>
      </c>
      <c r="E157" s="139" t="str">
        <f>IF(AND(A157&lt;&gt;"",ISNUMBER(A157)),VLOOKUP(A157,Studies!A:BR,5,FALSE),"")</f>
        <v>Fluvoxamine</v>
      </c>
      <c r="F157" s="42" t="s">
        <v>2037</v>
      </c>
      <c r="G157" s="205" t="str">
        <f>IF(AND(A157&lt;&gt;"",ISNUMBER(A157)),VLOOKUP(A157,Studies!A:BR,13,FALSE),"")</f>
        <v>PO</v>
      </c>
      <c r="H157" s="68" t="s">
        <v>58</v>
      </c>
      <c r="I157" s="205" t="str">
        <f>IF(AND(A157&lt;&gt;"",ISNUMBER(A157)),VLOOKUP(A157,Studies!A:BR,6,FALSE),"")</f>
        <v>Plasma</v>
      </c>
      <c r="J157" s="43">
        <v>0.76106696935300799</v>
      </c>
      <c r="K157" s="187" t="s">
        <v>1099</v>
      </c>
      <c r="N157" s="52">
        <v>0.78751258811681779</v>
      </c>
      <c r="O157" s="193" t="s">
        <v>1100</v>
      </c>
      <c r="R157" s="38">
        <v>0</v>
      </c>
      <c r="S157" s="39">
        <v>216</v>
      </c>
      <c r="T157" s="184">
        <v>0</v>
      </c>
      <c r="U157" s="41">
        <v>216</v>
      </c>
      <c r="V157" s="42" t="s">
        <v>59</v>
      </c>
      <c r="W157" s="181" t="s">
        <v>2621</v>
      </c>
      <c r="X157" s="22">
        <v>1</v>
      </c>
      <c r="Y157" s="180"/>
      <c r="Z157" s="180" t="s">
        <v>57</v>
      </c>
      <c r="AA157" s="176" t="s">
        <v>58</v>
      </c>
      <c r="AB157" s="176" t="s">
        <v>2410</v>
      </c>
      <c r="AC157" s="176" t="s">
        <v>59</v>
      </c>
      <c r="AD157" s="176" t="s">
        <v>2407</v>
      </c>
      <c r="AE157" s="177" t="s">
        <v>2275</v>
      </c>
      <c r="AF157" s="177" t="s">
        <v>1889</v>
      </c>
      <c r="AG157" s="178"/>
      <c r="AH157" s="177"/>
      <c r="AI157" s="177"/>
      <c r="AJ157" s="52" t="s">
        <v>642</v>
      </c>
      <c r="AM157" s="52" t="s">
        <v>2408</v>
      </c>
    </row>
    <row r="158" spans="1:39" hidden="1" x14ac:dyDescent="0.2">
      <c r="A158" s="187">
        <v>129</v>
      </c>
      <c r="B158" s="204" t="str">
        <f>IF(AND(A158&lt;&gt;"",ISNUMBER(A158)),VLOOKUP(A158,Studies!A:BR,2,FALSE),"")</f>
        <v>Eap 2004</v>
      </c>
      <c r="C158" s="204" t="str">
        <f>IF(AND(A158&lt;&gt;"",ISNUMBER(A158)),VLOOKUP(A158,Studies!A:BR,3,FALSE),"")</f>
        <v>https://www.ncbi.nlm.nih.gov/pubmed/15114429</v>
      </c>
      <c r="D158" s="204" t="str">
        <f>IF(AND(A158&lt;&gt;"",ISNUMBER(A158)),VLOOKUP(A158,Studies!A:BR,4,FALSE),"")</f>
        <v>0.075 mg with Perpetrator (Rifampicin)</v>
      </c>
      <c r="E158" s="139" t="str">
        <f>IF(AND(A158&lt;&gt;"",ISNUMBER(A158)),VLOOKUP(A158,Studies!A:BR,5,FALSE),"")</f>
        <v>Midazolam</v>
      </c>
      <c r="F158" s="42" t="s">
        <v>53</v>
      </c>
      <c r="G158" s="205" t="str">
        <f>IF(AND(A158&lt;&gt;"",ISNUMBER(A158)),VLOOKUP(A158,Studies!A:BR,13,FALSE),"")</f>
        <v>PO</v>
      </c>
      <c r="H158" s="68" t="str">
        <f t="shared" ref="H158:H164" si="6">AA158</f>
        <v>PO</v>
      </c>
      <c r="I158" s="205" t="str">
        <f>IF(AND(A158&lt;&gt;"",ISNUMBER(A158)),VLOOKUP(A158,Studies!A:BR,6,FALSE),"")</f>
        <v>Plasma</v>
      </c>
      <c r="J158" s="43">
        <v>0.44117647058823523</v>
      </c>
      <c r="K158" s="187" t="s">
        <v>1099</v>
      </c>
      <c r="N158" s="52">
        <v>0.22580645161290325</v>
      </c>
      <c r="O158" s="193" t="s">
        <v>1099</v>
      </c>
      <c r="R158" s="38">
        <v>0</v>
      </c>
      <c r="S158" s="39" t="s">
        <v>935</v>
      </c>
      <c r="T158" s="184">
        <v>90</v>
      </c>
      <c r="U158" s="41" t="s">
        <v>935</v>
      </c>
      <c r="V158" s="42" t="s">
        <v>59</v>
      </c>
      <c r="X158" s="22">
        <v>450</v>
      </c>
      <c r="Z158" s="28" t="s">
        <v>57</v>
      </c>
      <c r="AA158" s="22" t="s">
        <v>58</v>
      </c>
      <c r="AB158" s="176" t="s">
        <v>1317</v>
      </c>
      <c r="AC158" s="22" t="s">
        <v>59</v>
      </c>
      <c r="AD158" s="176" t="s">
        <v>1318</v>
      </c>
    </row>
    <row r="159" spans="1:39" hidden="1" x14ac:dyDescent="0.2">
      <c r="A159" s="187">
        <v>130</v>
      </c>
      <c r="B159" s="204" t="str">
        <f>IF(AND(A159&lt;&gt;"",ISNUMBER(A159)),VLOOKUP(A159,Studies!A:BR,2,FALSE),"")</f>
        <v>Eap 2004</v>
      </c>
      <c r="C159" s="204" t="str">
        <f>IF(AND(A159&lt;&gt;"",ISNUMBER(A159)),VLOOKUP(A159,Studies!A:BR,3,FALSE),"")</f>
        <v>https://www.ncbi.nlm.nih.gov/pubmed/15114429</v>
      </c>
      <c r="D159" s="204" t="str">
        <f>IF(AND(A159&lt;&gt;"",ISNUMBER(A159)),VLOOKUP(A159,Studies!A:BR,4,FALSE),"")</f>
        <v>0.075 mg with Perpetrator (Ketoconazole)</v>
      </c>
      <c r="E159" s="139" t="str">
        <f>IF(AND(A159&lt;&gt;"",ISNUMBER(A159)),VLOOKUP(A159,Studies!A:BR,5,FALSE),"")</f>
        <v>Midazolam</v>
      </c>
      <c r="F159" s="42" t="s">
        <v>833</v>
      </c>
      <c r="G159" s="205" t="str">
        <f>IF(AND(A159&lt;&gt;"",ISNUMBER(A159)),VLOOKUP(A159,Studies!A:BR,13,FALSE),"")</f>
        <v>PO</v>
      </c>
      <c r="H159" s="68" t="str">
        <f t="shared" si="6"/>
        <v>PO</v>
      </c>
      <c r="I159" s="205" t="str">
        <f>IF(AND(A159&lt;&gt;"",ISNUMBER(A159)),VLOOKUP(A159,Studies!A:BR,6,FALSE),"")</f>
        <v>Plasma</v>
      </c>
      <c r="J159" s="43">
        <v>6.4705882352941178</v>
      </c>
      <c r="K159" s="43" t="s">
        <v>1099</v>
      </c>
      <c r="N159" s="52">
        <v>3.7419354838709675</v>
      </c>
      <c r="O159" s="52" t="s">
        <v>1099</v>
      </c>
      <c r="R159" s="38">
        <v>0</v>
      </c>
      <c r="S159" s="39" t="s">
        <v>935</v>
      </c>
      <c r="T159" s="184">
        <v>48</v>
      </c>
      <c r="U159" s="41" t="s">
        <v>935</v>
      </c>
      <c r="V159" s="42" t="s">
        <v>59</v>
      </c>
      <c r="X159" s="22">
        <v>200</v>
      </c>
      <c r="Z159" s="28" t="s">
        <v>57</v>
      </c>
      <c r="AA159" s="22" t="s">
        <v>58</v>
      </c>
      <c r="AB159" s="176" t="s">
        <v>1319</v>
      </c>
      <c r="AC159" s="22" t="s">
        <v>59</v>
      </c>
      <c r="AD159" s="176" t="s">
        <v>111</v>
      </c>
    </row>
    <row r="160" spans="1:39" hidden="1" x14ac:dyDescent="0.2">
      <c r="A160" s="187">
        <v>132</v>
      </c>
      <c r="B160" s="204" t="str">
        <f>IF(AND(A160&lt;&gt;"",ISNUMBER(A160)),VLOOKUP(A160,Studies!A:BR,2,FALSE),"")</f>
        <v>Eap 2004</v>
      </c>
      <c r="C160" s="204" t="str">
        <f>IF(AND(A160&lt;&gt;"",ISNUMBER(A160)),VLOOKUP(A160,Studies!A:BR,3,FALSE),"")</f>
        <v>https://www.ncbi.nlm.nih.gov/pubmed/15114429</v>
      </c>
      <c r="D160" s="204" t="str">
        <f>IF(AND(A160&lt;&gt;"",ISNUMBER(A160)),VLOOKUP(A160,Studies!A:BR,4,FALSE),"")</f>
        <v>7.5 mg with Perpetrator (Rifampicin)</v>
      </c>
      <c r="E160" s="139" t="str">
        <f>IF(AND(A160&lt;&gt;"",ISNUMBER(A160)),VLOOKUP(A160,Studies!A:BR,5,FALSE),"")</f>
        <v>Midazolam</v>
      </c>
      <c r="F160" s="42" t="s">
        <v>53</v>
      </c>
      <c r="G160" s="205" t="str">
        <f>IF(AND(A160&lt;&gt;"",ISNUMBER(A160)),VLOOKUP(A160,Studies!A:BR,13,FALSE),"")</f>
        <v>PO</v>
      </c>
      <c r="H160" s="68" t="str">
        <f t="shared" si="6"/>
        <v>PO</v>
      </c>
      <c r="I160" s="205" t="str">
        <f>IF(AND(A160&lt;&gt;"",ISNUMBER(A160)),VLOOKUP(A160,Studies!A:BR,6,FALSE),"")</f>
        <v>Plasma</v>
      </c>
      <c r="J160" s="43">
        <v>5.2238805970149252E-2</v>
      </c>
      <c r="K160" s="43" t="s">
        <v>1099</v>
      </c>
      <c r="N160" s="52">
        <v>0.11153846153846153</v>
      </c>
      <c r="O160" s="52" t="s">
        <v>1099</v>
      </c>
      <c r="R160" s="38">
        <v>0</v>
      </c>
      <c r="S160" s="39" t="s">
        <v>935</v>
      </c>
      <c r="T160" s="184">
        <v>114</v>
      </c>
      <c r="U160" s="41" t="s">
        <v>935</v>
      </c>
      <c r="V160" s="42" t="s">
        <v>59</v>
      </c>
      <c r="X160" s="22">
        <v>450</v>
      </c>
      <c r="Y160" s="180"/>
      <c r="Z160" s="180" t="s">
        <v>57</v>
      </c>
      <c r="AA160" s="22" t="s">
        <v>58</v>
      </c>
      <c r="AB160" s="176" t="s">
        <v>1317</v>
      </c>
      <c r="AC160" s="176" t="s">
        <v>59</v>
      </c>
      <c r="AD160" s="176" t="s">
        <v>1318</v>
      </c>
      <c r="AE160" s="177"/>
      <c r="AH160" s="177"/>
      <c r="AI160" s="177"/>
    </row>
    <row r="161" spans="1:37" hidden="1" x14ac:dyDescent="0.2">
      <c r="A161" s="30">
        <v>113</v>
      </c>
      <c r="B161" s="204" t="str">
        <f>IF(AND(A161&lt;&gt;"",ISNUMBER(A161)),VLOOKUP(A161,Studies!A:BR,2,FALSE),"")</f>
        <v>Chung 2006</v>
      </c>
      <c r="C161" s="204" t="str">
        <f>IF(AND(A161&lt;&gt;"",ISNUMBER(A161)),VLOOKUP(A161,Studies!A:BR,3,FALSE),"")</f>
        <v>https://www.ncbi.nlm.nih.gov/pubmed/16580903</v>
      </c>
      <c r="D161" s="204" t="str">
        <f>IF(AND(A161&lt;&gt;"",ISNUMBER(A161)),VLOOKUP(A161,Studies!A:BR,4,FALSE),"")</f>
        <v>with Perpetrator (Rifampicin)</v>
      </c>
      <c r="E161" s="139" t="str">
        <f>IF(AND(A161&lt;&gt;"",ISNUMBER(A161)),VLOOKUP(A161,Studies!A:BR,5,FALSE),"")</f>
        <v>Midazolam</v>
      </c>
      <c r="F161" s="42" t="s">
        <v>53</v>
      </c>
      <c r="G161" s="205" t="str">
        <f>IF(AND(A161&lt;&gt;"",ISNUMBER(A161)),VLOOKUP(A161,Studies!A:BR,13,FALSE),"")</f>
        <v>PO</v>
      </c>
      <c r="H161" s="68" t="str">
        <f t="shared" si="6"/>
        <v>PO</v>
      </c>
      <c r="I161" s="205" t="str">
        <f>IF(AND(A161&lt;&gt;"",ISNUMBER(A161)),VLOOKUP(A161,Studies!A:BR,6,FALSE),"")</f>
        <v>Plasma</v>
      </c>
      <c r="J161" s="43">
        <f>6.1/49</f>
        <v>0.12448979591836734</v>
      </c>
      <c r="K161" s="43" t="s">
        <v>1099</v>
      </c>
      <c r="N161" s="52">
        <f>3.9/23</f>
        <v>0.16956521739130434</v>
      </c>
      <c r="O161" s="52" t="s">
        <v>1100</v>
      </c>
      <c r="R161" s="38">
        <v>0</v>
      </c>
      <c r="S161" s="39" t="s">
        <v>935</v>
      </c>
      <c r="T161" s="184">
        <v>166</v>
      </c>
      <c r="U161" s="41" t="s">
        <v>935</v>
      </c>
      <c r="V161" s="42" t="s">
        <v>59</v>
      </c>
      <c r="X161" s="22">
        <v>600</v>
      </c>
      <c r="Y161" s="180"/>
      <c r="Z161" s="180" t="s">
        <v>57</v>
      </c>
      <c r="AA161" s="22" t="s">
        <v>58</v>
      </c>
      <c r="AB161" s="176" t="s">
        <v>1101</v>
      </c>
      <c r="AC161" s="176" t="s">
        <v>59</v>
      </c>
      <c r="AE161" s="177" t="s">
        <v>1102</v>
      </c>
      <c r="AH161" s="177"/>
      <c r="AI161" s="177" t="s">
        <v>1103</v>
      </c>
    </row>
    <row r="162" spans="1:37" hidden="1" x14ac:dyDescent="0.2">
      <c r="A162" s="30">
        <v>114</v>
      </c>
      <c r="B162" s="204" t="str">
        <f>IF(AND(A162&lt;&gt;"",ISNUMBER(A162)),VLOOKUP(A162,Studies!A:BR,2,FALSE),"")</f>
        <v>Chung 2006</v>
      </c>
      <c r="C162" s="204" t="str">
        <f>IF(AND(A162&lt;&gt;"",ISNUMBER(A162)),VLOOKUP(A162,Studies!A:BR,3,FALSE),"")</f>
        <v>https://www.ncbi.nlm.nih.gov/pubmed/16580903</v>
      </c>
      <c r="D162" s="204" t="str">
        <f>IF(AND(A162&lt;&gt;"",ISNUMBER(A162)),VLOOKUP(A162,Studies!A:BR,4,FALSE),"")</f>
        <v>with Perpetrator (Ketoconazole)</v>
      </c>
      <c r="E162" s="139" t="str">
        <f>IF(AND(A162&lt;&gt;"",ISNUMBER(A162)),VLOOKUP(A162,Studies!A:BR,5,FALSE),"")</f>
        <v>Midazolam</v>
      </c>
      <c r="F162" s="42" t="s">
        <v>833</v>
      </c>
      <c r="G162" s="205" t="str">
        <f>IF(AND(A162&lt;&gt;"",ISNUMBER(A162)),VLOOKUP(A162,Studies!A:BR,13,FALSE),"")</f>
        <v>PO</v>
      </c>
      <c r="H162" s="68" t="str">
        <f t="shared" si="6"/>
        <v>PO</v>
      </c>
      <c r="I162" s="205" t="str">
        <f>IF(AND(A162&lt;&gt;"",ISNUMBER(A162)),VLOOKUP(A162,Studies!A:BR,6,FALSE),"")</f>
        <v>Plasma</v>
      </c>
      <c r="J162" s="43">
        <f>466/49</f>
        <v>9.5102040816326525</v>
      </c>
      <c r="K162" s="43" t="s">
        <v>1099</v>
      </c>
      <c r="N162" s="52">
        <f>55/23</f>
        <v>2.3913043478260869</v>
      </c>
      <c r="O162" s="52" t="s">
        <v>1100</v>
      </c>
      <c r="R162" s="38">
        <v>0</v>
      </c>
      <c r="S162" s="39" t="s">
        <v>935</v>
      </c>
      <c r="T162" s="184">
        <v>118</v>
      </c>
      <c r="U162" s="41" t="s">
        <v>935</v>
      </c>
      <c r="V162" s="42" t="s">
        <v>59</v>
      </c>
      <c r="X162" s="22">
        <v>400</v>
      </c>
      <c r="Z162" s="28" t="s">
        <v>57</v>
      </c>
      <c r="AA162" s="22" t="s">
        <v>58</v>
      </c>
      <c r="AB162" s="176" t="s">
        <v>508</v>
      </c>
      <c r="AC162" s="22" t="s">
        <v>59</v>
      </c>
      <c r="AE162" s="23" t="s">
        <v>1104</v>
      </c>
      <c r="AI162" s="23" t="s">
        <v>1105</v>
      </c>
    </row>
    <row r="163" spans="1:37" hidden="1" x14ac:dyDescent="0.2">
      <c r="A163" s="30">
        <v>116</v>
      </c>
      <c r="B163" s="204" t="str">
        <f>IF(AND(A163&lt;&gt;"",ISNUMBER(A163)),VLOOKUP(A163,Studies!A:BR,2,FALSE),"")</f>
        <v>Chung 2006</v>
      </c>
      <c r="C163" s="204" t="str">
        <f>IF(AND(A163&lt;&gt;"",ISNUMBER(A163)),VLOOKUP(A163,Studies!A:BR,3,FALSE),"")</f>
        <v>https://www.ncbi.nlm.nih.gov/pubmed/16580903</v>
      </c>
      <c r="D163" s="204" t="str">
        <f>IF(AND(A163&lt;&gt;"",ISNUMBER(A163)),VLOOKUP(A163,Studies!A:BR,4,FALSE),"")</f>
        <v>with Perpetrator (Rifampicin)</v>
      </c>
      <c r="E163" s="139" t="str">
        <f>IF(AND(A163&lt;&gt;"",ISNUMBER(A163)),VLOOKUP(A163,Studies!A:BR,5,FALSE),"")</f>
        <v>Simvastatin</v>
      </c>
      <c r="F163" s="42" t="s">
        <v>53</v>
      </c>
      <c r="G163" s="205" t="str">
        <f>IF(AND(A163&lt;&gt;"",ISNUMBER(A163)),VLOOKUP(A163,Studies!A:BR,13,FALSE),"")</f>
        <v>PO</v>
      </c>
      <c r="H163" s="68" t="str">
        <f t="shared" si="6"/>
        <v>PO</v>
      </c>
      <c r="I163" s="205" t="str">
        <f>IF(AND(A163&lt;&gt;"",ISNUMBER(A163)),VLOOKUP(A163,Studies!A:BR,6,FALSE),"")</f>
        <v>Plasma</v>
      </c>
      <c r="J163" s="43">
        <f>2.6/29</f>
        <v>8.9655172413793102E-2</v>
      </c>
      <c r="K163" s="43" t="s">
        <v>1099</v>
      </c>
      <c r="N163" s="52">
        <f>1.1/7.4</f>
        <v>0.14864864864864866</v>
      </c>
      <c r="O163" s="52" t="s">
        <v>1100</v>
      </c>
      <c r="R163" s="38">
        <v>0</v>
      </c>
      <c r="S163" s="39" t="s">
        <v>935</v>
      </c>
      <c r="T163" s="40">
        <v>190</v>
      </c>
      <c r="U163" s="41" t="s">
        <v>935</v>
      </c>
      <c r="V163" s="42" t="s">
        <v>59</v>
      </c>
      <c r="X163" s="22">
        <v>600</v>
      </c>
      <c r="Z163" s="28" t="s">
        <v>57</v>
      </c>
      <c r="AA163" s="22" t="s">
        <v>58</v>
      </c>
      <c r="AB163" s="22" t="s">
        <v>1101</v>
      </c>
      <c r="AC163" s="22" t="s">
        <v>59</v>
      </c>
      <c r="AE163" s="23" t="s">
        <v>1102</v>
      </c>
      <c r="AI163" s="23" t="s">
        <v>1103</v>
      </c>
    </row>
    <row r="164" spans="1:37" hidden="1" x14ac:dyDescent="0.2">
      <c r="A164" s="30">
        <v>117</v>
      </c>
      <c r="B164" s="204" t="str">
        <f>IF(AND(A164&lt;&gt;"",ISNUMBER(A164)),VLOOKUP(A164,Studies!A:BR,2,FALSE),"")</f>
        <v>Chung 2006</v>
      </c>
      <c r="C164" s="204" t="str">
        <f>IF(AND(A164&lt;&gt;"",ISNUMBER(A164)),VLOOKUP(A164,Studies!A:BR,3,FALSE),"")</f>
        <v>https://www.ncbi.nlm.nih.gov/pubmed/16580903</v>
      </c>
      <c r="D164" s="204" t="str">
        <f>IF(AND(A164&lt;&gt;"",ISNUMBER(A164)),VLOOKUP(A164,Studies!A:BR,4,FALSE),"")</f>
        <v>with Perpetrator (Ketoconazole)</v>
      </c>
      <c r="E164" s="139" t="str">
        <f>IF(AND(A164&lt;&gt;"",ISNUMBER(A164)),VLOOKUP(A164,Studies!A:BR,5,FALSE),"")</f>
        <v>Simvastatin</v>
      </c>
      <c r="F164" s="42" t="s">
        <v>833</v>
      </c>
      <c r="G164" s="205" t="str">
        <f>IF(AND(A164&lt;&gt;"",ISNUMBER(A164)),VLOOKUP(A164,Studies!A:BR,13,FALSE),"")</f>
        <v>PO</v>
      </c>
      <c r="H164" s="68" t="str">
        <f t="shared" si="6"/>
        <v>PO</v>
      </c>
      <c r="I164" s="205" t="str">
        <f>IF(AND(A164&lt;&gt;"",ISNUMBER(A164)),VLOOKUP(A164,Studies!A:BR,6,FALSE),"")</f>
        <v>Plasma</v>
      </c>
      <c r="J164" s="43">
        <f>364/29</f>
        <v>12.551724137931034</v>
      </c>
      <c r="K164" s="43" t="s">
        <v>1099</v>
      </c>
      <c r="N164" s="52">
        <f>55/7.4</f>
        <v>7.4324324324324325</v>
      </c>
      <c r="O164" s="52" t="s">
        <v>1100</v>
      </c>
      <c r="R164" s="38">
        <v>0</v>
      </c>
      <c r="S164" s="39" t="s">
        <v>935</v>
      </c>
      <c r="T164" s="40">
        <v>190</v>
      </c>
      <c r="U164" s="41" t="s">
        <v>935</v>
      </c>
      <c r="V164" s="42" t="s">
        <v>59</v>
      </c>
      <c r="X164" s="22">
        <v>400</v>
      </c>
      <c r="Z164" s="28" t="s">
        <v>57</v>
      </c>
      <c r="AA164" s="22" t="s">
        <v>58</v>
      </c>
      <c r="AB164" s="22" t="s">
        <v>508</v>
      </c>
      <c r="AC164" s="22" t="s">
        <v>59</v>
      </c>
      <c r="AE164" s="23" t="s">
        <v>1104</v>
      </c>
      <c r="AI164" s="23" t="s">
        <v>1105</v>
      </c>
    </row>
    <row r="165" spans="1:37" hidden="1" x14ac:dyDescent="0.2">
      <c r="A165" s="30">
        <v>2012</v>
      </c>
      <c r="B165" s="204" t="str">
        <f>IF(AND(A165&lt;&gt;"",ISNUMBER(A165)),VLOOKUP(A165,Studies!A:BR,2,FALSE),"")</f>
        <v>Chen 2006</v>
      </c>
      <c r="C165" s="204" t="str">
        <f>IF(AND(A165&lt;&gt;"",ISNUMBER(A165)),VLOOKUP(A165,Studies!A:BR,3,FALSE),"")</f>
        <v>https://www.ncbi.nlm.nih.gov/pubmed/16842393</v>
      </c>
      <c r="D165" s="204" t="str">
        <f>IF(AND(A165&lt;&gt;"",ISNUMBER(A165)),VLOOKUP(A165,Studies!A:BR,4,FALSE),"")</f>
        <v>Midazolam post treatment with fluvoxamine (28 days of fluvoxamine) overall</v>
      </c>
      <c r="E165" s="139" t="str">
        <f>IF(AND(A165&lt;&gt;"",ISNUMBER(A165)),VLOOKUP(A165,Studies!A:BR,5,FALSE),"")</f>
        <v>Midazolam</v>
      </c>
      <c r="F165" s="42" t="s">
        <v>1091</v>
      </c>
      <c r="G165" s="205" t="str">
        <f>IF(AND(A165&lt;&gt;"",ISNUMBER(A165)),VLOOKUP(A165,Studies!A:BR,13,FALSE),"")</f>
        <v>IV</v>
      </c>
      <c r="H165" s="68" t="s">
        <v>58</v>
      </c>
      <c r="I165" s="205" t="str">
        <f>IF(AND(A165&lt;&gt;"",ISNUMBER(A165)),VLOOKUP(A165,Studies!A:BR,6,FALSE),"")</f>
        <v>Plasma</v>
      </c>
      <c r="J165" s="43">
        <v>1.4905660377358492</v>
      </c>
      <c r="K165" s="43" t="s">
        <v>2726</v>
      </c>
      <c r="R165" s="38">
        <v>0</v>
      </c>
      <c r="S165" s="39" t="s">
        <v>935</v>
      </c>
      <c r="T165" s="40">
        <v>336</v>
      </c>
      <c r="U165" s="41" t="s">
        <v>935</v>
      </c>
      <c r="V165" s="42" t="s">
        <v>59</v>
      </c>
      <c r="W165" s="181" t="s">
        <v>2661</v>
      </c>
      <c r="X165" s="176" t="s">
        <v>2617</v>
      </c>
      <c r="Y165" s="180"/>
      <c r="Z165" s="180" t="s">
        <v>57</v>
      </c>
      <c r="AA165" s="176" t="s">
        <v>58</v>
      </c>
      <c r="AB165" s="176" t="s">
        <v>2682</v>
      </c>
      <c r="AC165" s="176" t="s">
        <v>59</v>
      </c>
      <c r="AD165" s="176" t="s">
        <v>2985</v>
      </c>
      <c r="AE165" s="23" t="s">
        <v>2630</v>
      </c>
      <c r="AF165" s="177" t="s">
        <v>2683</v>
      </c>
    </row>
    <row r="166" spans="1:37" hidden="1" x14ac:dyDescent="0.2">
      <c r="A166" s="30">
        <v>2014</v>
      </c>
      <c r="B166" s="204" t="str">
        <f>IF(AND(A166&lt;&gt;"",ISNUMBER(A166)),VLOOKUP(A166,Studies!A:BR,2,FALSE),"")</f>
        <v>Chen 2006</v>
      </c>
      <c r="C166" s="204" t="str">
        <f>IF(AND(A166&lt;&gt;"",ISNUMBER(A166)),VLOOKUP(A166,Studies!A:BR,3,FALSE),"")</f>
        <v>https://www.ncbi.nlm.nih.gov/pubmed/16842393</v>
      </c>
      <c r="D166" s="204" t="str">
        <f>IF(AND(A166&lt;&gt;"",ISNUMBER(A166)),VLOOKUP(A166,Studies!A:BR,4,FALSE),"")</f>
        <v>Midazolam post treatment with fluvoxamine (28 days of fluvoxamine) Male</v>
      </c>
      <c r="E166" s="139" t="str">
        <f>IF(AND(A166&lt;&gt;"",ISNUMBER(A166)),VLOOKUP(A166,Studies!A:BR,5,FALSE),"")</f>
        <v>Midazolam</v>
      </c>
      <c r="F166" s="42" t="s">
        <v>1091</v>
      </c>
      <c r="G166" s="205" t="str">
        <f>IF(AND(A166&lt;&gt;"",ISNUMBER(A166)),VLOOKUP(A166,Studies!A:BR,13,FALSE),"")</f>
        <v>IV</v>
      </c>
      <c r="H166" s="68" t="s">
        <v>58</v>
      </c>
      <c r="I166" s="205" t="str">
        <f>IF(AND(A166&lt;&gt;"",ISNUMBER(A166)),VLOOKUP(A166,Studies!A:BR,6,FALSE),"")</f>
        <v>Plasma</v>
      </c>
      <c r="J166" s="43">
        <v>1.6170212765957446</v>
      </c>
      <c r="K166" s="43" t="s">
        <v>2726</v>
      </c>
      <c r="R166" s="38">
        <v>0</v>
      </c>
      <c r="S166" s="39" t="s">
        <v>935</v>
      </c>
      <c r="T166" s="40">
        <v>336</v>
      </c>
      <c r="U166" s="41" t="s">
        <v>935</v>
      </c>
      <c r="V166" s="42" t="s">
        <v>59</v>
      </c>
      <c r="W166" s="181" t="s">
        <v>2661</v>
      </c>
      <c r="X166" s="176" t="s">
        <v>2617</v>
      </c>
      <c r="Y166" s="180"/>
      <c r="Z166" s="180" t="s">
        <v>57</v>
      </c>
      <c r="AA166" s="176" t="s">
        <v>58</v>
      </c>
      <c r="AB166" s="176" t="s">
        <v>2682</v>
      </c>
      <c r="AC166" s="176" t="s">
        <v>59</v>
      </c>
      <c r="AD166" s="176" t="s">
        <v>2985</v>
      </c>
      <c r="AE166" s="23" t="s">
        <v>2630</v>
      </c>
      <c r="AF166" s="177" t="s">
        <v>2683</v>
      </c>
    </row>
    <row r="167" spans="1:37" hidden="1" x14ac:dyDescent="0.2">
      <c r="A167" s="30">
        <v>2016</v>
      </c>
      <c r="B167" s="204" t="str">
        <f>IF(AND(A167&lt;&gt;"",ISNUMBER(A167)),VLOOKUP(A167,Studies!A:BR,2,FALSE),"")</f>
        <v>Chen 2006</v>
      </c>
      <c r="C167" s="204" t="str">
        <f>IF(AND(A167&lt;&gt;"",ISNUMBER(A167)),VLOOKUP(A167,Studies!A:BR,3,FALSE),"")</f>
        <v>https://www.ncbi.nlm.nih.gov/pubmed/16842393</v>
      </c>
      <c r="D167" s="204" t="str">
        <f>IF(AND(A167&lt;&gt;"",ISNUMBER(A167)),VLOOKUP(A167,Studies!A:BR,4,FALSE),"")</f>
        <v>Midazolam post treatment with fluvoxamine (28 days of fluvoxamine) female</v>
      </c>
      <c r="E167" s="139" t="str">
        <f>IF(AND(A167&lt;&gt;"",ISNUMBER(A167)),VLOOKUP(A167,Studies!A:BR,5,FALSE),"")</f>
        <v>Midazolam</v>
      </c>
      <c r="F167" s="42" t="s">
        <v>1091</v>
      </c>
      <c r="G167" s="205" t="str">
        <f>IF(AND(A167&lt;&gt;"",ISNUMBER(A167)),VLOOKUP(A167,Studies!A:BR,13,FALSE),"")</f>
        <v>IV</v>
      </c>
      <c r="H167" s="68" t="s">
        <v>58</v>
      </c>
      <c r="I167" s="205" t="str">
        <f>IF(AND(A167&lt;&gt;"",ISNUMBER(A167)),VLOOKUP(A167,Studies!A:BR,6,FALSE),"")</f>
        <v>Plasma</v>
      </c>
      <c r="J167" s="43">
        <v>1.3728813559322033</v>
      </c>
      <c r="K167" s="43" t="s">
        <v>2726</v>
      </c>
      <c r="R167" s="38">
        <v>0</v>
      </c>
      <c r="S167" s="39" t="s">
        <v>935</v>
      </c>
      <c r="T167" s="40">
        <v>336</v>
      </c>
      <c r="U167" s="41" t="s">
        <v>935</v>
      </c>
      <c r="V167" s="42" t="s">
        <v>59</v>
      </c>
      <c r="W167" s="181" t="s">
        <v>2661</v>
      </c>
      <c r="X167" s="176" t="s">
        <v>2617</v>
      </c>
      <c r="Y167" s="180"/>
      <c r="Z167" s="180" t="s">
        <v>57</v>
      </c>
      <c r="AA167" s="176" t="s">
        <v>58</v>
      </c>
      <c r="AB167" s="176" t="s">
        <v>2682</v>
      </c>
      <c r="AC167" s="176" t="s">
        <v>59</v>
      </c>
      <c r="AD167" s="176" t="s">
        <v>2985</v>
      </c>
      <c r="AE167" s="23" t="s">
        <v>2630</v>
      </c>
      <c r="AF167" s="177" t="s">
        <v>2683</v>
      </c>
    </row>
    <row r="168" spans="1:37" hidden="1" x14ac:dyDescent="0.2">
      <c r="A168" s="30">
        <v>828</v>
      </c>
      <c r="B168" s="204" t="str">
        <f>IF(AND(A168&lt;&gt;"",ISNUMBER(A168)),VLOOKUP(A168,Studies!A:BR,2,FALSE),"")</f>
        <v>Carls 2014</v>
      </c>
      <c r="C168" s="204" t="str">
        <f>IF(AND(A168&lt;&gt;"",ISNUMBER(A168)),VLOOKUP(A168,Studies!A:BR,3,FALSE),"")</f>
        <v>https://www.ncbi.nlm.nih.gov/pubmed/25139487</v>
      </c>
      <c r="D168" s="204" t="str">
        <f>IF(AND(A168&lt;&gt;"",ISNUMBER(A168)),VLOOKUP(A168,Studies!A:BR,4,FALSE),"")</f>
        <v xml:space="preserve">Midazolam + 250 mg erythromycin </v>
      </c>
      <c r="E168" s="139" t="str">
        <f>IF(AND(A168&lt;&gt;"",ISNUMBER(A168)),VLOOKUP(A168,Studies!A:BR,5,FALSE),"")</f>
        <v>Midazolam</v>
      </c>
      <c r="F168" s="42" t="s">
        <v>355</v>
      </c>
      <c r="G168" s="205" t="str">
        <f>IF(AND(A168&lt;&gt;"",ISNUMBER(A168)),VLOOKUP(A168,Studies!A:BR,13,FALSE),"")</f>
        <v>IV</v>
      </c>
      <c r="H168" s="68" t="s">
        <v>58</v>
      </c>
      <c r="I168" s="205" t="str">
        <f>IF(AND(A168&lt;&gt;"",ISNUMBER(A168)),VLOOKUP(A168,Studies!A:BR,6,FALSE),"")</f>
        <v>Plasma</v>
      </c>
      <c r="J168" s="268">
        <f>9.74/5.67</f>
        <v>1.7178130511463845</v>
      </c>
      <c r="K168" s="43" t="s">
        <v>1099</v>
      </c>
      <c r="R168" s="38">
        <v>2</v>
      </c>
      <c r="S168" s="39">
        <v>4</v>
      </c>
      <c r="T168" s="40">
        <v>3</v>
      </c>
      <c r="U168" s="41">
        <v>5</v>
      </c>
      <c r="V168" s="42" t="s">
        <v>59</v>
      </c>
      <c r="X168" s="22">
        <v>250</v>
      </c>
      <c r="Z168" s="28" t="s">
        <v>57</v>
      </c>
      <c r="AA168" s="22" t="s">
        <v>58</v>
      </c>
      <c r="AB168" s="22">
        <v>0</v>
      </c>
      <c r="AC168" s="22" t="s">
        <v>59</v>
      </c>
      <c r="AD168" s="176" t="s">
        <v>78</v>
      </c>
      <c r="AF168" s="177" t="s">
        <v>2888</v>
      </c>
    </row>
    <row r="169" spans="1:37" hidden="1" x14ac:dyDescent="0.2">
      <c r="A169" s="30">
        <v>829</v>
      </c>
      <c r="B169" s="204" t="str">
        <f>IF(AND(A169&lt;&gt;"",ISNUMBER(A169)),VLOOKUP(A169,Studies!A:BR,2,FALSE),"")</f>
        <v>Carls 2014</v>
      </c>
      <c r="C169" s="204" t="str">
        <f>IF(AND(A169&lt;&gt;"",ISNUMBER(A169)),VLOOKUP(A169,Studies!A:BR,3,FALSE),"")</f>
        <v>https://www.ncbi.nlm.nih.gov/pubmed/25139487</v>
      </c>
      <c r="D169" s="204" t="str">
        <f>IF(AND(A169&lt;&gt;"",ISNUMBER(A169)),VLOOKUP(A169,Studies!A:BR,4,FALSE),"")</f>
        <v xml:space="preserve">Midazolam + 1000 mg erythromycin </v>
      </c>
      <c r="E169" s="139" t="str">
        <f>IF(AND(A169&lt;&gt;"",ISNUMBER(A169)),VLOOKUP(A169,Studies!A:BR,5,FALSE),"")</f>
        <v>Midazolam</v>
      </c>
      <c r="F169" s="42" t="s">
        <v>355</v>
      </c>
      <c r="G169" s="205" t="str">
        <f>IF(AND(A169&lt;&gt;"",ISNUMBER(A169)),VLOOKUP(A169,Studies!A:BR,13,FALSE),"")</f>
        <v>IV</v>
      </c>
      <c r="H169" s="68" t="s">
        <v>58</v>
      </c>
      <c r="I169" s="205" t="str">
        <f>IF(AND(A169&lt;&gt;"",ISNUMBER(A169)),VLOOKUP(A169,Studies!A:BR,6,FALSE),"")</f>
        <v>Plasma</v>
      </c>
      <c r="J169" s="268">
        <f>28.3/5.67</f>
        <v>4.9911816578483243</v>
      </c>
      <c r="K169" s="43" t="s">
        <v>1099</v>
      </c>
      <c r="R169" s="38">
        <v>2</v>
      </c>
      <c r="S169" s="39">
        <v>4</v>
      </c>
      <c r="T169" s="40">
        <v>3</v>
      </c>
      <c r="U169" s="41">
        <v>5</v>
      </c>
      <c r="V169" s="42" t="s">
        <v>59</v>
      </c>
      <c r="X169" s="22">
        <v>1000</v>
      </c>
      <c r="Z169" s="28" t="s">
        <v>57</v>
      </c>
      <c r="AA169" s="22" t="s">
        <v>58</v>
      </c>
      <c r="AB169" s="22">
        <v>0</v>
      </c>
      <c r="AC169" s="22" t="s">
        <v>59</v>
      </c>
      <c r="AD169" s="176" t="s">
        <v>78</v>
      </c>
      <c r="AF169" s="177" t="s">
        <v>2888</v>
      </c>
    </row>
    <row r="170" spans="1:37" hidden="1" x14ac:dyDescent="0.2">
      <c r="A170" s="30">
        <v>779</v>
      </c>
      <c r="B170" s="204" t="str">
        <f>IF(AND(A170&lt;&gt;"",ISNUMBER(A170)),VLOOKUP(A170,Studies!A:BR,2,FALSE),"")</f>
        <v>Bartkowski 1989</v>
      </c>
      <c r="C170" s="204" t="str">
        <f>IF(AND(A170&lt;&gt;"",ISNUMBER(A170)),VLOOKUP(A170,Studies!A:BR,3,FALSE),"")</f>
        <v>https://www.ncbi.nlm.nih.gov/pubmed/2501060</v>
      </c>
      <c r="D170" s="204" t="str">
        <f>IF(AND(A170&lt;&gt;"",ISNUMBER(A170)),VLOOKUP(A170,Studies!A:BR,4,FALSE),"")</f>
        <v>Treatment Day 1</v>
      </c>
      <c r="E170" s="139" t="str">
        <f>IF(AND(A170&lt;&gt;"",ISNUMBER(A170)),VLOOKUP(A170,Studies!A:BR,5,FALSE),"")</f>
        <v>Alfentanil</v>
      </c>
      <c r="F170" s="42" t="s">
        <v>355</v>
      </c>
      <c r="G170" s="205" t="str">
        <f>IF(AND(A170&lt;&gt;"",ISNUMBER(A170)),VLOOKUP(A170,Studies!A:BR,13,FALSE),"")</f>
        <v>IV</v>
      </c>
      <c r="H170" s="68" t="s">
        <v>58</v>
      </c>
      <c r="I170" s="205" t="str">
        <f>IF(AND(A170&lt;&gt;"",ISNUMBER(A170)),VLOOKUP(A170,Studies!A:BR,6,FALSE),"")</f>
        <v>Serum</v>
      </c>
      <c r="J170" s="43">
        <v>1.026178</v>
      </c>
      <c r="K170" s="43" t="s">
        <v>2139</v>
      </c>
      <c r="L170" s="76">
        <v>1.204995</v>
      </c>
      <c r="M170" s="76" t="s">
        <v>2168</v>
      </c>
      <c r="R170" s="38">
        <v>0</v>
      </c>
      <c r="S170" s="39" t="s">
        <v>935</v>
      </c>
      <c r="T170" s="40">
        <v>1.5</v>
      </c>
      <c r="U170" s="41" t="s">
        <v>935</v>
      </c>
      <c r="V170" s="42" t="s">
        <v>59</v>
      </c>
      <c r="W170" s="181" t="s">
        <v>2169</v>
      </c>
      <c r="X170" s="22">
        <v>500</v>
      </c>
      <c r="Z170" s="28" t="s">
        <v>57</v>
      </c>
      <c r="AA170" s="22" t="s">
        <v>58</v>
      </c>
      <c r="AB170" s="22">
        <v>0</v>
      </c>
      <c r="AC170" s="22" t="s">
        <v>59</v>
      </c>
      <c r="AD170" s="176" t="s">
        <v>78</v>
      </c>
      <c r="AF170" s="177" t="s">
        <v>2171</v>
      </c>
      <c r="AJ170" s="52" t="s">
        <v>61</v>
      </c>
      <c r="AK170" s="52" t="s">
        <v>1960</v>
      </c>
    </row>
    <row r="171" spans="1:37" hidden="1" x14ac:dyDescent="0.2">
      <c r="A171" s="30">
        <v>780</v>
      </c>
      <c r="B171" s="204" t="str">
        <f>IF(AND(A171&lt;&gt;"",ISNUMBER(A171)),VLOOKUP(A171,Studies!A:BR,2,FALSE),"")</f>
        <v>Bartkowski 1989</v>
      </c>
      <c r="C171" s="204" t="str">
        <f>IF(AND(A171&lt;&gt;"",ISNUMBER(A171)),VLOOKUP(A171,Studies!A:BR,3,FALSE),"")</f>
        <v>https://www.ncbi.nlm.nih.gov/pubmed/2501060</v>
      </c>
      <c r="D171" s="204" t="str">
        <f>IF(AND(A171&lt;&gt;"",ISNUMBER(A171)),VLOOKUP(A171,Studies!A:BR,4,FALSE),"")</f>
        <v>Treatment Day 7</v>
      </c>
      <c r="E171" s="139" t="str">
        <f>IF(AND(A171&lt;&gt;"",ISNUMBER(A171)),VLOOKUP(A171,Studies!A:BR,5,FALSE),"")</f>
        <v>Alfentanil</v>
      </c>
      <c r="F171" s="42" t="s">
        <v>355</v>
      </c>
      <c r="G171" s="205" t="str">
        <f>IF(AND(A171&lt;&gt;"",ISNUMBER(A171)),VLOOKUP(A171,Studies!A:BR,13,FALSE),"")</f>
        <v>IV</v>
      </c>
      <c r="H171" s="68" t="s">
        <v>58</v>
      </c>
      <c r="I171" s="205" t="str">
        <f>IF(AND(A171&lt;&gt;"",ISNUMBER(A171)),VLOOKUP(A171,Studies!A:BR,6,FALSE),"")</f>
        <v>Serum</v>
      </c>
      <c r="J171" s="43">
        <v>1.4610939999999999</v>
      </c>
      <c r="K171" s="43" t="s">
        <v>2139</v>
      </c>
      <c r="L171" s="76">
        <v>1.312773</v>
      </c>
      <c r="M171" s="76" t="s">
        <v>2168</v>
      </c>
      <c r="R171" s="38">
        <v>0</v>
      </c>
      <c r="S171" s="39" t="s">
        <v>935</v>
      </c>
      <c r="T171" s="40">
        <v>145.5</v>
      </c>
      <c r="U171" s="41" t="s">
        <v>935</v>
      </c>
      <c r="V171" s="42" t="s">
        <v>59</v>
      </c>
      <c r="W171" s="181" t="s">
        <v>2169</v>
      </c>
      <c r="X171" s="22">
        <v>500</v>
      </c>
      <c r="Z171" s="28" t="s">
        <v>57</v>
      </c>
      <c r="AA171" s="22" t="s">
        <v>58</v>
      </c>
      <c r="AB171" s="22" t="s">
        <v>2170</v>
      </c>
      <c r="AC171" s="22" t="s">
        <v>59</v>
      </c>
      <c r="AD171" s="176" t="s">
        <v>1112</v>
      </c>
      <c r="AF171" s="177" t="s">
        <v>2171</v>
      </c>
      <c r="AJ171" s="52" t="s">
        <v>61</v>
      </c>
      <c r="AK171" s="52" t="s">
        <v>1960</v>
      </c>
    </row>
    <row r="172" spans="1:37" hidden="1" x14ac:dyDescent="0.2">
      <c r="A172" s="187">
        <v>56</v>
      </c>
      <c r="B172" s="204" t="str">
        <f>IF(AND(A172&lt;&gt;"",ISNUMBER(A172)),VLOOKUP(A172,Studies!A:BR,2,FALSE),"")</f>
        <v>Backman 1998</v>
      </c>
      <c r="C172" s="204" t="str">
        <f>IF(AND(A172&lt;&gt;"",ISNUMBER(A172)),VLOOKUP(A172,Studies!A:BR,3,FALSE),"")</f>
        <v>https://www.ncbi.nlm.nih.gov/pubmed/9591931</v>
      </c>
      <c r="D172" s="204" t="str">
        <f>IF(AND(A172&lt;&gt;"",ISNUMBER(A172)),VLOOKUP(A172,Studies!A:BR,4,FALSE),"")</f>
        <v>Phase IV (during Perpetrator (Rifampicin))</v>
      </c>
      <c r="E172" s="139" t="str">
        <f>IF(AND(A172&lt;&gt;"",ISNUMBER(A172)),VLOOKUP(A172,Studies!A:BR,5,FALSE),"")</f>
        <v>Midazolam</v>
      </c>
      <c r="F172" s="42" t="s">
        <v>53</v>
      </c>
      <c r="G172" s="205" t="str">
        <f>IF(AND(A172&lt;&gt;"",ISNUMBER(A172)),VLOOKUP(A172,Studies!A:BR,13,FALSE),"")</f>
        <v>PO</v>
      </c>
      <c r="H172" s="68" t="str">
        <f>AA172</f>
        <v>PO</v>
      </c>
      <c r="I172" s="205" t="str">
        <f>IF(AND(A172&lt;&gt;"",ISNUMBER(A172)),VLOOKUP(A172,Studies!A:BR,6,FALSE),"")</f>
        <v>Plasma</v>
      </c>
      <c r="J172" s="43">
        <v>2.3E-2</v>
      </c>
      <c r="K172" s="43" t="s">
        <v>115</v>
      </c>
      <c r="L172" s="76">
        <v>6.0000000000000001E-3</v>
      </c>
      <c r="M172" s="76" t="s">
        <v>1121</v>
      </c>
      <c r="N172" s="52">
        <v>5.3999999999999999E-2</v>
      </c>
      <c r="O172" s="52" t="s">
        <v>1122</v>
      </c>
      <c r="P172" s="84">
        <v>1.2E-2</v>
      </c>
      <c r="Q172" s="84" t="s">
        <v>1121</v>
      </c>
      <c r="R172" s="38">
        <v>0</v>
      </c>
      <c r="S172" s="39" t="s">
        <v>935</v>
      </c>
      <c r="T172" s="40">
        <v>113</v>
      </c>
      <c r="U172" s="41">
        <v>185</v>
      </c>
      <c r="V172" s="42" t="s">
        <v>59</v>
      </c>
      <c r="X172" s="22">
        <v>600</v>
      </c>
      <c r="Z172" s="28" t="s">
        <v>57</v>
      </c>
      <c r="AA172" s="22" t="s">
        <v>58</v>
      </c>
      <c r="AB172" s="22" t="s">
        <v>182</v>
      </c>
      <c r="AC172" s="22" t="s">
        <v>59</v>
      </c>
      <c r="AF172" s="177" t="s">
        <v>1120</v>
      </c>
      <c r="AJ172" s="52" t="s">
        <v>61</v>
      </c>
    </row>
    <row r="173" spans="1:37" hidden="1" x14ac:dyDescent="0.2">
      <c r="A173" s="187">
        <v>57</v>
      </c>
      <c r="B173" s="204" t="str">
        <f>IF(AND(A173&lt;&gt;"",ISNUMBER(A173)),VLOOKUP(A173,Studies!A:BR,2,FALSE),"")</f>
        <v>Backman 1998</v>
      </c>
      <c r="C173" s="204" t="str">
        <f>IF(AND(A173&lt;&gt;"",ISNUMBER(A173)),VLOOKUP(A173,Studies!A:BR,3,FALSE),"")</f>
        <v>https://www.ncbi.nlm.nih.gov/pubmed/9591931</v>
      </c>
      <c r="D173" s="204" t="str">
        <f>IF(AND(A173&lt;&gt;"",ISNUMBER(A173)),VLOOKUP(A173,Studies!A:BR,4,FALSE),"")</f>
        <v>Phase V (4 days after Perpetrator (Rifampicin))</v>
      </c>
      <c r="E173" s="139" t="str">
        <f>IF(AND(A173&lt;&gt;"",ISNUMBER(A173)),VLOOKUP(A173,Studies!A:BR,5,FALSE),"")</f>
        <v>Midazolam</v>
      </c>
      <c r="F173" s="42" t="s">
        <v>53</v>
      </c>
      <c r="G173" s="205" t="str">
        <f>IF(AND(A173&lt;&gt;"",ISNUMBER(A173)),VLOOKUP(A173,Studies!A:BR,13,FALSE),"")</f>
        <v>PO</v>
      </c>
      <c r="H173" s="68" t="str">
        <f>AA173</f>
        <v>PO</v>
      </c>
      <c r="I173" s="205" t="str">
        <f>IF(AND(A173&lt;&gt;"",ISNUMBER(A173)),VLOOKUP(A173,Studies!A:BR,6,FALSE),"")</f>
        <v>Plasma</v>
      </c>
      <c r="J173" s="43">
        <v>0.13200000000000001</v>
      </c>
      <c r="K173" s="43" t="s">
        <v>115</v>
      </c>
      <c r="L173" s="76">
        <v>2.8000000000000001E-2</v>
      </c>
      <c r="M173" s="76" t="s">
        <v>1121</v>
      </c>
      <c r="N173" s="52">
        <v>0.20200000000000001</v>
      </c>
      <c r="O173" s="52" t="s">
        <v>1122</v>
      </c>
      <c r="P173" s="84">
        <v>4.2000000000000003E-2</v>
      </c>
      <c r="Q173" s="84" t="s">
        <v>1121</v>
      </c>
      <c r="R173" s="38">
        <v>0</v>
      </c>
      <c r="S173" s="39" t="s">
        <v>935</v>
      </c>
      <c r="T173" s="40">
        <v>185</v>
      </c>
      <c r="U173" s="41" t="s">
        <v>935</v>
      </c>
      <c r="V173" s="42" t="s">
        <v>59</v>
      </c>
      <c r="X173" s="22">
        <v>600</v>
      </c>
      <c r="Z173" s="28" t="s">
        <v>57</v>
      </c>
      <c r="AA173" s="22" t="s">
        <v>58</v>
      </c>
      <c r="AB173" s="22" t="s">
        <v>182</v>
      </c>
      <c r="AC173" s="22" t="s">
        <v>59</v>
      </c>
      <c r="AF173" s="177" t="s">
        <v>1120</v>
      </c>
      <c r="AJ173" s="52" t="s">
        <v>61</v>
      </c>
    </row>
    <row r="174" spans="1:37" hidden="1" x14ac:dyDescent="0.2">
      <c r="A174" s="187">
        <v>58</v>
      </c>
      <c r="B174" s="204" t="str">
        <f>IF(AND(A174&lt;&gt;"",ISNUMBER(A174)),VLOOKUP(A174,Studies!A:BR,2,FALSE),"")</f>
        <v>Backman 1998</v>
      </c>
      <c r="C174" s="204" t="str">
        <f>IF(AND(A174&lt;&gt;"",ISNUMBER(A174)),VLOOKUP(A174,Studies!A:BR,3,FALSE),"")</f>
        <v>https://www.ncbi.nlm.nih.gov/pubmed/9591931</v>
      </c>
      <c r="D174" s="204" t="str">
        <f>IF(AND(A174&lt;&gt;"",ISNUMBER(A174)),VLOOKUP(A174,Studies!A:BR,4,FALSE),"")</f>
        <v>Phase II (during Perpetrator (Itraconazole))</v>
      </c>
      <c r="E174" s="139" t="str">
        <f>IF(AND(A174&lt;&gt;"",ISNUMBER(A174)),VLOOKUP(A174,Studies!A:BR,5,FALSE),"")</f>
        <v>Midazolam</v>
      </c>
      <c r="F174" s="42" t="s">
        <v>148</v>
      </c>
      <c r="G174" s="205" t="str">
        <f>IF(AND(A174&lt;&gt;"",ISNUMBER(A174)),VLOOKUP(A174,Studies!A:BR,13,FALSE),"")</f>
        <v>PO</v>
      </c>
      <c r="H174" s="68" t="str">
        <f>AA174</f>
        <v>PO</v>
      </c>
      <c r="I174" s="205" t="str">
        <f>IF(AND(A174&lt;&gt;"",ISNUMBER(A174)),VLOOKUP(A174,Studies!A:BR,6,FALSE),"")</f>
        <v>Plasma</v>
      </c>
      <c r="J174" s="43">
        <v>7.97</v>
      </c>
      <c r="K174" s="43" t="s">
        <v>115</v>
      </c>
      <c r="L174" s="76">
        <v>1.1399999999999999</v>
      </c>
      <c r="M174" s="76" t="s">
        <v>1121</v>
      </c>
      <c r="N174" s="52">
        <v>3.12</v>
      </c>
      <c r="O174" s="52" t="s">
        <v>1122</v>
      </c>
      <c r="P174" s="84">
        <v>0.37</v>
      </c>
      <c r="Q174" s="84" t="s">
        <v>1121</v>
      </c>
      <c r="R174" s="38">
        <v>0</v>
      </c>
      <c r="S174" s="39" t="s">
        <v>935</v>
      </c>
      <c r="T174" s="40">
        <v>74</v>
      </c>
      <c r="U174" s="41">
        <v>170</v>
      </c>
      <c r="V174" s="42" t="s">
        <v>59</v>
      </c>
      <c r="W174" s="181" t="s">
        <v>2991</v>
      </c>
      <c r="X174" s="22">
        <v>200</v>
      </c>
      <c r="Z174" s="28" t="s">
        <v>57</v>
      </c>
      <c r="AA174" s="22" t="s">
        <v>58</v>
      </c>
      <c r="AB174" s="22" t="s">
        <v>830</v>
      </c>
      <c r="AC174" s="22" t="s">
        <v>59</v>
      </c>
      <c r="AF174" s="177" t="s">
        <v>1123</v>
      </c>
      <c r="AJ174" s="52" t="s">
        <v>61</v>
      </c>
    </row>
    <row r="175" spans="1:37" hidden="1" x14ac:dyDescent="0.2">
      <c r="A175" s="187">
        <v>59</v>
      </c>
      <c r="B175" s="204" t="str">
        <f>IF(AND(A175&lt;&gt;"",ISNUMBER(A175)),VLOOKUP(A175,Studies!A:BR,2,FALSE),"")</f>
        <v>Backman 1998</v>
      </c>
      <c r="C175" s="204" t="str">
        <f>IF(AND(A175&lt;&gt;"",ISNUMBER(A175)),VLOOKUP(A175,Studies!A:BR,3,FALSE),"")</f>
        <v>https://www.ncbi.nlm.nih.gov/pubmed/9591931</v>
      </c>
      <c r="D175" s="204" t="str">
        <f>IF(AND(A175&lt;&gt;"",ISNUMBER(A175)),VLOOKUP(A175,Studies!A:BR,4,FALSE),"")</f>
        <v>Phase III (4 days after Perpetrator (Itraconazole))</v>
      </c>
      <c r="E175" s="139" t="str">
        <f>IF(AND(A175&lt;&gt;"",ISNUMBER(A175)),VLOOKUP(A175,Studies!A:BR,5,FALSE),"")</f>
        <v>Midazolam</v>
      </c>
      <c r="F175" s="42" t="s">
        <v>148</v>
      </c>
      <c r="G175" s="205" t="str">
        <f>IF(AND(A175&lt;&gt;"",ISNUMBER(A175)),VLOOKUP(A175,Studies!A:BR,13,FALSE),"")</f>
        <v>PO</v>
      </c>
      <c r="H175" s="68" t="str">
        <f>AA175</f>
        <v>PO</v>
      </c>
      <c r="I175" s="205" t="str">
        <f>IF(AND(A175&lt;&gt;"",ISNUMBER(A175)),VLOOKUP(A175,Studies!A:BR,6,FALSE),"")</f>
        <v>Plasma</v>
      </c>
      <c r="J175" s="43">
        <v>2.63</v>
      </c>
      <c r="K175" s="43" t="s">
        <v>115</v>
      </c>
      <c r="L175" s="76">
        <v>0.4</v>
      </c>
      <c r="M175" s="76" t="s">
        <v>1121</v>
      </c>
      <c r="N175" s="52">
        <v>1.92</v>
      </c>
      <c r="O175" s="52" t="s">
        <v>1122</v>
      </c>
      <c r="P175" s="84">
        <v>0.31</v>
      </c>
      <c r="Q175" s="84" t="s">
        <v>1121</v>
      </c>
      <c r="R175" s="38">
        <v>0</v>
      </c>
      <c r="S175" s="39" t="s">
        <v>935</v>
      </c>
      <c r="T175" s="40">
        <v>170</v>
      </c>
      <c r="U175" s="41" t="s">
        <v>935</v>
      </c>
      <c r="V175" s="42" t="s">
        <v>59</v>
      </c>
      <c r="W175" s="181" t="s">
        <v>2991</v>
      </c>
      <c r="X175" s="22">
        <v>200</v>
      </c>
      <c r="Z175" s="28" t="s">
        <v>57</v>
      </c>
      <c r="AA175" s="22" t="s">
        <v>58</v>
      </c>
      <c r="AB175" s="22" t="s">
        <v>830</v>
      </c>
      <c r="AC175" s="22" t="s">
        <v>59</v>
      </c>
      <c r="AF175" s="177" t="s">
        <v>1123</v>
      </c>
      <c r="AJ175" s="52" t="s">
        <v>61</v>
      </c>
    </row>
    <row r="176" spans="1:37" hidden="1" x14ac:dyDescent="0.2">
      <c r="A176" s="187">
        <v>54</v>
      </c>
      <c r="B176" s="204" t="str">
        <f>IF(AND(A176&lt;&gt;"",ISNUMBER(A176)),VLOOKUP(A176,Studies!A:BR,2,FALSE),"")</f>
        <v>Backman 1996</v>
      </c>
      <c r="C176" s="204" t="str">
        <f>IF(AND(A176&lt;&gt;"",ISNUMBER(A176)),VLOOKUP(A176,Studies!A:BR,3,FALSE),"")</f>
        <v>https://www.ncbi.nlm.nih.gov/pubmed/8549036</v>
      </c>
      <c r="D176" s="204" t="str">
        <f>IF(AND(A176&lt;&gt;"",ISNUMBER(A176)),VLOOKUP(A176,Studies!A:BR,4,FALSE),"")</f>
        <v>with Perpetrator (Rifampicin)</v>
      </c>
      <c r="E176" s="139" t="str">
        <f>IF(AND(A176&lt;&gt;"",ISNUMBER(A176)),VLOOKUP(A176,Studies!A:BR,5,FALSE),"")</f>
        <v>Midazolam</v>
      </c>
      <c r="F176" s="42" t="s">
        <v>53</v>
      </c>
      <c r="G176" s="205" t="str">
        <f>IF(AND(A176&lt;&gt;"",ISNUMBER(A176)),VLOOKUP(A176,Studies!A:BR,13,FALSE),"")</f>
        <v>PO</v>
      </c>
      <c r="H176" s="68" t="str">
        <f>AA176</f>
        <v>PO</v>
      </c>
      <c r="I176" s="205" t="str">
        <f>IF(AND(A176&lt;&gt;"",ISNUMBER(A176)),VLOOKUP(A176,Studies!A:BR,6,FALSE),"")</f>
        <v>Plasma</v>
      </c>
      <c r="J176" s="43">
        <v>4.1000000000000002E-2</v>
      </c>
      <c r="K176" s="43" t="s">
        <v>1119</v>
      </c>
      <c r="N176" s="52">
        <f>3.4/55</f>
        <v>6.1818181818181814E-2</v>
      </c>
      <c r="O176" s="52" t="s">
        <v>1100</v>
      </c>
      <c r="R176" s="38">
        <v>0</v>
      </c>
      <c r="S176" s="39" t="s">
        <v>935</v>
      </c>
      <c r="T176" s="40">
        <v>113</v>
      </c>
      <c r="U176" s="41" t="s">
        <v>935</v>
      </c>
      <c r="V176" s="42" t="s">
        <v>59</v>
      </c>
      <c r="X176" s="22">
        <v>600</v>
      </c>
      <c r="Z176" s="28" t="s">
        <v>57</v>
      </c>
      <c r="AA176" s="22" t="s">
        <v>58</v>
      </c>
      <c r="AB176" s="22" t="s">
        <v>182</v>
      </c>
      <c r="AC176" s="22" t="s">
        <v>59</v>
      </c>
      <c r="AF176" s="177" t="s">
        <v>1120</v>
      </c>
    </row>
    <row r="177" spans="1:35" hidden="1" x14ac:dyDescent="0.2">
      <c r="A177" s="30">
        <v>1108</v>
      </c>
      <c r="B177" s="204" t="str">
        <f>IF(AND(A177&lt;&gt;"",ISNUMBER(A177)),VLOOKUP(A177,Studies!A:BR,2,FALSE),"")</f>
        <v>Backman 1994</v>
      </c>
      <c r="C177" s="204" t="str">
        <f>IF(AND(A177&lt;&gt;"",ISNUMBER(A177)),VLOOKUP(A177,Studies!A:BR,3,FALSE),"")</f>
        <v>https://www.ncbi.nlm.nih.gov/pubmed/8198928</v>
      </c>
      <c r="D177" s="204" t="str">
        <f>IF(AND(A177&lt;&gt;"",ISNUMBER(A177)),VLOOKUP(A177,Studies!A:BR,4,FALSE),"")</f>
        <v>Midazolam with verapamil</v>
      </c>
      <c r="E177" s="139" t="str">
        <f>IF(AND(A177&lt;&gt;"",ISNUMBER(A177)),VLOOKUP(A177,Studies!A:BR,5,FALSE),"")</f>
        <v>Midazolam</v>
      </c>
      <c r="F177" s="42" t="s">
        <v>382</v>
      </c>
      <c r="G177" s="205" t="str">
        <f>IF(AND(A177&lt;&gt;"",ISNUMBER(A177)),VLOOKUP(A177,Studies!A:BR,13,FALSE),"")</f>
        <v>PO</v>
      </c>
      <c r="H177" s="138" t="s">
        <v>58</v>
      </c>
      <c r="I177" s="205" t="str">
        <f>IF(AND(A177&lt;&gt;"",ISNUMBER(A177)),VLOOKUP(A177,Studies!A:BR,6,FALSE),"")</f>
        <v>Plasma</v>
      </c>
      <c r="J177" s="187">
        <v>2.9166666666666665</v>
      </c>
      <c r="K177" s="43" t="s">
        <v>2726</v>
      </c>
      <c r="N177" s="52">
        <v>1.9692307692307693</v>
      </c>
      <c r="O177" s="52" t="s">
        <v>2726</v>
      </c>
      <c r="R177" s="38">
        <v>0</v>
      </c>
      <c r="S177" s="39" t="s">
        <v>935</v>
      </c>
      <c r="T177" s="40">
        <v>25</v>
      </c>
      <c r="U177" s="41" t="s">
        <v>935</v>
      </c>
      <c r="V177" s="42" t="s">
        <v>59</v>
      </c>
      <c r="X177" s="22">
        <v>80</v>
      </c>
      <c r="Z177" s="28" t="s">
        <v>57</v>
      </c>
      <c r="AA177" s="22" t="s">
        <v>58</v>
      </c>
      <c r="AB177" s="22" t="s">
        <v>2426</v>
      </c>
      <c r="AC177" s="22" t="s">
        <v>59</v>
      </c>
      <c r="AD177" s="176" t="s">
        <v>2613</v>
      </c>
      <c r="AE177" s="23" t="s">
        <v>2614</v>
      </c>
      <c r="AF177" s="177" t="s">
        <v>2615</v>
      </c>
    </row>
    <row r="178" spans="1:35" hidden="1" x14ac:dyDescent="0.2">
      <c r="A178" s="187">
        <v>50</v>
      </c>
      <c r="B178" s="204" t="str">
        <f>IF(AND(A178&lt;&gt;"",ISNUMBER(A178)),VLOOKUP(A178,Studies!A:BR,2,FALSE),"")</f>
        <v>Ahonen 1995</v>
      </c>
      <c r="C178" s="204" t="str">
        <f>IF(AND(A178&lt;&gt;"",ISNUMBER(A178)),VLOOKUP(A178,Studies!A:BR,3,FALSE),"")</f>
        <v>http://www.ncbi.nlm.nih.gov/pubmed/8527290</v>
      </c>
      <c r="D178" s="204" t="str">
        <f>IF(AND(A178&lt;&gt;"",ISNUMBER(A178)),VLOOKUP(A178,Studies!A:BR,4,FALSE),"")</f>
        <v>with Perpetrator (Itraconazole)</v>
      </c>
      <c r="E178" s="139" t="str">
        <f>IF(AND(A178&lt;&gt;"",ISNUMBER(A178)),VLOOKUP(A178,Studies!A:BR,5,FALSE),"")</f>
        <v>Midazolam</v>
      </c>
      <c r="F178" s="42" t="s">
        <v>148</v>
      </c>
      <c r="G178" s="205" t="str">
        <f>IF(AND(A178&lt;&gt;"",ISNUMBER(A178)),VLOOKUP(A178,Studies!A:BR,13,FALSE),"")</f>
        <v>PO</v>
      </c>
      <c r="H178" s="138" t="str">
        <f>AA178</f>
        <v>PO</v>
      </c>
      <c r="I178" s="205" t="str">
        <f>IF(AND(A178&lt;&gt;"",ISNUMBER(A178)),VLOOKUP(A178,Studies!A:BR,6,FALSE),"")</f>
        <v>Plasma</v>
      </c>
      <c r="J178" s="187">
        <v>5.7450980392156863</v>
      </c>
      <c r="K178" s="187" t="s">
        <v>1099</v>
      </c>
      <c r="N178" s="52">
        <v>2.5588235294117645</v>
      </c>
      <c r="O178" s="52" t="s">
        <v>1099</v>
      </c>
      <c r="R178" s="38">
        <v>0</v>
      </c>
      <c r="S178" s="39" t="s">
        <v>935</v>
      </c>
      <c r="T178" s="40">
        <v>74</v>
      </c>
      <c r="U178" s="41" t="s">
        <v>935</v>
      </c>
      <c r="V178" s="42" t="s">
        <v>59</v>
      </c>
      <c r="X178" s="22">
        <v>100</v>
      </c>
      <c r="Z178" s="28" t="s">
        <v>57</v>
      </c>
      <c r="AA178" s="22" t="s">
        <v>58</v>
      </c>
      <c r="AB178" s="22" t="s">
        <v>1320</v>
      </c>
      <c r="AC178" s="22" t="s">
        <v>59</v>
      </c>
      <c r="AD178" s="176" t="s">
        <v>166</v>
      </c>
      <c r="AF178" s="177" t="s">
        <v>361</v>
      </c>
      <c r="AI178" s="23" t="s">
        <v>1321</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filterColumn colId="1">
      <filters>
        <filter val="Kim 2018"/>
        <filter val="van Dyk 2018"/>
      </filters>
    </filterColumn>
    <filterColumn colId="4">
      <filters>
        <filter val="Midazolam"/>
      </filters>
    </filterColumn>
    <filterColumn colId="5">
      <filters>
        <filter val="Rifampicin"/>
        <filter val="Rifampin"/>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F943"/>
  <sheetViews>
    <sheetView zoomScale="85" zoomScaleNormal="85" workbookViewId="0">
      <pane ySplit="1" topLeftCell="A847" activePane="bottomLeft" state="frozen"/>
      <selection pane="bottomLeft" activeCell="D852" sqref="D85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hidden="1"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hidden="1"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hidden="1"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hidden="1"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hidden="1"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hidden="1"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hidden="1"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hidden="1"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hidden="1"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hidden="1"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hidden="1"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hidden="1"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hidden="1"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hidden="1"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hidden="1"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hidden="1"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hidden="1"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hidden="1"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hidden="1"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hidden="1"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hidden="1"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hidden="1"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hidden="1"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hidden="1"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hidden="1"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hidden="1"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hidden="1"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hidden="1"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hidden="1"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hidden="1"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hidden="1"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hidden="1"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hidden="1"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hidden="1"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hidden="1"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hidden="1"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hidden="1"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hidden="1"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hidden="1"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hidden="1"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hidden="1"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hidden="1"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hidden="1"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hidden="1"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hidden="1"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hidden="1"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hidden="1"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hidden="1"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hidden="1"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hidden="1"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hidden="1"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hidden="1"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hidden="1"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hidden="1"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hidden="1"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hidden="1"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hidden="1"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hidden="1"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hidden="1"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hidden="1"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hidden="1"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hidden="1"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hidden="1"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hidden="1"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hidden="1"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hidden="1"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hidden="1"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hidden="1"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hidden="1"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hidden="1"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hidden="1"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hidden="1"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hidden="1"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hidden="1"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hidden="1"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hidden="1"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hidden="1"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hidden="1"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hidden="1"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hidden="1"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hidden="1"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hidden="1"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hidden="1"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hidden="1"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hidden="1"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hidden="1"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hidden="1"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hidden="1"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hidden="1"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hidden="1"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hidden="1"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hidden="1"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hidden="1"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hidden="1"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hidden="1"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hidden="1"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hidden="1"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hidden="1"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hidden="1"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hidden="1"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hidden="1"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hidden="1"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hidden="1"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hidden="1"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hidden="1"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hidden="1"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hidden="1"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hidden="1"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hidden="1"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hidden="1"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hidden="1"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hidden="1"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hidden="1"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hidden="1"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hidden="1"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hidden="1"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hidden="1"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hidden="1"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hidden="1"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hidden="1"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hidden="1"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hidden="1"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hidden="1"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hidden="1"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hidden="1"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hidden="1"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hidden="1"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hidden="1"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hidden="1"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hidden="1"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hidden="1"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hidden="1"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hidden="1"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hidden="1"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hidden="1"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hidden="1"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hidden="1"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hidden="1"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hidden="1"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hidden="1"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hidden="1"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hidden="1"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hidden="1"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hidden="1"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hidden="1"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hidden="1"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hidden="1"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hidden="1"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hidden="1"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hidden="1"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hidden="1"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hidden="1"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hidden="1"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hidden="1"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hidden="1"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hidden="1"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hidden="1"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hidden="1"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hidden="1"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hidden="1"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hidden="1"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hidden="1"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hidden="1"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hidden="1"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hidden="1"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hidden="1"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hidden="1"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hidden="1"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hidden="1"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hidden="1"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hidden="1"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hidden="1"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hidden="1"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hidden="1"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hidden="1"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hidden="1"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hidden="1"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hidden="1"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hidden="1"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hidden="1"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hidden="1"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hidden="1"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hidden="1"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hidden="1"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hidden="1"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hidden="1"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hidden="1"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hidden="1"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hidden="1"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hidden="1"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hidden="1"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hidden="1"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hidden="1"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hidden="1"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hidden="1"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hidden="1"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hidden="1"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hidden="1"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hidden="1"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hidden="1"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hidden="1"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hidden="1"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hidden="1"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hidden="1"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hidden="1"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hidden="1"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hidden="1"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hidden="1"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hidden="1"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hidden="1"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hidden="1"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hidden="1"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hidden="1"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hidden="1"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hidden="1"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hidden="1"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hidden="1"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hidden="1"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hidden="1"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hidden="1"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hidden="1"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hidden="1"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hidden="1"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hidden="1"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hidden="1"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hidden="1"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hidden="1"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hidden="1"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hidden="1"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hidden="1"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hidden="1"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hidden="1"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hidden="1"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hidden="1"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hidden="1"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hidden="1"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hidden="1"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hidden="1"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hidden="1"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hidden="1"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hidden="1"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hidden="1"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hidden="1"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hidden="1"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hidden="1"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hidden="1"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hidden="1"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hidden="1"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hidden="1"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hidden="1"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hidden="1"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hidden="1"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hidden="1"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hidden="1"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hidden="1"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hidden="1"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hidden="1"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hidden="1"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hidden="1"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hidden="1"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hidden="1"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hidden="1"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hidden="1"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hidden="1"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hidden="1"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hidden="1"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hidden="1"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hidden="1"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hidden="1"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hidden="1"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hidden="1"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hidden="1"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hidden="1"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hidden="1"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hidden="1"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hidden="1"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hidden="1"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hidden="1"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hidden="1"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hidden="1"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hidden="1"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hidden="1"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hidden="1"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hidden="1"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hidden="1"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hidden="1"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hidden="1"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hidden="1"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hidden="1"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hidden="1"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hidden="1"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hidden="1"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hidden="1"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hidden="1"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hidden="1"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hidden="1"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hidden="1"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hidden="1"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hidden="1"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hidden="1"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hidden="1"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hidden="1"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hidden="1"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hidden="1"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hidden="1"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hidden="1"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hidden="1"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hidden="1"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hidden="1"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hidden="1"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hidden="1"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hidden="1"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hidden="1"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hidden="1"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hidden="1"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hidden="1"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hidden="1"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hidden="1"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hidden="1"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hidden="1"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hidden="1"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hidden="1"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hidden="1"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hidden="1"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hidden="1"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hidden="1"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hidden="1"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hidden="1"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hidden="1"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hidden="1"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hidden="1"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hidden="1"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hidden="1"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hidden="1"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hidden="1"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hidden="1"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hidden="1"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hidden="1"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hidden="1"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hidden="1"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hidden="1"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hidden="1"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hidden="1"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hidden="1"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hidden="1"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hidden="1"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hidden="1"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hidden="1"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hidden="1"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hidden="1"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hidden="1"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hidden="1"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hidden="1"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hidden="1"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hidden="1"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hidden="1"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hidden="1"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hidden="1"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hidden="1"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hidden="1"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hidden="1"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hidden="1"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hidden="1"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hidden="1"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hidden="1"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hidden="1"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hidden="1"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hidden="1"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hidden="1"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hidden="1"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hidden="1"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hidden="1"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hidden="1"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hidden="1"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hidden="1"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hidden="1"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hidden="1"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hidden="1"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hidden="1"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hidden="1"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hidden="1"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hidden="1"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hidden="1"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hidden="1"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hidden="1"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hidden="1"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hidden="1"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hidden="1"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hidden="1"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hidden="1"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hidden="1"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hidden="1"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hidden="1"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hidden="1"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hidden="1"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hidden="1"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hidden="1"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hidden="1"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hidden="1"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hidden="1"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hidden="1"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hidden="1"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hidden="1"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hidden="1"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hidden="1"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hidden="1"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hidden="1"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hidden="1"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hidden="1"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hidden="1"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hidden="1"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hidden="1"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hidden="1"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hidden="1"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hidden="1"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hidden="1"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hidden="1"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hidden="1"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hidden="1"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hidden="1"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hidden="1"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hidden="1"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hidden="1"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hidden="1"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hidden="1"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hidden="1"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hidden="1"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hidden="1"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hidden="1"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hidden="1"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hidden="1"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hidden="1"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hidden="1"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hidden="1"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hidden="1"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hidden="1"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hidden="1"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hidden="1"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hidden="1"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hidden="1"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hidden="1"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hidden="1"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hidden="1"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hidden="1"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hidden="1"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hidden="1"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hidden="1"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hidden="1"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hidden="1"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hidden="1"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hidden="1"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hidden="1"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hidden="1"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hidden="1"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hidden="1"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hidden="1"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hidden="1"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hidden="1"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hidden="1"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hidden="1"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hidden="1"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hidden="1"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hidden="1"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hidden="1"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hidden="1"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hidden="1"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hidden="1"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hidden="1"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hidden="1"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hidden="1"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hidden="1"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hidden="1"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hidden="1"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hidden="1"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hidden="1"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hidden="1"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hidden="1"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hidden="1"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hidden="1"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hidden="1"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hidden="1"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hidden="1"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hidden="1"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hidden="1"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hidden="1"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hidden="1"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hidden="1"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hidden="1"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hidden="1"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hidden="1"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hidden="1"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hidden="1"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hidden="1"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hidden="1"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hidden="1"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hidden="1"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hidden="1"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hidden="1"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hidden="1"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hidden="1"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hidden="1"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hidden="1"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hidden="1"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hidden="1"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hidden="1"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hidden="1"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hidden="1"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hidden="1"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hidden="1"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hidden="1"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hidden="1"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hidden="1"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hidden="1"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hidden="1"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hidden="1"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hidden="1"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hidden="1"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hidden="1"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hidden="1"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hidden="1"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hidden="1"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hidden="1"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hidden="1"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hidden="1"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hidden="1"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hidden="1"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hidden="1"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hidden="1"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hidden="1"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hidden="1"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hidden="1"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hidden="1"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hidden="1"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hidden="1"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hidden="1"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hidden="1"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hidden="1"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hidden="1"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hidden="1"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hidden="1"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hidden="1"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hidden="1"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hidden="1"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hidden="1"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hidden="1"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hidden="1"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hidden="1"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hidden="1"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hidden="1"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hidden="1"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hidden="1"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hidden="1"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hidden="1"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hidden="1"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hidden="1"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hidden="1"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hidden="1"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hidden="1"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hidden="1"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hidden="1"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hidden="1"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hidden="1"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hidden="1"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hidden="1"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hidden="1"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hidden="1"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hidden="1"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hidden="1"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hidden="1"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hidden="1"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hidden="1"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hidden="1"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hidden="1"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hidden="1"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hidden="1"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hidden="1"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hidden="1"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hidden="1"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hidden="1"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hidden="1"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hidden="1"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hidden="1"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hidden="1"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hidden="1"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hidden="1"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hidden="1"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hidden="1"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hidden="1"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hidden="1"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hidden="1"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hidden="1"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hidden="1"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hidden="1"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hidden="1"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hidden="1"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hidden="1"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hidden="1"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hidden="1"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hidden="1"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hidden="1"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hidden="1"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hidden="1"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hidden="1"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hidden="1"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hidden="1"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hidden="1"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hidden="1"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hidden="1"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hidden="1"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hidden="1"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hidden="1"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hidden="1"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hidden="1"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hidden="1"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hidden="1"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hidden="1"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hidden="1"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hidden="1"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hidden="1"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hidden="1"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hidden="1"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hidden="1"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hidden="1"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hidden="1"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hidden="1"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hidden="1"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hidden="1"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hidden="1"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hidden="1"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hidden="1"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hidden="1"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hidden="1"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hidden="1"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hidden="1"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hidden="1"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hidden="1"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hidden="1"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hidden="1"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hidden="1"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hidden="1"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hidden="1"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hidden="1"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hidden="1"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hidden="1"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hidden="1"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hidden="1"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hidden="1"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hidden="1"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hidden="1"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hidden="1"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hidden="1"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hidden="1"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hidden="1"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hidden="1"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hidden="1"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hidden="1"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2881</v>
      </c>
    </row>
    <row r="658" spans="1:6" hidden="1"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hidden="1"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hidden="1"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hidden="1"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hidden="1"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hidden="1"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hidden="1"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hidden="1"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hidden="1"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hidden="1"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hidden="1"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hidden="1"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hidden="1"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hidden="1"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hidden="1"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hidden="1"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hidden="1"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hidden="1"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hidden="1"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hidden="1"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hidden="1"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hidden="1"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hidden="1"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2797</v>
      </c>
    </row>
    <row r="681" spans="1:6" hidden="1"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hidden="1"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hidden="1"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hidden="1"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hidden="1"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hidden="1"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hidden="1"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hidden="1"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hidden="1"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hidden="1"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hidden="1"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hidden="1"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hidden="1"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hidden="1"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hidden="1"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hidden="1"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hidden="1"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hidden="1"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hidden="1"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hidden="1"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hidden="1"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hidden="1"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hidden="1"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hidden="1"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hidden="1"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hidden="1"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hidden="1"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2037</v>
      </c>
    </row>
    <row r="708" spans="1:6" hidden="1"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hidden="1"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hidden="1"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hidden="1"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hidden="1"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hidden="1"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hidden="1"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hidden="1"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hidden="1"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hidden="1"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hidden="1"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hidden="1"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hidden="1"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hidden="1"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hidden="1"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hidden="1"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hidden="1"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hidden="1"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hidden="1"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hidden="1"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hidden="1"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hidden="1"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hidden="1"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hidden="1"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hidden="1"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hidden="1"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hidden="1"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hidden="1"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hidden="1"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hidden="1"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2798</v>
      </c>
    </row>
    <row r="738" spans="1:6" hidden="1"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2799</v>
      </c>
    </row>
    <row r="739" spans="1:6" hidden="1"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2882</v>
      </c>
    </row>
    <row r="740" spans="1:6" hidden="1"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2881</v>
      </c>
    </row>
    <row r="741" spans="1:6" hidden="1"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2881</v>
      </c>
    </row>
    <row r="742" spans="1:6" hidden="1"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2881</v>
      </c>
    </row>
    <row r="743" spans="1:6" hidden="1"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2881</v>
      </c>
    </row>
    <row r="744" spans="1:6" hidden="1"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2881</v>
      </c>
    </row>
    <row r="745" spans="1:6" hidden="1"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2881</v>
      </c>
    </row>
    <row r="746" spans="1:6" hidden="1"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2881</v>
      </c>
    </row>
    <row r="747" spans="1:6" hidden="1"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2881</v>
      </c>
    </row>
    <row r="748" spans="1:6" hidden="1"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2881</v>
      </c>
    </row>
    <row r="749" spans="1:6" hidden="1"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2881</v>
      </c>
    </row>
    <row r="750" spans="1:6" hidden="1"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2882</v>
      </c>
    </row>
    <row r="751" spans="1:6" hidden="1"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2882</v>
      </c>
    </row>
    <row r="752" spans="1:6" hidden="1"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2882</v>
      </c>
    </row>
    <row r="753" spans="1:6" hidden="1"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2882</v>
      </c>
    </row>
    <row r="754" spans="1:6" hidden="1"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2882</v>
      </c>
    </row>
    <row r="755" spans="1:6" hidden="1"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2882</v>
      </c>
    </row>
    <row r="756" spans="1:6" hidden="1"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2882</v>
      </c>
    </row>
    <row r="757" spans="1:6" hidden="1"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2882</v>
      </c>
    </row>
    <row r="758" spans="1:6" hidden="1"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2882</v>
      </c>
    </row>
    <row r="759" spans="1:6" hidden="1"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2882</v>
      </c>
    </row>
    <row r="760" spans="1:6" hidden="1"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2867</v>
      </c>
    </row>
    <row r="761" spans="1:6" hidden="1"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2867</v>
      </c>
    </row>
    <row r="762" spans="1:6" hidden="1"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2869</v>
      </c>
    </row>
    <row r="763" spans="1:6" hidden="1"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2866</v>
      </c>
    </row>
    <row r="764" spans="1:6" hidden="1"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2868</v>
      </c>
    </row>
    <row r="765" spans="1:6" hidden="1"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2866</v>
      </c>
    </row>
    <row r="766" spans="1:6" hidden="1"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2866</v>
      </c>
    </row>
    <row r="767" spans="1:6" hidden="1"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2866</v>
      </c>
    </row>
    <row r="768" spans="1:6" hidden="1"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2866</v>
      </c>
    </row>
    <row r="769" spans="1:6" hidden="1"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2866</v>
      </c>
    </row>
    <row r="770" spans="1:6" hidden="1"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2866</v>
      </c>
    </row>
    <row r="771" spans="1:6" hidden="1"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2866</v>
      </c>
    </row>
    <row r="772" spans="1:6" hidden="1"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2866</v>
      </c>
    </row>
    <row r="773" spans="1:6" hidden="1"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2866</v>
      </c>
    </row>
    <row r="774" spans="1:6" hidden="1"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2866</v>
      </c>
    </row>
    <row r="775" spans="1:6" hidden="1"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2868</v>
      </c>
    </row>
    <row r="776" spans="1:6" hidden="1"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2868</v>
      </c>
    </row>
    <row r="777" spans="1:6" hidden="1"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2868</v>
      </c>
    </row>
    <row r="778" spans="1:6" hidden="1"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2868</v>
      </c>
    </row>
    <row r="779" spans="1:6" hidden="1"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2868</v>
      </c>
    </row>
    <row r="780" spans="1:6" hidden="1"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2868</v>
      </c>
    </row>
    <row r="781" spans="1:6" hidden="1"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2868</v>
      </c>
    </row>
    <row r="782" spans="1:6" hidden="1"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2868</v>
      </c>
    </row>
    <row r="783" spans="1:6" hidden="1"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2868</v>
      </c>
    </row>
    <row r="784" spans="1:6" hidden="1"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2868</v>
      </c>
    </row>
    <row r="785" spans="1:6" hidden="1"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2869</v>
      </c>
    </row>
    <row r="786" spans="1:6" hidden="1"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2869</v>
      </c>
    </row>
    <row r="787" spans="1:6" hidden="1"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2869</v>
      </c>
    </row>
    <row r="788" spans="1:6" hidden="1"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2869</v>
      </c>
    </row>
    <row r="789" spans="1:6" hidden="1"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2869</v>
      </c>
    </row>
    <row r="790" spans="1:6" hidden="1"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2869</v>
      </c>
    </row>
    <row r="791" spans="1:6" hidden="1"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2869</v>
      </c>
    </row>
    <row r="792" spans="1:6" hidden="1"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2869</v>
      </c>
    </row>
    <row r="793" spans="1:6" hidden="1"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2869</v>
      </c>
    </row>
    <row r="794" spans="1:6" hidden="1"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2866</v>
      </c>
    </row>
    <row r="795" spans="1:6" hidden="1"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2866</v>
      </c>
    </row>
    <row r="796" spans="1:6" hidden="1"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2866</v>
      </c>
    </row>
    <row r="797" spans="1:6" hidden="1"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2866</v>
      </c>
    </row>
    <row r="798" spans="1:6" hidden="1"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2866</v>
      </c>
    </row>
    <row r="799" spans="1:6" hidden="1"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2866</v>
      </c>
    </row>
    <row r="800" spans="1:6" hidden="1"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2866</v>
      </c>
    </row>
    <row r="801" spans="1:6" hidden="1"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2866</v>
      </c>
    </row>
    <row r="802" spans="1:6" hidden="1"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2866</v>
      </c>
    </row>
    <row r="803" spans="1:6" hidden="1"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2868</v>
      </c>
    </row>
    <row r="804" spans="1:6" hidden="1"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2868</v>
      </c>
    </row>
    <row r="805" spans="1:6" hidden="1"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2868</v>
      </c>
    </row>
    <row r="806" spans="1:6" hidden="1"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2868</v>
      </c>
    </row>
    <row r="807" spans="1:6" hidden="1"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2868</v>
      </c>
    </row>
    <row r="808" spans="1:6" hidden="1"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2868</v>
      </c>
    </row>
    <row r="809" spans="1:6" hidden="1"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2868</v>
      </c>
    </row>
    <row r="810" spans="1:6" hidden="1"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2868</v>
      </c>
    </row>
    <row r="811" spans="1:6" hidden="1"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2868</v>
      </c>
    </row>
    <row r="812" spans="1:6" hidden="1"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2868</v>
      </c>
    </row>
    <row r="813" spans="1:6" hidden="1"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2868</v>
      </c>
    </row>
    <row r="814" spans="1:6" hidden="1"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2868</v>
      </c>
    </row>
    <row r="815" spans="1:6" hidden="1"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2868</v>
      </c>
    </row>
    <row r="816" spans="1:6" hidden="1"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2868</v>
      </c>
    </row>
    <row r="817" spans="1:6" hidden="1"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2868</v>
      </c>
    </row>
    <row r="818" spans="1:6" hidden="1"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2868</v>
      </c>
    </row>
    <row r="819" spans="1:6" hidden="1"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2868</v>
      </c>
    </row>
    <row r="820" spans="1:6" hidden="1"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2868</v>
      </c>
    </row>
    <row r="821" spans="1:6" hidden="1"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hidden="1"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hidden="1"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2721</v>
      </c>
    </row>
    <row r="824" spans="1:6" hidden="1"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2722</v>
      </c>
    </row>
    <row r="825" spans="1:6" hidden="1"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2746</v>
      </c>
    </row>
    <row r="826" spans="1:6" hidden="1"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hidden="1"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hidden="1"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2746</v>
      </c>
    </row>
    <row r="829" spans="1:6" hidden="1"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hidden="1"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hidden="1"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2724</v>
      </c>
    </row>
    <row r="832" spans="1:6" hidden="1"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hidden="1"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2725</v>
      </c>
    </row>
    <row r="834" spans="1:6" hidden="1"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hidden="1"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2870</v>
      </c>
    </row>
    <row r="836" spans="1:6" hidden="1"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2871</v>
      </c>
    </row>
    <row r="837" spans="1:6" hidden="1"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2871</v>
      </c>
    </row>
    <row r="838" spans="1:6" hidden="1"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2871</v>
      </c>
    </row>
    <row r="839" spans="1:6" hidden="1"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2871</v>
      </c>
    </row>
    <row r="840" spans="1:6" hidden="1"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2730</v>
      </c>
    </row>
    <row r="841" spans="1:6" hidden="1"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2731</v>
      </c>
    </row>
    <row r="842" spans="1:6" hidden="1"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2732</v>
      </c>
    </row>
    <row r="843" spans="1:6" hidden="1"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2730</v>
      </c>
    </row>
    <row r="844" spans="1:6" hidden="1"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2731</v>
      </c>
    </row>
    <row r="845" spans="1:6" hidden="1"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hidden="1"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2871</v>
      </c>
    </row>
    <row r="847" spans="1:6" hidden="1"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2871</v>
      </c>
    </row>
    <row r="848" spans="1:6" hidden="1"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2730</v>
      </c>
    </row>
    <row r="849" spans="1:6" hidden="1"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2731</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2873</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2873</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hidden="1"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2721</v>
      </c>
    </row>
    <row r="857" spans="1:6" hidden="1"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2722</v>
      </c>
    </row>
    <row r="858" spans="1:6" hidden="1"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2798</v>
      </c>
    </row>
    <row r="859" spans="1:6" hidden="1"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2798</v>
      </c>
    </row>
    <row r="860" spans="1:6" hidden="1"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2798</v>
      </c>
    </row>
    <row r="861" spans="1:6" hidden="1"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2721</v>
      </c>
    </row>
    <row r="862" spans="1:6" hidden="1"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2722</v>
      </c>
    </row>
    <row r="863" spans="1:6" hidden="1"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2721</v>
      </c>
    </row>
    <row r="864" spans="1:6" hidden="1"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2722</v>
      </c>
    </row>
    <row r="865" spans="1:6" hidden="1"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2721</v>
      </c>
    </row>
    <row r="866" spans="1:6" hidden="1"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2722</v>
      </c>
    </row>
    <row r="867" spans="1:6" hidden="1"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hidden="1"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hidden="1"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hidden="1"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hidden="1"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hidden="1"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hidden="1"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hidden="1"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hidden="1"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hidden="1"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hidden="1"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hidden="1"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hidden="1"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hidden="1"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hidden="1"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2872</v>
      </c>
    </row>
    <row r="882" spans="1:6" hidden="1"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2872</v>
      </c>
    </row>
    <row r="883" spans="1:6" hidden="1"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hidden="1"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hidden="1"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hidden="1"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hidden="1"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hidden="1"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hidden="1"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hidden="1"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2695</v>
      </c>
    </row>
    <row r="891" spans="1:6" hidden="1"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2696</v>
      </c>
    </row>
    <row r="892" spans="1:6" hidden="1"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2695</v>
      </c>
    </row>
    <row r="893" spans="1:6" hidden="1"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2695</v>
      </c>
    </row>
    <row r="894" spans="1:6" hidden="1"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2696</v>
      </c>
    </row>
    <row r="895" spans="1:6" hidden="1"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2696</v>
      </c>
    </row>
    <row r="896" spans="1:6" hidden="1"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2756</v>
      </c>
    </row>
    <row r="897" spans="1:6" hidden="1"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2696</v>
      </c>
    </row>
    <row r="898" spans="1:6" hidden="1"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2696</v>
      </c>
    </row>
    <row r="899" spans="1:6" hidden="1"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2696</v>
      </c>
    </row>
    <row r="900" spans="1:6" hidden="1"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2696</v>
      </c>
    </row>
    <row r="901" spans="1:6" hidden="1"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2696</v>
      </c>
    </row>
    <row r="902" spans="1:6" hidden="1"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2696</v>
      </c>
    </row>
    <row r="903" spans="1:6" hidden="1"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2696</v>
      </c>
    </row>
    <row r="904" spans="1:6" hidden="1"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2696</v>
      </c>
    </row>
    <row r="905" spans="1:6" hidden="1"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2865</v>
      </c>
    </row>
    <row r="906" spans="1:6" hidden="1"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2865</v>
      </c>
    </row>
    <row r="907" spans="1:6" hidden="1"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2865</v>
      </c>
    </row>
    <row r="908" spans="1:6" hidden="1"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2865</v>
      </c>
    </row>
    <row r="909" spans="1:6" hidden="1"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2865</v>
      </c>
    </row>
    <row r="910" spans="1:6" hidden="1"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2865</v>
      </c>
    </row>
    <row r="911" spans="1:6" hidden="1"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2865</v>
      </c>
    </row>
    <row r="912" spans="1:6" hidden="1"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2865</v>
      </c>
    </row>
    <row r="913" spans="1:6" hidden="1"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2865</v>
      </c>
    </row>
    <row r="914" spans="1:6" hidden="1"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2865</v>
      </c>
    </row>
    <row r="915" spans="1:6" hidden="1"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2865</v>
      </c>
    </row>
    <row r="916" spans="1:6" hidden="1"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2865</v>
      </c>
    </row>
    <row r="917" spans="1:6" hidden="1"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2865</v>
      </c>
    </row>
    <row r="918" spans="1:6" hidden="1"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2865</v>
      </c>
    </row>
    <row r="919" spans="1:6" hidden="1"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2865</v>
      </c>
    </row>
    <row r="920" spans="1:6" hidden="1"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2865</v>
      </c>
    </row>
    <row r="921" spans="1:6" hidden="1"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2865</v>
      </c>
    </row>
    <row r="922" spans="1:6" hidden="1"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2865</v>
      </c>
    </row>
    <row r="923" spans="1:6" hidden="1"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2865</v>
      </c>
    </row>
    <row r="924" spans="1:6" hidden="1"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2865</v>
      </c>
    </row>
    <row r="925" spans="1:6" hidden="1"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2865</v>
      </c>
    </row>
    <row r="926" spans="1:6" hidden="1"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2865</v>
      </c>
    </row>
    <row r="927" spans="1:6" hidden="1"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hidden="1"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hidden="1"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hidden="1"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hidden="1"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hidden="1"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hidden="1"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hidden="1"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hidden="1"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hidden="1"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hidden="1"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hidden="1"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hidden="1"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hidden="1"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hidden="1"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hidden="1"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hidden="1"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43" xr:uid="{00000000-0009-0000-0000-000006000000}">
    <filterColumn colId="1">
      <filters>
        <filter val="van Dyk 2018"/>
      </filters>
    </filterColumn>
  </autoFilter>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2020-03-16T12:05:30Z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