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5F956F8E-A963-4028-BA1F-54F2601F49A8}" xr6:coauthVersionLast="41" xr6:coauthVersionMax="41" xr10:uidLastSave="{00000000-0000-0000-0000-000000000000}"/>
  <bookViews>
    <workbookView xWindow="-120" yWindow="-120" windowWidth="29040" windowHeight="15840" tabRatio="632"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DDI!$A$1:$AO$187</definedName>
    <definedName name="_xlnm._FilterDatabase" localSheetId="1" hidden="1">'PK-Parameter'!$A$1:$AD$654</definedName>
    <definedName name="_xlnm._FilterDatabase" localSheetId="2" hidden="1">'PK-Profiles'!$A$1:$Q$9510</definedName>
    <definedName name="_xlnm._FilterDatabase" localSheetId="6" hidden="1">Projects!$A$1:$F$944</definedName>
    <definedName name="_xlnm._FilterDatabase" localSheetId="0" hidden="1">Studies!$A$2:$BR$994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7" i="4"/>
  <c r="O186" i="4"/>
  <c r="B655" i="9"/>
  <c r="C655" i="9"/>
  <c r="D655" i="9"/>
  <c r="E655" i="9"/>
  <c r="B656" i="9"/>
  <c r="C656" i="9"/>
  <c r="D656" i="9"/>
  <c r="E656" i="9"/>
  <c r="B657" i="9"/>
  <c r="C657" i="9"/>
  <c r="D657" i="9"/>
  <c r="E657" i="9"/>
  <c r="J185" i="4"/>
  <c r="J186" i="4"/>
  <c r="J187" i="4"/>
  <c r="G186" i="4"/>
  <c r="G187" i="4"/>
  <c r="B186" i="4"/>
  <c r="C186" i="4"/>
  <c r="D186" i="4"/>
  <c r="E186" i="4"/>
  <c r="B187" i="4"/>
  <c r="C187" i="4"/>
  <c r="D187" i="4"/>
  <c r="E187"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4" i="4"/>
  <c r="K183" i="4"/>
  <c r="K182" i="4"/>
  <c r="K181" i="4"/>
  <c r="K180" i="4"/>
  <c r="K179" i="4"/>
  <c r="E179" i="4"/>
  <c r="G179" i="4"/>
  <c r="J179" i="4"/>
  <c r="E180" i="4"/>
  <c r="G180" i="4"/>
  <c r="J180" i="4"/>
  <c r="E181" i="4"/>
  <c r="G181" i="4"/>
  <c r="J181" i="4"/>
  <c r="E182" i="4"/>
  <c r="G182" i="4"/>
  <c r="J182" i="4"/>
  <c r="E183" i="4"/>
  <c r="G183" i="4"/>
  <c r="J183" i="4"/>
  <c r="E184" i="4"/>
  <c r="G184" i="4"/>
  <c r="J184" i="4"/>
  <c r="B179" i="4"/>
  <c r="C179" i="4"/>
  <c r="D179" i="4"/>
  <c r="B180" i="4"/>
  <c r="C180" i="4"/>
  <c r="D180" i="4"/>
  <c r="B181" i="4"/>
  <c r="C181" i="4"/>
  <c r="D181" i="4"/>
  <c r="B182" i="4"/>
  <c r="C182" i="4"/>
  <c r="D182" i="4"/>
  <c r="B183" i="4"/>
  <c r="C183" i="4"/>
  <c r="D183" i="4"/>
  <c r="B184" i="4"/>
  <c r="C184" i="4"/>
  <c r="D184"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168" i="4" l="1"/>
  <c r="K168" i="4"/>
  <c r="M166" i="4"/>
  <c r="K166"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49" i="4"/>
  <c r="O148" i="4"/>
  <c r="M149" i="4"/>
  <c r="M148" i="4"/>
  <c r="K149" i="4"/>
  <c r="K148"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78" i="4"/>
  <c r="J79" i="4"/>
  <c r="J80"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60" i="4"/>
  <c r="J61" i="4"/>
  <c r="J77" i="4"/>
  <c r="J76" i="4"/>
  <c r="J87"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138" i="4"/>
  <c r="J139" i="4"/>
  <c r="J121" i="4"/>
  <c r="J122" i="4"/>
  <c r="J133" i="4"/>
  <c r="J134" i="4"/>
  <c r="J135" i="4"/>
  <c r="J136" i="4"/>
  <c r="J125" i="4"/>
  <c r="J126" i="4"/>
  <c r="J123" i="4"/>
  <c r="J144" i="4"/>
  <c r="J147" i="4"/>
  <c r="J124" i="4"/>
  <c r="J155" i="4"/>
  <c r="J156" i="4"/>
  <c r="J157" i="4"/>
  <c r="J165" i="4"/>
  <c r="J166" i="4"/>
  <c r="J167" i="4"/>
  <c r="J168" i="4"/>
  <c r="J153" i="4"/>
  <c r="J159" i="4"/>
  <c r="J160" i="4"/>
  <c r="J161" i="4"/>
  <c r="J162" i="4"/>
  <c r="J163" i="4"/>
  <c r="J164" i="4"/>
  <c r="J148" i="4"/>
  <c r="J149" i="4"/>
  <c r="J150" i="4"/>
  <c r="J151" i="4"/>
  <c r="J152" i="4"/>
  <c r="J158" i="4"/>
  <c r="J145"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138" i="4"/>
  <c r="G139" i="4"/>
  <c r="G121" i="4"/>
  <c r="G122" i="4"/>
  <c r="G133" i="4"/>
  <c r="G134" i="4"/>
  <c r="G135" i="4"/>
  <c r="G136" i="4"/>
  <c r="G125" i="4"/>
  <c r="G126" i="4"/>
  <c r="G123" i="4"/>
  <c r="G144" i="4"/>
  <c r="G147" i="4"/>
  <c r="G124" i="4"/>
  <c r="G155" i="4"/>
  <c r="G156" i="4"/>
  <c r="G157" i="4"/>
  <c r="G165" i="4"/>
  <c r="G166" i="4"/>
  <c r="G167" i="4"/>
  <c r="G168" i="4"/>
  <c r="G153" i="4"/>
  <c r="G159" i="4"/>
  <c r="G160" i="4"/>
  <c r="G161" i="4"/>
  <c r="G162" i="4"/>
  <c r="G163" i="4"/>
  <c r="G164" i="4"/>
  <c r="G148" i="4"/>
  <c r="G149" i="4"/>
  <c r="G150" i="4"/>
  <c r="G151" i="4"/>
  <c r="G152" i="4"/>
  <c r="G158" i="4"/>
  <c r="G145"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138" i="4"/>
  <c r="E139" i="4"/>
  <c r="E121" i="4"/>
  <c r="E122" i="4"/>
  <c r="E133" i="4"/>
  <c r="E134" i="4"/>
  <c r="E135" i="4"/>
  <c r="E136" i="4"/>
  <c r="E125" i="4"/>
  <c r="E126" i="4"/>
  <c r="E123" i="4"/>
  <c r="E144" i="4"/>
  <c r="E147" i="4"/>
  <c r="E124" i="4"/>
  <c r="E155" i="4"/>
  <c r="E156" i="4"/>
  <c r="E157" i="4"/>
  <c r="E165" i="4"/>
  <c r="E166" i="4"/>
  <c r="E167" i="4"/>
  <c r="E168" i="4"/>
  <c r="E153" i="4"/>
  <c r="E159" i="4"/>
  <c r="E160" i="4"/>
  <c r="E161" i="4"/>
  <c r="E162" i="4"/>
  <c r="E163" i="4"/>
  <c r="E164" i="4"/>
  <c r="E148" i="4"/>
  <c r="E149"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138" i="4"/>
  <c r="C138" i="4"/>
  <c r="D138" i="4"/>
  <c r="B139" i="4"/>
  <c r="C139" i="4"/>
  <c r="D139" i="4"/>
  <c r="B121" i="4"/>
  <c r="C121" i="4"/>
  <c r="D121" i="4"/>
  <c r="B122" i="4"/>
  <c r="C122" i="4"/>
  <c r="D122" i="4"/>
  <c r="B133" i="4"/>
  <c r="C133" i="4"/>
  <c r="D133" i="4"/>
  <c r="B134" i="4"/>
  <c r="C134" i="4"/>
  <c r="D134" i="4"/>
  <c r="B135" i="4"/>
  <c r="C135" i="4"/>
  <c r="D135" i="4"/>
  <c r="B136" i="4"/>
  <c r="C136" i="4"/>
  <c r="D136"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166" i="4"/>
  <c r="C166" i="4"/>
  <c r="D166" i="4"/>
  <c r="B167" i="4"/>
  <c r="C167" i="4"/>
  <c r="D167" i="4"/>
  <c r="B168" i="4"/>
  <c r="C168" i="4"/>
  <c r="D168" i="4"/>
  <c r="B153" i="4"/>
  <c r="C153" i="4"/>
  <c r="D153" i="4"/>
  <c r="B159" i="4"/>
  <c r="C159" i="4"/>
  <c r="D159" i="4"/>
  <c r="B160" i="4"/>
  <c r="C160" i="4"/>
  <c r="D160" i="4"/>
  <c r="B161" i="4"/>
  <c r="C161" i="4"/>
  <c r="D161" i="4"/>
  <c r="B162" i="4"/>
  <c r="C162" i="4"/>
  <c r="D162" i="4"/>
  <c r="B163" i="4"/>
  <c r="C163" i="4"/>
  <c r="D163" i="4"/>
  <c r="B164" i="4"/>
  <c r="C164" i="4"/>
  <c r="D164" i="4"/>
  <c r="B148" i="4"/>
  <c r="C148" i="4"/>
  <c r="D148" i="4"/>
  <c r="B149" i="4"/>
  <c r="C149" i="4"/>
  <c r="D149"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36" i="4" l="1"/>
  <c r="O136" i="4"/>
  <c r="M136" i="4"/>
  <c r="M134" i="4"/>
  <c r="K136" i="4"/>
  <c r="S559" i="9"/>
  <c r="P559" i="9"/>
  <c r="L559" i="9"/>
  <c r="I559" i="9"/>
  <c r="K134"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K71" i="4"/>
  <c r="K74" i="4"/>
  <c r="K91" i="4"/>
  <c r="G270" i="9"/>
  <c r="G273" i="9"/>
  <c r="O3" i="4"/>
  <c r="O17" i="4"/>
  <c r="K16" i="4"/>
  <c r="K15" i="4"/>
  <c r="U28" i="4"/>
  <c r="K29" i="4"/>
  <c r="K28" i="4"/>
  <c r="K87" i="4"/>
  <c r="U87"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<sst xmlns="http://schemas.openxmlformats.org/spreadsheetml/2006/main" count="68709" uniqueCount="3080">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</sst>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13" fillId="0" borderId="0" xfId="4"/>
    <xf numFmtId="166" fontId="7" fillId="11" borderId="0" xfId="0" applyNumberFormat="1" applyFont="1" applyFill="1"/>
    <xf numFmtId="0" fontId="7" fillId="10" borderId="0" xfId="0" applyFont="1"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xf numFmtId="0" fontId="13" fillId="5" borderId="0" xfId="4" applyFill="1" applyAlignment="1">
      <alignment horizontal="left"/>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comments" Target="../comments1.xml"/><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vmlDrawing" Target="../drawings/vmlDrawing1.vm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printerSettings" Target="../printerSettings/printerSettings1.bin"/><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997"/>
  <sheetViews>
    <sheetView tabSelected="1" zoomScale="90" zoomScaleNormal="90" workbookViewId="0">
      <pane xSplit="5" ySplit="2" topLeftCell="F975" activePane="bottomRight" state="frozen"/>
      <selection pane="topRight" activeCell="E1" sqref="E1"/>
      <selection pane="bottomLeft" activeCell="A3" sqref="A3"/>
      <selection pane="bottomRight" activeCell="H998" sqref="H998"/>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3" t="s">
        <v>0</v>
      </c>
      <c r="G1" s="273"/>
      <c r="H1" s="273"/>
      <c r="I1" s="273"/>
      <c r="J1" s="274" t="s">
        <v>1</v>
      </c>
      <c r="K1" s="274"/>
      <c r="L1" s="274"/>
      <c r="M1" s="274"/>
      <c r="N1" s="274"/>
      <c r="O1" s="274"/>
      <c r="P1" s="274"/>
      <c r="Q1" s="275" t="s">
        <v>2</v>
      </c>
      <c r="R1" s="275"/>
      <c r="S1" s="275"/>
      <c r="T1" s="275"/>
      <c r="U1" s="224"/>
      <c r="V1" s="276" t="s">
        <v>3</v>
      </c>
      <c r="W1" s="276"/>
      <c r="X1" s="276"/>
      <c r="Y1" s="276"/>
      <c r="Z1" s="167"/>
      <c r="AA1" s="4" t="s">
        <v>4</v>
      </c>
      <c r="AB1" s="4" t="s">
        <v>5</v>
      </c>
      <c r="AC1" s="277" t="s">
        <v>6</v>
      </c>
      <c r="AD1" s="277"/>
      <c r="AE1" s="277"/>
      <c r="AF1" s="277"/>
      <c r="AG1" s="277"/>
      <c r="AH1" s="277"/>
      <c r="AI1" s="277"/>
      <c r="AJ1" s="277"/>
      <c r="AK1" s="278" t="s">
        <v>7</v>
      </c>
      <c r="AL1" s="278"/>
      <c r="AM1" s="278"/>
      <c r="AN1" s="278"/>
      <c r="AO1" s="278"/>
      <c r="AP1" s="278"/>
      <c r="AQ1" s="278"/>
      <c r="AR1" s="278"/>
      <c r="AS1" s="277" t="s">
        <v>8</v>
      </c>
      <c r="AT1" s="277"/>
      <c r="AU1" s="277"/>
      <c r="AV1" s="277"/>
      <c r="AW1" s="277"/>
      <c r="AX1" s="277"/>
      <c r="AY1" s="277"/>
      <c r="AZ1" s="277"/>
      <c r="BA1" s="278" t="s">
        <v>9</v>
      </c>
      <c r="BB1" s="278"/>
      <c r="BC1" s="278"/>
      <c r="BD1" s="278"/>
      <c r="BE1" s="278"/>
      <c r="BF1" s="278"/>
      <c r="BG1" s="278"/>
      <c r="BH1" s="278"/>
      <c r="BI1" s="277" t="s">
        <v>10</v>
      </c>
      <c r="BJ1" s="277"/>
      <c r="BK1" s="277"/>
      <c r="BL1" s="277"/>
      <c r="BM1" s="277"/>
      <c r="BN1" s="277"/>
      <c r="BO1" s="277"/>
      <c r="BP1" s="277"/>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168</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24</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192</v>
      </c>
      <c r="O850" s="22" t="s">
        <v>59</v>
      </c>
      <c r="P850" s="22" t="s">
        <v>78</v>
      </c>
      <c r="Z850" s="83" t="s">
        <v>62</v>
      </c>
      <c r="AA850" s="6">
        <v>18</v>
      </c>
    </row>
    <row r="851" spans="1:70" x14ac:dyDescent="0.2">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25" x14ac:dyDescent="0.2">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25" x14ac:dyDescent="0.2">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25" x14ac:dyDescent="0.2">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25" x14ac:dyDescent="0.2">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25" x14ac:dyDescent="0.2">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25" x14ac:dyDescent="0.2">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25" x14ac:dyDescent="0.2">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25" x14ac:dyDescent="0.2">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25" x14ac:dyDescent="0.2">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25" x14ac:dyDescent="0.2">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25" x14ac:dyDescent="0.2">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25" x14ac:dyDescent="0.2">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25" x14ac:dyDescent="0.2">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25" x14ac:dyDescent="0.2">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25" x14ac:dyDescent="0.2">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25" x14ac:dyDescent="0.2">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25" x14ac:dyDescent="0.2">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25" x14ac:dyDescent="0.2">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25" x14ac:dyDescent="0.2">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25" x14ac:dyDescent="0.2">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25" x14ac:dyDescent="0.2">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25" x14ac:dyDescent="0.2">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25" x14ac:dyDescent="0.2">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25" x14ac:dyDescent="0.2">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25" x14ac:dyDescent="0.2">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25" x14ac:dyDescent="0.2">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25" x14ac:dyDescent="0.2">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row r="995" spans="1:70" ht="14.25" x14ac:dyDescent="0.2">
      <c r="A995" s="91">
        <v>203</v>
      </c>
      <c r="B995" s="229" t="s">
        <v>3065</v>
      </c>
      <c r="C995" s="266" t="s">
        <v>3066</v>
      </c>
      <c r="D995" s="229" t="s">
        <v>3069</v>
      </c>
      <c r="E995" s="123" t="s">
        <v>101</v>
      </c>
      <c r="F995" s="179" t="s">
        <v>102</v>
      </c>
      <c r="G995" s="179" t="s">
        <v>55</v>
      </c>
      <c r="H995" s="279" t="s">
        <v>3079</v>
      </c>
      <c r="J995" s="22">
        <v>1</v>
      </c>
      <c r="L995" s="180" t="s">
        <v>57</v>
      </c>
      <c r="M995" s="22" t="s">
        <v>58</v>
      </c>
      <c r="N995" s="22">
        <v>0</v>
      </c>
      <c r="O995" s="176" t="s">
        <v>59</v>
      </c>
      <c r="P995" s="176" t="s">
        <v>78</v>
      </c>
      <c r="R995" s="23" t="s">
        <v>3070</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25" x14ac:dyDescent="0.2">
      <c r="A996" s="91">
        <v>204</v>
      </c>
      <c r="B996" s="229" t="s">
        <v>3065</v>
      </c>
      <c r="C996" s="266" t="s">
        <v>3066</v>
      </c>
      <c r="D996" s="229" t="s">
        <v>3067</v>
      </c>
      <c r="E996" s="123" t="s">
        <v>101</v>
      </c>
      <c r="F996" s="179" t="s">
        <v>102</v>
      </c>
      <c r="G996" s="179" t="s">
        <v>55</v>
      </c>
      <c r="H996" s="279" t="s">
        <v>3079</v>
      </c>
      <c r="J996" s="22">
        <v>1</v>
      </c>
      <c r="L996" s="180" t="s">
        <v>57</v>
      </c>
      <c r="M996" s="176" t="s">
        <v>58</v>
      </c>
      <c r="N996" s="22">
        <v>180</v>
      </c>
      <c r="O996" s="176" t="s">
        <v>59</v>
      </c>
      <c r="P996" s="176" t="s">
        <v>78</v>
      </c>
      <c r="R996" s="177" t="s">
        <v>3070</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25" x14ac:dyDescent="0.2">
      <c r="A997" s="91">
        <v>205</v>
      </c>
      <c r="B997" s="229" t="s">
        <v>3065</v>
      </c>
      <c r="C997" s="266" t="s">
        <v>3066</v>
      </c>
      <c r="D997" s="229" t="s">
        <v>3068</v>
      </c>
      <c r="E997" s="123" t="s">
        <v>101</v>
      </c>
      <c r="F997" s="179" t="s">
        <v>102</v>
      </c>
      <c r="G997" s="179" t="s">
        <v>55</v>
      </c>
      <c r="H997" s="279" t="s">
        <v>3079</v>
      </c>
      <c r="J997" s="22">
        <v>1</v>
      </c>
      <c r="L997" s="180" t="s">
        <v>57</v>
      </c>
      <c r="M997" s="176" t="s">
        <v>58</v>
      </c>
      <c r="N997" s="176">
        <v>444</v>
      </c>
      <c r="O997" s="176" t="s">
        <v>59</v>
      </c>
      <c r="P997" s="176" t="s">
        <v>78</v>
      </c>
      <c r="R997" s="177" t="s">
        <v>3070</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sheetData>
  <autoFilter ref="A2:BR994"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s>
  <pageMargins left="0.7" right="0.7" top="0.75" bottom="0.75" header="0.3" footer="0.3"/>
  <pageSetup paperSize="9" orientation="portrait" r:id="rId40"/>
  <legacyDrawing r:id="rId4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57"/>
  <sheetViews>
    <sheetView zoomScale="90" zoomScaleNormal="90" workbookViewId="0">
      <pane xSplit="5" ySplit="1" topLeftCell="M635" activePane="bottomRight" state="frozen"/>
      <selection pane="topRight" activeCell="F1" sqref="F1"/>
      <selection pane="bottomLeft" activeCell="A2" sqref="A2"/>
      <selection pane="bottomRight" activeCell="R657" sqref="R657"/>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row r="655" spans="1:30" x14ac:dyDescent="0.2">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2">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21" x14ac:dyDescent="0.2">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sheetData>
  <autoFilter ref="A1:AD654"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552"/>
  <sheetViews>
    <sheetView zoomScale="85" zoomScaleNormal="85" workbookViewId="0">
      <pane ySplit="1" topLeftCell="A9509" activePane="bottomLeft" state="frozen"/>
      <selection pane="bottomLeft" activeCell="B9510" sqref="B9510"/>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1190</v>
      </c>
      <c r="K9511" s="41" t="s">
        <v>537</v>
      </c>
    </row>
    <row r="9512" spans="1:15" x14ac:dyDescent="0.2">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1190</v>
      </c>
      <c r="K9512" s="185" t="s">
        <v>537</v>
      </c>
    </row>
    <row r="9513" spans="1:15" x14ac:dyDescent="0.2">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1190</v>
      </c>
      <c r="K9513" s="185" t="s">
        <v>537</v>
      </c>
    </row>
    <row r="9514" spans="1:15" x14ac:dyDescent="0.2">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1190</v>
      </c>
      <c r="K9514" s="185" t="s">
        <v>537</v>
      </c>
    </row>
    <row r="9515" spans="1:15" x14ac:dyDescent="0.2">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1190</v>
      </c>
      <c r="K9515" s="185" t="s">
        <v>537</v>
      </c>
    </row>
    <row r="9516" spans="1:15" x14ac:dyDescent="0.2">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1190</v>
      </c>
      <c r="K9516" s="185" t="s">
        <v>537</v>
      </c>
    </row>
    <row r="9517" spans="1:15" x14ac:dyDescent="0.2">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1190</v>
      </c>
      <c r="K9517" s="185" t="s">
        <v>537</v>
      </c>
    </row>
    <row r="9518" spans="1:15" x14ac:dyDescent="0.2">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1190</v>
      </c>
      <c r="K9518" s="185" t="s">
        <v>537</v>
      </c>
    </row>
    <row r="9519" spans="1:15" x14ac:dyDescent="0.2">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1190</v>
      </c>
      <c r="K9519" s="185" t="s">
        <v>537</v>
      </c>
    </row>
    <row r="9520" spans="1:15" x14ac:dyDescent="0.2">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1190</v>
      </c>
      <c r="K9520" s="185" t="s">
        <v>537</v>
      </c>
    </row>
    <row r="9521" spans="1:11" x14ac:dyDescent="0.2">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1190</v>
      </c>
      <c r="K9521" s="185" t="s">
        <v>537</v>
      </c>
    </row>
    <row r="9522" spans="1:11" x14ac:dyDescent="0.2">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1190</v>
      </c>
      <c r="K9522" s="185" t="s">
        <v>537</v>
      </c>
    </row>
    <row r="9523" spans="1:11" x14ac:dyDescent="0.2">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1190</v>
      </c>
      <c r="K9523" s="185" t="s">
        <v>537</v>
      </c>
    </row>
    <row r="9524" spans="1:11" x14ac:dyDescent="0.2">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1190</v>
      </c>
      <c r="K9524" s="185" t="s">
        <v>537</v>
      </c>
    </row>
    <row r="9525" spans="1:11" x14ac:dyDescent="0.2">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1190</v>
      </c>
      <c r="K9525" s="185" t="s">
        <v>537</v>
      </c>
    </row>
    <row r="9526" spans="1:11" x14ac:dyDescent="0.2">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1190</v>
      </c>
      <c r="K9526" s="185" t="s">
        <v>537</v>
      </c>
    </row>
    <row r="9527" spans="1:11" x14ac:dyDescent="0.2">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1190</v>
      </c>
      <c r="K9527" s="185" t="s">
        <v>537</v>
      </c>
    </row>
    <row r="9528" spans="1:11" x14ac:dyDescent="0.2">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1190</v>
      </c>
      <c r="K9528" s="185" t="s">
        <v>537</v>
      </c>
    </row>
    <row r="9529" spans="1:11" x14ac:dyDescent="0.2">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1190</v>
      </c>
      <c r="K9529" s="185" t="s">
        <v>537</v>
      </c>
    </row>
    <row r="9530" spans="1:11" x14ac:dyDescent="0.2">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1190</v>
      </c>
      <c r="K9530" s="185" t="s">
        <v>537</v>
      </c>
    </row>
    <row r="9531" spans="1:11" x14ac:dyDescent="0.2">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1190</v>
      </c>
      <c r="K9531" s="185" t="s">
        <v>537</v>
      </c>
    </row>
    <row r="9532" spans="1:11" x14ac:dyDescent="0.2">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1190</v>
      </c>
      <c r="K9532" s="185" t="s">
        <v>537</v>
      </c>
    </row>
    <row r="9533" spans="1:11" x14ac:dyDescent="0.2">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1190</v>
      </c>
      <c r="K9533" s="185" t="s">
        <v>537</v>
      </c>
    </row>
    <row r="9534" spans="1:11" x14ac:dyDescent="0.2">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1190</v>
      </c>
      <c r="K9534" s="185" t="s">
        <v>537</v>
      </c>
    </row>
    <row r="9535" spans="1:11" x14ac:dyDescent="0.2">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1190</v>
      </c>
      <c r="K9535" s="185" t="s">
        <v>537</v>
      </c>
    </row>
    <row r="9536" spans="1:11" x14ac:dyDescent="0.2">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1190</v>
      </c>
      <c r="K9536" s="185" t="s">
        <v>537</v>
      </c>
    </row>
    <row r="9537" spans="1:11" x14ac:dyDescent="0.2">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1190</v>
      </c>
      <c r="K9537" s="185" t="s">
        <v>537</v>
      </c>
    </row>
    <row r="9538" spans="1:11" x14ac:dyDescent="0.2">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1190</v>
      </c>
      <c r="K9538" s="185" t="s">
        <v>537</v>
      </c>
    </row>
    <row r="9539" spans="1:11" x14ac:dyDescent="0.2">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1190</v>
      </c>
      <c r="K9539" s="185" t="s">
        <v>537</v>
      </c>
    </row>
    <row r="9540" spans="1:11" x14ac:dyDescent="0.2">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1190</v>
      </c>
      <c r="K9540" s="185" t="s">
        <v>537</v>
      </c>
    </row>
    <row r="9541" spans="1:11" x14ac:dyDescent="0.2">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1190</v>
      </c>
      <c r="K9541" s="185" t="s">
        <v>537</v>
      </c>
    </row>
    <row r="9542" spans="1:11" x14ac:dyDescent="0.2">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1190</v>
      </c>
      <c r="K9542" s="185" t="s">
        <v>537</v>
      </c>
    </row>
    <row r="9543" spans="1:11" x14ac:dyDescent="0.2">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1190</v>
      </c>
      <c r="K9543" s="185" t="s">
        <v>537</v>
      </c>
    </row>
    <row r="9544" spans="1:11" x14ac:dyDescent="0.2">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1190</v>
      </c>
      <c r="K9544" s="185" t="s">
        <v>537</v>
      </c>
    </row>
    <row r="9545" spans="1:11" x14ac:dyDescent="0.2">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1190</v>
      </c>
      <c r="K9545" s="185" t="s">
        <v>537</v>
      </c>
    </row>
    <row r="9546" spans="1:11" x14ac:dyDescent="0.2">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1190</v>
      </c>
      <c r="K9546" s="185" t="s">
        <v>537</v>
      </c>
    </row>
    <row r="9547" spans="1:11" x14ac:dyDescent="0.2">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1190</v>
      </c>
      <c r="K9547" s="185" t="s">
        <v>537</v>
      </c>
    </row>
    <row r="9548" spans="1:11" x14ac:dyDescent="0.2">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1190</v>
      </c>
      <c r="K9548" s="185" t="s">
        <v>537</v>
      </c>
    </row>
    <row r="9549" spans="1:11" x14ac:dyDescent="0.2">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1190</v>
      </c>
      <c r="K9549" s="185" t="s">
        <v>537</v>
      </c>
    </row>
    <row r="9550" spans="1:11" x14ac:dyDescent="0.2">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1190</v>
      </c>
      <c r="K9550" s="185" t="s">
        <v>537</v>
      </c>
    </row>
    <row r="9551" spans="1:11" x14ac:dyDescent="0.2">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1190</v>
      </c>
      <c r="K9551" s="185" t="s">
        <v>537</v>
      </c>
    </row>
    <row r="9552" spans="1:11" x14ac:dyDescent="0.2">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1190</v>
      </c>
      <c r="K9552" s="185" t="s">
        <v>537</v>
      </c>
    </row>
  </sheetData>
  <autoFilter ref="A1:Q9510"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266"/>
  <sheetViews>
    <sheetView zoomScale="80" zoomScaleNormal="80" workbookViewId="0">
      <pane xSplit="4" ySplit="1" topLeftCell="E163" activePane="bottomRight" state="frozen"/>
      <selection pane="topRight" activeCell="E1" sqref="E1"/>
      <selection pane="bottomLeft" activeCell="A2" sqref="A2"/>
      <selection pane="bottomRight" activeCell="M187" sqref="M187"/>
    </sheetView>
  </sheetViews>
  <sheetFormatPr baseColWidth="10"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15.5" style="105" bestFit="1" customWidth="1"/>
    <col min="8" max="8" width="17" style="68" bestFit="1" customWidth="1"/>
    <col min="9" max="9" width="17"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AB2</f>
        <v>PO</v>
      </c>
      <c r="I2" s="138" t="s">
        <v>3063</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138" t="s">
        <v>3062</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138" t="s">
        <v>3062</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138" t="s">
        <v>3062</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138" t="s">
        <v>3063</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138" t="s">
        <v>3063</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138" t="s">
        <v>3062</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0"/>
        <v>PO</v>
      </c>
      <c r="I9" s="138" t="s">
        <v>3063</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138" t="s">
        <v>3062</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0"/>
        <v>PO</v>
      </c>
      <c r="I11" s="138" t="s">
        <v>3063</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138" t="s">
        <v>3062</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0"/>
        <v>PO</v>
      </c>
      <c r="I13" s="138" t="s">
        <v>3063</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138" t="s">
        <v>3062</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0"/>
        <v>PO</v>
      </c>
      <c r="I15" s="138" t="s">
        <v>3064</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0"/>
        <v>PO</v>
      </c>
      <c r="I16" s="138" t="s">
        <v>3064</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138" t="s">
        <v>3062</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138" t="s">
        <v>3062</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138" t="s">
        <v>3062</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138" t="s">
        <v>3062</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138" t="s">
        <v>3062</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0"/>
        <v>PO</v>
      </c>
      <c r="I22" s="138" t="s">
        <v>3064</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138" t="s">
        <v>3062</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0"/>
        <v>PO</v>
      </c>
      <c r="I24" s="138" t="s">
        <v>3064</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138" t="s">
        <v>3062</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0"/>
        <v>PO</v>
      </c>
      <c r="I26" s="138" t="s">
        <v>3064</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3063</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61" si="1">AB28</f>
        <v>PO</v>
      </c>
      <c r="I28" s="138" t="s">
        <v>3062</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138" t="s">
        <v>3062</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138" t="s">
        <v>3062</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138" t="s">
        <v>3062</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138" t="s">
        <v>3062</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138" t="s">
        <v>3062</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138" t="s">
        <v>3062</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138" t="s">
        <v>3062</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138" t="s">
        <v>3062</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138" t="s">
        <v>3062</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138" t="s">
        <v>3062</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138" t="s">
        <v>3062</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138" t="s">
        <v>3062</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138" t="s">
        <v>3062</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138" t="s">
        <v>3062</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138" t="s">
        <v>3062</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138" t="s">
        <v>3062</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138" t="s">
        <v>3062</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138" t="s">
        <v>3062</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138" t="s">
        <v>3062</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138" t="s">
        <v>3062</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138" t="s">
        <v>3062</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138" t="s">
        <v>3062</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138" t="s">
        <v>3062</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138" t="s">
        <v>3064</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138" t="s">
        <v>3063</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1"/>
        <v>PO</v>
      </c>
      <c r="I54" s="138" t="s">
        <v>3063</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138" t="s">
        <v>3062</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138" t="s">
        <v>3064</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138" t="s">
        <v>3064</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1"/>
        <v>PO</v>
      </c>
      <c r="I58" s="138" t="s">
        <v>3062</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1"/>
        <v>PO</v>
      </c>
      <c r="I59" s="138" t="s">
        <v>3063</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si="1"/>
        <v>PO</v>
      </c>
      <c r="I60" s="138" t="s">
        <v>3062</v>
      </c>
      <c r="J60" s="205" t="str">
        <f>IF(AND(A60&lt;&gt;"",ISNUMBER(A60)),VLOOKUP(A60,Studies!A:BR,6,FALSE),"")</f>
        <v>Plasma</v>
      </c>
      <c r="K60" s="187">
        <v>0.65500794910000004</v>
      </c>
      <c r="L60" s="187" t="s">
        <v>1140</v>
      </c>
      <c r="M60" s="201"/>
      <c r="N60" s="201"/>
      <c r="O60" s="193">
        <v>1.1059602649</v>
      </c>
      <c r="P60" s="193" t="s">
        <v>1140</v>
      </c>
      <c r="Q60" s="202"/>
      <c r="R60" s="202"/>
      <c r="S60" s="182">
        <v>0</v>
      </c>
      <c r="T60" s="183" t="s">
        <v>935</v>
      </c>
      <c r="U60" s="184">
        <v>144</v>
      </c>
      <c r="V60" s="185" t="s">
        <v>935</v>
      </c>
      <c r="W60" s="186" t="s">
        <v>59</v>
      </c>
      <c r="X60" s="181"/>
      <c r="Y60" s="176">
        <v>600</v>
      </c>
      <c r="Z60" s="180"/>
      <c r="AA60" s="180" t="s">
        <v>57</v>
      </c>
      <c r="AB60" s="176" t="s">
        <v>58</v>
      </c>
      <c r="AC60" s="176" t="s">
        <v>1136</v>
      </c>
      <c r="AD60" s="176" t="s">
        <v>59</v>
      </c>
      <c r="AE60" s="176" t="s">
        <v>3030</v>
      </c>
      <c r="AF60" s="176" t="s">
        <v>91</v>
      </c>
      <c r="AG60" s="177" t="s">
        <v>1141</v>
      </c>
      <c r="AH60" s="177" t="s">
        <v>1142</v>
      </c>
      <c r="AI60" s="178"/>
      <c r="AJ60" s="177"/>
      <c r="AK60" s="177" t="s">
        <v>1143</v>
      </c>
      <c r="AL60" s="193"/>
      <c r="AM60" s="193"/>
      <c r="AN60" s="193"/>
      <c r="AO60" s="193"/>
    </row>
    <row r="61" spans="1:41"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1"/>
        <v>PO</v>
      </c>
      <c r="I61" s="138" t="s">
        <v>3062</v>
      </c>
      <c r="J61" s="205" t="str">
        <f>IF(AND(A61&lt;&gt;"",ISNUMBER(A61)),VLOOKUP(A61,Studies!A:BR,6,FALSE),"")</f>
        <v>Plasma</v>
      </c>
      <c r="K61" s="187">
        <v>1.554907677E-2</v>
      </c>
      <c r="L61" s="187" t="s">
        <v>1140</v>
      </c>
      <c r="M61" s="201"/>
      <c r="N61" s="201"/>
      <c r="O61" s="193">
        <v>3.4865292999999999E-2</v>
      </c>
      <c r="P61" s="193" t="s">
        <v>1140</v>
      </c>
      <c r="Q61" s="202"/>
      <c r="R61" s="202"/>
      <c r="S61" s="182">
        <v>0</v>
      </c>
      <c r="T61" s="183" t="s">
        <v>935</v>
      </c>
      <c r="U61" s="184">
        <v>144</v>
      </c>
      <c r="V61" s="185" t="s">
        <v>935</v>
      </c>
      <c r="W61" s="186" t="s">
        <v>59</v>
      </c>
      <c r="X61" s="181"/>
      <c r="Y61" s="176">
        <v>600</v>
      </c>
      <c r="Z61" s="180"/>
      <c r="AA61" s="180" t="s">
        <v>57</v>
      </c>
      <c r="AB61" s="176" t="s">
        <v>58</v>
      </c>
      <c r="AC61" s="176" t="s">
        <v>1136</v>
      </c>
      <c r="AD61" s="176" t="s">
        <v>59</v>
      </c>
      <c r="AE61" s="176" t="s">
        <v>3030</v>
      </c>
      <c r="AF61" s="176" t="s">
        <v>91</v>
      </c>
      <c r="AG61" s="177" t="s">
        <v>1141</v>
      </c>
      <c r="AH61" s="177" t="s">
        <v>1142</v>
      </c>
      <c r="AI61" s="178"/>
      <c r="AJ61" s="177"/>
      <c r="AK61" s="177" t="s">
        <v>1143</v>
      </c>
      <c r="AL61" s="193"/>
      <c r="AM61" s="193"/>
      <c r="AN61" s="193"/>
      <c r="AO61" s="193"/>
    </row>
    <row r="62" spans="1:41"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3064</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93" si="2">AB63</f>
        <v>PO</v>
      </c>
      <c r="I63" s="138" t="s">
        <v>3064</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138" t="s">
        <v>3064</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138" t="s">
        <v>3064</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138" t="s">
        <v>3064</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138" t="s">
        <v>3064</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138" t="s">
        <v>3063</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2"/>
        <v>PO</v>
      </c>
      <c r="I69" s="138" t="s">
        <v>3063</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138" t="s">
        <v>3063</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138" t="s">
        <v>3063</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138" t="s">
        <v>3063</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2"/>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2"/>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2"/>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138" t="s">
        <v>3062</v>
      </c>
      <c r="J76" s="205" t="str">
        <f>IF(AND(A76&lt;&gt;"",ISNUMBER(A76)),VLOOKUP(A76,Studies!A:BR,6,FALSE),"")</f>
        <v>Plasma</v>
      </c>
      <c r="K76" s="211">
        <v>0.51</v>
      </c>
      <c r="L76" s="211" t="s">
        <v>115</v>
      </c>
      <c r="M76" s="201"/>
      <c r="N76" s="201"/>
      <c r="O76" s="213"/>
      <c r="P76" s="213"/>
      <c r="Q76" s="202"/>
      <c r="R76" s="202"/>
      <c r="S76" s="182">
        <v>0</v>
      </c>
      <c r="T76" s="183" t="s">
        <v>935</v>
      </c>
      <c r="U76" s="184">
        <v>106</v>
      </c>
      <c r="V76" s="185" t="s">
        <v>935</v>
      </c>
      <c r="W76" s="219" t="s">
        <v>59</v>
      </c>
      <c r="X76" s="220"/>
      <c r="Y76" s="206">
        <v>600</v>
      </c>
      <c r="Z76" s="207"/>
      <c r="AA76" s="207" t="s">
        <v>57</v>
      </c>
      <c r="AB76" s="206" t="s">
        <v>58</v>
      </c>
      <c r="AC76" s="176" t="s">
        <v>182</v>
      </c>
      <c r="AD76" s="206" t="s">
        <v>59</v>
      </c>
      <c r="AE76" s="176" t="s">
        <v>3022</v>
      </c>
      <c r="AF76" s="206" t="s">
        <v>91</v>
      </c>
      <c r="AG76" s="208" t="s">
        <v>1137</v>
      </c>
      <c r="AH76" s="208"/>
      <c r="AI76" s="209"/>
      <c r="AJ76" s="208"/>
      <c r="AK76" s="208" t="s">
        <v>1144</v>
      </c>
      <c r="AL76" s="193"/>
      <c r="AM76" s="193"/>
      <c r="AN76" s="193"/>
      <c r="AO76" s="193"/>
    </row>
    <row r="77" spans="1:41"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138" t="s">
        <v>3062</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138" t="s">
        <v>3062</v>
      </c>
      <c r="J78" s="205" t="str">
        <f>IF(AND(A78&lt;&gt;"",ISNUMBER(A78)),VLOOKUP(A78,Studies!A:BR,6,FALSE),"")</f>
        <v>Plasma</v>
      </c>
      <c r="K78" s="187">
        <v>0.123</v>
      </c>
      <c r="L78" s="187" t="s">
        <v>115</v>
      </c>
      <c r="M78" s="201"/>
      <c r="N78" s="201"/>
      <c r="O78" s="193">
        <v>0.16200000000000001</v>
      </c>
      <c r="P78" s="193" t="s">
        <v>115</v>
      </c>
      <c r="Q78" s="202"/>
      <c r="R78" s="202"/>
      <c r="S78" s="182">
        <v>1320</v>
      </c>
      <c r="T78" s="183" t="s">
        <v>935</v>
      </c>
      <c r="U78" s="184">
        <v>648</v>
      </c>
      <c r="V78" s="185">
        <v>816</v>
      </c>
      <c r="W78" s="186" t="s">
        <v>59</v>
      </c>
      <c r="X78" s="181" t="s">
        <v>1106</v>
      </c>
      <c r="Y78" s="176">
        <v>600</v>
      </c>
      <c r="Z78" s="180"/>
      <c r="AA78" s="180" t="s">
        <v>57</v>
      </c>
      <c r="AB78" s="176" t="s">
        <v>58</v>
      </c>
      <c r="AC78" s="176" t="s">
        <v>1107</v>
      </c>
      <c r="AD78" s="176" t="s">
        <v>59</v>
      </c>
      <c r="AE78" s="176" t="s">
        <v>3040</v>
      </c>
      <c r="AF78" s="176"/>
      <c r="AG78" s="177"/>
      <c r="AH78" s="177" t="s">
        <v>1108</v>
      </c>
      <c r="AI78" s="178"/>
      <c r="AJ78" s="177"/>
      <c r="AK78" s="177" t="s">
        <v>1109</v>
      </c>
      <c r="AL78" s="193" t="s">
        <v>61</v>
      </c>
      <c r="AM78" s="193"/>
      <c r="AN78" s="193"/>
      <c r="AO78" s="193"/>
    </row>
    <row r="79" spans="1:41"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138" t="s">
        <v>3062</v>
      </c>
      <c r="J79" s="205" t="str">
        <f>IF(AND(A79&lt;&gt;"",ISNUMBER(A79)),VLOOKUP(A79,Studies!A:BR,6,FALSE),"")</f>
        <v>Plasma</v>
      </c>
      <c r="K79" s="187">
        <v>0.38300000000000001</v>
      </c>
      <c r="L79" s="187" t="s">
        <v>115</v>
      </c>
      <c r="M79" s="201"/>
      <c r="N79" s="201"/>
      <c r="O79" s="193">
        <v>0.40300000000000002</v>
      </c>
      <c r="P79" s="193" t="s">
        <v>115</v>
      </c>
      <c r="Q79" s="202"/>
      <c r="R79" s="202"/>
      <c r="S79" s="182">
        <v>1320</v>
      </c>
      <c r="T79" s="183" t="s">
        <v>935</v>
      </c>
      <c r="U79" s="184">
        <v>816</v>
      </c>
      <c r="V79" s="185">
        <v>984</v>
      </c>
      <c r="W79" s="186" t="s">
        <v>59</v>
      </c>
      <c r="X79" s="181" t="s">
        <v>1106</v>
      </c>
      <c r="Y79" s="176">
        <v>600</v>
      </c>
      <c r="Z79" s="180"/>
      <c r="AA79" s="180" t="s">
        <v>57</v>
      </c>
      <c r="AB79" s="176" t="s">
        <v>58</v>
      </c>
      <c r="AC79" s="176" t="s">
        <v>1107</v>
      </c>
      <c r="AD79" s="176" t="s">
        <v>59</v>
      </c>
      <c r="AE79" s="176" t="s">
        <v>3040</v>
      </c>
      <c r="AF79" s="176"/>
      <c r="AG79" s="177"/>
      <c r="AH79" s="177" t="s">
        <v>1108</v>
      </c>
      <c r="AI79" s="178"/>
      <c r="AJ79" s="177"/>
      <c r="AK79" s="177" t="s">
        <v>1109</v>
      </c>
      <c r="AL79" s="193" t="s">
        <v>61</v>
      </c>
      <c r="AM79" s="193"/>
      <c r="AN79" s="193"/>
      <c r="AO79" s="193"/>
    </row>
    <row r="80" spans="1:41"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138" t="s">
        <v>3062</v>
      </c>
      <c r="J80" s="205" t="str">
        <f>IF(AND(A80&lt;&gt;"",ISNUMBER(A80)),VLOOKUP(A80,Studies!A:BR,6,FALSE),"")</f>
        <v>Plasma</v>
      </c>
      <c r="K80" s="187">
        <v>0.81499999999999995</v>
      </c>
      <c r="L80" s="187" t="s">
        <v>115</v>
      </c>
      <c r="M80" s="201"/>
      <c r="N80" s="201"/>
      <c r="O80" s="193">
        <v>0.73099999999999998</v>
      </c>
      <c r="P80" s="193" t="s">
        <v>115</v>
      </c>
      <c r="Q80" s="202"/>
      <c r="R80" s="202"/>
      <c r="S80" s="182">
        <v>1320</v>
      </c>
      <c r="T80" s="183" t="s">
        <v>935</v>
      </c>
      <c r="U80" s="184">
        <v>984</v>
      </c>
      <c r="V80" s="185">
        <v>1320</v>
      </c>
      <c r="W80" s="186" t="s">
        <v>59</v>
      </c>
      <c r="X80" s="181" t="s">
        <v>1106</v>
      </c>
      <c r="Y80" s="176">
        <v>600</v>
      </c>
      <c r="Z80" s="180"/>
      <c r="AA80" s="180" t="s">
        <v>57</v>
      </c>
      <c r="AB80" s="176" t="s">
        <v>58</v>
      </c>
      <c r="AC80" s="176" t="s">
        <v>1107</v>
      </c>
      <c r="AD80" s="176" t="s">
        <v>59</v>
      </c>
      <c r="AE80" s="176" t="s">
        <v>3040</v>
      </c>
      <c r="AF80" s="176"/>
      <c r="AG80" s="177"/>
      <c r="AH80" s="177" t="s">
        <v>1108</v>
      </c>
      <c r="AI80" s="178"/>
      <c r="AJ80" s="177"/>
      <c r="AK80" s="177" t="s">
        <v>1109</v>
      </c>
      <c r="AL80" s="193" t="s">
        <v>61</v>
      </c>
      <c r="AM80" s="193"/>
      <c r="AN80" s="193"/>
      <c r="AO80" s="193"/>
    </row>
    <row r="81" spans="1:41"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138" t="s">
        <v>3062</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138" t="s">
        <v>3062</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138" t="s">
        <v>3062</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2"/>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2"/>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138" t="s">
        <v>3064</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138" t="s">
        <v>3062</v>
      </c>
      <c r="J87" s="205" t="str">
        <f>IF(AND(A87&lt;&gt;"",ISNUMBER(A87)),VLOOKUP(A87,Studies!A:BR,6,FALSE),"")</f>
        <v>Plasma</v>
      </c>
      <c r="K87" s="187">
        <f>3110/5367</f>
        <v>0.57946711384386063</v>
      </c>
      <c r="L87" s="187" t="s">
        <v>1099</v>
      </c>
      <c r="M87" s="201"/>
      <c r="N87" s="201"/>
      <c r="O87" s="193"/>
      <c r="P87" s="193"/>
      <c r="Q87" s="202"/>
      <c r="R87" s="202"/>
      <c r="S87" s="182">
        <v>0</v>
      </c>
      <c r="T87" s="183" t="s">
        <v>935</v>
      </c>
      <c r="U87" s="184">
        <f>144-12</f>
        <v>132</v>
      </c>
      <c r="V87" s="185" t="s">
        <v>935</v>
      </c>
      <c r="W87" s="186" t="s">
        <v>59</v>
      </c>
      <c r="X87" s="181"/>
      <c r="Y87" s="176">
        <v>600</v>
      </c>
      <c r="Z87" s="180"/>
      <c r="AA87" s="180" t="s">
        <v>57</v>
      </c>
      <c r="AB87" s="176" t="s">
        <v>58</v>
      </c>
      <c r="AC87" s="176" t="s">
        <v>1145</v>
      </c>
      <c r="AD87" s="176" t="s">
        <v>59</v>
      </c>
      <c r="AE87" s="176" t="s">
        <v>3024</v>
      </c>
      <c r="AF87" s="176" t="s">
        <v>91</v>
      </c>
      <c r="AG87" s="177" t="s">
        <v>1141</v>
      </c>
      <c r="AH87" s="177" t="s">
        <v>1146</v>
      </c>
      <c r="AI87" s="178"/>
      <c r="AJ87" s="177"/>
      <c r="AK87" s="177"/>
      <c r="AL87" s="193"/>
      <c r="AM87" s="193"/>
      <c r="AN87" s="193"/>
      <c r="AO87" s="193"/>
    </row>
    <row r="88" spans="1:41"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138" t="s">
        <v>3063</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138" t="s">
        <v>3063</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138" t="s">
        <v>3063</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2"/>
        <v>PO</v>
      </c>
      <c r="I91" s="138" t="s">
        <v>3063</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2"/>
        <v>PO</v>
      </c>
      <c r="I92" s="138" t="s">
        <v>3064</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138" t="s">
        <v>3064</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3063</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3063</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3063</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3063</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3063</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3062</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3064</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3063</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3062</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3063</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3062</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3063</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3062</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3063</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3062</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3064</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3064</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3064</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3064</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3062</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3062</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3064</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3064</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3062</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3063</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3062</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3063</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3063</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3063</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3063</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3063</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3063</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3063</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3063</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3063</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3063</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x14ac:dyDescent="0.2">
      <c r="A134" s="30">
        <v>1092</v>
      </c>
      <c r="B134" s="204" t="str">
        <f>IF(AND(A134&lt;&gt;"",ISNUMBER(A134)),VLOOKUP(A134,Studies!A:BR,2,FALSE),"")</f>
        <v>Shin 2013</v>
      </c>
      <c r="C134" s="204" t="str">
        <f>IF(AND(A134&lt;&gt;"",ISNUMBER(A134)),VLOOKUP(A134,Studies!A:BR,3,FALSE),"")</f>
        <v>https://www.ncbi.nlm.nih.gov/pubmed/23784264</v>
      </c>
      <c r="D134" s="204" t="str">
        <f>IF(AND(A134&lt;&gt;"",ISNUMBER(A134)),VLOOKUP(A134,Studies!A:BR,4,FALSE),"")</f>
        <v>CYP3A4 induced phase (Midazolam + rifampicin)</v>
      </c>
      <c r="E134" s="139" t="str">
        <f>IF(AND(A134&lt;&gt;"",ISNUMBER(A134)),VLOOKUP(A134,Studies!A:BR,5,FALSE),"")</f>
        <v>Midazolam</v>
      </c>
      <c r="F134" s="42" t="s">
        <v>53</v>
      </c>
      <c r="G134" s="205" t="str">
        <f>IF(AND(A134&lt;&gt;"",ISNUMBER(A134)),VLOOKUP(A134,Studies!A:BR,13,FALSE),"")</f>
        <v>IV</v>
      </c>
      <c r="H134" s="68" t="s">
        <v>58</v>
      </c>
      <c r="I134" s="138" t="s">
        <v>3062</v>
      </c>
      <c r="J134" s="205" t="str">
        <f>IF(AND(A134&lt;&gt;"",ISNUMBER(A134)),VLOOKUP(A134,Studies!A:BR,6,FALSE),"")</f>
        <v>Plasma</v>
      </c>
      <c r="K134" s="43">
        <f>0.46*2.5</f>
        <v>1.1500000000000001</v>
      </c>
      <c r="L134" s="43" t="s">
        <v>2625</v>
      </c>
      <c r="M134" s="76" t="str">
        <f>0.41*2.5&amp;" - "&amp;0.51*2.5</f>
        <v>1.025 - 1.275</v>
      </c>
      <c r="N134" s="76" t="s">
        <v>1155</v>
      </c>
      <c r="S134" s="38">
        <v>0</v>
      </c>
      <c r="T134" s="39" t="s">
        <v>935</v>
      </c>
      <c r="U134" s="40">
        <v>216</v>
      </c>
      <c r="V134" s="41" t="s">
        <v>935</v>
      </c>
      <c r="W134" s="42" t="s">
        <v>59</v>
      </c>
      <c r="X134" s="181" t="s">
        <v>2949</v>
      </c>
      <c r="Y134" s="22">
        <v>600</v>
      </c>
      <c r="Z134" s="180"/>
      <c r="AA134" s="180" t="s">
        <v>57</v>
      </c>
      <c r="AB134" s="22" t="s">
        <v>58</v>
      </c>
      <c r="AC134" s="22" t="s">
        <v>2648</v>
      </c>
      <c r="AD134" s="176" t="s">
        <v>59</v>
      </c>
      <c r="AE134" s="176" t="s">
        <v>3021</v>
      </c>
      <c r="AF134" s="176" t="s">
        <v>2649</v>
      </c>
      <c r="AG134" s="23" t="s">
        <v>2650</v>
      </c>
      <c r="AH134" s="177" t="s">
        <v>2651</v>
      </c>
      <c r="AJ134" s="177"/>
      <c r="AK134" s="177"/>
    </row>
    <row r="135" spans="1:4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3063</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x14ac:dyDescent="0.2">
      <c r="A136" s="181">
        <v>1095</v>
      </c>
      <c r="B136" s="204" t="str">
        <f>IF(AND(A136&lt;&gt;"",ISNUMBER(A136)),VLOOKUP(A136,Studies!A:BR,2,FALSE),"")</f>
        <v>Shin 2016</v>
      </c>
      <c r="C136" s="204" t="str">
        <f>IF(AND(A136&lt;&gt;"",ISNUMBER(A136)),VLOOKUP(A136,Studies!A:BR,3,FALSE),"")</f>
        <v>https://www.ncbi.nlm.nih.gov/pubmed/27317471</v>
      </c>
      <c r="D136" s="204" t="str">
        <f>IF(AND(A136&lt;&gt;"",ISNUMBER(A136)),VLOOKUP(A136,Studies!A:BR,4,FALSE),"")</f>
        <v>Midazolam + rifampicin</v>
      </c>
      <c r="E136" s="139" t="str">
        <f>IF(AND(A136&lt;&gt;"",ISNUMBER(A136)),VLOOKUP(A136,Studies!A:BR,5,FALSE),"")</f>
        <v>Midazolam</v>
      </c>
      <c r="F136" s="42" t="s">
        <v>53</v>
      </c>
      <c r="G136" s="205" t="str">
        <f>IF(AND(A136&lt;&gt;"",ISNUMBER(A136)),VLOOKUP(A136,Studies!A:BR,13,FALSE),"")</f>
        <v>IV</v>
      </c>
      <c r="H136" s="68" t="s">
        <v>58</v>
      </c>
      <c r="I136" s="138" t="s">
        <v>3062</v>
      </c>
      <c r="J136" s="205" t="str">
        <f>IF(AND(A136&lt;&gt;"",ISNUMBER(A136)),VLOOKUP(A136,Studies!A:BR,6,FALSE),"")</f>
        <v>Plasma</v>
      </c>
      <c r="K136" s="43">
        <f>0.49*2.5</f>
        <v>1.2250000000000001</v>
      </c>
      <c r="L136" s="43" t="s">
        <v>2625</v>
      </c>
      <c r="M136" s="76" t="str">
        <f>0.46*2.5&amp;" - "&amp;0.53*2.5</f>
        <v>1.15 - 1.325</v>
      </c>
      <c r="N136" s="76" t="s">
        <v>1155</v>
      </c>
      <c r="O136" s="52">
        <f>0.71*2.5</f>
        <v>1.7749999999999999</v>
      </c>
      <c r="P136" s="52" t="s">
        <v>2625</v>
      </c>
      <c r="Q136" s="84" t="str">
        <f>0.68*2.5&amp;" - "&amp;0.76*2.5</f>
        <v>1.7 - 1.9</v>
      </c>
      <c r="R136" s="84" t="s">
        <v>1155</v>
      </c>
      <c r="S136" s="38">
        <v>0</v>
      </c>
      <c r="T136" s="39" t="s">
        <v>935</v>
      </c>
      <c r="U136" s="40">
        <v>216</v>
      </c>
      <c r="V136" s="41" t="s">
        <v>935</v>
      </c>
      <c r="W136" s="42" t="s">
        <v>59</v>
      </c>
      <c r="X136" s="181" t="s">
        <v>2740</v>
      </c>
      <c r="Y136" s="176">
        <v>600</v>
      </c>
      <c r="Z136" s="180"/>
      <c r="AA136" s="180" t="s">
        <v>57</v>
      </c>
      <c r="AB136" s="176" t="s">
        <v>58</v>
      </c>
      <c r="AC136" s="176" t="s">
        <v>2648</v>
      </c>
      <c r="AD136" s="176" t="s">
        <v>59</v>
      </c>
      <c r="AE136" s="176" t="s">
        <v>3021</v>
      </c>
      <c r="AF136" s="176" t="s">
        <v>2649</v>
      </c>
      <c r="AG136" s="177" t="s">
        <v>1141</v>
      </c>
      <c r="AH136" s="177" t="s">
        <v>2651</v>
      </c>
      <c r="AI136" s="178"/>
      <c r="AJ136" s="177"/>
      <c r="AK136" s="177"/>
    </row>
    <row r="137" spans="1:4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3063</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x14ac:dyDescent="0.2">
      <c r="A138" s="181">
        <v>1098</v>
      </c>
      <c r="B138" s="204" t="str">
        <f>IF(AND(A138&lt;&gt;"",ISNUMBER(A138)),VLOOKUP(A138,Studies!A:BR,2,FALSE),"")</f>
        <v>Prueksaritanont 2017</v>
      </c>
      <c r="C138" s="204" t="str">
        <f>IF(AND(A138&lt;&gt;"",ISNUMBER(A138)),VLOOKUP(A138,Studies!A:BR,3,FALSE),"")</f>
        <v>https://www.ncbi.nlm.nih.gov/pubmed/27943276</v>
      </c>
      <c r="D138" s="204" t="str">
        <f>IF(AND(A138&lt;&gt;"",ISNUMBER(A138)),VLOOKUP(A138,Studies!A:BR,4,FALSE),"")</f>
        <v>Midazolam in microdosecocktail + Rifampin</v>
      </c>
      <c r="E138" s="139" t="str">
        <f>IF(AND(A138&lt;&gt;"",ISNUMBER(A138)),VLOOKUP(A138,Studies!A:BR,5,FALSE),"")</f>
        <v>Midazolam</v>
      </c>
      <c r="F138" s="42" t="s">
        <v>53</v>
      </c>
      <c r="G138" s="205" t="str">
        <f>IF(AND(A138&lt;&gt;"",ISNUMBER(A138)),VLOOKUP(A138,Studies!A:BR,13,FALSE),"")</f>
        <v>PO</v>
      </c>
      <c r="H138" s="68" t="s">
        <v>58</v>
      </c>
      <c r="I138" s="138" t="s">
        <v>3062</v>
      </c>
      <c r="J138" s="205" t="str">
        <f>IF(AND(A138&lt;&gt;"",ISNUMBER(A138)),VLOOKUP(A138,Studies!A:BR,6,FALSE),"")</f>
        <v>Plasma</v>
      </c>
      <c r="K138" s="43">
        <v>0.94</v>
      </c>
      <c r="L138" s="187" t="s">
        <v>2137</v>
      </c>
      <c r="M138" s="76" t="s">
        <v>2632</v>
      </c>
      <c r="N138" s="76" t="s">
        <v>1155</v>
      </c>
      <c r="O138" s="52">
        <v>1.3</v>
      </c>
      <c r="P138" s="52" t="s">
        <v>2137</v>
      </c>
      <c r="Q138" s="84" t="s">
        <v>2633</v>
      </c>
      <c r="R138" s="84" t="s">
        <v>1155</v>
      </c>
      <c r="S138" s="38">
        <v>0</v>
      </c>
      <c r="T138" s="39" t="s">
        <v>935</v>
      </c>
      <c r="U138" s="40">
        <v>0</v>
      </c>
      <c r="V138" s="41" t="s">
        <v>935</v>
      </c>
      <c r="W138" s="42" t="s">
        <v>59</v>
      </c>
      <c r="X138" s="181" t="s">
        <v>2634</v>
      </c>
      <c r="Y138" s="22">
        <v>600</v>
      </c>
      <c r="AA138" s="28" t="s">
        <v>57</v>
      </c>
      <c r="AB138" s="176" t="s">
        <v>58</v>
      </c>
      <c r="AC138" s="22">
        <v>0</v>
      </c>
      <c r="AD138" s="22" t="s">
        <v>59</v>
      </c>
      <c r="AE138" s="176" t="s">
        <v>78</v>
      </c>
      <c r="AF138" s="176" t="s">
        <v>78</v>
      </c>
      <c r="AG138" s="23" t="s">
        <v>1137</v>
      </c>
      <c r="AH138" s="177" t="s">
        <v>2635</v>
      </c>
    </row>
    <row r="139" spans="1:4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3064</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3064</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3063</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3064</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3064</v>
      </c>
      <c r="J144" s="205" t="str">
        <f>IF(AND(A144&lt;&gt;"",ISNUMBER(A144)),VLOOKUP(A144,Studies!A:BR,6,FALSE),"")</f>
        <v>Plasma</v>
      </c>
      <c r="K144" s="43">
        <v>1.4523809523809523</v>
      </c>
      <c r="L144" s="43" t="s">
        <v>2719</v>
      </c>
      <c r="S144" s="38">
        <v>0</v>
      </c>
      <c r="T144" s="39">
        <v>24</v>
      </c>
      <c r="U144" s="40">
        <v>168</v>
      </c>
      <c r="V144" s="41">
        <v>192</v>
      </c>
      <c r="W144" s="42" t="s">
        <v>59</v>
      </c>
      <c r="X144" s="181" t="s">
        <v>2655</v>
      </c>
      <c r="Y144" s="22">
        <v>240</v>
      </c>
      <c r="AA144" s="180" t="s">
        <v>57</v>
      </c>
      <c r="AC144" s="22" t="s">
        <v>2612</v>
      </c>
      <c r="AD144" s="22" t="s">
        <v>59</v>
      </c>
      <c r="AE144" s="176" t="s">
        <v>3024</v>
      </c>
      <c r="AF144" s="176" t="s">
        <v>91</v>
      </c>
      <c r="AG144" s="23" t="s">
        <v>2656</v>
      </c>
      <c r="AH144" s="177" t="s">
        <v>2657</v>
      </c>
    </row>
    <row r="145" spans="1:4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3063</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3064</v>
      </c>
      <c r="J147" s="205" t="str">
        <f>IF(AND(A147&lt;&gt;"",ISNUMBER(A147)),VLOOKUP(A147,Studies!A:BR,6,FALSE),"")</f>
        <v>Plasma</v>
      </c>
      <c r="K147" s="43">
        <v>3.5056179775280896</v>
      </c>
      <c r="L147" s="43" t="s">
        <v>2719</v>
      </c>
      <c r="M147" s="201"/>
      <c r="P147" s="193"/>
      <c r="R147" s="202"/>
      <c r="S147" s="38">
        <v>24</v>
      </c>
      <c r="T147" s="39" t="s">
        <v>935</v>
      </c>
      <c r="U147" s="40">
        <v>192</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x14ac:dyDescent="0.2">
      <c r="A148" s="181">
        <v>2002</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7d of Rifampicin (between day 1 and 8)</v>
      </c>
      <c r="E148" s="139" t="str">
        <f>IF(AND(A148&lt;&gt;"",ISNUMBER(A148)),VLOOKUP(A148,Studies!A:BR,5,FALSE),"")</f>
        <v>Midazolam</v>
      </c>
      <c r="F148" s="42" t="s">
        <v>53</v>
      </c>
      <c r="G148" s="205" t="str">
        <f>IF(AND(A148&lt;&gt;"",ISNUMBER(A148)),VLOOKUP(A148,Studies!A:BR,13,FALSE),"")</f>
        <v>PO</v>
      </c>
      <c r="H148" s="68" t="s">
        <v>58</v>
      </c>
      <c r="I148" s="138" t="s">
        <v>3062</v>
      </c>
      <c r="J148" s="205" t="str">
        <f>IF(AND(A148&lt;&gt;"",ISNUMBER(A148)),VLOOKUP(A148,Studies!A:BR,6,FALSE),"")</f>
        <v>Plasma</v>
      </c>
      <c r="K148" s="187">
        <f>1/3.9</f>
        <v>0.25641025641025644</v>
      </c>
      <c r="L148" s="43" t="s">
        <v>993</v>
      </c>
      <c r="M148" s="76" t="str">
        <f>1/4.8&amp;"-"&amp;1/3</f>
        <v>0.208333333333333-0.333333333333333</v>
      </c>
      <c r="N148" s="76" t="s">
        <v>1096</v>
      </c>
      <c r="O148" s="52">
        <f>2.7/7.2</f>
        <v>0.375</v>
      </c>
      <c r="P148" s="193" t="s">
        <v>1100</v>
      </c>
      <c r="S148" s="38">
        <v>0</v>
      </c>
      <c r="T148" s="39">
        <v>6</v>
      </c>
      <c r="U148" s="40">
        <v>156</v>
      </c>
      <c r="V148" s="41">
        <v>162</v>
      </c>
      <c r="W148" s="42" t="s">
        <v>59</v>
      </c>
      <c r="X148" s="181" t="s">
        <v>2669</v>
      </c>
      <c r="Y148" s="22">
        <v>300</v>
      </c>
      <c r="AA148" s="28" t="s">
        <v>57</v>
      </c>
      <c r="AB148" s="22" t="s">
        <v>58</v>
      </c>
      <c r="AC148" s="22" t="s">
        <v>2612</v>
      </c>
      <c r="AD148" s="22" t="s">
        <v>59</v>
      </c>
      <c r="AE148" s="176" t="s">
        <v>3024</v>
      </c>
      <c r="AF148" s="176" t="s">
        <v>2670</v>
      </c>
      <c r="AG148" s="23" t="s">
        <v>1141</v>
      </c>
      <c r="AH148" s="177" t="s">
        <v>2938</v>
      </c>
    </row>
    <row r="149" spans="1:41" x14ac:dyDescent="0.2">
      <c r="A149" s="181">
        <v>2003</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7d of Rifampicin (between day 1 and 8)</v>
      </c>
      <c r="E149" s="139" t="str">
        <f>IF(AND(A149&lt;&gt;"",ISNUMBER(A149)),VLOOKUP(A149,Studies!A:BR,5,FALSE),"")</f>
        <v>Midazolam</v>
      </c>
      <c r="F149" s="42" t="s">
        <v>53</v>
      </c>
      <c r="G149" s="205" t="str">
        <f>IF(AND(A149&lt;&gt;"",ISNUMBER(A149)),VLOOKUP(A149,Studies!A:BR,13,FALSE),"")</f>
        <v>PO</v>
      </c>
      <c r="H149" s="68" t="s">
        <v>58</v>
      </c>
      <c r="I149" s="138" t="s">
        <v>3062</v>
      </c>
      <c r="J149" s="205" t="str">
        <f>IF(AND(A149&lt;&gt;"",ISNUMBER(A149)),VLOOKUP(A149,Studies!A:BR,6,FALSE),"")</f>
        <v>Plasma</v>
      </c>
      <c r="K149" s="43">
        <f>1/5.3</f>
        <v>0.18867924528301888</v>
      </c>
      <c r="L149" s="43" t="s">
        <v>993</v>
      </c>
      <c r="M149" s="76" t="str">
        <f>1/6.4&amp;"-"&amp;1/3.8</f>
        <v>0.15625-0.263157894736842</v>
      </c>
      <c r="N149" s="76" t="s">
        <v>1096</v>
      </c>
      <c r="O149" s="52">
        <f>1.2/5.5</f>
        <v>0.21818181818181817</v>
      </c>
      <c r="P149" s="193" t="s">
        <v>1100</v>
      </c>
      <c r="R149" s="202"/>
      <c r="S149" s="38">
        <v>0</v>
      </c>
      <c r="T149" s="39">
        <v>6</v>
      </c>
      <c r="U149" s="40">
        <v>156</v>
      </c>
      <c r="V149" s="41">
        <v>162</v>
      </c>
      <c r="W149" s="42" t="s">
        <v>59</v>
      </c>
      <c r="X149" s="181" t="s">
        <v>2671</v>
      </c>
      <c r="Y149" s="22">
        <v>300</v>
      </c>
      <c r="AA149" s="28" t="s">
        <v>57</v>
      </c>
      <c r="AB149" s="22" t="s">
        <v>58</v>
      </c>
      <c r="AC149" s="22" t="s">
        <v>2612</v>
      </c>
      <c r="AD149" s="22" t="s">
        <v>59</v>
      </c>
      <c r="AE149" s="176" t="s">
        <v>3024</v>
      </c>
      <c r="AF149" s="176" t="s">
        <v>2670</v>
      </c>
      <c r="AG149" s="23" t="s">
        <v>1141</v>
      </c>
      <c r="AH149" s="177" t="s">
        <v>2938</v>
      </c>
    </row>
    <row r="150" spans="1:4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3064</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3064</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3063</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3062</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3062</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3063</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3063</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3063</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3063</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3064</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3064</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3064</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3064</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3064</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3064</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3063</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x14ac:dyDescent="0.2">
      <c r="A166" s="30">
        <v>2036</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Male</v>
      </c>
      <c r="E166" s="139" t="str">
        <f>IF(AND(A166&lt;&gt;"",ISNUMBER(A166)),VLOOKUP(A166,Studies!A:BR,5,FALSE),"")</f>
        <v>Midazolam</v>
      </c>
      <c r="F166" s="42" t="s">
        <v>53</v>
      </c>
      <c r="G166" s="205" t="str">
        <f>IF(AND(A166&lt;&gt;"",ISNUMBER(A166)),VLOOKUP(A166,Studies!A:BR,13,FALSE),"")</f>
        <v>IV</v>
      </c>
      <c r="H166" s="68" t="s">
        <v>58</v>
      </c>
      <c r="I166" s="138" t="s">
        <v>3062</v>
      </c>
      <c r="J166" s="205" t="str">
        <f>IF(AND(A166&lt;&gt;"",ISNUMBER(A166)),VLOOKUP(A166,Studies!A:BR,6,FALSE),"")</f>
        <v>Plasma</v>
      </c>
      <c r="K166" s="43">
        <f>0.46*2.5</f>
        <v>1.1500000000000001</v>
      </c>
      <c r="L166" s="43" t="s">
        <v>2625</v>
      </c>
      <c r="M166" s="76" t="str">
        <f>0.41*2.5&amp;" - "&amp;2.5*0.51</f>
        <v>1.025 - 1.275</v>
      </c>
      <c r="N166" s="76" t="s">
        <v>1155</v>
      </c>
      <c r="S166" s="38">
        <v>0</v>
      </c>
      <c r="T166" s="39" t="s">
        <v>935</v>
      </c>
      <c r="U166" s="40">
        <v>216</v>
      </c>
      <c r="V166" s="41" t="s">
        <v>935</v>
      </c>
      <c r="W166" s="42" t="s">
        <v>59</v>
      </c>
      <c r="X166" s="181" t="s">
        <v>2984</v>
      </c>
      <c r="Y166" s="176">
        <v>600</v>
      </c>
      <c r="Z166" s="180"/>
      <c r="AA166" s="180" t="s">
        <v>57</v>
      </c>
      <c r="AB166" s="176" t="s">
        <v>58</v>
      </c>
      <c r="AC166" s="176" t="s">
        <v>2616</v>
      </c>
      <c r="AD166" s="176" t="s">
        <v>59</v>
      </c>
      <c r="AE166" s="176" t="s">
        <v>3021</v>
      </c>
      <c r="AF166" s="176" t="s">
        <v>2649</v>
      </c>
      <c r="AG166" s="23" t="s">
        <v>1141</v>
      </c>
      <c r="AH166" s="177" t="s">
        <v>2661</v>
      </c>
    </row>
    <row r="167" spans="1:37"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3063</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x14ac:dyDescent="0.2">
      <c r="A168" s="30">
        <v>2039</v>
      </c>
      <c r="B168" s="204" t="str">
        <f>IF(AND(A168&lt;&gt;"",ISNUMBER(A168)),VLOOKUP(A168,Studies!A:BR,2,FALSE),"")</f>
        <v>Kim 2018</v>
      </c>
      <c r="C168" s="204" t="str">
        <f>IF(AND(A168&lt;&gt;"",ISNUMBER(A168)),VLOOKUP(A168,Studies!A:BR,3,FALSE),"")</f>
        <v>https://www.ncbi.nlm.nih.gov/pubmed/28877336</v>
      </c>
      <c r="D168" s="204" t="str">
        <f>IF(AND(A168&lt;&gt;"",ISNUMBER(A168)),VLOOKUP(A168,Studies!A:BR,4,FALSE),"")</f>
        <v>Midazolam + Rifampicin Female</v>
      </c>
      <c r="E168" s="139" t="str">
        <f>IF(AND(A168&lt;&gt;"",ISNUMBER(A168)),VLOOKUP(A168,Studies!A:BR,5,FALSE),"")</f>
        <v>Midazolam</v>
      </c>
      <c r="F168" s="42" t="s">
        <v>53</v>
      </c>
      <c r="G168" s="205" t="str">
        <f>IF(AND(A168&lt;&gt;"",ISNUMBER(A168)),VLOOKUP(A168,Studies!A:BR,13,FALSE),"")</f>
        <v>IV</v>
      </c>
      <c r="H168" s="68" t="s">
        <v>58</v>
      </c>
      <c r="I168" s="138" t="s">
        <v>3062</v>
      </c>
      <c r="J168" s="205" t="str">
        <f>IF(AND(A168&lt;&gt;"",ISNUMBER(A168)),VLOOKUP(A168,Studies!A:BR,6,FALSE),"")</f>
        <v>Plasma</v>
      </c>
      <c r="K168" s="187">
        <f>0.49*2.5</f>
        <v>1.2250000000000001</v>
      </c>
      <c r="L168" s="43" t="s">
        <v>2625</v>
      </c>
      <c r="M168" s="76" t="str">
        <f>2.5*0.46&amp;" - "&amp;0.53*2.5</f>
        <v>1.15 - 1.325</v>
      </c>
      <c r="N168" s="76" t="s">
        <v>1155</v>
      </c>
      <c r="S168" s="38">
        <v>0</v>
      </c>
      <c r="T168" s="39" t="s">
        <v>935</v>
      </c>
      <c r="U168" s="40">
        <v>216</v>
      </c>
      <c r="V168" s="41" t="s">
        <v>935</v>
      </c>
      <c r="W168" s="42" t="s">
        <v>59</v>
      </c>
      <c r="X168" s="181" t="s">
        <v>2984</v>
      </c>
      <c r="Y168" s="22">
        <v>600</v>
      </c>
      <c r="AA168" s="28" t="s">
        <v>57</v>
      </c>
      <c r="AB168" s="22" t="s">
        <v>58</v>
      </c>
      <c r="AC168" s="22" t="s">
        <v>2616</v>
      </c>
      <c r="AD168" s="22" t="s">
        <v>59</v>
      </c>
      <c r="AE168" s="176" t="s">
        <v>3021</v>
      </c>
      <c r="AF168" s="176" t="s">
        <v>2649</v>
      </c>
      <c r="AG168" s="23" t="s">
        <v>1141</v>
      </c>
      <c r="AH168" s="177" t="s">
        <v>2661</v>
      </c>
    </row>
    <row r="169" spans="1:37"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3062</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3062</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3062</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3062</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3062</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3062</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3062</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3062</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39"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3062</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39"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3062</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39"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3063</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39"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3063</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39"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3063</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39" x14ac:dyDescent="0.2">
      <c r="A182" s="91">
        <v>200</v>
      </c>
      <c r="B182" s="204" t="str">
        <f>IF(AND(A182&lt;&gt;"",ISNUMBER(A182)),VLOOKUP(A182,Studies!A:BR,2,FALSE),"")</f>
        <v>Yu 2004</v>
      </c>
      <c r="C182" s="204" t="str">
        <f>IF(AND(A182&lt;&gt;"",ISNUMBER(A182)),VLOOKUP(A182,Studies!A:BR,3,FALSE),"")</f>
        <v>https://www.ncbi.nlm.nih.gov/pubmed/15289787</v>
      </c>
      <c r="D182" s="204" t="str">
        <f>IF(AND(A182&lt;&gt;"",ISNUMBER(A182)),VLOOKUP(A182,Studies!A:BR,4,FALSE),"")</f>
        <v>Treatment Rifampicin CYP3A5*1/*1</v>
      </c>
      <c r="E182" s="139" t="str">
        <f>IF(AND(A182&lt;&gt;"",ISNUMBER(A182)),VLOOKUP(A182,Studies!A:BR,5,FALSE),"")</f>
        <v>Midazolam</v>
      </c>
      <c r="F182" s="186" t="s">
        <v>53</v>
      </c>
      <c r="G182" s="205" t="str">
        <f>IF(AND(A182&lt;&gt;"",ISNUMBER(A182)),VLOOKUP(A182,Studies!A:BR,13,FALSE),"")</f>
        <v>IV</v>
      </c>
      <c r="H182" s="138" t="s">
        <v>58</v>
      </c>
      <c r="I182" s="138" t="s">
        <v>3062</v>
      </c>
      <c r="J182" s="205" t="str">
        <f>IF(AND(A182&lt;&gt;"",ISNUMBER(A182)),VLOOKUP(A182,Studies!A:BR,6,FALSE),"")</f>
        <v>Plasma</v>
      </c>
      <c r="K182" s="43">
        <f>1/2.03*2/1</f>
        <v>0.98522167487684742</v>
      </c>
      <c r="L182" s="187" t="s">
        <v>2719</v>
      </c>
      <c r="S182" s="182">
        <v>0</v>
      </c>
      <c r="T182" s="183">
        <v>9999</v>
      </c>
      <c r="U182" s="40">
        <v>240</v>
      </c>
      <c r="V182" s="185">
        <v>9999</v>
      </c>
      <c r="W182" s="186" t="s">
        <v>59</v>
      </c>
      <c r="X182" s="181" t="s">
        <v>3017</v>
      </c>
      <c r="Y182" s="22">
        <v>600</v>
      </c>
      <c r="AA182" s="28" t="s">
        <v>57</v>
      </c>
      <c r="AB182" s="22" t="s">
        <v>58</v>
      </c>
      <c r="AC182" s="22" t="s">
        <v>2616</v>
      </c>
      <c r="AD182" s="22" t="s">
        <v>59</v>
      </c>
      <c r="AE182" s="176" t="s">
        <v>3021</v>
      </c>
      <c r="AF182" s="176" t="s">
        <v>2649</v>
      </c>
      <c r="AH182" s="177" t="s">
        <v>3016</v>
      </c>
      <c r="AL182" s="52" t="s">
        <v>613</v>
      </c>
      <c r="AM182" s="52" t="s">
        <v>1958</v>
      </c>
    </row>
    <row r="183" spans="1:39" x14ac:dyDescent="0.2">
      <c r="A183" s="91">
        <v>201</v>
      </c>
      <c r="B183" s="204" t="str">
        <f>IF(AND(A183&lt;&gt;"",ISNUMBER(A183)),VLOOKUP(A183,Studies!A:BR,2,FALSE),"")</f>
        <v>Yu 2004</v>
      </c>
      <c r="C183" s="204" t="str">
        <f>IF(AND(A183&lt;&gt;"",ISNUMBER(A183)),VLOOKUP(A183,Studies!A:BR,3,FALSE),"")</f>
        <v>https://www.ncbi.nlm.nih.gov/pubmed/15289787</v>
      </c>
      <c r="D183" s="204" t="str">
        <f>IF(AND(A183&lt;&gt;"",ISNUMBER(A183)),VLOOKUP(A183,Studies!A:BR,4,FALSE),"")</f>
        <v>Treatment Rifampicin CYP3A5*1/*3</v>
      </c>
      <c r="E183" s="139" t="str">
        <f>IF(AND(A183&lt;&gt;"",ISNUMBER(A183)),VLOOKUP(A183,Studies!A:BR,5,FALSE),"")</f>
        <v>Midazolam</v>
      </c>
      <c r="F183" s="186" t="s">
        <v>53</v>
      </c>
      <c r="G183" s="205" t="str">
        <f>IF(AND(A183&lt;&gt;"",ISNUMBER(A183)),VLOOKUP(A183,Studies!A:BR,13,FALSE),"")</f>
        <v>IV</v>
      </c>
      <c r="H183" s="138" t="s">
        <v>58</v>
      </c>
      <c r="I183" s="138" t="s">
        <v>3062</v>
      </c>
      <c r="J183" s="205" t="str">
        <f>IF(AND(A183&lt;&gt;"",ISNUMBER(A183)),VLOOKUP(A183,Studies!A:BR,6,FALSE),"")</f>
        <v>Plasma</v>
      </c>
      <c r="K183" s="43">
        <f>1/2.44*2/1</f>
        <v>0.81967213114754101</v>
      </c>
      <c r="L183" s="187" t="s">
        <v>2719</v>
      </c>
      <c r="S183" s="182">
        <v>0</v>
      </c>
      <c r="T183" s="183">
        <v>9999</v>
      </c>
      <c r="U183" s="40">
        <v>240</v>
      </c>
      <c r="V183" s="185">
        <v>9999</v>
      </c>
      <c r="W183" s="186" t="s">
        <v>59</v>
      </c>
      <c r="X183" s="181" t="s">
        <v>3017</v>
      </c>
      <c r="Y183" s="176">
        <v>600</v>
      </c>
      <c r="Z183" s="180"/>
      <c r="AA183" s="180" t="s">
        <v>57</v>
      </c>
      <c r="AB183" s="176" t="s">
        <v>58</v>
      </c>
      <c r="AC183" s="176" t="s">
        <v>2616</v>
      </c>
      <c r="AD183" s="176" t="s">
        <v>59</v>
      </c>
      <c r="AE183" s="176" t="s">
        <v>3021</v>
      </c>
      <c r="AF183" s="176" t="s">
        <v>2649</v>
      </c>
      <c r="AG183" s="177"/>
      <c r="AH183" s="177" t="s">
        <v>3016</v>
      </c>
      <c r="AI183" s="178"/>
      <c r="AJ183" s="177"/>
      <c r="AK183" s="177"/>
      <c r="AL183" s="193" t="s">
        <v>613</v>
      </c>
      <c r="AM183" s="193" t="s">
        <v>1958</v>
      </c>
    </row>
    <row r="184" spans="1:39" x14ac:dyDescent="0.2">
      <c r="A184" s="91">
        <v>202</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CYP3A5*3/*3</v>
      </c>
      <c r="E184" s="139" t="str">
        <f>IF(AND(A184&lt;&gt;"",ISNUMBER(A184)),VLOOKUP(A184,Studies!A:BR,5,FALSE),"")</f>
        <v>Midazolam</v>
      </c>
      <c r="F184" s="186" t="s">
        <v>53</v>
      </c>
      <c r="G184" s="205" t="str">
        <f>IF(AND(A184&lt;&gt;"",ISNUMBER(A184)),VLOOKUP(A184,Studies!A:BR,13,FALSE),"")</f>
        <v>IV</v>
      </c>
      <c r="H184" s="138" t="s">
        <v>58</v>
      </c>
      <c r="I184" s="138" t="s">
        <v>3062</v>
      </c>
      <c r="J184" s="205" t="str">
        <f>IF(AND(A184&lt;&gt;"",ISNUMBER(A184)),VLOOKUP(A184,Studies!A:BR,6,FALSE),"")</f>
        <v>Plasma</v>
      </c>
      <c r="K184" s="43">
        <f>1/2.4*2/1</f>
        <v>0.83333333333333337</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39"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3062</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186" spans="1:39" x14ac:dyDescent="0.2">
      <c r="A186" s="30">
        <v>204</v>
      </c>
      <c r="B186" s="204" t="str">
        <f>IF(AND(A186&lt;&gt;"",ISNUMBER(A186)),VLOOKUP(A186,Studies!A:BR,2,FALSE),"")</f>
        <v>Wiesinger 2020</v>
      </c>
      <c r="C186" s="204" t="str">
        <f>IF(AND(A186&lt;&gt;"",ISNUMBER(A186)),VLOOKUP(A186,Studies!A:BR,3,FALSE),"")</f>
        <v>https://www.ncbi.nlm.nih.gov/pubmed/32275771</v>
      </c>
      <c r="D186" s="204" t="str">
        <f>IF(AND(A186&lt;&gt;"",ISNUMBER(A186)),VLOOKUP(A186,Studies!A:BR,4,FALSE),"")</f>
        <v>Weak-induction phase (RIF 10 mg)</v>
      </c>
      <c r="E186" s="139" t="str">
        <f>IF(AND(A186&lt;&gt;"",ISNUMBER(A186)),VLOOKUP(A186,Studies!A:BR,5,FALSE),"")</f>
        <v>Midazolam</v>
      </c>
      <c r="F186" s="42" t="s">
        <v>53</v>
      </c>
      <c r="G186" s="205" t="str">
        <f>IF(AND(A186&lt;&gt;"",ISNUMBER(A186)),VLOOKUP(A186,Studies!A:BR,13,FALSE),"")</f>
        <v>PO</v>
      </c>
      <c r="H186" s="138" t="s">
        <v>58</v>
      </c>
      <c r="I186" s="138" t="s">
        <v>3062</v>
      </c>
      <c r="J186" s="205" t="str">
        <f>IF(AND(A186&lt;&gt;"",ISNUMBER(A186)),VLOOKUP(A186,Studies!A:BR,6,FALSE),"")</f>
        <v>Plasma</v>
      </c>
      <c r="K186" s="43">
        <v>0.53900000000000003</v>
      </c>
      <c r="L186" s="187" t="s">
        <v>2683</v>
      </c>
      <c r="M186" s="76" t="s">
        <v>3074</v>
      </c>
      <c r="N186" s="201" t="s">
        <v>1155</v>
      </c>
      <c r="O186" s="52">
        <f>3.1/4.9</f>
        <v>0.63265306122448972</v>
      </c>
      <c r="P186" s="193" t="s">
        <v>1099</v>
      </c>
      <c r="S186" s="38">
        <v>0</v>
      </c>
      <c r="T186" s="39">
        <v>9999</v>
      </c>
      <c r="U186" s="40">
        <v>180</v>
      </c>
      <c r="V186" s="41">
        <v>444</v>
      </c>
      <c r="W186" s="42" t="s">
        <v>59</v>
      </c>
      <c r="Y186" s="22">
        <v>10</v>
      </c>
      <c r="AA186" s="180" t="s">
        <v>57</v>
      </c>
      <c r="AB186" s="176" t="s">
        <v>58</v>
      </c>
      <c r="AC186" s="22" t="s">
        <v>3075</v>
      </c>
      <c r="AD186" s="22" t="s">
        <v>59</v>
      </c>
      <c r="AE186" s="176" t="s">
        <v>3076</v>
      </c>
      <c r="AF186" s="176" t="s">
        <v>3077</v>
      </c>
      <c r="AH186" s="177" t="s">
        <v>3071</v>
      </c>
    </row>
    <row r="187" spans="1:39" x14ac:dyDescent="0.2">
      <c r="A187" s="30">
        <v>205</v>
      </c>
      <c r="B187" s="204" t="str">
        <f>IF(AND(A187&lt;&gt;"",ISNUMBER(A187)),VLOOKUP(A187,Studies!A:BR,2,FALSE),"")</f>
        <v>Wiesinger 2020</v>
      </c>
      <c r="C187" s="204" t="str">
        <f>IF(AND(A187&lt;&gt;"",ISNUMBER(A187)),VLOOKUP(A187,Studies!A:BR,3,FALSE),"")</f>
        <v>https://www.ncbi.nlm.nih.gov/pubmed/32275771</v>
      </c>
      <c r="D187" s="204" t="str">
        <f>IF(AND(A187&lt;&gt;"",ISNUMBER(A187)),VLOOKUP(A187,Studies!A:BR,4,FALSE),"")</f>
        <v>Strong-induction phase (RIF 600 mg)</v>
      </c>
      <c r="E187" s="139" t="str">
        <f>IF(AND(A187&lt;&gt;"",ISNUMBER(A187)),VLOOKUP(A187,Studies!A:BR,5,FALSE),"")</f>
        <v>Midazolam</v>
      </c>
      <c r="F187" s="186" t="s">
        <v>53</v>
      </c>
      <c r="G187" s="205" t="str">
        <f>IF(AND(A187&lt;&gt;"",ISNUMBER(A187)),VLOOKUP(A187,Studies!A:BR,13,FALSE),"")</f>
        <v>PO</v>
      </c>
      <c r="H187" s="138" t="s">
        <v>58</v>
      </c>
      <c r="I187" s="138" t="s">
        <v>3062</v>
      </c>
      <c r="J187" s="205" t="str">
        <f>IF(AND(A187&lt;&gt;"",ISNUMBER(A187)),VLOOKUP(A187,Studies!A:BR,6,FALSE),"")</f>
        <v>Plasma</v>
      </c>
      <c r="K187" s="43">
        <v>0.13700000000000001</v>
      </c>
      <c r="L187" s="43" t="s">
        <v>2683</v>
      </c>
      <c r="M187" s="76" t="s">
        <v>3073</v>
      </c>
      <c r="N187" s="76" t="s">
        <v>1155</v>
      </c>
      <c r="O187" s="52">
        <f>0.919/4.9</f>
        <v>0.18755102040816327</v>
      </c>
      <c r="P187" s="193" t="s">
        <v>1099</v>
      </c>
      <c r="S187" s="38">
        <v>0</v>
      </c>
      <c r="T187" s="183">
        <v>9999</v>
      </c>
      <c r="U187" s="40">
        <v>444</v>
      </c>
      <c r="V187" s="41">
        <v>9999</v>
      </c>
      <c r="W187" s="42" t="s">
        <v>59</v>
      </c>
      <c r="Y187" s="22">
        <v>600</v>
      </c>
      <c r="AA187" s="180" t="s">
        <v>57</v>
      </c>
      <c r="AB187" s="176" t="s">
        <v>58</v>
      </c>
      <c r="AC187" s="176" t="s">
        <v>3075</v>
      </c>
      <c r="AD187" s="22" t="s">
        <v>59</v>
      </c>
      <c r="AE187" s="176" t="s">
        <v>3076</v>
      </c>
      <c r="AF187" s="176" t="s">
        <v>3077</v>
      </c>
      <c r="AH187" s="177" t="s">
        <v>3072</v>
      </c>
    </row>
    <row r="243" spans="26:37" x14ac:dyDescent="0.2">
      <c r="Z243" s="137"/>
      <c r="AA243" s="137"/>
      <c r="AB243" s="176"/>
      <c r="AC243" s="176"/>
      <c r="AD243" s="136"/>
      <c r="AE243" s="136"/>
      <c r="AG243" s="174"/>
      <c r="AI243" s="178"/>
      <c r="AJ243" s="178"/>
      <c r="AK243" s="178"/>
    </row>
    <row r="244" spans="26:37" x14ac:dyDescent="0.2">
      <c r="Z244" s="137"/>
      <c r="AA244" s="137"/>
      <c r="AB244" s="176"/>
      <c r="AC244" s="176"/>
      <c r="AD244" s="136"/>
      <c r="AE244" s="136"/>
      <c r="AG244" s="174"/>
      <c r="AI244" s="178"/>
      <c r="AJ244" s="178"/>
      <c r="AK244" s="178"/>
    </row>
    <row r="245" spans="26:37" x14ac:dyDescent="0.2">
      <c r="Z245" s="137"/>
      <c r="AA245" s="137"/>
      <c r="AB245" s="176"/>
      <c r="AC245" s="176"/>
      <c r="AD245" s="136"/>
      <c r="AE245" s="136"/>
      <c r="AG245" s="174"/>
      <c r="AI245" s="178"/>
      <c r="AJ245" s="178"/>
      <c r="AK245" s="178"/>
    </row>
    <row r="246" spans="26:37" x14ac:dyDescent="0.2">
      <c r="Z246" s="137"/>
      <c r="AA246" s="137"/>
      <c r="AB246" s="176"/>
      <c r="AC246" s="176"/>
      <c r="AD246" s="136"/>
      <c r="AE246" s="136"/>
      <c r="AG246" s="174"/>
      <c r="AI246" s="178"/>
      <c r="AJ246" s="178"/>
      <c r="AK246" s="178"/>
    </row>
    <row r="247" spans="26:37" x14ac:dyDescent="0.2">
      <c r="Z247" s="137"/>
      <c r="AA247" s="137"/>
      <c r="AB247" s="176"/>
      <c r="AC247" s="27"/>
      <c r="AD247" s="136"/>
      <c r="AE247" s="136"/>
      <c r="AG247" s="174"/>
      <c r="AI247" s="178"/>
      <c r="AJ247" s="178"/>
      <c r="AK247" s="178"/>
    </row>
    <row r="248" spans="26:37" x14ac:dyDescent="0.2">
      <c r="Z248" s="137"/>
      <c r="AA248" s="137"/>
      <c r="AB248" s="176"/>
      <c r="AC248" s="176"/>
      <c r="AD248" s="136"/>
      <c r="AE248" s="136"/>
      <c r="AG248" s="174"/>
      <c r="AI248" s="178"/>
      <c r="AJ248" s="178"/>
      <c r="AK248" s="178"/>
    </row>
    <row r="249" spans="26:37" x14ac:dyDescent="0.2">
      <c r="Z249" s="137"/>
      <c r="AA249" s="137"/>
      <c r="AB249" s="176"/>
      <c r="AC249" s="176"/>
      <c r="AD249" s="136"/>
      <c r="AE249" s="136"/>
      <c r="AG249" s="174"/>
      <c r="AI249" s="178"/>
      <c r="AJ249" s="178"/>
      <c r="AK249" s="178"/>
    </row>
    <row r="250" spans="26:37" x14ac:dyDescent="0.2">
      <c r="Z250" s="137"/>
      <c r="AA250" s="137"/>
      <c r="AB250" s="176"/>
      <c r="AC250" s="176"/>
      <c r="AD250" s="136"/>
      <c r="AE250" s="136"/>
      <c r="AG250" s="174"/>
      <c r="AI250" s="178"/>
      <c r="AJ250" s="178"/>
      <c r="AK250" s="178"/>
    </row>
    <row r="251" spans="26:37" x14ac:dyDescent="0.2">
      <c r="Z251" s="137"/>
      <c r="AA251" s="137"/>
      <c r="AB251" s="176"/>
      <c r="AC251" s="176"/>
      <c r="AD251" s="136"/>
      <c r="AE251" s="136"/>
      <c r="AG251" s="174"/>
      <c r="AI251" s="178"/>
      <c r="AJ251" s="178"/>
      <c r="AK251" s="178"/>
    </row>
    <row r="252" spans="26:37" x14ac:dyDescent="0.2">
      <c r="Z252" s="137"/>
      <c r="AA252" s="137"/>
      <c r="AB252" s="176"/>
      <c r="AC252" s="176"/>
      <c r="AD252" s="136"/>
      <c r="AE252" s="136"/>
      <c r="AG252" s="174"/>
      <c r="AI252" s="178"/>
      <c r="AJ252" s="178"/>
      <c r="AK252" s="178"/>
    </row>
    <row r="253" spans="26:37" x14ac:dyDescent="0.2">
      <c r="Z253" s="137"/>
      <c r="AA253" s="137"/>
      <c r="AB253" s="176"/>
      <c r="AC253" s="176"/>
      <c r="AD253" s="136"/>
      <c r="AE253" s="136"/>
      <c r="AG253" s="174"/>
      <c r="AI253" s="178"/>
      <c r="AJ253" s="178"/>
      <c r="AK253" s="178"/>
    </row>
    <row r="254" spans="26:37" x14ac:dyDescent="0.2">
      <c r="Z254" s="137"/>
      <c r="AA254" s="137"/>
      <c r="AB254" s="176"/>
      <c r="AC254" s="176"/>
      <c r="AD254" s="136"/>
      <c r="AE254" s="136"/>
      <c r="AG254" s="174"/>
      <c r="AI254" s="178"/>
      <c r="AJ254" s="178"/>
      <c r="AK254" s="178"/>
    </row>
    <row r="255" spans="26:37" x14ac:dyDescent="0.2">
      <c r="Z255" s="137"/>
      <c r="AA255" s="137"/>
      <c r="AB255" s="176"/>
      <c r="AC255" s="176"/>
      <c r="AD255" s="136"/>
      <c r="AE255" s="136"/>
      <c r="AG255" s="174"/>
      <c r="AI255" s="178"/>
      <c r="AJ255" s="178"/>
      <c r="AK255" s="178"/>
    </row>
    <row r="256" spans="26: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sheetData>
  <autoFilter ref="A1:AO187"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59"/>
  <sheetViews>
    <sheetView zoomScale="85" zoomScaleNormal="85" workbookViewId="0">
      <pane ySplit="1" topLeftCell="A929" activePane="bottomLeft" state="frozen"/>
      <selection pane="bottomLeft" activeCell="F961" sqref="F961"/>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1263</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1277</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row r="957" spans="1:6" x14ac:dyDescent="0.2">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3078</v>
      </c>
    </row>
    <row r="958" spans="1:6" x14ac:dyDescent="0.2">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2718</v>
      </c>
    </row>
    <row r="959" spans="1:6" x14ac:dyDescent="0.2">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2718</v>
      </c>
    </row>
  </sheetData>
  <autoFilter ref="A1:F94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aecc70ee-2d6e-4d6b-a98f-0dfc4d2572dc"/>
    <ds:schemaRef ds:uri="http://purl.org/dc/elements/1.1/"/>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2020-04-24T11:44:24Z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