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87671303-2F9C-4537-A627-2CF4677CCF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E14" i="1"/>
  <c r="G16" i="1" s="1"/>
  <c r="E20" i="1"/>
  <c r="G22" i="1"/>
  <c r="E8" i="1"/>
  <c r="E9" i="1"/>
  <c r="R19" i="1"/>
  <c r="T19" i="1" s="1"/>
  <c r="R20" i="1"/>
  <c r="W20" i="1" s="1"/>
  <c r="R21" i="1"/>
  <c r="T21" i="1" s="1"/>
  <c r="R18" i="1"/>
  <c r="R13" i="1"/>
  <c r="R14" i="1"/>
  <c r="R15" i="1"/>
  <c r="R12" i="1"/>
  <c r="V12" i="1" s="1"/>
  <c r="R7" i="1"/>
  <c r="R8" i="1"/>
  <c r="R9" i="1"/>
  <c r="Y9" i="1" s="1"/>
  <c r="R6" i="1"/>
  <c r="S6" i="1" s="1"/>
  <c r="N23" i="1"/>
  <c r="O18" i="1"/>
  <c r="O19" i="1"/>
  <c r="G21" i="1"/>
  <c r="G15" i="1"/>
  <c r="J6" i="1"/>
  <c r="O6" i="1"/>
  <c r="O9" i="1"/>
  <c r="C17" i="1"/>
  <c r="O21" i="1"/>
  <c r="O20" i="1"/>
  <c r="O15" i="1"/>
  <c r="O14" i="1"/>
  <c r="O13" i="1"/>
  <c r="O8" i="1"/>
  <c r="O7" i="1"/>
  <c r="O12" i="1"/>
  <c r="T13" i="1"/>
  <c r="AA14" i="1"/>
  <c r="T15" i="1"/>
  <c r="V7" i="1"/>
  <c r="T8" i="1"/>
  <c r="AC12" i="1" l="1"/>
  <c r="Y8" i="1"/>
  <c r="AD9" i="1"/>
  <c r="U8" i="1"/>
  <c r="AB9" i="1"/>
  <c r="AA9" i="1"/>
  <c r="Z9" i="1"/>
  <c r="X9" i="1"/>
  <c r="U12" i="1"/>
  <c r="Y6" i="1"/>
  <c r="V6" i="1"/>
  <c r="T6" i="1"/>
  <c r="U6" i="1"/>
  <c r="AC8" i="1"/>
  <c r="S19" i="1"/>
  <c r="J7" i="1"/>
  <c r="L7" i="1" s="1"/>
  <c r="W6" i="1"/>
  <c r="J8" i="1"/>
  <c r="O23" i="1"/>
  <c r="AD6" i="1"/>
  <c r="AA7" i="1"/>
  <c r="AC6" i="1"/>
  <c r="AB6" i="1"/>
  <c r="Y13" i="1"/>
  <c r="X6" i="1"/>
  <c r="U13" i="1"/>
  <c r="W9" i="1"/>
  <c r="R22" i="1"/>
  <c r="AC7" i="1"/>
  <c r="W7" i="1"/>
  <c r="U7" i="1"/>
  <c r="T7" i="1"/>
  <c r="S7" i="1"/>
  <c r="AA6" i="1"/>
  <c r="V9" i="1"/>
  <c r="Z6" i="1"/>
  <c r="AB7" i="1"/>
  <c r="S9" i="1"/>
  <c r="AB20" i="1"/>
  <c r="U20" i="1"/>
  <c r="S20" i="1"/>
  <c r="Y14" i="1"/>
  <c r="X14" i="1"/>
  <c r="AA12" i="1"/>
  <c r="U14" i="1"/>
  <c r="Z12" i="1"/>
  <c r="AA20" i="1"/>
  <c r="AA13" i="1"/>
  <c r="Y12" i="1"/>
  <c r="V20" i="1"/>
  <c r="AB12" i="1"/>
  <c r="T12" i="1"/>
  <c r="X12" i="1"/>
  <c r="S12" i="1"/>
  <c r="W12" i="1"/>
  <c r="T20" i="1"/>
  <c r="AD12" i="1"/>
  <c r="Y19" i="1"/>
  <c r="Y15" i="1"/>
  <c r="W13" i="1"/>
  <c r="Z20" i="1"/>
  <c r="T14" i="1"/>
  <c r="S14" i="1"/>
  <c r="AC13" i="1"/>
  <c r="AC20" i="1"/>
  <c r="Y7" i="1"/>
  <c r="Z7" i="1"/>
  <c r="X7" i="1"/>
  <c r="AD7" i="1"/>
  <c r="AC9" i="1"/>
  <c r="U9" i="1"/>
  <c r="T9" i="1"/>
  <c r="J20" i="1"/>
  <c r="J18" i="1"/>
  <c r="J14" i="1"/>
  <c r="J13" i="1"/>
  <c r="J12" i="1"/>
  <c r="L6" i="1"/>
  <c r="K6" i="1"/>
  <c r="J19" i="1"/>
  <c r="Z14" i="1"/>
  <c r="AA21" i="1"/>
  <c r="Y21" i="1"/>
  <c r="AC15" i="1"/>
  <c r="W14" i="1"/>
  <c r="U21" i="1"/>
  <c r="AC19" i="1"/>
  <c r="W21" i="1"/>
  <c r="AA15" i="1"/>
  <c r="V14" i="1"/>
  <c r="AD20" i="1"/>
  <c r="AA19" i="1"/>
  <c r="W15" i="1"/>
  <c r="W19" i="1"/>
  <c r="AC14" i="1"/>
  <c r="Y20" i="1"/>
  <c r="S21" i="1"/>
  <c r="U15" i="1"/>
  <c r="U19" i="1"/>
  <c r="AD14" i="1"/>
  <c r="AB14" i="1"/>
  <c r="X20" i="1"/>
  <c r="AC21" i="1"/>
  <c r="AD21" i="1"/>
  <c r="AB21" i="1"/>
  <c r="Z21" i="1"/>
  <c r="X21" i="1"/>
  <c r="V21" i="1"/>
  <c r="AD19" i="1"/>
  <c r="AB19" i="1"/>
  <c r="Z19" i="1"/>
  <c r="X19" i="1"/>
  <c r="V19" i="1"/>
  <c r="S13" i="1"/>
  <c r="S15" i="1"/>
  <c r="AD15" i="1"/>
  <c r="AB15" i="1"/>
  <c r="Z15" i="1"/>
  <c r="X15" i="1"/>
  <c r="V15" i="1"/>
  <c r="AD13" i="1"/>
  <c r="AB13" i="1"/>
  <c r="Z13" i="1"/>
  <c r="X13" i="1"/>
  <c r="V13" i="1"/>
  <c r="S8" i="1"/>
  <c r="AA8" i="1"/>
  <c r="W8" i="1"/>
  <c r="AD8" i="1"/>
  <c r="AB8" i="1"/>
  <c r="Z8" i="1"/>
  <c r="X8" i="1"/>
  <c r="V8" i="1"/>
  <c r="E21" i="1"/>
  <c r="E15" i="1"/>
  <c r="P8" i="1"/>
  <c r="P7" i="1"/>
  <c r="G24" i="1"/>
  <c r="P14" i="1"/>
  <c r="P13" i="1"/>
  <c r="P12" i="1"/>
  <c r="J15" i="1" l="1"/>
  <c r="J21" i="1"/>
  <c r="P18" i="1"/>
  <c r="P15" i="1"/>
  <c r="P16" i="1" s="1"/>
  <c r="P21" i="1"/>
  <c r="P19" i="1"/>
  <c r="P20" i="1"/>
  <c r="P6" i="1"/>
  <c r="P9" i="1"/>
  <c r="Q8" i="1"/>
  <c r="L9" i="1"/>
  <c r="P22" i="1" l="1"/>
  <c r="P10" i="1"/>
  <c r="L19" i="1"/>
  <c r="K19" i="1"/>
  <c r="Q19" i="1"/>
  <c r="K13" i="1"/>
  <c r="Q13" i="1"/>
  <c r="L13" i="1"/>
  <c r="K7" i="1"/>
  <c r="Q7" i="1"/>
  <c r="Q18" i="1"/>
  <c r="L18" i="1"/>
  <c r="K18" i="1"/>
  <c r="Q12" i="1"/>
  <c r="L12" i="1"/>
  <c r="K12" i="1"/>
  <c r="L21" i="1"/>
  <c r="K21" i="1"/>
  <c r="Q21" i="1"/>
  <c r="Q6" i="1"/>
  <c r="K15" i="1"/>
  <c r="Q15" i="1"/>
  <c r="L15" i="1"/>
  <c r="K9" i="1"/>
  <c r="Q9" i="1"/>
  <c r="Q20" i="1"/>
  <c r="L20" i="1"/>
  <c r="K20" i="1"/>
  <c r="Q14" i="1"/>
  <c r="L14" i="1"/>
  <c r="K14" i="1"/>
  <c r="L8" i="1"/>
  <c r="K8" i="1"/>
  <c r="V18" i="1" l="1"/>
  <c r="Z18" i="1"/>
  <c r="AD18" i="1"/>
  <c r="W18" i="1"/>
  <c r="AA18" i="1"/>
  <c r="T18" i="1"/>
  <c r="X18" i="1"/>
  <c r="AB18" i="1"/>
  <c r="U18" i="1"/>
  <c r="Y18" i="1"/>
  <c r="S18" i="1"/>
  <c r="AC18" i="1"/>
</calcChain>
</file>

<file path=xl/sharedStrings.xml><?xml version="1.0" encoding="utf-8"?>
<sst xmlns="http://schemas.openxmlformats.org/spreadsheetml/2006/main" count="67" uniqueCount="46">
  <si>
    <t>Sua</t>
  </si>
  <si>
    <t>Modelos</t>
  </si>
  <si>
    <t>MS</t>
  </si>
  <si>
    <t>Empresa</t>
  </si>
  <si>
    <t>Aparelhos</t>
  </si>
  <si>
    <t>Aparelho</t>
  </si>
  <si>
    <t>Nacional</t>
  </si>
  <si>
    <t>Regional</t>
  </si>
  <si>
    <t>total de vendas por aparelho no ano</t>
  </si>
  <si>
    <t>_&gt;</t>
  </si>
  <si>
    <t>Sul/Sudeste</t>
  </si>
  <si>
    <t>MSN</t>
  </si>
  <si>
    <t>Market Share</t>
  </si>
  <si>
    <t>MSR</t>
  </si>
  <si>
    <t>Valores em milhão &gt;</t>
  </si>
  <si>
    <t>Nordeste</t>
  </si>
  <si>
    <t>Sua Empresa</t>
  </si>
  <si>
    <t>em %</t>
  </si>
  <si>
    <t>valor em mi lhoes</t>
  </si>
  <si>
    <t>Norte/C. Oeste</t>
  </si>
  <si>
    <t>valor da porcentagem da pesquisa inicial para as vendas em cada mês</t>
  </si>
  <si>
    <t>janeiro</t>
  </si>
  <si>
    <t>Fev</t>
  </si>
  <si>
    <t>Març</t>
  </si>
  <si>
    <t>Abril</t>
  </si>
  <si>
    <t>Maio</t>
  </si>
  <si>
    <t>Jun</t>
  </si>
  <si>
    <t>Jul</t>
  </si>
  <si>
    <t>Set</t>
  </si>
  <si>
    <t>Out</t>
  </si>
  <si>
    <t>Nov</t>
  </si>
  <si>
    <t>Dez</t>
  </si>
  <si>
    <t>Agost</t>
  </si>
  <si>
    <t>jan</t>
  </si>
  <si>
    <t>fev</t>
  </si>
  <si>
    <t>mar</t>
  </si>
  <si>
    <t>maio</t>
  </si>
  <si>
    <t>jun</t>
  </si>
  <si>
    <t>jul</t>
  </si>
  <si>
    <t>set</t>
  </si>
  <si>
    <t>out</t>
  </si>
  <si>
    <t>abr</t>
  </si>
  <si>
    <t>ago</t>
  </si>
  <si>
    <t>nov</t>
  </si>
  <si>
    <t>dez</t>
  </si>
  <si>
    <t>https://fatecspgov.sharepoint.com/:x:/r/sites/EMPRESA4-JEGPI20241/Shared%20Documents/General/Pesquisa%20Inicial%20-%20Jogos%20de%20Empresa%20.xlsx?d=w9a6115cf07ba4167bf645aaa80e12a77&amp;csf=1&amp;web=1&amp;e=rbI2Vr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</si>
</sst>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right"/>
    </xf>
    <xf numFmtId="10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0" fontId="0" fillId="2" borderId="0" xfId="0" applyNumberFormat="1" applyFill="1"/>
    <xf numFmtId="9" fontId="0" fillId="3" borderId="0" xfId="0" applyNumberFormat="1" applyFill="1"/>
    <xf numFmtId="10" fontId="0" fillId="3" borderId="0" xfId="0" applyNumberFormat="1" applyFill="1"/>
    <xf numFmtId="9" fontId="0" fillId="4" borderId="0" xfId="0" applyNumberFormat="1" applyFill="1"/>
    <xf numFmtId="10" fontId="0" fillId="4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9" fontId="0" fillId="5" borderId="0" xfId="0" applyNumberFormat="1" applyFill="1"/>
    <xf numFmtId="10" fontId="0" fillId="5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0" fillId="4" borderId="0" xfId="0" applyFill="1"/>
    <xf numFmtId="164" fontId="0" fillId="0" borderId="0" xfId="0" applyNumberFormat="1"/>
    <xf numFmtId="0" fontId="0" fillId="6" borderId="0" xfId="0" applyFill="1"/>
    <xf numFmtId="2" fontId="0" fillId="3" borderId="0" xfId="0" applyNumberFormat="1" applyFill="1"/>
    <xf numFmtId="2" fontId="0" fillId="0" borderId="0" xfId="0" applyNumberFormat="1"/>
    <xf numFmtId="1" fontId="0" fillId="0" borderId="0" xfId="0" applyNumberFormat="1"/>
    <xf numFmtId="10" fontId="3" fillId="2" borderId="0" xfId="0" applyNumberFormat="1" applyFont="1" applyFill="1" applyAlignment="1">
      <alignment horizontal="center" vertical="center"/>
    </xf>
    <xf numFmtId="44" fontId="0" fillId="0" borderId="0" xfId="2" applyFont="1"/>
    <xf numFmtId="9" fontId="1" fillId="2" borderId="0" xfId="1" applyFont="1" applyFill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" fontId="0" fillId="0" borderId="0" xfId="0" applyNumberFormat="1" applyAlignment="1">
      <alignment horizontal="center"/>
    </xf>
    <xf numFmtId="0" fontId="0" fillId="3" borderId="0" xfId="1" applyNumberFormat="1" applyFont="1" applyFill="1"/>
    <xf numFmtId="0" fontId="0" fillId="0" borderId="0" xfId="1" applyNumberFormat="1" applyFont="1"/>
    <xf numFmtId="0" fontId="1" fillId="2" borderId="0" xfId="1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" fontId="1" fillId="2" borderId="0" xfId="0" applyNumberFormat="1" applyFont="1" applyFill="1"/>
  </cellXfs>
  <cellStyles count="3">
    <cellStyle name="Moeda" xfId="2" builtinId="4"/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34"/>
  <sheetViews>
    <sheetView tabSelected="1" topLeftCell="B1" zoomScaleNormal="100" workbookViewId="0">
      <selection activeCell="N17" sqref="N17"/>
    </sheetView>
  </sheetViews>
  <sheetFormatPr defaultRowHeight="15" x14ac:dyDescent="0.25"/>
  <cols>
    <col min="3" max="3" width="16.7109375" bestFit="1" customWidth="1"/>
    <col min="5" max="5" width="13.7109375" customWidth="1"/>
    <col min="10" max="10" width="14.7109375" bestFit="1" customWidth="1"/>
    <col min="11" max="11" width="11.85546875" bestFit="1" customWidth="1"/>
    <col min="12" max="12" width="12.85546875" bestFit="1" customWidth="1"/>
    <col min="15" max="15" width="18.28515625" bestFit="1" customWidth="1"/>
    <col min="18" max="18" width="23.140625" customWidth="1"/>
    <col min="19" max="19" width="17" customWidth="1"/>
    <col min="20" max="20" width="10.42578125" customWidth="1"/>
    <col min="21" max="21" width="10" bestFit="1" customWidth="1"/>
    <col min="22" max="22" width="10.5703125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30" width="11" bestFit="1" customWidth="1"/>
  </cols>
  <sheetData>
    <row r="2" spans="1:31" x14ac:dyDescent="0.25">
      <c r="G2" s="3" t="s">
        <v>0</v>
      </c>
      <c r="I2" s="16" t="s">
        <v>1</v>
      </c>
      <c r="K2" s="14" t="s">
        <v>2</v>
      </c>
      <c r="N2" s="3" t="s">
        <v>0</v>
      </c>
    </row>
    <row r="3" spans="1:31" ht="18.75" customHeight="1" x14ac:dyDescent="0.25">
      <c r="G3" s="3" t="s">
        <v>3</v>
      </c>
      <c r="I3" s="16" t="s">
        <v>4</v>
      </c>
      <c r="K3" s="14" t="s">
        <v>5</v>
      </c>
      <c r="N3" s="3" t="s">
        <v>3</v>
      </c>
      <c r="O3" s="10" t="s">
        <v>6</v>
      </c>
      <c r="P3" s="17" t="s">
        <v>7</v>
      </c>
      <c r="Q3" s="16" t="s">
        <v>5</v>
      </c>
      <c r="R3" s="37" t="s">
        <v>8</v>
      </c>
    </row>
    <row r="4" spans="1:31" ht="18.75" customHeight="1" x14ac:dyDescent="0.25">
      <c r="E4" s="11" t="s">
        <v>2</v>
      </c>
      <c r="R4" s="37"/>
    </row>
    <row r="5" spans="1:31" ht="18.75" customHeight="1" x14ac:dyDescent="0.25">
      <c r="E5" s="11" t="s">
        <v>7</v>
      </c>
      <c r="J5" s="12">
        <v>1</v>
      </c>
      <c r="R5" s="37"/>
      <c r="S5" s="33" t="s">
        <v>33</v>
      </c>
      <c r="T5" s="33" t="s">
        <v>34</v>
      </c>
      <c r="U5" s="33" t="s">
        <v>35</v>
      </c>
      <c r="V5" s="33" t="s">
        <v>41</v>
      </c>
      <c r="W5" s="33" t="s">
        <v>36</v>
      </c>
      <c r="X5" s="33" t="s">
        <v>37</v>
      </c>
      <c r="Y5" s="33" t="s">
        <v>38</v>
      </c>
      <c r="Z5" s="33" t="s">
        <v>42</v>
      </c>
      <c r="AA5" s="33" t="s">
        <v>39</v>
      </c>
      <c r="AB5" s="33" t="s">
        <v>40</v>
      </c>
      <c r="AC5" s="33" t="s">
        <v>43</v>
      </c>
      <c r="AD5" s="33" t="s">
        <v>44</v>
      </c>
    </row>
    <row r="6" spans="1:31" x14ac:dyDescent="0.25">
      <c r="I6" s="16">
        <v>1</v>
      </c>
      <c r="J6" s="21">
        <f>$E$8/8</f>
        <v>2972940.625</v>
      </c>
      <c r="K6" s="7">
        <f>J6/C13</f>
        <v>6.25E-2</v>
      </c>
      <c r="L6" s="9">
        <f>J6/E8</f>
        <v>0.125</v>
      </c>
      <c r="M6" s="26" t="s">
        <v>9</v>
      </c>
      <c r="N6" s="36">
        <v>3</v>
      </c>
      <c r="O6" s="30">
        <f>C13/N6</f>
        <v>15855683.333333334</v>
      </c>
      <c r="P6" s="9">
        <f>N6/E8</f>
        <v>1.2613773610093542E-7</v>
      </c>
      <c r="Q6" s="13">
        <f>N6/J6</f>
        <v>1.0091018888074834E-6</v>
      </c>
      <c r="R6" s="29">
        <f>($C$13*N6*1)/100</f>
        <v>1427011.5</v>
      </c>
      <c r="S6" s="22">
        <f>$R$6*P27</f>
        <v>46377.873749999999</v>
      </c>
      <c r="T6" s="22">
        <f>$R$6*Q27</f>
        <v>30680.747249999997</v>
      </c>
      <c r="U6" s="22">
        <f t="shared" ref="U6:AD6" si="0">$R$6*R27</f>
        <v>33534.770250000001</v>
      </c>
      <c r="V6" s="22">
        <f t="shared" si="0"/>
        <v>53512.931250000001</v>
      </c>
      <c r="W6" s="22">
        <f t="shared" si="0"/>
        <v>174808.90875</v>
      </c>
      <c r="X6" s="22">
        <f t="shared" si="0"/>
        <v>15697.126499999998</v>
      </c>
      <c r="Y6" s="22">
        <f t="shared" si="0"/>
        <v>33534.770250000001</v>
      </c>
      <c r="Z6" s="22">
        <f t="shared" si="0"/>
        <v>179089.94325000001</v>
      </c>
      <c r="AA6" s="22">
        <f t="shared" si="0"/>
        <v>46377.873749999999</v>
      </c>
      <c r="AB6" s="22">
        <f t="shared" si="0"/>
        <v>28540.23</v>
      </c>
      <c r="AC6" s="22">
        <f t="shared" si="0"/>
        <v>285402.3</v>
      </c>
      <c r="AD6" s="22">
        <f t="shared" si="0"/>
        <v>499454.02499999997</v>
      </c>
      <c r="AE6" s="22"/>
    </row>
    <row r="7" spans="1:31" x14ac:dyDescent="0.25">
      <c r="D7" s="10"/>
      <c r="E7" s="11" t="s">
        <v>10</v>
      </c>
      <c r="I7" s="16">
        <v>2</v>
      </c>
      <c r="J7" s="21">
        <f>$E$8/4</f>
        <v>5945881.25</v>
      </c>
      <c r="K7" s="7">
        <f>J7/C13</f>
        <v>0.125</v>
      </c>
      <c r="L7" s="9">
        <f>J7/E8</f>
        <v>0.25</v>
      </c>
      <c r="M7" s="26" t="s">
        <v>9</v>
      </c>
      <c r="N7" s="36">
        <v>3</v>
      </c>
      <c r="O7" s="30">
        <f>C13/N7</f>
        <v>15855683.333333334</v>
      </c>
      <c r="P7" s="9">
        <f>N7/E8</f>
        <v>1.2613773610093542E-7</v>
      </c>
      <c r="Q7" s="13">
        <f>N7/J7</f>
        <v>5.0455094440374168E-7</v>
      </c>
      <c r="R7" s="29">
        <f t="shared" ref="R7:R9" si="1">($C$13*N7*1)/100</f>
        <v>1427011.5</v>
      </c>
      <c r="S7" s="22">
        <f>$R$7*P27</f>
        <v>46377.873749999999</v>
      </c>
      <c r="T7" s="22">
        <f t="shared" ref="T7:AD7" si="2">$R$7*Q27</f>
        <v>30680.747249999997</v>
      </c>
      <c r="U7" s="22">
        <f t="shared" si="2"/>
        <v>33534.770250000001</v>
      </c>
      <c r="V7" s="22">
        <f t="shared" si="2"/>
        <v>53512.931250000001</v>
      </c>
      <c r="W7" s="22">
        <f t="shared" si="2"/>
        <v>174808.90875</v>
      </c>
      <c r="X7" s="22">
        <f t="shared" si="2"/>
        <v>15697.126499999998</v>
      </c>
      <c r="Y7" s="22">
        <f t="shared" si="2"/>
        <v>33534.770250000001</v>
      </c>
      <c r="Z7" s="22">
        <f t="shared" si="2"/>
        <v>179089.94325000001</v>
      </c>
      <c r="AA7" s="22">
        <f t="shared" si="2"/>
        <v>46377.873749999999</v>
      </c>
      <c r="AB7" s="22">
        <f t="shared" si="2"/>
        <v>28540.23</v>
      </c>
      <c r="AC7" s="22">
        <f t="shared" si="2"/>
        <v>285402.3</v>
      </c>
      <c r="AD7" s="22">
        <f t="shared" si="2"/>
        <v>499454.02499999997</v>
      </c>
    </row>
    <row r="8" spans="1:31" x14ac:dyDescent="0.25">
      <c r="E8" s="20">
        <f>$C$13/2</f>
        <v>23783525</v>
      </c>
      <c r="F8" s="8">
        <v>1</v>
      </c>
      <c r="G8" s="3">
        <v>6691763</v>
      </c>
      <c r="I8" s="16">
        <v>3</v>
      </c>
      <c r="J8" s="21">
        <f>$E$8/5</f>
        <v>4756705</v>
      </c>
      <c r="K8" s="7">
        <f>J8/C13</f>
        <v>0.1</v>
      </c>
      <c r="L8" s="9">
        <f>J8/E8</f>
        <v>0.2</v>
      </c>
      <c r="M8" s="26" t="s">
        <v>9</v>
      </c>
      <c r="N8" s="36">
        <v>2</v>
      </c>
      <c r="O8" s="30">
        <f>C13/N8</f>
        <v>23783525</v>
      </c>
      <c r="P8" s="9">
        <f>N8/E8</f>
        <v>8.4091824067290276E-8</v>
      </c>
      <c r="Q8" s="13">
        <f>N8/J8</f>
        <v>4.2045912033645136E-7</v>
      </c>
      <c r="R8" s="29">
        <f t="shared" si="1"/>
        <v>951341</v>
      </c>
      <c r="S8" s="22">
        <f>$R$8*P27</f>
        <v>30918.5825</v>
      </c>
      <c r="T8" s="22">
        <f t="shared" ref="T8:AD8" si="3">$R$8*Q27</f>
        <v>20453.831499999997</v>
      </c>
      <c r="U8" s="22">
        <f t="shared" si="3"/>
        <v>22356.513500000001</v>
      </c>
      <c r="V8" s="22">
        <f t="shared" si="3"/>
        <v>35675.287499999999</v>
      </c>
      <c r="W8" s="22">
        <f t="shared" si="3"/>
        <v>116539.27249999999</v>
      </c>
      <c r="X8" s="22">
        <f t="shared" si="3"/>
        <v>10464.751</v>
      </c>
      <c r="Y8" s="22">
        <f t="shared" si="3"/>
        <v>22356.513500000001</v>
      </c>
      <c r="Z8" s="22">
        <f t="shared" si="3"/>
        <v>119393.29550000001</v>
      </c>
      <c r="AA8" s="22">
        <f t="shared" si="3"/>
        <v>30918.5825</v>
      </c>
      <c r="AB8" s="22">
        <f t="shared" si="3"/>
        <v>19026.82</v>
      </c>
      <c r="AC8" s="22">
        <f t="shared" si="3"/>
        <v>190268.2</v>
      </c>
      <c r="AD8" s="22">
        <f t="shared" si="3"/>
        <v>332969.34999999998</v>
      </c>
    </row>
    <row r="9" spans="1:31" x14ac:dyDescent="0.25">
      <c r="D9" s="15"/>
      <c r="E9" s="7">
        <f>E8/C13</f>
        <v>0.5</v>
      </c>
      <c r="G9" s="5">
        <f>G8/C13</f>
        <v>0.14068063922400065</v>
      </c>
      <c r="H9" t="s">
        <v>11</v>
      </c>
      <c r="I9" s="16">
        <v>4</v>
      </c>
      <c r="J9" s="21">
        <v>4176858.73</v>
      </c>
      <c r="K9" s="7">
        <f>J9/C13</f>
        <v>8.7809917369271379E-2</v>
      </c>
      <c r="L9" s="9">
        <f>J9/E8</f>
        <v>0.17561983473854276</v>
      </c>
      <c r="M9" s="26" t="s">
        <v>9</v>
      </c>
      <c r="N9" s="36">
        <v>2</v>
      </c>
      <c r="O9" s="30">
        <f>C13/N9</f>
        <v>23783525</v>
      </c>
      <c r="P9" s="9">
        <f>N9/E8</f>
        <v>8.4091824067290276E-8</v>
      </c>
      <c r="Q9" s="13">
        <f>N9/J9</f>
        <v>4.7882873931912944E-7</v>
      </c>
      <c r="R9" s="29">
        <f t="shared" si="1"/>
        <v>951341</v>
      </c>
      <c r="S9" s="22">
        <f>$R$9*P27</f>
        <v>30918.5825</v>
      </c>
      <c r="T9" s="22">
        <f t="shared" ref="T9:AD9" si="4">$R$9*Q27</f>
        <v>20453.831499999997</v>
      </c>
      <c r="U9" s="22">
        <f t="shared" si="4"/>
        <v>22356.513500000001</v>
      </c>
      <c r="V9" s="22">
        <f t="shared" si="4"/>
        <v>35675.287499999999</v>
      </c>
      <c r="W9" s="22">
        <f t="shared" si="4"/>
        <v>116539.27249999999</v>
      </c>
      <c r="X9" s="22">
        <f t="shared" si="4"/>
        <v>10464.751</v>
      </c>
      <c r="Y9" s="22">
        <f t="shared" si="4"/>
        <v>22356.513500000001</v>
      </c>
      <c r="Z9" s="22">
        <f t="shared" si="4"/>
        <v>119393.29550000001</v>
      </c>
      <c r="AA9" s="22">
        <f t="shared" si="4"/>
        <v>30918.5825</v>
      </c>
      <c r="AB9" s="22">
        <f t="shared" si="4"/>
        <v>19026.82</v>
      </c>
      <c r="AC9" s="22">
        <f t="shared" si="4"/>
        <v>190268.2</v>
      </c>
      <c r="AD9" s="22">
        <f t="shared" si="4"/>
        <v>332969.34999999998</v>
      </c>
    </row>
    <row r="10" spans="1:31" x14ac:dyDescent="0.25">
      <c r="B10" s="10"/>
      <c r="C10" s="11" t="s">
        <v>12</v>
      </c>
      <c r="G10" s="5">
        <f>G8/E8</f>
        <v>0.2813612784480013</v>
      </c>
      <c r="H10" t="s">
        <v>13</v>
      </c>
      <c r="J10" s="21"/>
      <c r="M10" s="26"/>
      <c r="N10" s="35"/>
      <c r="O10" s="31"/>
      <c r="P10" s="2">
        <f>SUM(P6:P9)</f>
        <v>4.2045912033645136E-7</v>
      </c>
      <c r="R10" s="29"/>
      <c r="S10" s="22"/>
      <c r="T10" s="21"/>
      <c r="X10" s="24"/>
      <c r="Y10" s="24"/>
    </row>
    <row r="11" spans="1:31" x14ac:dyDescent="0.25">
      <c r="C11" s="11" t="s">
        <v>6</v>
      </c>
      <c r="J11" s="21"/>
      <c r="M11" s="26"/>
      <c r="N11" s="35"/>
      <c r="O11" s="31"/>
      <c r="R11" s="29"/>
      <c r="S11" s="22"/>
      <c r="T11" s="21"/>
      <c r="U11" s="21"/>
      <c r="X11" s="24"/>
      <c r="Y11" s="24"/>
    </row>
    <row r="12" spans="1:31" x14ac:dyDescent="0.25">
      <c r="C12" s="6">
        <v>1</v>
      </c>
      <c r="I12" s="16">
        <v>1</v>
      </c>
      <c r="J12" s="21">
        <f>$E$14/8</f>
        <v>1783942.7692769277</v>
      </c>
      <c r="K12" s="7">
        <f>J12/C13</f>
        <v>3.7503750375037503E-2</v>
      </c>
      <c r="L12" s="9">
        <f>J12/E14</f>
        <v>0.125</v>
      </c>
      <c r="M12" s="26" t="s">
        <v>9</v>
      </c>
      <c r="N12" s="36">
        <v>3</v>
      </c>
      <c r="O12" s="30">
        <f>C13/N12</f>
        <v>15855683.333333334</v>
      </c>
      <c r="P12" s="9">
        <f>N12/E14</f>
        <v>2.1020853721220887E-7</v>
      </c>
      <c r="Q12" s="13">
        <f>N12/J12</f>
        <v>1.681668297697671E-6</v>
      </c>
      <c r="R12" s="29">
        <f>($C$13*N12*1)/100</f>
        <v>1427011.5</v>
      </c>
      <c r="S12" s="22">
        <f>$R$12*P27</f>
        <v>46377.873749999999</v>
      </c>
      <c r="T12" s="22">
        <f t="shared" ref="T12:AD12" si="5">$R$12*Q27</f>
        <v>30680.747249999997</v>
      </c>
      <c r="U12" s="22">
        <f t="shared" si="5"/>
        <v>33534.770250000001</v>
      </c>
      <c r="V12" s="22">
        <f t="shared" si="5"/>
        <v>53512.931250000001</v>
      </c>
      <c r="W12" s="22">
        <f t="shared" si="5"/>
        <v>174808.90875</v>
      </c>
      <c r="X12" s="22">
        <f t="shared" si="5"/>
        <v>15697.126499999998</v>
      </c>
      <c r="Y12" s="22">
        <f t="shared" si="5"/>
        <v>33534.770250000001</v>
      </c>
      <c r="Z12" s="22">
        <f t="shared" si="5"/>
        <v>179089.94325000001</v>
      </c>
      <c r="AA12" s="22">
        <f t="shared" si="5"/>
        <v>46377.873749999999</v>
      </c>
      <c r="AB12" s="22">
        <f t="shared" si="5"/>
        <v>28540.23</v>
      </c>
      <c r="AC12" s="22">
        <f t="shared" si="5"/>
        <v>285402.3</v>
      </c>
      <c r="AD12" s="22">
        <f t="shared" si="5"/>
        <v>499454.02499999997</v>
      </c>
    </row>
    <row r="13" spans="1:31" x14ac:dyDescent="0.25">
      <c r="A13" s="19" t="s">
        <v>14</v>
      </c>
      <c r="B13" s="19"/>
      <c r="C13" s="40">
        <v>47567050</v>
      </c>
      <c r="E13" s="11" t="s">
        <v>15</v>
      </c>
      <c r="I13" s="16">
        <v>2</v>
      </c>
      <c r="J13" s="21">
        <f>$E$14/4</f>
        <v>3567885.5385538554</v>
      </c>
      <c r="K13" s="7">
        <f>J13/C13</f>
        <v>7.5007500750075007E-2</v>
      </c>
      <c r="L13" s="9">
        <f>J13/E14</f>
        <v>0.25</v>
      </c>
      <c r="M13" s="26" t="s">
        <v>9</v>
      </c>
      <c r="N13" s="36">
        <v>3</v>
      </c>
      <c r="O13" s="30">
        <f>C13/N13</f>
        <v>15855683.333333334</v>
      </c>
      <c r="P13" s="9">
        <f>N13/E14</f>
        <v>2.1020853721220887E-7</v>
      </c>
      <c r="Q13" s="13">
        <f>N13/J13</f>
        <v>8.4083414884883549E-7</v>
      </c>
      <c r="R13" s="29">
        <f t="shared" ref="R13:R15" si="6">($C$13*N13*1)/100</f>
        <v>1427011.5</v>
      </c>
      <c r="S13" s="22">
        <f>$R$13*P27</f>
        <v>46377.873749999999</v>
      </c>
      <c r="T13" s="22">
        <f t="shared" ref="T13:AD13" si="7">$R$13*Q27</f>
        <v>30680.747249999997</v>
      </c>
      <c r="U13" s="22">
        <f t="shared" si="7"/>
        <v>33534.770250000001</v>
      </c>
      <c r="V13" s="22">
        <f t="shared" si="7"/>
        <v>53512.931250000001</v>
      </c>
      <c r="W13" s="22">
        <f t="shared" si="7"/>
        <v>174808.90875</v>
      </c>
      <c r="X13" s="22">
        <f t="shared" si="7"/>
        <v>15697.126499999998</v>
      </c>
      <c r="Y13" s="22">
        <f t="shared" si="7"/>
        <v>33534.770250000001</v>
      </c>
      <c r="Z13" s="22">
        <f t="shared" si="7"/>
        <v>179089.94325000001</v>
      </c>
      <c r="AA13" s="22">
        <f t="shared" si="7"/>
        <v>46377.873749999999</v>
      </c>
      <c r="AB13" s="22">
        <f t="shared" si="7"/>
        <v>28540.23</v>
      </c>
      <c r="AC13" s="22">
        <f t="shared" si="7"/>
        <v>285402.3</v>
      </c>
      <c r="AD13" s="22">
        <f t="shared" si="7"/>
        <v>499454.02499999997</v>
      </c>
    </row>
    <row r="14" spans="1:31" x14ac:dyDescent="0.25">
      <c r="E14" s="20">
        <f>$C$13/3.333</f>
        <v>14271542.154215422</v>
      </c>
      <c r="F14" s="8">
        <v>1</v>
      </c>
      <c r="G14" s="3">
        <v>3800000</v>
      </c>
      <c r="I14" s="16">
        <v>3</v>
      </c>
      <c r="J14" s="21">
        <f>$E$14/5</f>
        <v>2854308.4308430841</v>
      </c>
      <c r="K14" s="7">
        <f>J14/C13</f>
        <v>6.0006000600060005E-2</v>
      </c>
      <c r="L14" s="9">
        <f>J14/E14</f>
        <v>0.19999999999999998</v>
      </c>
      <c r="M14" s="26" t="s">
        <v>9</v>
      </c>
      <c r="N14" s="36">
        <v>2</v>
      </c>
      <c r="O14" s="30">
        <f>C13/N14</f>
        <v>23783525</v>
      </c>
      <c r="P14" s="9">
        <f>N14/E14</f>
        <v>1.4013902480813925E-7</v>
      </c>
      <c r="Q14" s="13">
        <f>N14/J14</f>
        <v>7.0069512404069624E-7</v>
      </c>
      <c r="R14" s="29">
        <f t="shared" si="6"/>
        <v>951341</v>
      </c>
      <c r="S14" s="22">
        <f>$R$14*P27</f>
        <v>30918.5825</v>
      </c>
      <c r="T14" s="22">
        <f t="shared" ref="T14:AD14" si="8">$R$14*Q27</f>
        <v>20453.831499999997</v>
      </c>
      <c r="U14" s="22">
        <f t="shared" si="8"/>
        <v>22356.513500000001</v>
      </c>
      <c r="V14" s="22">
        <f t="shared" si="8"/>
        <v>35675.287499999999</v>
      </c>
      <c r="W14" s="22">
        <f t="shared" si="8"/>
        <v>116539.27249999999</v>
      </c>
      <c r="X14" s="22">
        <f t="shared" si="8"/>
        <v>10464.751</v>
      </c>
      <c r="Y14" s="22">
        <f t="shared" si="8"/>
        <v>22356.513500000001</v>
      </c>
      <c r="Z14" s="22">
        <f t="shared" si="8"/>
        <v>119393.29550000001</v>
      </c>
      <c r="AA14" s="22">
        <f t="shared" si="8"/>
        <v>30918.5825</v>
      </c>
      <c r="AB14" s="22">
        <f t="shared" si="8"/>
        <v>19026.82</v>
      </c>
      <c r="AC14" s="22">
        <f t="shared" si="8"/>
        <v>190268.2</v>
      </c>
      <c r="AD14" s="22">
        <f t="shared" si="8"/>
        <v>332969.34999999998</v>
      </c>
    </row>
    <row r="15" spans="1:31" x14ac:dyDescent="0.25">
      <c r="B15" s="4"/>
      <c r="C15" s="1" t="s">
        <v>16</v>
      </c>
      <c r="E15" s="7">
        <f>E14/C13</f>
        <v>0.30003000300030003</v>
      </c>
      <c r="G15" s="5">
        <f>G14/C13</f>
        <v>7.9887232863925767E-2</v>
      </c>
      <c r="H15" t="s">
        <v>11</v>
      </c>
      <c r="I15" s="16">
        <v>4</v>
      </c>
      <c r="J15" s="21">
        <f>E14-J14-J13-J12</f>
        <v>6065405.4155415539</v>
      </c>
      <c r="K15" s="7">
        <f>J15/C13</f>
        <v>0.12751275127512751</v>
      </c>
      <c r="L15" s="9">
        <f>J15/E14</f>
        <v>0.42499999999999999</v>
      </c>
      <c r="M15" s="26" t="s">
        <v>9</v>
      </c>
      <c r="N15" s="36">
        <v>2</v>
      </c>
      <c r="O15" s="30">
        <f>C13/N15</f>
        <v>23783525</v>
      </c>
      <c r="P15" s="9">
        <f>N15/E14</f>
        <v>1.4013902480813925E-7</v>
      </c>
      <c r="Q15" s="13">
        <f>N15/J15</f>
        <v>3.297388819015041E-7</v>
      </c>
      <c r="R15" s="29">
        <f t="shared" si="6"/>
        <v>951341</v>
      </c>
      <c r="S15" s="22">
        <f>$R$15*P27</f>
        <v>30918.5825</v>
      </c>
      <c r="T15" s="22">
        <f t="shared" ref="T15:AD15" si="9">$R$15*Q27</f>
        <v>20453.831499999997</v>
      </c>
      <c r="U15" s="22">
        <f t="shared" si="9"/>
        <v>22356.513500000001</v>
      </c>
      <c r="V15" s="22">
        <f t="shared" si="9"/>
        <v>35675.287499999999</v>
      </c>
      <c r="W15" s="22">
        <f t="shared" si="9"/>
        <v>116539.27249999999</v>
      </c>
      <c r="X15" s="22">
        <f t="shared" si="9"/>
        <v>10464.751</v>
      </c>
      <c r="Y15" s="22">
        <f t="shared" si="9"/>
        <v>22356.513500000001</v>
      </c>
      <c r="Z15" s="22">
        <f t="shared" si="9"/>
        <v>119393.29550000001</v>
      </c>
      <c r="AA15" s="22">
        <f t="shared" si="9"/>
        <v>30918.5825</v>
      </c>
      <c r="AB15" s="22">
        <f t="shared" si="9"/>
        <v>19026.82</v>
      </c>
      <c r="AC15" s="22">
        <f t="shared" si="9"/>
        <v>190268.2</v>
      </c>
      <c r="AD15" s="22">
        <f t="shared" si="9"/>
        <v>332969.34999999998</v>
      </c>
    </row>
    <row r="16" spans="1:31" x14ac:dyDescent="0.25">
      <c r="B16" t="s">
        <v>17</v>
      </c>
      <c r="C16" s="25">
        <v>0.25</v>
      </c>
      <c r="G16" s="5">
        <f>G14/E14</f>
        <v>0.26626414713546459</v>
      </c>
      <c r="H16" t="s">
        <v>13</v>
      </c>
      <c r="J16" s="21"/>
      <c r="M16" s="26"/>
      <c r="N16" s="35"/>
      <c r="O16" s="31"/>
      <c r="P16" s="2">
        <f>SUM(P12:P15)</f>
        <v>7.0069512404069624E-7</v>
      </c>
      <c r="R16" s="29"/>
      <c r="S16" s="22"/>
      <c r="T16" s="22"/>
      <c r="X16" s="24"/>
      <c r="Y16" s="24"/>
    </row>
    <row r="17" spans="2:30" x14ac:dyDescent="0.25">
      <c r="B17" t="s">
        <v>18</v>
      </c>
      <c r="C17" s="41">
        <f>C13*C16</f>
        <v>11891762.5</v>
      </c>
      <c r="J17" s="21"/>
      <c r="M17" s="26"/>
      <c r="N17" s="35"/>
      <c r="O17" s="31"/>
      <c r="R17" s="29"/>
      <c r="S17" s="22"/>
      <c r="T17" s="22"/>
      <c r="X17" s="24"/>
      <c r="Y17" s="24"/>
    </row>
    <row r="18" spans="2:30" x14ac:dyDescent="0.25">
      <c r="I18" s="16">
        <v>1</v>
      </c>
      <c r="J18" s="21">
        <f>$E$20/8</f>
        <v>1189176.25</v>
      </c>
      <c r="K18" s="7">
        <f>J18/C13</f>
        <v>2.5000000000000001E-2</v>
      </c>
      <c r="L18" s="9">
        <f>J18/E20</f>
        <v>0.125</v>
      </c>
      <c r="M18" s="26" t="s">
        <v>9</v>
      </c>
      <c r="N18" s="36">
        <v>2</v>
      </c>
      <c r="O18" s="30">
        <f>C13/N18</f>
        <v>23783525</v>
      </c>
      <c r="P18" s="9">
        <f>N18/E20</f>
        <v>2.1022956016822568E-7</v>
      </c>
      <c r="Q18" s="13">
        <f>N18/J18</f>
        <v>1.6818364813458055E-6</v>
      </c>
      <c r="R18" s="29">
        <f>($C$13*N18*1)/100</f>
        <v>951341</v>
      </c>
      <c r="S18" s="22">
        <f>$R$18*P27</f>
        <v>30918.5825</v>
      </c>
      <c r="T18" s="22">
        <f t="shared" ref="T18:AD18" si="10">$R$18*Q27</f>
        <v>20453.831499999997</v>
      </c>
      <c r="U18" s="22">
        <f t="shared" si="10"/>
        <v>22356.513500000001</v>
      </c>
      <c r="V18" s="22">
        <f t="shared" si="10"/>
        <v>35675.287499999999</v>
      </c>
      <c r="W18" s="22">
        <f t="shared" si="10"/>
        <v>116539.27249999999</v>
      </c>
      <c r="X18" s="22">
        <f t="shared" si="10"/>
        <v>10464.751</v>
      </c>
      <c r="Y18" s="22">
        <f t="shared" si="10"/>
        <v>22356.513500000001</v>
      </c>
      <c r="Z18" s="22">
        <f t="shared" si="10"/>
        <v>119393.29550000001</v>
      </c>
      <c r="AA18" s="22">
        <f t="shared" si="10"/>
        <v>30918.5825</v>
      </c>
      <c r="AB18" s="22">
        <f t="shared" si="10"/>
        <v>19026.82</v>
      </c>
      <c r="AC18" s="22">
        <f t="shared" si="10"/>
        <v>190268.2</v>
      </c>
      <c r="AD18" s="22">
        <f t="shared" si="10"/>
        <v>332969.34999999998</v>
      </c>
    </row>
    <row r="19" spans="2:30" x14ac:dyDescent="0.25">
      <c r="D19" s="10"/>
      <c r="E19" s="11" t="s">
        <v>19</v>
      </c>
      <c r="I19" s="16">
        <v>2</v>
      </c>
      <c r="J19" s="21">
        <f>$E$20/4</f>
        <v>2378352.5</v>
      </c>
      <c r="K19" s="7">
        <f>J19/C13</f>
        <v>0.05</v>
      </c>
      <c r="L19" s="9">
        <f>J19/E20</f>
        <v>0.25</v>
      </c>
      <c r="M19" s="26" t="s">
        <v>9</v>
      </c>
      <c r="N19" s="36">
        <v>1</v>
      </c>
      <c r="O19" s="30">
        <f>C13/N19</f>
        <v>47567050</v>
      </c>
      <c r="P19" s="9">
        <f>N19/E20</f>
        <v>1.0511478008411284E-7</v>
      </c>
      <c r="Q19" s="13">
        <f>N19/J19</f>
        <v>4.2045912033645136E-7</v>
      </c>
      <c r="R19" s="29">
        <f t="shared" ref="R19:R21" si="11">($C$13*N19*1)/100</f>
        <v>475670.5</v>
      </c>
      <c r="S19" s="22">
        <f>$R$19*P27</f>
        <v>15459.29125</v>
      </c>
      <c r="T19" s="22">
        <f t="shared" ref="T19:AD19" si="12">$R$19*Q27</f>
        <v>10226.915749999998</v>
      </c>
      <c r="U19" s="22">
        <f t="shared" si="12"/>
        <v>11178.25675</v>
      </c>
      <c r="V19" s="22">
        <f t="shared" si="12"/>
        <v>17837.643749999999</v>
      </c>
      <c r="W19" s="22">
        <f t="shared" si="12"/>
        <v>58269.636249999996</v>
      </c>
      <c r="X19" s="22">
        <f t="shared" si="12"/>
        <v>5232.3755000000001</v>
      </c>
      <c r="Y19" s="22">
        <f t="shared" si="12"/>
        <v>11178.25675</v>
      </c>
      <c r="Z19" s="22">
        <f t="shared" si="12"/>
        <v>59696.647750000004</v>
      </c>
      <c r="AA19" s="22">
        <f t="shared" si="12"/>
        <v>15459.29125</v>
      </c>
      <c r="AB19" s="22">
        <f t="shared" si="12"/>
        <v>9513.41</v>
      </c>
      <c r="AC19" s="22">
        <f t="shared" si="12"/>
        <v>95134.1</v>
      </c>
      <c r="AD19" s="22">
        <f t="shared" si="12"/>
        <v>166484.67499999999</v>
      </c>
    </row>
    <row r="20" spans="2:30" x14ac:dyDescent="0.25">
      <c r="E20" s="20">
        <f>$C$13/5</f>
        <v>9513410</v>
      </c>
      <c r="F20" s="8">
        <v>1</v>
      </c>
      <c r="G20" s="3">
        <v>1400000</v>
      </c>
      <c r="I20" s="16">
        <v>3</v>
      </c>
      <c r="J20" s="21">
        <f>$E$20/5</f>
        <v>1902682</v>
      </c>
      <c r="K20" s="7">
        <f>J20/C13</f>
        <v>0.04</v>
      </c>
      <c r="L20" s="9">
        <f>J20/E20</f>
        <v>0.2</v>
      </c>
      <c r="M20" s="26" t="s">
        <v>9</v>
      </c>
      <c r="N20" s="36">
        <v>1</v>
      </c>
      <c r="O20" s="30">
        <f>C13/N20</f>
        <v>47567050</v>
      </c>
      <c r="P20" s="9">
        <f>N20/E20</f>
        <v>1.0511478008411284E-7</v>
      </c>
      <c r="Q20" s="13">
        <f>N20/J20</f>
        <v>5.2557390042056422E-7</v>
      </c>
      <c r="R20" s="29">
        <f t="shared" si="11"/>
        <v>475670.5</v>
      </c>
      <c r="S20" s="22">
        <f>$R$20*P27</f>
        <v>15459.29125</v>
      </c>
      <c r="T20" s="22">
        <f t="shared" ref="T20:AD20" si="13">$R$20*Q27</f>
        <v>10226.915749999998</v>
      </c>
      <c r="U20" s="22">
        <f t="shared" si="13"/>
        <v>11178.25675</v>
      </c>
      <c r="V20" s="22">
        <f t="shared" si="13"/>
        <v>17837.643749999999</v>
      </c>
      <c r="W20" s="22">
        <f t="shared" si="13"/>
        <v>58269.636249999996</v>
      </c>
      <c r="X20" s="22">
        <f t="shared" si="13"/>
        <v>5232.3755000000001</v>
      </c>
      <c r="Y20" s="22">
        <f t="shared" si="13"/>
        <v>11178.25675</v>
      </c>
      <c r="Z20" s="22">
        <f t="shared" si="13"/>
        <v>59696.647750000004</v>
      </c>
      <c r="AA20" s="22">
        <f t="shared" si="13"/>
        <v>15459.29125</v>
      </c>
      <c r="AB20" s="22">
        <f t="shared" si="13"/>
        <v>9513.41</v>
      </c>
      <c r="AC20" s="22">
        <f t="shared" si="13"/>
        <v>95134.1</v>
      </c>
      <c r="AD20" s="22">
        <f t="shared" si="13"/>
        <v>166484.67499999999</v>
      </c>
    </row>
    <row r="21" spans="2:30" x14ac:dyDescent="0.25">
      <c r="E21" s="7">
        <f>E20/C13</f>
        <v>0.2</v>
      </c>
      <c r="G21" s="5">
        <f>G20/C13</f>
        <v>2.9432138423551597E-2</v>
      </c>
      <c r="H21" t="s">
        <v>11</v>
      </c>
      <c r="I21" s="16">
        <v>4</v>
      </c>
      <c r="J21" s="21">
        <f>E20-J20-J19-J18</f>
        <v>4043199.25</v>
      </c>
      <c r="K21" s="7">
        <f>J21/C13</f>
        <v>8.5000000000000006E-2</v>
      </c>
      <c r="L21" s="9">
        <f>J21/E20</f>
        <v>0.42499999999999999</v>
      </c>
      <c r="M21" s="26" t="s">
        <v>9</v>
      </c>
      <c r="N21" s="36">
        <v>1</v>
      </c>
      <c r="O21" s="30">
        <f>C13/N21</f>
        <v>47567050</v>
      </c>
      <c r="P21" s="9">
        <f>N21/E20</f>
        <v>1.0511478008411284E-7</v>
      </c>
      <c r="Q21" s="13">
        <f>N21/J21</f>
        <v>2.4732889431555963E-7</v>
      </c>
      <c r="R21" s="29">
        <f t="shared" si="11"/>
        <v>475670.5</v>
      </c>
      <c r="S21" s="22">
        <f>$R$21*P27</f>
        <v>15459.29125</v>
      </c>
      <c r="T21" s="22">
        <f t="shared" ref="T21:AD21" si="14">$R$21*Q27</f>
        <v>10226.915749999998</v>
      </c>
      <c r="U21" s="22">
        <f t="shared" si="14"/>
        <v>11178.25675</v>
      </c>
      <c r="V21" s="22">
        <f t="shared" si="14"/>
        <v>17837.643749999999</v>
      </c>
      <c r="W21" s="22">
        <f t="shared" si="14"/>
        <v>58269.636249999996</v>
      </c>
      <c r="X21" s="22">
        <f t="shared" si="14"/>
        <v>5232.3755000000001</v>
      </c>
      <c r="Y21" s="22">
        <f t="shared" si="14"/>
        <v>11178.25675</v>
      </c>
      <c r="Z21" s="22">
        <f t="shared" si="14"/>
        <v>59696.647750000004</v>
      </c>
      <c r="AA21" s="22">
        <f t="shared" si="14"/>
        <v>15459.29125</v>
      </c>
      <c r="AB21" s="22">
        <f t="shared" si="14"/>
        <v>9513.41</v>
      </c>
      <c r="AC21" s="22">
        <f t="shared" si="14"/>
        <v>95134.1</v>
      </c>
      <c r="AD21" s="22">
        <f t="shared" si="14"/>
        <v>166484.67499999999</v>
      </c>
    </row>
    <row r="22" spans="2:30" x14ac:dyDescent="0.25">
      <c r="G22" s="5">
        <f>G20/E20</f>
        <v>0.14716069211775798</v>
      </c>
      <c r="H22" t="s">
        <v>13</v>
      </c>
      <c r="O22" s="31"/>
      <c r="P22" s="2">
        <f>SUM(P18:P21)</f>
        <v>5.2557390042056422E-7</v>
      </c>
      <c r="R22" s="29">
        <f>SUM(R6:R21)</f>
        <v>11891762.5</v>
      </c>
    </row>
    <row r="23" spans="2:30" x14ac:dyDescent="0.25">
      <c r="N23" s="3">
        <f>SUM(N6:N21)</f>
        <v>25</v>
      </c>
      <c r="O23" s="32">
        <f>SUM(O6:O21)</f>
        <v>325041508.33333331</v>
      </c>
      <c r="P23" s="15"/>
      <c r="Q23" s="15"/>
      <c r="R23" s="18"/>
    </row>
    <row r="24" spans="2:30" x14ac:dyDescent="0.25">
      <c r="G24" s="3">
        <f>G8+G14+G20</f>
        <v>11891763</v>
      </c>
    </row>
    <row r="26" spans="2:30" ht="26.25" x14ac:dyDescent="0.4">
      <c r="D26" s="28"/>
      <c r="P26" s="33" t="s">
        <v>21</v>
      </c>
      <c r="Q26" s="33" t="s">
        <v>22</v>
      </c>
      <c r="R26" s="34" t="s">
        <v>23</v>
      </c>
      <c r="S26" s="33" t="s">
        <v>24</v>
      </c>
      <c r="T26" s="33" t="s">
        <v>25</v>
      </c>
      <c r="U26" s="33" t="s">
        <v>26</v>
      </c>
      <c r="V26" s="33" t="s">
        <v>27</v>
      </c>
      <c r="W26" s="33" t="s">
        <v>32</v>
      </c>
      <c r="X26" s="33" t="s">
        <v>28</v>
      </c>
      <c r="Y26" s="33" t="s">
        <v>29</v>
      </c>
      <c r="Z26" s="33" t="s">
        <v>30</v>
      </c>
      <c r="AA26" s="33" t="s">
        <v>31</v>
      </c>
    </row>
    <row r="27" spans="2:30" x14ac:dyDescent="0.25">
      <c r="P27" s="23">
        <v>3.2500000000000001E-2</v>
      </c>
      <c r="Q27" s="23">
        <v>2.1499999999999998E-2</v>
      </c>
      <c r="R27" s="23">
        <v>2.35E-2</v>
      </c>
      <c r="S27" s="23">
        <v>3.7499999999999999E-2</v>
      </c>
      <c r="T27" s="23">
        <v>0.1225</v>
      </c>
      <c r="U27" s="23">
        <v>1.0999999999999999E-2</v>
      </c>
      <c r="V27" s="23">
        <v>2.35E-2</v>
      </c>
      <c r="W27" s="23">
        <v>0.1255</v>
      </c>
      <c r="X27" s="23">
        <v>3.2500000000000001E-2</v>
      </c>
      <c r="Y27" s="23">
        <v>0.02</v>
      </c>
      <c r="Z27" s="23">
        <v>0.2</v>
      </c>
      <c r="AA27" s="23">
        <v>0.35</v>
      </c>
    </row>
    <row r="28" spans="2:30" ht="23.25" x14ac:dyDescent="0.35">
      <c r="O28" s="27"/>
    </row>
    <row r="29" spans="2:30" ht="26.25" x14ac:dyDescent="0.4">
      <c r="Q29" s="38" t="s">
        <v>20</v>
      </c>
      <c r="R29" s="38"/>
      <c r="S29" s="38"/>
      <c r="T29" s="38"/>
      <c r="U29" s="38"/>
      <c r="V29" s="38"/>
      <c r="W29" s="38"/>
      <c r="X29" s="38"/>
      <c r="Y29" s="38"/>
      <c r="Z29" s="38"/>
    </row>
    <row r="30" spans="2:30" x14ac:dyDescent="0.25">
      <c r="J30" s="21"/>
      <c r="K30" s="21"/>
      <c r="Q30" s="39" t="s">
        <v>45</v>
      </c>
      <c r="R30" s="39"/>
      <c r="S30" s="39"/>
      <c r="T30" s="39"/>
      <c r="U30" s="39"/>
      <c r="V30" s="39"/>
      <c r="W30" s="39"/>
      <c r="X30" s="39"/>
      <c r="Y30" s="39"/>
      <c r="Z30" s="39"/>
    </row>
    <row r="31" spans="2:30" x14ac:dyDescent="0.25">
      <c r="J31" s="21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2:30" x14ac:dyDescent="0.25"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20:21" x14ac:dyDescent="0.25">
      <c r="T33" s="21"/>
      <c r="U33" s="21"/>
    </row>
    <row r="34" spans="20:21" x14ac:dyDescent="0.25">
      <c r="U34" s="21"/>
    </row>
  </sheetData>
  <mergeCells count="3">
    <mergeCell ref="R3:R5"/>
    <mergeCell ref="Q29:Z29"/>
    <mergeCell ref="Q30:Z3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3D115E1DD0FA44B28FD459326844B5" ma:contentTypeVersion="11" ma:contentTypeDescription="Crie um novo documento." ma:contentTypeScope="" ma:versionID="b7ce6a366beb8ba12d7fc5659150ab71">
  <xsd:schema xmlns:xsd="http://www.w3.org/2001/XMLSchema" xmlns:xs="http://www.w3.org/2001/XMLSchema" xmlns:p="http://schemas.microsoft.com/office/2006/metadata/properties" xmlns:ns2="4caff77f-c4c5-4f73-98a2-36194d8cc171" xmlns:ns3="e7b99fc3-1bd5-4e10-9751-1a99ddd6777a" targetNamespace="http://schemas.microsoft.com/office/2006/metadata/properties" ma:root="true" ma:fieldsID="ecd18b3116293c20ce43c229814c91d3" ns2:_="" ns3:_="">
    <xsd:import namespace="4caff77f-c4c5-4f73-98a2-36194d8cc171"/>
    <xsd:import namespace="e7b99fc3-1bd5-4e10-9751-1a99ddd677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ff77f-c4c5-4f73-98a2-36194d8cc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99fc3-1bd5-4e10-9751-1a99ddd6777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52f0d03-a864-46e8-a5b7-b0e5b2fadcf9}" ma:internalName="TaxCatchAll" ma:showField="CatchAllData" ma:web="e7b99fc3-1bd5-4e10-9751-1a99ddd677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b99fc3-1bd5-4e10-9751-1a99ddd6777a" xsi:nil="true"/>
    <lcf76f155ced4ddcb4097134ff3c332f xmlns="4caff77f-c4c5-4f73-98a2-36194d8cc17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75B81D-42A8-41E2-B371-C19B806865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107DE-E547-4DDD-8838-4C3D9853A8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ff77f-c4c5-4f73-98a2-36194d8cc171"/>
    <ds:schemaRef ds:uri="e7b99fc3-1bd5-4e10-9751-1a99ddd67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D5523E-4CF1-4079-91D4-04ABF3A60DAF}">
  <ds:schemaRefs>
    <ds:schemaRef ds:uri="http://schemas.microsoft.com/office/2006/metadata/properties"/>
    <ds:schemaRef ds:uri="http://schemas.microsoft.com/office/infopath/2007/PartnerControls"/>
    <ds:schemaRef ds:uri="e7b99fc3-1bd5-4e10-9751-1a99ddd6777a"/>
    <ds:schemaRef ds:uri="4caff77f-c4c5-4f73-98a2-36194d8cc1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Rubens</dc:creator>
  <cp:keywords/>
  <dc:description/>
  <cp:lastModifiedBy>Fatec</cp:lastModifiedBy>
  <cp:revision/>
  <dcterms:created xsi:type="dcterms:W3CDTF">2020-05-12T20:12:14Z</dcterms:created>
  <dcterms:modified xsi:type="dcterms:W3CDTF">2024-06-03T22:49:57Z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de56a3c7-7dcd-470f-8676-ade586540c2c</vt:lpwstr>
  </property>
  <property fmtid="{D5CDD505-2E9C-101B-9397-08002B2CF9AE}" pid="3" name="ContentTypeId">
    <vt:lpwstr>0x010100D43AECD913D8F74FB378A1D924377D4E</vt:lpwstr>
  </property>
  <property fmtid="{D5CDD505-2E9C-101B-9397-08002B2CF9AE}" pid="4" name="MediaServiceImageTags">
    <vt:lpwstr/>
  </property>
</Properties>
</file>