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Programaci-n-con-Arduino\Codigos Antiguos\Bioimpedanciometro_Sketch_Funcional_3.0\"/>
    </mc:Choice>
  </mc:AlternateContent>
  <bookViews>
    <workbookView xWindow="0" yWindow="0" windowWidth="20490" windowHeight="7755" activeTab="6"/>
  </bookViews>
  <sheets>
    <sheet name="Hoja4" sheetId="4" r:id="rId1"/>
    <sheet name="Hoja1" sheetId="1" r:id="rId2"/>
    <sheet name="Hoja2" sheetId="2" r:id="rId3"/>
    <sheet name="Hoja3" sheetId="3" r:id="rId4"/>
    <sheet name="Hoja5" sheetId="5" r:id="rId5"/>
    <sheet name="Hoja6" sheetId="6" r:id="rId6"/>
    <sheet name="Hoja7" sheetId="7" r:id="rId7"/>
  </sheets>
  <definedNames>
    <definedName name="_xlnm._FilterDatabase" localSheetId="2" hidden="1">Hoja2!$E$5:$F$11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7" l="1"/>
  <c r="K6" i="7"/>
  <c r="K7" i="7"/>
  <c r="K8" i="7"/>
  <c r="K9" i="7"/>
  <c r="K10" i="7"/>
  <c r="K11" i="7"/>
  <c r="K12" i="7"/>
  <c r="K13" i="7"/>
  <c r="K4" i="7"/>
  <c r="J13" i="7"/>
  <c r="J12" i="7"/>
  <c r="J11" i="7"/>
  <c r="J10" i="7"/>
  <c r="E10" i="7"/>
  <c r="F10" i="7" s="1"/>
  <c r="G10" i="7" s="1"/>
  <c r="H10" i="7" s="1"/>
  <c r="I10" i="7" s="1"/>
  <c r="J9" i="7"/>
  <c r="J8" i="7"/>
  <c r="J7" i="7"/>
  <c r="F9" i="7"/>
  <c r="G9" i="7" s="1"/>
  <c r="H9" i="7" s="1"/>
  <c r="I9" i="7" s="1"/>
  <c r="E7" i="7"/>
  <c r="F7" i="7"/>
  <c r="G7" i="7" s="1"/>
  <c r="H7" i="7" s="1"/>
  <c r="I7" i="7" s="1"/>
  <c r="J6" i="7"/>
  <c r="J5" i="7"/>
  <c r="J4" i="7"/>
  <c r="E4" i="7"/>
  <c r="F4" i="7" s="1"/>
  <c r="G4" i="7" s="1"/>
  <c r="H4" i="7" s="1"/>
  <c r="I4" i="7" s="1"/>
  <c r="I5" i="7"/>
  <c r="I8" i="7"/>
  <c r="I11" i="7"/>
  <c r="H5" i="7"/>
  <c r="H8" i="7"/>
  <c r="H11" i="7"/>
  <c r="G5" i="7"/>
  <c r="G8" i="7"/>
  <c r="G11" i="7"/>
  <c r="G12" i="7"/>
  <c r="H12" i="7" s="1"/>
  <c r="I12" i="7" s="1"/>
  <c r="G13" i="7"/>
  <c r="H13" i="7" s="1"/>
  <c r="I13" i="7" s="1"/>
  <c r="F5" i="7"/>
  <c r="F6" i="7"/>
  <c r="G6" i="7" s="1"/>
  <c r="H6" i="7" s="1"/>
  <c r="I6" i="7" s="1"/>
  <c r="F8" i="7"/>
  <c r="F11" i="7"/>
  <c r="F12" i="7"/>
  <c r="F13" i="7"/>
  <c r="E8" i="7"/>
  <c r="E11" i="7"/>
  <c r="E13" i="7"/>
  <c r="E12" i="7"/>
  <c r="R13" i="5" l="1"/>
  <c r="R14" i="5"/>
  <c r="R15" i="5"/>
  <c r="R16" i="5"/>
  <c r="R17" i="5"/>
  <c r="R18" i="5"/>
  <c r="R19" i="5"/>
  <c r="R20" i="5"/>
  <c r="R21" i="5"/>
  <c r="R22" i="5"/>
  <c r="R23" i="5"/>
  <c r="R12" i="5"/>
  <c r="I16" i="4" l="1"/>
  <c r="H16" i="4"/>
  <c r="G16" i="4"/>
  <c r="F16" i="4"/>
  <c r="E16" i="4"/>
  <c r="D16" i="4"/>
  <c r="C16" i="4"/>
  <c r="B16" i="4"/>
  <c r="C26" i="6" l="1"/>
  <c r="C57" i="6"/>
  <c r="C56" i="6"/>
  <c r="C55" i="6"/>
  <c r="C54" i="6"/>
  <c r="C49" i="6"/>
  <c r="C48" i="6"/>
  <c r="O26" i="6"/>
  <c r="C47" i="6"/>
  <c r="N26" i="6"/>
  <c r="C46" i="6"/>
  <c r="C41" i="6"/>
  <c r="C40" i="6"/>
  <c r="C39" i="6"/>
  <c r="C38" i="6"/>
  <c r="C32" i="6"/>
  <c r="C31" i="6"/>
  <c r="C30" i="6"/>
  <c r="C29" i="6"/>
  <c r="U26" i="6"/>
  <c r="T26" i="6"/>
  <c r="S26" i="6"/>
  <c r="R26" i="6"/>
  <c r="P26" i="6"/>
  <c r="K26" i="6"/>
  <c r="M26" i="6"/>
  <c r="I26" i="6"/>
  <c r="J26" i="6"/>
  <c r="H26" i="6"/>
  <c r="F26" i="6"/>
  <c r="D26" i="6" l="1"/>
  <c r="E26" i="6"/>
  <c r="G32" i="5" l="1"/>
  <c r="H32" i="5" s="1"/>
  <c r="G31" i="5"/>
  <c r="G30" i="5"/>
  <c r="G24" i="5"/>
  <c r="H24" i="5" s="1"/>
  <c r="G23" i="5"/>
  <c r="H23" i="5" s="1"/>
  <c r="G22" i="5"/>
  <c r="H22" i="5" s="1"/>
  <c r="G16" i="5"/>
  <c r="H16" i="5" s="1"/>
  <c r="G15" i="5"/>
  <c r="H15" i="5" s="1"/>
  <c r="G14" i="5"/>
  <c r="G8" i="5"/>
  <c r="H8" i="5" s="1"/>
  <c r="G7" i="5"/>
  <c r="H7" i="5" s="1"/>
  <c r="G6" i="5"/>
  <c r="H6" i="5" s="1"/>
  <c r="I24" i="5" l="1"/>
  <c r="I15" i="5"/>
  <c r="I16" i="5"/>
  <c r="H30" i="5"/>
  <c r="I30" i="5" s="1"/>
  <c r="I23" i="5"/>
  <c r="H14" i="5"/>
  <c r="I14" i="5" s="1"/>
  <c r="H31" i="5"/>
  <c r="I31" i="5" s="1"/>
  <c r="I32" i="5"/>
  <c r="I22" i="5"/>
  <c r="I7" i="5"/>
  <c r="I8" i="5"/>
  <c r="I6" i="5"/>
  <c r="C21" i="4"/>
  <c r="B21" i="4"/>
  <c r="C18" i="4"/>
  <c r="D18" i="4"/>
  <c r="E18" i="4"/>
  <c r="F18" i="4"/>
  <c r="G18" i="4"/>
  <c r="H18" i="4"/>
  <c r="I18" i="4"/>
  <c r="C17" i="4"/>
  <c r="D17" i="4"/>
  <c r="E17" i="4"/>
  <c r="F17" i="4"/>
  <c r="G17" i="4"/>
  <c r="H17" i="4"/>
  <c r="I17" i="4"/>
  <c r="B18" i="4"/>
  <c r="B17" i="4"/>
  <c r="J26" i="3" l="1"/>
  <c r="J18" i="3"/>
  <c r="J10" i="3"/>
  <c r="G32" i="3" l="1"/>
  <c r="H32" i="3" s="1"/>
  <c r="I32" i="3" s="1"/>
  <c r="G33" i="3"/>
  <c r="H33" i="3" s="1"/>
  <c r="I33" i="3" s="1"/>
  <c r="G31" i="3"/>
  <c r="H31" i="3" s="1"/>
  <c r="I31" i="3" s="1"/>
  <c r="G23" i="3"/>
  <c r="H23" i="3" s="1"/>
  <c r="I23" i="3" s="1"/>
  <c r="G24" i="3"/>
  <c r="H24" i="3" s="1"/>
  <c r="I24" i="3" s="1"/>
  <c r="G22" i="3"/>
  <c r="H22" i="3" s="1"/>
  <c r="I22" i="3" s="1"/>
  <c r="G15" i="3"/>
  <c r="H15" i="3" s="1"/>
  <c r="I15" i="3" s="1"/>
  <c r="G16" i="3"/>
  <c r="H16" i="3" s="1"/>
  <c r="I16" i="3" s="1"/>
  <c r="G14" i="3"/>
  <c r="H14" i="3" s="1"/>
  <c r="I14" i="3" s="1"/>
  <c r="G7" i="3"/>
  <c r="H7" i="3" s="1"/>
  <c r="I7" i="3" s="1"/>
  <c r="G8" i="3"/>
  <c r="H8" i="3" s="1"/>
  <c r="I8" i="3" s="1"/>
  <c r="G6" i="3"/>
  <c r="H6" i="3" s="1"/>
  <c r="I6" i="3" s="1"/>
  <c r="G7" i="2"/>
  <c r="G8" i="2"/>
  <c r="G9" i="2"/>
  <c r="G10" i="2"/>
  <c r="G11" i="2"/>
  <c r="G6" i="2"/>
  <c r="G21" i="2"/>
  <c r="G22" i="2"/>
  <c r="G23" i="2"/>
  <c r="G24" i="2"/>
  <c r="G25" i="2"/>
  <c r="G20" i="2"/>
  <c r="F21" i="2" l="1"/>
  <c r="F22" i="2"/>
  <c r="F23" i="2"/>
  <c r="F24" i="2"/>
  <c r="F25" i="2"/>
  <c r="F20" i="2"/>
  <c r="F7" i="2"/>
  <c r="F8" i="2"/>
  <c r="F9" i="2"/>
  <c r="F10" i="2"/>
  <c r="F11" i="2"/>
  <c r="F6" i="2"/>
  <c r="M6" i="1" l="1"/>
  <c r="M7" i="1"/>
  <c r="M8" i="1"/>
  <c r="M9" i="1"/>
  <c r="M10" i="1"/>
  <c r="M5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<sst xmlns="http://schemas.openxmlformats.org/spreadsheetml/2006/main" count="103" uniqueCount="49">
  <si>
    <t>Valor medido</t>
  </si>
  <si>
    <t>Medida 1</t>
  </si>
  <si>
    <t>Medida 2</t>
  </si>
  <si>
    <r>
      <t xml:space="preserve">Resistencia de Feedback:  470 </t>
    </r>
    <r>
      <rPr>
        <b/>
        <sz val="11"/>
        <color theme="1"/>
        <rFont val="Calibri"/>
        <family val="2"/>
      </rPr>
      <t>Ω</t>
    </r>
  </si>
  <si>
    <t>Medida 3</t>
  </si>
  <si>
    <t>Medida 4</t>
  </si>
  <si>
    <r>
      <t xml:space="preserve">Resistencia de Feedback:  680 </t>
    </r>
    <r>
      <rPr>
        <b/>
        <sz val="11"/>
        <color theme="1"/>
        <rFont val="Calibri"/>
        <family val="2"/>
      </rPr>
      <t>Ω</t>
    </r>
  </si>
  <si>
    <t>Promedio</t>
  </si>
  <si>
    <t>y = -0,5394x + 11162</t>
  </si>
  <si>
    <t>y = -1,5257x + 31046</t>
  </si>
  <si>
    <t>Valor Teorico</t>
  </si>
  <si>
    <t>Magnitud</t>
  </si>
  <si>
    <t>Error</t>
  </si>
  <si>
    <t>Valor</t>
  </si>
  <si>
    <t>SENSADO DE TEJIDO BIOIMPEDANCIOMETRO</t>
  </si>
  <si>
    <t xml:space="preserve"> ER-Piel (Placa Completa)[Ω]</t>
  </si>
  <si>
    <t xml:space="preserve"> ER-Piel (Media Placa)[Ω]</t>
  </si>
  <si>
    <t xml:space="preserve"> ER-Piel (Placa Espalda)[Ω]</t>
  </si>
  <si>
    <t xml:space="preserve"> ER-Piel (1/4 Placa)[Ω]</t>
  </si>
  <si>
    <t>*Cambio de Extremidad</t>
  </si>
  <si>
    <t>Impedancia Carne [Ω]</t>
  </si>
  <si>
    <t>Impedancia Infinita [Ω]</t>
  </si>
  <si>
    <t xml:space="preserve">Impedancia Carne con 5V [Ω] </t>
  </si>
  <si>
    <t>Valor Maximo</t>
  </si>
  <si>
    <t>Valor Minimo</t>
  </si>
  <si>
    <t>Valor Limite Deteccion de Placa</t>
  </si>
  <si>
    <t>Valor Limite Deteccion de Bio</t>
  </si>
  <si>
    <t>Valor desde la espalda a la mano</t>
  </si>
  <si>
    <t>Total</t>
  </si>
  <si>
    <t>CURVA 1</t>
  </si>
  <si>
    <t>CURVA 2</t>
  </si>
  <si>
    <t>CURVA 3</t>
  </si>
  <si>
    <t>CURVA 4</t>
  </si>
  <si>
    <t>20076.97</t>
  </si>
  <si>
    <t>20086.38</t>
  </si>
  <si>
    <t>19813.01</t>
  </si>
  <si>
    <t>19832.52</t>
  </si>
  <si>
    <t>19382.31</t>
  </si>
  <si>
    <t>Valor de Farbica</t>
  </si>
  <si>
    <t>Valor Sensado</t>
  </si>
  <si>
    <t>Error Porcentual</t>
  </si>
  <si>
    <t>R1</t>
  </si>
  <si>
    <t>R2</t>
  </si>
  <si>
    <t>C</t>
  </si>
  <si>
    <t>Reactancia</t>
  </si>
  <si>
    <t>1/Z</t>
  </si>
  <si>
    <t>Serie Z</t>
  </si>
  <si>
    <t>Z Teorico</t>
  </si>
  <si>
    <t>Z Sensado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</si>
</sst>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4" xfId="0" applyFont="1" applyFill="1" applyBorder="1"/>
    <xf numFmtId="0" fontId="5" fillId="4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0" borderId="4" xfId="0" applyFont="1" applyBorder="1"/>
    <xf numFmtId="0" fontId="5" fillId="0" borderId="1" xfId="0" applyFont="1" applyBorder="1"/>
    <xf numFmtId="0" fontId="5" fillId="3" borderId="1" xfId="0" applyFont="1" applyFill="1" applyBorder="1"/>
    <xf numFmtId="0" fontId="5" fillId="5" borderId="1" xfId="0" applyFont="1" applyFill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Bioimpedancia</a:t>
            </a:r>
            <a:r>
              <a:rPr lang="es-CO" baseline="0"/>
              <a:t> vs Porcentaje Placa de Retorno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Impedancia [Ω]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Hoja4!$B$25:$B$27</c:f>
              <c:numCache>
                <c:formatCode>General</c:formatCode>
                <c:ptCount val="3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</c:numCache>
            </c:numRef>
          </c:xVal>
          <c:yVal>
            <c:numRef>
              <c:f>Hoja4!$C$25:$C$27</c:f>
              <c:numCache>
                <c:formatCode>General</c:formatCode>
                <c:ptCount val="3"/>
                <c:pt idx="0">
                  <c:v>154.4</c:v>
                </c:pt>
                <c:pt idx="1">
                  <c:v>477.2</c:v>
                </c:pt>
                <c:pt idx="2">
                  <c:v>639.9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0971536"/>
        <c:axId val="-1460978064"/>
      </c:scatterChart>
      <c:valAx>
        <c:axId val="-1460971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Placa de 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0978064"/>
        <c:crosses val="autoZero"/>
        <c:crossBetween val="midCat"/>
      </c:valAx>
      <c:valAx>
        <c:axId val="-14609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Bioimpedancia</a:t>
                </a:r>
                <a:r>
                  <a:rPr lang="es-CO" baseline="0"/>
                  <a:t> [</a:t>
                </a:r>
                <a:r>
                  <a:rPr lang="es-CO" sz="1000" b="1" i="0" u="none" strike="noStrike" baseline="0">
                    <a:effectLst/>
                  </a:rPr>
                  <a:t>Ω</a:t>
                </a:r>
                <a:r>
                  <a:rPr lang="es-CO" baseline="0"/>
                  <a:t>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097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Hoja5!$G$6:$G$8</c:f>
              <c:numCache>
                <c:formatCode>General</c:formatCode>
                <c:ptCount val="3"/>
                <c:pt idx="0">
                  <c:v>14281.5</c:v>
                </c:pt>
                <c:pt idx="1">
                  <c:v>14482.25</c:v>
                </c:pt>
                <c:pt idx="2">
                  <c:v>14601.5</c:v>
                </c:pt>
              </c:numCache>
            </c:numRef>
          </c:xVal>
          <c:yVal>
            <c:numRef>
              <c:f>Hoja5!$B$6:$B$8</c:f>
              <c:numCache>
                <c:formatCode>General</c:formatCode>
                <c:ptCount val="3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</c:numCache>
            </c:numRef>
          </c:yVal>
          <c:smooth val="0"/>
        </c:ser>
        <c:ser>
          <c:idx val="0"/>
          <c:order val="1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Hoja5!$G$6:$G$8</c:f>
              <c:numCache>
                <c:formatCode>General</c:formatCode>
                <c:ptCount val="3"/>
                <c:pt idx="0">
                  <c:v>14281.5</c:v>
                </c:pt>
                <c:pt idx="1">
                  <c:v>14482.25</c:v>
                </c:pt>
                <c:pt idx="2">
                  <c:v>14601.5</c:v>
                </c:pt>
              </c:numCache>
            </c:numRef>
          </c:xVal>
          <c:yVal>
            <c:numRef>
              <c:f>Hoja5!$B$6:$B$8</c:f>
              <c:numCache>
                <c:formatCode>General</c:formatCode>
                <c:ptCount val="3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690848"/>
        <c:axId val="-1457689760"/>
      </c:scatterChart>
      <c:valAx>
        <c:axId val="-145769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89760"/>
        <c:crosses val="autoZero"/>
        <c:crossBetween val="midCat"/>
      </c:valAx>
      <c:valAx>
        <c:axId val="-14576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9084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Hoja5!$G$14:$G$16</c:f>
              <c:numCache>
                <c:formatCode>General</c:formatCode>
                <c:ptCount val="3"/>
                <c:pt idx="0">
                  <c:v>14002.25</c:v>
                </c:pt>
                <c:pt idx="1">
                  <c:v>14084.25</c:v>
                </c:pt>
                <c:pt idx="2">
                  <c:v>14148.5</c:v>
                </c:pt>
              </c:numCache>
            </c:numRef>
          </c:xVal>
          <c:yVal>
            <c:numRef>
              <c:f>Hoja5!$B$14:$B$16</c:f>
              <c:numCache>
                <c:formatCode>General</c:formatCode>
                <c:ptCount val="3"/>
                <c:pt idx="0">
                  <c:v>530</c:v>
                </c:pt>
                <c:pt idx="1">
                  <c:v>470</c:v>
                </c:pt>
                <c:pt idx="2">
                  <c:v>360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797968"/>
        <c:axId val="-1412796880"/>
      </c:scatterChart>
      <c:valAx>
        <c:axId val="-14127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796880"/>
        <c:crosses val="autoZero"/>
        <c:crossBetween val="midCat"/>
      </c:valAx>
      <c:valAx>
        <c:axId val="-14127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7979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Hoja5!$G$22:$G$24</c:f>
              <c:numCache>
                <c:formatCode>General</c:formatCode>
                <c:ptCount val="3"/>
                <c:pt idx="0">
                  <c:v>13774.75</c:v>
                </c:pt>
                <c:pt idx="1">
                  <c:v>13848.75</c:v>
                </c:pt>
                <c:pt idx="2">
                  <c:v>13926</c:v>
                </c:pt>
              </c:numCache>
            </c:numRef>
          </c:xVal>
          <c:yVal>
            <c:numRef>
              <c:f>Hoja5!$B$22:$B$24</c:f>
              <c:numCache>
                <c:formatCode>General</c:formatCode>
                <c:ptCount val="3"/>
                <c:pt idx="0">
                  <c:v>710</c:v>
                </c:pt>
                <c:pt idx="1">
                  <c:v>650</c:v>
                </c:pt>
                <c:pt idx="2">
                  <c:v>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0688"/>
        <c:axId val="-1412807216"/>
      </c:scatterChart>
      <c:valAx>
        <c:axId val="-14128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807216"/>
        <c:crosses val="autoZero"/>
        <c:crossBetween val="midCat"/>
      </c:valAx>
      <c:valAx>
        <c:axId val="-14128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8006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Hoja5!$G$30:$G$32</c:f>
              <c:numCache>
                <c:formatCode>General</c:formatCode>
                <c:ptCount val="3"/>
                <c:pt idx="0">
                  <c:v>13307.75</c:v>
                </c:pt>
                <c:pt idx="1">
                  <c:v>13492.5</c:v>
                </c:pt>
                <c:pt idx="2">
                  <c:v>13651</c:v>
                </c:pt>
              </c:numCache>
            </c:numRef>
          </c:xVal>
          <c:yVal>
            <c:numRef>
              <c:f>Hoja5!$B$30:$B$32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830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6672"/>
        <c:axId val="-1412804496"/>
      </c:scatterChart>
      <c:valAx>
        <c:axId val="-141280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804496"/>
        <c:crosses val="autoZero"/>
        <c:crossBetween val="midCat"/>
      </c:valAx>
      <c:valAx>
        <c:axId val="-14128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8066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Impedancia Sensada vs Impedancia Real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Hoja5!$P$12:$P$23</c:f>
              <c:numCache>
                <c:formatCode>General</c:formatCode>
                <c:ptCount val="12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360</c:v>
                </c:pt>
                <c:pt idx="4">
                  <c:v>470</c:v>
                </c:pt>
                <c:pt idx="5">
                  <c:v>530</c:v>
                </c:pt>
                <c:pt idx="6">
                  <c:v>590</c:v>
                </c:pt>
                <c:pt idx="7">
                  <c:v>650</c:v>
                </c:pt>
                <c:pt idx="8">
                  <c:v>710</c:v>
                </c:pt>
                <c:pt idx="9">
                  <c:v>830</c:v>
                </c:pt>
                <c:pt idx="10">
                  <c:v>940</c:v>
                </c:pt>
                <c:pt idx="11">
                  <c:v>1000</c:v>
                </c:pt>
              </c:numCache>
            </c:numRef>
          </c:xVal>
          <c:yVal>
            <c:numRef>
              <c:f>Hoja5!$Q$12:$Q$23</c:f>
              <c:numCache>
                <c:formatCode>General</c:formatCode>
                <c:ptCount val="12"/>
                <c:pt idx="0">
                  <c:v>125.68</c:v>
                </c:pt>
                <c:pt idx="1">
                  <c:v>169.46</c:v>
                </c:pt>
                <c:pt idx="2">
                  <c:v>243.16</c:v>
                </c:pt>
                <c:pt idx="3">
                  <c:v>372.26</c:v>
                </c:pt>
                <c:pt idx="4">
                  <c:v>445.7</c:v>
                </c:pt>
                <c:pt idx="5">
                  <c:v>539.41999999999996</c:v>
                </c:pt>
                <c:pt idx="6">
                  <c:v>589.5</c:v>
                </c:pt>
                <c:pt idx="7">
                  <c:v>650.78</c:v>
                </c:pt>
                <c:pt idx="8">
                  <c:v>709.49</c:v>
                </c:pt>
                <c:pt idx="9">
                  <c:v>841.21</c:v>
                </c:pt>
                <c:pt idx="10">
                  <c:v>918.97</c:v>
                </c:pt>
                <c:pt idx="11">
                  <c:v>1009.61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6128"/>
        <c:axId val="-1412805584"/>
      </c:scatterChart>
      <c:valAx>
        <c:axId val="-14128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Impedancia Real [Ω]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805584"/>
        <c:crosses val="autoZero"/>
        <c:crossBetween val="midCat"/>
      </c:valAx>
      <c:valAx>
        <c:axId val="-1412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Impedancia Sensada [Ω]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80612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50864140317649"/>
                  <c:y val="-0.309561380574136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Hoja6!$C$29:$C$32</c:f>
              <c:numCache>
                <c:formatCode>General</c:formatCode>
                <c:ptCount val="4"/>
                <c:pt idx="0">
                  <c:v>20140.8</c:v>
                </c:pt>
                <c:pt idx="1">
                  <c:v>20120.8</c:v>
                </c:pt>
                <c:pt idx="2">
                  <c:v>20107.45</c:v>
                </c:pt>
                <c:pt idx="3">
                  <c:v>20084.599999999999</c:v>
                </c:pt>
              </c:numCache>
            </c:numRef>
          </c:xVal>
          <c:yVal>
            <c:numRef>
              <c:f>Hoja6!$D$29:$D$32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801776"/>
        <c:axId val="-1412800144"/>
      </c:scatterChart>
      <c:valAx>
        <c:axId val="-141280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800144"/>
        <c:crosses val="autoZero"/>
        <c:crossBetween val="midCat"/>
      </c:valAx>
      <c:valAx>
        <c:axId val="-14128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80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909863705258281"/>
                  <c:y val="-0.23722243603510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Hoja6!$C$38:$C$41</c:f>
              <c:numCache>
                <c:formatCode>General</c:formatCode>
                <c:ptCount val="4"/>
                <c:pt idx="0">
                  <c:v>20052.2</c:v>
                </c:pt>
                <c:pt idx="1">
                  <c:v>20011.400000000001</c:v>
                </c:pt>
                <c:pt idx="2">
                  <c:v>19950.599999999999</c:v>
                </c:pt>
                <c:pt idx="3">
                  <c:v>19838.099999999999</c:v>
                </c:pt>
              </c:numCache>
            </c:numRef>
          </c:xVal>
          <c:yVal>
            <c:numRef>
              <c:f>Hoja6!$D$38:$D$41</c:f>
              <c:numCache>
                <c:formatCode>General</c:formatCode>
                <c:ptCount val="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799600"/>
        <c:axId val="-1412799056"/>
      </c:scatterChart>
      <c:valAx>
        <c:axId val="-14127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799056"/>
        <c:crosses val="autoZero"/>
        <c:crossBetween val="midCat"/>
      </c:valAx>
      <c:valAx>
        <c:axId val="-14127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7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324865798810329E-2"/>
                  <c:y val="-0.12228783973375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Hoja6!$C$46:$C$49</c:f>
              <c:numCache>
                <c:formatCode>General</c:formatCode>
                <c:ptCount val="4"/>
                <c:pt idx="0">
                  <c:v>19808.5</c:v>
                </c:pt>
                <c:pt idx="1">
                  <c:v>19663.849999999999</c:v>
                </c:pt>
                <c:pt idx="2">
                  <c:v>19486.5</c:v>
                </c:pt>
                <c:pt idx="3">
                  <c:v>19472.099999999999</c:v>
                </c:pt>
              </c:numCache>
            </c:numRef>
          </c:xVal>
          <c:yVal>
            <c:numRef>
              <c:f>Hoja6!$D$46:$D$49</c:f>
              <c:numCache>
                <c:formatCode>General</c:formatCode>
                <c:ptCount val="4"/>
                <c:pt idx="0">
                  <c:v>550</c:v>
                </c:pt>
                <c:pt idx="1">
                  <c:v>600</c:v>
                </c:pt>
                <c:pt idx="2">
                  <c:v>700</c:v>
                </c:pt>
                <c:pt idx="3">
                  <c:v>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2793072"/>
        <c:axId val="-1412792528"/>
      </c:scatterChart>
      <c:valAx>
        <c:axId val="-14127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792528"/>
        <c:crosses val="autoZero"/>
        <c:crossBetween val="midCat"/>
      </c:valAx>
      <c:valAx>
        <c:axId val="-14127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27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23178845586103"/>
                  <c:y val="-0.1327459031207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Hoja6!$C$54:$C$57</c:f>
              <c:numCache>
                <c:formatCode>General</c:formatCode>
                <c:ptCount val="4"/>
                <c:pt idx="0">
                  <c:v>19347.45</c:v>
                </c:pt>
                <c:pt idx="1">
                  <c:v>18965.849999999999</c:v>
                </c:pt>
                <c:pt idx="2">
                  <c:v>18418.45</c:v>
                </c:pt>
                <c:pt idx="3">
                  <c:v>17900.349999999999</c:v>
                </c:pt>
              </c:numCache>
            </c:numRef>
          </c:xVal>
          <c:yVal>
            <c:numRef>
              <c:f>Hoja6!$D$54:$D$57</c:f>
              <c:numCache>
                <c:formatCode>General</c:formatCode>
                <c:ptCount val="4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1819136"/>
        <c:axId val="-1411825664"/>
      </c:scatterChart>
      <c:valAx>
        <c:axId val="-14118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1825664"/>
        <c:crosses val="autoZero"/>
        <c:crossBetween val="midCat"/>
      </c:valAx>
      <c:valAx>
        <c:axId val="-14118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118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470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127515310586174E-2"/>
                  <c:y val="-0.1779990522018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Hoja1!$F$5:$F$10</c:f>
              <c:numCache>
                <c:formatCode>General</c:formatCode>
                <c:ptCount val="6"/>
                <c:pt idx="0">
                  <c:v>20259</c:v>
                </c:pt>
                <c:pt idx="1">
                  <c:v>20148.25</c:v>
                </c:pt>
                <c:pt idx="2">
                  <c:v>19981.75</c:v>
                </c:pt>
                <c:pt idx="3">
                  <c:v>19660.5</c:v>
                </c:pt>
                <c:pt idx="4">
                  <c:v>19447.25</c:v>
                </c:pt>
                <c:pt idx="5">
                  <c:v>18637</c:v>
                </c:pt>
              </c:numCache>
            </c:numRef>
          </c:cat>
          <c:val>
            <c:numRef>
              <c:f>Hoja1!$A$5:$A$10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60972080"/>
        <c:axId val="-1460970992"/>
      </c:lineChart>
      <c:catAx>
        <c:axId val="-146097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0970992"/>
        <c:crosses val="autoZero"/>
        <c:auto val="1"/>
        <c:lblAlgn val="ctr"/>
        <c:lblOffset val="100"/>
        <c:noMultiLvlLbl val="0"/>
      </c:catAx>
      <c:valAx>
        <c:axId val="-14609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609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Rref 680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280183727034117E-2"/>
                  <c:y val="-0.45830088947214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cat>
            <c:numRef>
              <c:f>Hoja1!$M$5:$M$10</c:f>
              <c:numCache>
                <c:formatCode>General</c:formatCode>
                <c:ptCount val="6"/>
                <c:pt idx="0">
                  <c:v>20243.5</c:v>
                </c:pt>
                <c:pt idx="1">
                  <c:v>20168.25</c:v>
                </c:pt>
                <c:pt idx="2">
                  <c:v>20085.5</c:v>
                </c:pt>
                <c:pt idx="3">
                  <c:v>19983.75</c:v>
                </c:pt>
                <c:pt idx="4">
                  <c:v>19823</c:v>
                </c:pt>
                <c:pt idx="5">
                  <c:v>19661.75</c:v>
                </c:pt>
              </c:numCache>
            </c:numRef>
          </c:cat>
          <c:val>
            <c:numRef>
              <c:f>Hoja1!$H$5:$H$10</c:f>
              <c:numCache>
                <c:formatCode>General</c:formatCode>
                <c:ptCount val="6"/>
                <c:pt idx="0">
                  <c:v>100</c:v>
                </c:pt>
                <c:pt idx="1">
                  <c:v>220</c:v>
                </c:pt>
                <c:pt idx="2">
                  <c:v>470</c:v>
                </c:pt>
                <c:pt idx="3">
                  <c:v>680</c:v>
                </c:pt>
                <c:pt idx="4">
                  <c:v>780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44680272"/>
        <c:axId val="-1457690304"/>
      </c:lineChart>
      <c:catAx>
        <c:axId val="-16446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90304"/>
        <c:crosses val="autoZero"/>
        <c:auto val="1"/>
        <c:lblAlgn val="ctr"/>
        <c:lblOffset val="100"/>
        <c:noMultiLvlLbl val="0"/>
      </c:catAx>
      <c:valAx>
        <c:axId val="-1457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446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Hoja2!$E$5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Hoja2!$D$6:$D$11</c:f>
              <c:numCache>
                <c:formatCode>General</c:formatCode>
                <c:ptCount val="6"/>
                <c:pt idx="0">
                  <c:v>18637</c:v>
                </c:pt>
                <c:pt idx="1">
                  <c:v>19447.25</c:v>
                </c:pt>
                <c:pt idx="2">
                  <c:v>19660.5</c:v>
                </c:pt>
                <c:pt idx="3">
                  <c:v>19981.75</c:v>
                </c:pt>
                <c:pt idx="4">
                  <c:v>20148.25</c:v>
                </c:pt>
                <c:pt idx="5">
                  <c:v>20259</c:v>
                </c:pt>
              </c:numCache>
            </c:numRef>
          </c:xVal>
          <c:yVal>
            <c:numRef>
              <c:f>Hoja2!$E$6:$E$11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685408"/>
        <c:axId val="-1457681600"/>
      </c:scatterChart>
      <c:valAx>
        <c:axId val="-14576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81600"/>
        <c:crosses val="autoZero"/>
        <c:crossBetween val="midCat"/>
      </c:valAx>
      <c:valAx>
        <c:axId val="-14576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Hoja2!$E$19</c:f>
              <c:strCache>
                <c:ptCount val="1"/>
                <c:pt idx="0">
                  <c:v>Valor medido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Hoja2!$D$20:$D$25</c:f>
              <c:numCache>
                <c:formatCode>General</c:formatCode>
                <c:ptCount val="6"/>
                <c:pt idx="0">
                  <c:v>19661.75</c:v>
                </c:pt>
                <c:pt idx="1">
                  <c:v>19823</c:v>
                </c:pt>
                <c:pt idx="2">
                  <c:v>19983.75</c:v>
                </c:pt>
                <c:pt idx="3">
                  <c:v>20085.5</c:v>
                </c:pt>
                <c:pt idx="4">
                  <c:v>20168.25</c:v>
                </c:pt>
                <c:pt idx="5">
                  <c:v>20243.5</c:v>
                </c:pt>
              </c:numCache>
            </c:numRef>
          </c:xVal>
          <c:yVal>
            <c:numRef>
              <c:f>Hoja2!$E$20:$E$25</c:f>
              <c:numCache>
                <c:formatCode>General</c:formatCode>
                <c:ptCount val="6"/>
                <c:pt idx="0">
                  <c:v>1000</c:v>
                </c:pt>
                <c:pt idx="1">
                  <c:v>780</c:v>
                </c:pt>
                <c:pt idx="2">
                  <c:v>680</c:v>
                </c:pt>
                <c:pt idx="3">
                  <c:v>470</c:v>
                </c:pt>
                <c:pt idx="4">
                  <c:v>220</c:v>
                </c:pt>
                <c:pt idx="5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687584"/>
        <c:axId val="-1457688672"/>
      </c:scatterChart>
      <c:valAx>
        <c:axId val="-14576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88672"/>
        <c:crosses val="autoZero"/>
        <c:crossBetween val="midCat"/>
      </c:valAx>
      <c:valAx>
        <c:axId val="-14576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Ec. Grafica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22843790867604"/>
                  <c:y val="-0.33965438432306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Hoja3!$G$6:$G$8</c:f>
              <c:numCache>
                <c:formatCode>General</c:formatCode>
                <c:ptCount val="3"/>
                <c:pt idx="0">
                  <c:v>20164.75</c:v>
                </c:pt>
                <c:pt idx="1">
                  <c:v>20218.75</c:v>
                </c:pt>
                <c:pt idx="2">
                  <c:v>20265.5</c:v>
                </c:pt>
              </c:numCache>
            </c:numRef>
          </c:xVal>
          <c:yVal>
            <c:numRef>
              <c:f>Hoja3!$B$6:$B$8</c:f>
              <c:numCache>
                <c:formatCode>General</c:formatCode>
                <c:ptCount val="3"/>
                <c:pt idx="0">
                  <c:v>220</c:v>
                </c:pt>
                <c:pt idx="1">
                  <c:v>147</c:v>
                </c:pt>
                <c:pt idx="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688128"/>
        <c:axId val="-1457694112"/>
      </c:scatterChart>
      <c:valAx>
        <c:axId val="-14576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94112"/>
        <c:crosses val="autoZero"/>
        <c:crossBetween val="midCat"/>
      </c:valAx>
      <c:valAx>
        <c:axId val="-14576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2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99517750592594"/>
                  <c:y val="-0.183880805129206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Hoja3!$G$14:$G$16</c:f>
              <c:numCache>
                <c:formatCode>General</c:formatCode>
                <c:ptCount val="3"/>
                <c:pt idx="0">
                  <c:v>19859.75</c:v>
                </c:pt>
                <c:pt idx="1">
                  <c:v>20101.5</c:v>
                </c:pt>
                <c:pt idx="2">
                  <c:v>20135</c:v>
                </c:pt>
              </c:numCache>
            </c:numRef>
          </c:xVal>
          <c:yVal>
            <c:numRef>
              <c:f>Hoja3!$B$14:$B$16</c:f>
              <c:numCache>
                <c:formatCode>General</c:formatCode>
                <c:ptCount val="3"/>
                <c:pt idx="0">
                  <c:v>470</c:v>
                </c:pt>
                <c:pt idx="1">
                  <c:v>320</c:v>
                </c:pt>
                <c:pt idx="2">
                  <c:v>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684320"/>
        <c:axId val="-1457682144"/>
      </c:scatterChart>
      <c:valAx>
        <c:axId val="-145768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82144"/>
        <c:crosses val="autoZero"/>
        <c:crossBetween val="midCat"/>
      </c:valAx>
      <c:valAx>
        <c:axId val="-14576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82806601229641"/>
                  <c:y val="0.16025565048826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Hoja3!$G$22:$G$24</c:f>
              <c:numCache>
                <c:formatCode>General</c:formatCode>
                <c:ptCount val="3"/>
                <c:pt idx="0">
                  <c:v>19318.5</c:v>
                </c:pt>
                <c:pt idx="1">
                  <c:v>19408.75</c:v>
                </c:pt>
                <c:pt idx="2">
                  <c:v>19618.25</c:v>
                </c:pt>
              </c:numCache>
            </c:numRef>
          </c:xVal>
          <c:yVal>
            <c:numRef>
              <c:f>Hoja3!$B$22:$B$24</c:f>
              <c:numCache>
                <c:formatCode>General</c:formatCode>
                <c:ptCount val="3"/>
                <c:pt idx="0">
                  <c:v>727</c:v>
                </c:pt>
                <c:pt idx="1">
                  <c:v>680</c:v>
                </c:pt>
                <c:pt idx="2">
                  <c:v>570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682688"/>
        <c:axId val="-1457696288"/>
      </c:scatterChart>
      <c:valAx>
        <c:axId val="-145768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96288"/>
        <c:crosses val="autoZero"/>
        <c:crossBetween val="midCat"/>
      </c:valAx>
      <c:valAx>
        <c:axId val="-14576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8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Ec. Grafica 4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346599532201332"/>
                  <c:y val="-0.187366729387165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Hoja3!$G$31:$G$33</c:f>
              <c:numCache>
                <c:formatCode>General</c:formatCode>
                <c:ptCount val="3"/>
                <c:pt idx="0">
                  <c:v>18370.25</c:v>
                </c:pt>
                <c:pt idx="1">
                  <c:v>18799</c:v>
                </c:pt>
                <c:pt idx="2">
                  <c:v>19101.25</c:v>
                </c:pt>
              </c:numCache>
            </c:numRef>
          </c:xVal>
          <c:yVal>
            <c:numRef>
              <c:f>Hoja3!$B$31:$B$33</c:f>
              <c:numCache>
                <c:formatCode>General</c:formatCode>
                <c:ptCount val="3"/>
                <c:pt idx="0">
                  <c:v>1000</c:v>
                </c:pt>
                <c:pt idx="1">
                  <c:v>940</c:v>
                </c:pt>
                <c:pt idx="2">
                  <c:v>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693568"/>
        <c:axId val="-1457693024"/>
      </c:scatterChart>
      <c:valAx>
        <c:axId val="-145769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93024"/>
        <c:crosses val="autoZero"/>
        <c:crossBetween val="midCat"/>
      </c:valAx>
      <c:valAx>
        <c:axId val="-1457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45769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21</xdr:row>
      <xdr:rowOff>166687</xdr:rowOff>
    </xdr:from>
    <xdr:to>
      <xdr:col>5</xdr:col>
      <xdr:colOff>1647825</xdr:colOff>
      <xdr:row>36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11</xdr:row>
      <xdr:rowOff>4762</xdr:rowOff>
    </xdr:from>
    <xdr:to>
      <xdr:col>6</xdr:col>
      <xdr:colOff>0</xdr:colOff>
      <xdr:row>25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11</xdr:row>
      <xdr:rowOff>14287</xdr:rowOff>
    </xdr:from>
    <xdr:to>
      <xdr:col>11</xdr:col>
      <xdr:colOff>552450</xdr:colOff>
      <xdr:row>25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</xdr:row>
      <xdr:rowOff>14287</xdr:rowOff>
    </xdr:from>
    <xdr:to>
      <xdr:col>14</xdr:col>
      <xdr:colOff>333375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17</xdr:row>
      <xdr:rowOff>23812</xdr:rowOff>
    </xdr:from>
    <xdr:to>
      <xdr:col>14</xdr:col>
      <xdr:colOff>333375</xdr:colOff>
      <xdr:row>31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447675</xdr:colOff>
      <xdr:row>10</xdr:row>
      <xdr:rowOff>33338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847725</xdr:colOff>
      <xdr:row>10</xdr:row>
      <xdr:rowOff>42862</xdr:rowOff>
    </xdr:from>
    <xdr:to>
      <xdr:col>13</xdr:col>
      <xdr:colOff>457200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42863</xdr:rowOff>
    </xdr:from>
    <xdr:to>
      <xdr:col>13</xdr:col>
      <xdr:colOff>457200</xdr:colOff>
      <xdr:row>27</xdr:row>
      <xdr:rowOff>171451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9526</xdr:colOff>
      <xdr:row>27</xdr:row>
      <xdr:rowOff>176213</xdr:rowOff>
    </xdr:from>
    <xdr:to>
      <xdr:col>13</xdr:col>
      <xdr:colOff>466725</xdr:colOff>
      <xdr:row>36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0</xdr:row>
      <xdr:rowOff>14287</xdr:rowOff>
    </xdr:from>
    <xdr:to>
      <xdr:col>14</xdr:col>
      <xdr:colOff>1</xdr:colOff>
      <xdr:row>9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9</xdr:row>
      <xdr:rowOff>185737</xdr:rowOff>
    </xdr:from>
    <xdr:to>
      <xdr:col>14</xdr:col>
      <xdr:colOff>19050</xdr:colOff>
      <xdr:row>19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119062</xdr:rowOff>
    </xdr:from>
    <xdr:to>
      <xdr:col>14</xdr:col>
      <xdr:colOff>0</xdr:colOff>
      <xdr:row>30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30</xdr:row>
      <xdr:rowOff>14287</xdr:rowOff>
    </xdr:from>
    <xdr:to>
      <xdr:col>14</xdr:col>
      <xdr:colOff>0</xdr:colOff>
      <xdr:row>40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685800</xdr:colOff>
      <xdr:row>11</xdr:row>
      <xdr:rowOff>71437</xdr:rowOff>
    </xdr:from>
    <xdr:to>
      <xdr:col>26</xdr:col>
      <xdr:colOff>685800</xdr:colOff>
      <xdr:row>25</xdr:row>
      <xdr:rowOff>147637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752476</xdr:colOff>
      <xdr:row>26</xdr:row>
      <xdr:rowOff>23812</xdr:rowOff>
    </xdr:from>
    <xdr:to>
      <xdr:col>9</xdr:col>
      <xdr:colOff>714375</xdr:colOff>
      <xdr:row>35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752476</xdr:colOff>
      <xdr:row>35</xdr:row>
      <xdr:rowOff>33338</xdr:rowOff>
    </xdr:from>
    <xdr:to>
      <xdr:col>9</xdr:col>
      <xdr:colOff>714375</xdr:colOff>
      <xdr:row>45</xdr:row>
      <xdr:rowOff>9526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752475</xdr:colOff>
      <xdr:row>45</xdr:row>
      <xdr:rowOff>14287</xdr:rowOff>
    </xdr:from>
    <xdr:to>
      <xdr:col>9</xdr:col>
      <xdr:colOff>733425</xdr:colOff>
      <xdr:row>55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742951</xdr:colOff>
      <xdr:row>55</xdr:row>
      <xdr:rowOff>23813</xdr:rowOff>
    </xdr:from>
    <xdr:to>
      <xdr:col>9</xdr:col>
      <xdr:colOff>733425</xdr:colOff>
      <xdr:row>65</xdr:row>
      <xdr:rowOff>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opLeftCell="A7" workbookViewId="0">
      <selection activeCell="B3" sqref="B3:I18"/>
    </sheetView>
  </sheetViews>
  <sheetFormatPr baseColWidth="10" defaultRowHeight="15" x14ac:dyDescent="0.25"/>
  <cols>
    <col min="1" max="1" width="30.85546875" customWidth="1"/>
    <col min="2" max="2" width="25.7109375" customWidth="1"/>
    <col min="3" max="3" width="28.140625" customWidth="1"/>
    <col min="4" max="4" width="26.42578125" customWidth="1"/>
    <col min="5" max="5" width="26" customWidth="1"/>
    <col min="6" max="6" width="25.5703125" customWidth="1"/>
    <col min="7" max="7" width="24.28515625" customWidth="1"/>
    <col min="8" max="8" width="26.85546875" customWidth="1"/>
    <col min="9" max="9" width="26.5703125" customWidth="1"/>
  </cols>
  <sheetData>
    <row r="2" spans="1:9" x14ac:dyDescent="0.25">
      <c r="A2" s="38" t="s">
        <v>14</v>
      </c>
      <c r="B2" s="39"/>
      <c r="C2" s="39"/>
      <c r="D2" s="39"/>
      <c r="E2" s="39"/>
      <c r="F2" s="39"/>
      <c r="G2" s="39"/>
      <c r="H2" s="39"/>
      <c r="I2" s="40"/>
    </row>
    <row r="3" spans="1:9" ht="15.75" x14ac:dyDescent="0.25">
      <c r="A3" s="35"/>
      <c r="B3" s="22" t="s">
        <v>15</v>
      </c>
      <c r="C3" s="23" t="s">
        <v>17</v>
      </c>
      <c r="D3" s="23" t="s">
        <v>16</v>
      </c>
      <c r="E3" s="23" t="s">
        <v>18</v>
      </c>
      <c r="F3" s="23" t="s">
        <v>15</v>
      </c>
      <c r="G3" s="23" t="s">
        <v>20</v>
      </c>
      <c r="H3" s="23" t="s">
        <v>21</v>
      </c>
      <c r="I3" s="23" t="s">
        <v>22</v>
      </c>
    </row>
    <row r="4" spans="1:9" ht="15.75" x14ac:dyDescent="0.25">
      <c r="A4" s="36"/>
      <c r="B4" s="24">
        <v>140</v>
      </c>
      <c r="C4" s="25">
        <v>135</v>
      </c>
      <c r="D4" s="25">
        <v>483</v>
      </c>
      <c r="E4" s="25">
        <v>615</v>
      </c>
      <c r="F4" s="25">
        <v>139</v>
      </c>
      <c r="G4" s="25">
        <v>72</v>
      </c>
      <c r="H4" s="25">
        <v>6318</v>
      </c>
      <c r="I4" s="25">
        <v>335</v>
      </c>
    </row>
    <row r="5" spans="1:9" ht="15.75" x14ac:dyDescent="0.25">
      <c r="A5" s="36"/>
      <c r="B5" s="24">
        <v>163</v>
      </c>
      <c r="C5" s="25">
        <v>131</v>
      </c>
      <c r="D5" s="25">
        <v>472</v>
      </c>
      <c r="E5" s="25">
        <v>651</v>
      </c>
      <c r="F5" s="25">
        <v>131</v>
      </c>
      <c r="G5" s="25">
        <v>67</v>
      </c>
      <c r="H5" s="25">
        <v>6317</v>
      </c>
      <c r="I5" s="25">
        <v>325</v>
      </c>
    </row>
    <row r="6" spans="1:9" ht="15.75" x14ac:dyDescent="0.25">
      <c r="A6" s="36"/>
      <c r="B6" s="24">
        <v>149</v>
      </c>
      <c r="C6" s="25">
        <v>129</v>
      </c>
      <c r="D6" s="25">
        <v>507</v>
      </c>
      <c r="E6" s="25">
        <v>626</v>
      </c>
      <c r="F6" s="25">
        <v>202</v>
      </c>
      <c r="G6" s="25">
        <v>42</v>
      </c>
      <c r="H6" s="25">
        <v>6329</v>
      </c>
      <c r="I6" s="25">
        <v>209</v>
      </c>
    </row>
    <row r="7" spans="1:9" ht="15.75" x14ac:dyDescent="0.25">
      <c r="A7" s="36"/>
      <c r="B7" s="24">
        <v>135</v>
      </c>
      <c r="C7" s="25">
        <v>134</v>
      </c>
      <c r="D7" s="25">
        <v>510</v>
      </c>
      <c r="E7" s="25">
        <v>614</v>
      </c>
      <c r="F7" s="25">
        <v>177</v>
      </c>
      <c r="G7" s="25">
        <v>45</v>
      </c>
      <c r="H7" s="25">
        <v>6321</v>
      </c>
      <c r="I7" s="25">
        <v>390</v>
      </c>
    </row>
    <row r="8" spans="1:9" ht="15.75" x14ac:dyDescent="0.25">
      <c r="A8" s="36"/>
      <c r="B8" s="24">
        <v>149</v>
      </c>
      <c r="C8" s="25">
        <v>134</v>
      </c>
      <c r="D8" s="25">
        <v>459</v>
      </c>
      <c r="E8" s="25">
        <v>683</v>
      </c>
      <c r="F8" s="25">
        <v>140</v>
      </c>
      <c r="G8" s="25">
        <v>60</v>
      </c>
      <c r="H8" s="25">
        <v>6316</v>
      </c>
      <c r="I8" s="25">
        <v>462</v>
      </c>
    </row>
    <row r="9" spans="1:9" ht="15.75" x14ac:dyDescent="0.25">
      <c r="A9" s="36"/>
      <c r="B9" s="24">
        <v>140</v>
      </c>
      <c r="C9" s="25">
        <v>151</v>
      </c>
      <c r="D9" s="25">
        <v>492</v>
      </c>
      <c r="E9" s="25">
        <v>642</v>
      </c>
      <c r="F9" s="25">
        <v>145</v>
      </c>
      <c r="G9" s="25">
        <v>65</v>
      </c>
      <c r="H9" s="25">
        <v>6335</v>
      </c>
      <c r="I9" s="25">
        <v>302</v>
      </c>
    </row>
    <row r="10" spans="1:9" ht="15.75" x14ac:dyDescent="0.25">
      <c r="A10" s="36"/>
      <c r="B10" s="24">
        <v>134</v>
      </c>
      <c r="C10" s="25">
        <v>154</v>
      </c>
      <c r="D10" s="25">
        <v>507</v>
      </c>
      <c r="E10" s="25">
        <v>655</v>
      </c>
      <c r="F10" s="25">
        <v>188</v>
      </c>
      <c r="G10" s="25">
        <v>61</v>
      </c>
      <c r="H10" s="25">
        <v>6338</v>
      </c>
      <c r="I10" s="25">
        <v>388</v>
      </c>
    </row>
    <row r="11" spans="1:9" ht="15.75" x14ac:dyDescent="0.25">
      <c r="A11" s="36"/>
      <c r="B11" s="24">
        <v>183</v>
      </c>
      <c r="C11" s="25">
        <v>164</v>
      </c>
      <c r="D11" s="25">
        <v>439</v>
      </c>
      <c r="E11" s="25">
        <v>654</v>
      </c>
      <c r="F11" s="25">
        <v>179</v>
      </c>
      <c r="G11" s="25">
        <v>48</v>
      </c>
      <c r="H11" s="25">
        <v>6330</v>
      </c>
      <c r="I11" s="25">
        <v>284</v>
      </c>
    </row>
    <row r="12" spans="1:9" ht="15.75" x14ac:dyDescent="0.25">
      <c r="A12" s="36"/>
      <c r="B12" s="24">
        <v>171</v>
      </c>
      <c r="C12" s="25">
        <v>141</v>
      </c>
      <c r="D12" s="25">
        <v>427</v>
      </c>
      <c r="E12" s="25">
        <v>649</v>
      </c>
      <c r="F12" s="25">
        <v>176</v>
      </c>
      <c r="G12" s="25">
        <v>57</v>
      </c>
      <c r="H12" s="25">
        <v>6327</v>
      </c>
      <c r="I12" s="25">
        <v>180</v>
      </c>
    </row>
    <row r="13" spans="1:9" ht="15.75" x14ac:dyDescent="0.25">
      <c r="A13" s="36"/>
      <c r="B13" s="24">
        <v>180</v>
      </c>
      <c r="C13" s="25">
        <v>170</v>
      </c>
      <c r="D13" s="25">
        <v>476</v>
      </c>
      <c r="E13" s="25">
        <v>610</v>
      </c>
      <c r="F13" s="25">
        <v>151</v>
      </c>
      <c r="G13" s="25">
        <v>66</v>
      </c>
      <c r="H13" s="25">
        <v>6326</v>
      </c>
      <c r="I13" s="25">
        <v>190</v>
      </c>
    </row>
    <row r="14" spans="1:9" ht="15.75" x14ac:dyDescent="0.25">
      <c r="A14" s="36"/>
      <c r="B14" s="24">
        <v>139</v>
      </c>
      <c r="C14" s="25">
        <v>134</v>
      </c>
      <c r="D14" s="25">
        <v>486</v>
      </c>
      <c r="E14" s="25">
        <v>661</v>
      </c>
      <c r="F14" s="25">
        <v>165</v>
      </c>
      <c r="G14" s="25">
        <v>79</v>
      </c>
      <c r="H14" s="25">
        <v>6320</v>
      </c>
      <c r="I14" s="25">
        <v>288</v>
      </c>
    </row>
    <row r="15" spans="1:9" ht="15.75" x14ac:dyDescent="0.25">
      <c r="A15" s="36"/>
      <c r="B15" s="26"/>
      <c r="C15" s="27"/>
      <c r="D15" s="27"/>
      <c r="E15" s="27"/>
      <c r="F15" s="28" t="s">
        <v>19</v>
      </c>
      <c r="G15" s="27"/>
      <c r="H15" s="27"/>
      <c r="I15" s="27"/>
    </row>
    <row r="16" spans="1:9" ht="15.75" x14ac:dyDescent="0.25">
      <c r="A16" s="37"/>
      <c r="B16" s="29">
        <f t="shared" ref="B16:I16" si="0">(B4+B5+B6+B7+B8+B9+B10+B11+B12+B13)/10</f>
        <v>154.4</v>
      </c>
      <c r="C16" s="30">
        <f t="shared" si="0"/>
        <v>144.30000000000001</v>
      </c>
      <c r="D16" s="30">
        <f t="shared" si="0"/>
        <v>477.2</v>
      </c>
      <c r="E16" s="30">
        <f t="shared" si="0"/>
        <v>639.9</v>
      </c>
      <c r="F16" s="30">
        <f t="shared" si="0"/>
        <v>162.80000000000001</v>
      </c>
      <c r="G16" s="30">
        <f t="shared" si="0"/>
        <v>58.3</v>
      </c>
      <c r="H16" s="30">
        <f t="shared" si="0"/>
        <v>6325.7</v>
      </c>
      <c r="I16" s="30">
        <f t="shared" si="0"/>
        <v>306.5</v>
      </c>
    </row>
    <row r="17" spans="1:9" ht="15.75" x14ac:dyDescent="0.25">
      <c r="A17" s="2" t="s">
        <v>23</v>
      </c>
      <c r="B17" s="30">
        <f>MAX(B4:B14)</f>
        <v>183</v>
      </c>
      <c r="C17" s="30">
        <f t="shared" ref="C17:I17" si="1">MAX(C4:C14)</f>
        <v>170</v>
      </c>
      <c r="D17" s="30">
        <f t="shared" si="1"/>
        <v>510</v>
      </c>
      <c r="E17" s="30">
        <f t="shared" si="1"/>
        <v>683</v>
      </c>
      <c r="F17" s="31">
        <f t="shared" si="1"/>
        <v>202</v>
      </c>
      <c r="G17" s="30">
        <f t="shared" si="1"/>
        <v>79</v>
      </c>
      <c r="H17" s="30">
        <f t="shared" si="1"/>
        <v>6338</v>
      </c>
      <c r="I17" s="30">
        <f t="shared" si="1"/>
        <v>462</v>
      </c>
    </row>
    <row r="18" spans="1:9" ht="15.75" x14ac:dyDescent="0.25">
      <c r="A18" s="2" t="s">
        <v>24</v>
      </c>
      <c r="B18" s="30">
        <f>MIN(B4:B14)</f>
        <v>134</v>
      </c>
      <c r="C18" s="30">
        <f t="shared" ref="C18:I18" si="2">MIN(C4:C14)</f>
        <v>129</v>
      </c>
      <c r="D18" s="32">
        <f t="shared" si="2"/>
        <v>427</v>
      </c>
      <c r="E18" s="30">
        <f t="shared" si="2"/>
        <v>610</v>
      </c>
      <c r="F18" s="30">
        <f t="shared" si="2"/>
        <v>131</v>
      </c>
      <c r="G18" s="30">
        <f t="shared" si="2"/>
        <v>42</v>
      </c>
      <c r="H18" s="30">
        <f t="shared" si="2"/>
        <v>6316</v>
      </c>
      <c r="I18" s="30">
        <f t="shared" si="2"/>
        <v>180</v>
      </c>
    </row>
    <row r="21" spans="1:9" x14ac:dyDescent="0.25">
      <c r="A21" t="s">
        <v>25</v>
      </c>
      <c r="B21">
        <f>D18</f>
        <v>427</v>
      </c>
      <c r="C21">
        <f>I17</f>
        <v>462</v>
      </c>
    </row>
    <row r="22" spans="1:9" x14ac:dyDescent="0.25">
      <c r="A22" t="s">
        <v>26</v>
      </c>
      <c r="B22">
        <v>2500</v>
      </c>
    </row>
    <row r="23" spans="1:9" x14ac:dyDescent="0.25">
      <c r="A23" t="s">
        <v>27</v>
      </c>
      <c r="B23">
        <v>1100</v>
      </c>
    </row>
    <row r="24" spans="1:9" x14ac:dyDescent="0.25">
      <c r="B24" s="8"/>
      <c r="C24" s="8"/>
    </row>
    <row r="25" spans="1:9" x14ac:dyDescent="0.25">
      <c r="B25" s="2">
        <v>1</v>
      </c>
      <c r="C25" s="2">
        <v>154.4</v>
      </c>
    </row>
    <row r="26" spans="1:9" x14ac:dyDescent="0.25">
      <c r="B26" s="2">
        <v>0.5</v>
      </c>
      <c r="C26" s="2">
        <v>477.2</v>
      </c>
    </row>
    <row r="27" spans="1:9" x14ac:dyDescent="0.25">
      <c r="B27" s="2">
        <v>0.25</v>
      </c>
      <c r="C27" s="2">
        <v>639.9</v>
      </c>
    </row>
  </sheetData>
  <mergeCells count="2">
    <mergeCell ref="A3:A16"/>
    <mergeCell ref="A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opLeftCell="A2" workbookViewId="0">
      <selection activeCell="M4" activeCellId="1" sqref="H4:H10 M4:M10"/>
    </sheetView>
  </sheetViews>
  <sheetFormatPr baseColWidth="10" defaultRowHeight="15" x14ac:dyDescent="0.25"/>
  <cols>
    <col min="1" max="2" width="13.85546875" customWidth="1"/>
    <col min="3" max="3" width="13.5703125" customWidth="1"/>
    <col min="4" max="4" width="14.85546875" customWidth="1"/>
    <col min="5" max="5" width="14.140625" customWidth="1"/>
    <col min="8" max="8" width="17.28515625" customWidth="1"/>
    <col min="9" max="9" width="15.28515625" customWidth="1"/>
    <col min="10" max="10" width="13.85546875" customWidth="1"/>
    <col min="11" max="11" width="14.28515625" customWidth="1"/>
    <col min="12" max="12" width="14.140625" customWidth="1"/>
  </cols>
  <sheetData>
    <row r="3" spans="1:13" x14ac:dyDescent="0.25">
      <c r="A3" s="41" t="s">
        <v>3</v>
      </c>
      <c r="B3" s="41"/>
      <c r="C3" s="41"/>
      <c r="D3" s="41"/>
      <c r="E3" s="41"/>
      <c r="F3" s="41"/>
      <c r="H3" s="41" t="s">
        <v>6</v>
      </c>
      <c r="I3" s="41"/>
      <c r="J3" s="41"/>
      <c r="K3" s="41"/>
      <c r="L3" s="41"/>
      <c r="M3" s="41"/>
    </row>
    <row r="4" spans="1:13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4" t="s">
        <v>7</v>
      </c>
      <c r="H4" s="1" t="s">
        <v>0</v>
      </c>
      <c r="I4" s="1" t="s">
        <v>1</v>
      </c>
      <c r="J4" s="1" t="s">
        <v>2</v>
      </c>
      <c r="K4" s="1" t="s">
        <v>4</v>
      </c>
      <c r="L4" s="1" t="s">
        <v>5</v>
      </c>
      <c r="M4" s="4" t="s">
        <v>7</v>
      </c>
    </row>
    <row r="5" spans="1:13" x14ac:dyDescent="0.25">
      <c r="A5" s="3">
        <v>100</v>
      </c>
      <c r="B5" s="2">
        <v>20240</v>
      </c>
      <c r="C5" s="2">
        <v>20260</v>
      </c>
      <c r="D5" s="2">
        <v>20265</v>
      </c>
      <c r="E5" s="2">
        <v>20271</v>
      </c>
      <c r="F5" s="2">
        <f>(B5+C5+D5+E5)/4</f>
        <v>20259</v>
      </c>
      <c r="H5" s="3">
        <v>100</v>
      </c>
      <c r="I5" s="2">
        <v>20231</v>
      </c>
      <c r="J5" s="2">
        <v>20261</v>
      </c>
      <c r="K5" s="2">
        <v>20278</v>
      </c>
      <c r="L5" s="2">
        <v>20204</v>
      </c>
      <c r="M5" s="2">
        <f>(I5+J5+K5+L5)/4</f>
        <v>20243.5</v>
      </c>
    </row>
    <row r="6" spans="1:13" x14ac:dyDescent="0.25">
      <c r="A6" s="3">
        <v>220</v>
      </c>
      <c r="B6" s="2">
        <v>20156</v>
      </c>
      <c r="C6" s="2">
        <v>20133</v>
      </c>
      <c r="D6" s="2">
        <v>20162</v>
      </c>
      <c r="E6" s="2">
        <v>20142</v>
      </c>
      <c r="F6" s="2">
        <f t="shared" ref="F6:F10" si="0">(B6+C6+D6+E6)/4</f>
        <v>20148.25</v>
      </c>
      <c r="H6" s="3">
        <v>220</v>
      </c>
      <c r="I6" s="2">
        <v>20174</v>
      </c>
      <c r="J6" s="2">
        <v>20145</v>
      </c>
      <c r="K6" s="2">
        <v>20159</v>
      </c>
      <c r="L6" s="2">
        <v>20195</v>
      </c>
      <c r="M6" s="2">
        <f t="shared" ref="M6:M10" si="1">(I6+J6+K6+L6)/4</f>
        <v>20168.25</v>
      </c>
    </row>
    <row r="7" spans="1:13" x14ac:dyDescent="0.25">
      <c r="A7" s="3">
        <v>470</v>
      </c>
      <c r="B7" s="2">
        <v>19965</v>
      </c>
      <c r="C7" s="2">
        <v>19999</v>
      </c>
      <c r="D7" s="2">
        <v>19992</v>
      </c>
      <c r="E7" s="2">
        <v>19971</v>
      </c>
      <c r="F7" s="2">
        <f t="shared" si="0"/>
        <v>19981.75</v>
      </c>
      <c r="H7" s="3">
        <v>470</v>
      </c>
      <c r="I7" s="2">
        <v>20074</v>
      </c>
      <c r="J7" s="2">
        <v>20096</v>
      </c>
      <c r="K7" s="2">
        <v>20083</v>
      </c>
      <c r="L7" s="2">
        <v>20089</v>
      </c>
      <c r="M7" s="2">
        <f t="shared" si="1"/>
        <v>20085.5</v>
      </c>
    </row>
    <row r="8" spans="1:13" x14ac:dyDescent="0.25">
      <c r="A8" s="3">
        <v>680</v>
      </c>
      <c r="B8" s="2">
        <v>19654</v>
      </c>
      <c r="C8" s="2">
        <v>19691</v>
      </c>
      <c r="D8" s="2">
        <v>19653</v>
      </c>
      <c r="E8" s="2">
        <v>19644</v>
      </c>
      <c r="F8" s="2">
        <f t="shared" si="0"/>
        <v>19660.5</v>
      </c>
      <c r="H8" s="3">
        <v>680</v>
      </c>
      <c r="I8" s="2">
        <v>20005</v>
      </c>
      <c r="J8" s="2">
        <v>19984</v>
      </c>
      <c r="K8" s="2">
        <v>19972</v>
      </c>
      <c r="L8" s="2">
        <v>19974</v>
      </c>
      <c r="M8" s="2">
        <f t="shared" si="1"/>
        <v>19983.75</v>
      </c>
    </row>
    <row r="9" spans="1:13" x14ac:dyDescent="0.25">
      <c r="A9" s="3">
        <v>780</v>
      </c>
      <c r="B9" s="2">
        <v>19426</v>
      </c>
      <c r="C9" s="2">
        <v>19456</v>
      </c>
      <c r="D9" s="2">
        <v>19446</v>
      </c>
      <c r="E9" s="2">
        <v>19461</v>
      </c>
      <c r="F9" s="2">
        <f t="shared" si="0"/>
        <v>19447.25</v>
      </c>
      <c r="H9" s="3">
        <v>780</v>
      </c>
      <c r="I9" s="2">
        <v>19770</v>
      </c>
      <c r="J9" s="2">
        <v>19795</v>
      </c>
      <c r="K9" s="2">
        <v>19866</v>
      </c>
      <c r="L9" s="2">
        <v>19861</v>
      </c>
      <c r="M9" s="2">
        <f t="shared" si="1"/>
        <v>19823</v>
      </c>
    </row>
    <row r="10" spans="1:13" x14ac:dyDescent="0.25">
      <c r="A10" s="3">
        <v>1000</v>
      </c>
      <c r="B10" s="2">
        <v>18645</v>
      </c>
      <c r="C10" s="2">
        <v>18626</v>
      </c>
      <c r="D10" s="2">
        <v>18635</v>
      </c>
      <c r="E10" s="2">
        <v>18642</v>
      </c>
      <c r="F10" s="2">
        <f t="shared" si="0"/>
        <v>18637</v>
      </c>
      <c r="H10" s="3">
        <v>1000</v>
      </c>
      <c r="I10" s="2">
        <v>19635</v>
      </c>
      <c r="J10" s="2">
        <v>19691</v>
      </c>
      <c r="K10" s="2">
        <v>19633</v>
      </c>
      <c r="L10" s="2">
        <v>19688</v>
      </c>
      <c r="M10" s="2">
        <f t="shared" si="1"/>
        <v>19661.75</v>
      </c>
    </row>
  </sheetData>
  <mergeCells count="2">
    <mergeCell ref="A3:F3"/>
    <mergeCell ref="H3:M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27"/>
  <sheetViews>
    <sheetView topLeftCell="B7" workbookViewId="0">
      <selection activeCell="G11" sqref="G11"/>
    </sheetView>
  </sheetViews>
  <sheetFormatPr baseColWidth="10" defaultRowHeight="15" x14ac:dyDescent="0.25"/>
  <cols>
    <col min="4" max="4" width="13.42578125" customWidth="1"/>
    <col min="5" max="5" width="15" customWidth="1"/>
  </cols>
  <sheetData>
    <row r="5" spans="4:7" x14ac:dyDescent="0.25">
      <c r="D5" s="4" t="s">
        <v>7</v>
      </c>
      <c r="E5" s="1" t="s">
        <v>0</v>
      </c>
      <c r="F5" s="5" t="s">
        <v>13</v>
      </c>
      <c r="G5" s="5" t="s">
        <v>12</v>
      </c>
    </row>
    <row r="6" spans="4:7" x14ac:dyDescent="0.25">
      <c r="D6" s="2">
        <v>18637</v>
      </c>
      <c r="E6" s="3">
        <v>1000</v>
      </c>
      <c r="F6" s="2">
        <f>-0.5394*D6+11162</f>
        <v>1109.2021999999997</v>
      </c>
      <c r="G6" s="2">
        <f>((E6-F6)/E6)*100</f>
        <v>-10.920219999999972</v>
      </c>
    </row>
    <row r="7" spans="4:7" x14ac:dyDescent="0.25">
      <c r="D7" s="2">
        <v>19447.25</v>
      </c>
      <c r="E7" s="3">
        <v>780</v>
      </c>
      <c r="F7" s="2">
        <f t="shared" ref="F7:F11" si="0">-0.5394*D7+11162</f>
        <v>672.1533500000005</v>
      </c>
      <c r="G7" s="2">
        <f t="shared" ref="G7:G11" si="1">((E7-F7)/E7)*100</f>
        <v>13.826493589743524</v>
      </c>
    </row>
    <row r="8" spans="4:7" x14ac:dyDescent="0.25">
      <c r="D8" s="2">
        <v>19660.5</v>
      </c>
      <c r="E8" s="3">
        <v>680</v>
      </c>
      <c r="F8" s="2">
        <f t="shared" si="0"/>
        <v>557.1262999999999</v>
      </c>
      <c r="G8" s="2">
        <f t="shared" si="1"/>
        <v>18.069661764705895</v>
      </c>
    </row>
    <row r="9" spans="4:7" x14ac:dyDescent="0.25">
      <c r="D9" s="2">
        <v>19981.75</v>
      </c>
      <c r="E9" s="3">
        <v>470</v>
      </c>
      <c r="F9" s="2">
        <f t="shared" si="0"/>
        <v>383.8440499999997</v>
      </c>
      <c r="G9" s="2">
        <f t="shared" si="1"/>
        <v>18.331053191489428</v>
      </c>
    </row>
    <row r="10" spans="4:7" x14ac:dyDescent="0.25">
      <c r="D10" s="2">
        <v>20148.25</v>
      </c>
      <c r="E10" s="3">
        <v>220</v>
      </c>
      <c r="F10" s="2">
        <f t="shared" si="0"/>
        <v>294.03395000000091</v>
      </c>
      <c r="G10" s="2">
        <f t="shared" si="1"/>
        <v>-33.651795454545869</v>
      </c>
    </row>
    <row r="11" spans="4:7" x14ac:dyDescent="0.25">
      <c r="D11" s="2">
        <v>20259</v>
      </c>
      <c r="E11" s="3">
        <v>100</v>
      </c>
      <c r="F11" s="2">
        <f t="shared" si="0"/>
        <v>234.29540000000088</v>
      </c>
      <c r="G11" s="2">
        <f t="shared" si="1"/>
        <v>-134.29540000000088</v>
      </c>
    </row>
    <row r="16" spans="4:7" x14ac:dyDescent="0.25">
      <c r="E16" t="s">
        <v>8</v>
      </c>
    </row>
    <row r="19" spans="4:7" x14ac:dyDescent="0.25">
      <c r="D19" s="4" t="s">
        <v>7</v>
      </c>
      <c r="E19" s="1" t="s">
        <v>0</v>
      </c>
      <c r="F19" s="5" t="s">
        <v>13</v>
      </c>
      <c r="G19" s="5" t="s">
        <v>12</v>
      </c>
    </row>
    <row r="20" spans="4:7" x14ac:dyDescent="0.25">
      <c r="D20" s="2">
        <v>19661.75</v>
      </c>
      <c r="E20" s="3">
        <v>1000</v>
      </c>
      <c r="F20" s="2">
        <f>-1.5257*D20+31046</f>
        <v>1048.0680250000005</v>
      </c>
      <c r="G20" s="2">
        <f>((E20-F20)/E20)*100</f>
        <v>-4.8068025000000487</v>
      </c>
    </row>
    <row r="21" spans="4:7" x14ac:dyDescent="0.25">
      <c r="D21" s="2">
        <v>19823</v>
      </c>
      <c r="E21" s="3">
        <v>780</v>
      </c>
      <c r="F21" s="2">
        <f t="shared" ref="F21:F25" si="2">-1.5257*D21+31046</f>
        <v>802.04889999999796</v>
      </c>
      <c r="G21" s="2">
        <f t="shared" ref="G21:G25" si="3">((E21-F21)/E21)*100</f>
        <v>-2.8267820512817896</v>
      </c>
    </row>
    <row r="22" spans="4:7" x14ac:dyDescent="0.25">
      <c r="D22" s="2">
        <v>19983.75</v>
      </c>
      <c r="E22" s="3">
        <v>680</v>
      </c>
      <c r="F22" s="2">
        <f t="shared" si="2"/>
        <v>556.79262499999822</v>
      </c>
      <c r="G22" s="2">
        <f t="shared" si="3"/>
        <v>18.11873161764732</v>
      </c>
    </row>
    <row r="23" spans="4:7" x14ac:dyDescent="0.25">
      <c r="D23" s="2">
        <v>20085.5</v>
      </c>
      <c r="E23" s="3">
        <v>470</v>
      </c>
      <c r="F23" s="2">
        <f t="shared" si="2"/>
        <v>401.55264999999781</v>
      </c>
      <c r="G23" s="2">
        <f t="shared" si="3"/>
        <v>14.563265957447275</v>
      </c>
    </row>
    <row r="24" spans="4:7" x14ac:dyDescent="0.25">
      <c r="D24" s="2">
        <v>20168.25</v>
      </c>
      <c r="E24" s="3">
        <v>220</v>
      </c>
      <c r="F24" s="2">
        <f t="shared" si="2"/>
        <v>275.30097499999829</v>
      </c>
      <c r="G24" s="2">
        <f t="shared" si="3"/>
        <v>-25.136806818181039</v>
      </c>
    </row>
    <row r="25" spans="4:7" x14ac:dyDescent="0.25">
      <c r="D25" s="2">
        <v>20243.5</v>
      </c>
      <c r="E25" s="3">
        <v>100</v>
      </c>
      <c r="F25" s="2">
        <f t="shared" si="2"/>
        <v>160.49204999999711</v>
      </c>
      <c r="G25" s="2">
        <f t="shared" si="3"/>
        <v>-60.492049999997107</v>
      </c>
    </row>
    <row r="27" spans="4:7" x14ac:dyDescent="0.25">
      <c r="E27" s="6" t="s">
        <v>9</v>
      </c>
    </row>
  </sheetData>
  <sortState ref="D20:E25">
    <sortCondition ref="D19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34"/>
  <sheetViews>
    <sheetView topLeftCell="A25" workbookViewId="0">
      <selection activeCell="I6" sqref="I6"/>
    </sheetView>
  </sheetViews>
  <sheetFormatPr baseColWidth="10" defaultRowHeight="15" x14ac:dyDescent="0.25"/>
  <cols>
    <col min="2" max="2" width="14" customWidth="1"/>
    <col min="3" max="3" width="13.5703125" customWidth="1"/>
    <col min="6" max="7" width="14.42578125" customWidth="1"/>
    <col min="8" max="8" width="11.42578125" customWidth="1"/>
    <col min="10" max="10" width="12.85546875" customWidth="1"/>
    <col min="14" max="14" width="13.7109375" customWidth="1"/>
  </cols>
  <sheetData>
    <row r="5" spans="2:10" x14ac:dyDescent="0.25">
      <c r="B5" s="5" t="s">
        <v>10</v>
      </c>
      <c r="C5" s="38" t="s">
        <v>11</v>
      </c>
      <c r="D5" s="39"/>
      <c r="E5" s="39"/>
      <c r="F5" s="39"/>
      <c r="G5" s="5" t="s">
        <v>7</v>
      </c>
      <c r="H5" s="5" t="s">
        <v>13</v>
      </c>
      <c r="I5" s="5" t="s">
        <v>12</v>
      </c>
    </row>
    <row r="6" spans="2:10" x14ac:dyDescent="0.25">
      <c r="B6" s="3">
        <v>220</v>
      </c>
      <c r="C6" s="3">
        <v>20165</v>
      </c>
      <c r="D6" s="3">
        <v>20174</v>
      </c>
      <c r="E6" s="3">
        <v>20167</v>
      </c>
      <c r="F6" s="9">
        <v>20153</v>
      </c>
      <c r="G6" s="3">
        <f>(C6+D6+E6+F6)/4</f>
        <v>20164.75</v>
      </c>
      <c r="H6" s="2">
        <f>(-0.6721*G6)+13748</f>
        <v>195.27152500000011</v>
      </c>
      <c r="I6" s="2">
        <f>((B6-H6)/B6)*100</f>
        <v>11.240215909090859</v>
      </c>
    </row>
    <row r="7" spans="2:10" x14ac:dyDescent="0.25">
      <c r="B7" s="3">
        <v>147</v>
      </c>
      <c r="C7" s="3">
        <v>20211</v>
      </c>
      <c r="D7" s="3">
        <v>20199</v>
      </c>
      <c r="E7" s="3">
        <v>20254</v>
      </c>
      <c r="F7" s="9">
        <v>20211</v>
      </c>
      <c r="G7" s="3">
        <f t="shared" ref="G7:G8" si="0">(C7+D7+E7+F7)/4</f>
        <v>20218.75</v>
      </c>
      <c r="H7" s="2">
        <f t="shared" ref="H7:H8" si="1">(-0.6721*G7)+13748</f>
        <v>158.97812499999964</v>
      </c>
      <c r="I7" s="2">
        <f t="shared" ref="I7:I8" si="2">((B7-H7)/B7)*100</f>
        <v>-8.1483843537412497</v>
      </c>
    </row>
    <row r="8" spans="2:10" x14ac:dyDescent="0.25">
      <c r="B8" s="3">
        <v>100</v>
      </c>
      <c r="C8" s="3">
        <v>20269</v>
      </c>
      <c r="D8" s="3">
        <v>20263</v>
      </c>
      <c r="E8" s="3">
        <v>20258</v>
      </c>
      <c r="F8" s="9">
        <v>20272</v>
      </c>
      <c r="G8" s="3">
        <f t="shared" si="0"/>
        <v>20265.5</v>
      </c>
      <c r="H8" s="2">
        <f t="shared" si="1"/>
        <v>127.55745000000024</v>
      </c>
      <c r="I8" s="2">
        <f t="shared" si="2"/>
        <v>-27.557450000000244</v>
      </c>
    </row>
    <row r="9" spans="2:10" x14ac:dyDescent="0.25">
      <c r="C9" s="7"/>
      <c r="D9" s="7"/>
      <c r="E9" s="7"/>
      <c r="F9" s="7"/>
      <c r="G9" s="7"/>
      <c r="J9">
        <v>20137.2</v>
      </c>
    </row>
    <row r="10" spans="2:10" x14ac:dyDescent="0.25">
      <c r="C10" s="7"/>
      <c r="D10" s="7"/>
      <c r="E10" s="7"/>
      <c r="F10" s="7"/>
      <c r="G10" s="7"/>
      <c r="J10">
        <f>(J9+J12)/2</f>
        <v>20161.599999999999</v>
      </c>
    </row>
    <row r="11" spans="2:10" x14ac:dyDescent="0.25">
      <c r="C11" s="7"/>
      <c r="D11" s="7"/>
      <c r="E11" s="7"/>
      <c r="F11" s="7"/>
      <c r="G11" s="7"/>
    </row>
    <row r="12" spans="2:10" x14ac:dyDescent="0.25">
      <c r="C12" s="7"/>
      <c r="D12" s="7"/>
      <c r="E12" s="7"/>
      <c r="F12" s="7"/>
      <c r="G12" s="7"/>
      <c r="J12">
        <v>20186</v>
      </c>
    </row>
    <row r="13" spans="2:10" x14ac:dyDescent="0.25">
      <c r="B13" s="5" t="s">
        <v>10</v>
      </c>
      <c r="C13" s="38" t="s">
        <v>11</v>
      </c>
      <c r="D13" s="39"/>
      <c r="E13" s="39"/>
      <c r="F13" s="39"/>
      <c r="G13" s="5" t="s">
        <v>7</v>
      </c>
      <c r="H13" s="5" t="s">
        <v>13</v>
      </c>
      <c r="I13" s="5" t="s">
        <v>12</v>
      </c>
    </row>
    <row r="14" spans="2:10" x14ac:dyDescent="0.25">
      <c r="B14" s="3">
        <v>470</v>
      </c>
      <c r="C14" s="3">
        <v>19860</v>
      </c>
      <c r="D14" s="3">
        <v>19870</v>
      </c>
      <c r="E14" s="3">
        <v>19857</v>
      </c>
      <c r="F14" s="9">
        <v>19852</v>
      </c>
      <c r="G14" s="3">
        <f>(C14+D14+E14+F14)/4</f>
        <v>19859.75</v>
      </c>
      <c r="H14" s="2">
        <f>(-1.0844*G14)+22116</f>
        <v>580.08710000000065</v>
      </c>
      <c r="I14" s="2">
        <f>((B14-H14)/B14)*100</f>
        <v>-23.422787234042691</v>
      </c>
    </row>
    <row r="15" spans="2:10" x14ac:dyDescent="0.25">
      <c r="B15" s="3">
        <v>320</v>
      </c>
      <c r="C15" s="3">
        <v>20089</v>
      </c>
      <c r="D15" s="3">
        <v>20106</v>
      </c>
      <c r="E15" s="3">
        <v>20109</v>
      </c>
      <c r="F15" s="9">
        <v>20102</v>
      </c>
      <c r="G15" s="3">
        <f t="shared" ref="G15:G16" si="3">(C15+D15+E15+F15)/4</f>
        <v>20101.5</v>
      </c>
      <c r="H15" s="2">
        <f t="shared" ref="H15:H16" si="4">(-1.0844*G15)+22116</f>
        <v>317.93339999999807</v>
      </c>
      <c r="I15" s="2">
        <f t="shared" ref="I15:I16" si="5">((B15-H15)/B15)*100</f>
        <v>0.64581250000060209</v>
      </c>
    </row>
    <row r="16" spans="2:10" x14ac:dyDescent="0.25">
      <c r="B16" s="3">
        <v>277</v>
      </c>
      <c r="C16" s="3">
        <v>20142</v>
      </c>
      <c r="D16" s="3">
        <v>20120</v>
      </c>
      <c r="E16" s="3">
        <v>20141</v>
      </c>
      <c r="F16" s="9">
        <v>20137</v>
      </c>
      <c r="G16" s="3">
        <f t="shared" si="3"/>
        <v>20135</v>
      </c>
      <c r="H16" s="2">
        <f t="shared" si="4"/>
        <v>281.60599999999977</v>
      </c>
      <c r="I16" s="2">
        <f t="shared" si="5"/>
        <v>-1.6628158844764502</v>
      </c>
    </row>
    <row r="17" spans="2:10" x14ac:dyDescent="0.25">
      <c r="B17" s="10"/>
      <c r="C17" s="10"/>
      <c r="D17" s="10"/>
      <c r="E17" s="10"/>
      <c r="F17" s="10"/>
      <c r="G17" s="10"/>
      <c r="J17">
        <v>19816</v>
      </c>
    </row>
    <row r="18" spans="2:10" x14ac:dyDescent="0.25">
      <c r="C18" s="7"/>
      <c r="D18" s="7"/>
      <c r="E18" s="7"/>
      <c r="F18" s="7"/>
      <c r="G18" s="7"/>
      <c r="J18">
        <f>(J17+J20)/2</f>
        <v>19783.5</v>
      </c>
    </row>
    <row r="19" spans="2:10" x14ac:dyDescent="0.25">
      <c r="C19" s="7"/>
      <c r="D19" s="7"/>
      <c r="E19" s="7"/>
      <c r="F19" s="7"/>
      <c r="G19" s="7"/>
    </row>
    <row r="20" spans="2:10" x14ac:dyDescent="0.25">
      <c r="C20" s="7"/>
      <c r="D20" s="7"/>
      <c r="E20" s="7"/>
      <c r="F20" s="7"/>
      <c r="G20" s="7"/>
      <c r="J20">
        <v>19751</v>
      </c>
    </row>
    <row r="21" spans="2:10" x14ac:dyDescent="0.25">
      <c r="B21" s="5" t="s">
        <v>10</v>
      </c>
      <c r="C21" s="38" t="s">
        <v>11</v>
      </c>
      <c r="D21" s="39"/>
      <c r="E21" s="39"/>
      <c r="F21" s="39"/>
      <c r="G21" s="5" t="s">
        <v>7</v>
      </c>
      <c r="H21" s="5" t="s">
        <v>13</v>
      </c>
      <c r="I21" s="5" t="s">
        <v>12</v>
      </c>
    </row>
    <row r="22" spans="2:10" x14ac:dyDescent="0.25">
      <c r="B22" s="3">
        <v>727</v>
      </c>
      <c r="C22" s="3">
        <v>19338</v>
      </c>
      <c r="D22" s="3">
        <v>19345</v>
      </c>
      <c r="E22" s="3">
        <v>19292</v>
      </c>
      <c r="F22" s="9">
        <v>19299</v>
      </c>
      <c r="G22" s="3">
        <f>(C22+D22+E22+F22)/4</f>
        <v>19318.5</v>
      </c>
      <c r="H22" s="2">
        <f>(-0.5115*G22)+10729</f>
        <v>847.58725000000049</v>
      </c>
      <c r="I22" s="2">
        <f>((B22-H22)/B22)*100</f>
        <v>-16.586966987620425</v>
      </c>
    </row>
    <row r="23" spans="2:10" x14ac:dyDescent="0.25">
      <c r="B23" s="3">
        <v>680</v>
      </c>
      <c r="C23" s="3">
        <v>19403</v>
      </c>
      <c r="D23" s="3">
        <v>19414</v>
      </c>
      <c r="E23" s="3">
        <v>19410</v>
      </c>
      <c r="F23" s="9">
        <v>19408</v>
      </c>
      <c r="G23" s="3">
        <f t="shared" ref="G23:G24" si="6">(C23+D23+E23+F23)/4</f>
        <v>19408.75</v>
      </c>
      <c r="H23" s="2">
        <f t="shared" ref="H23:H24" si="7">(-0.5115*G23)+10729</f>
        <v>801.42437500000051</v>
      </c>
      <c r="I23" s="2">
        <f t="shared" ref="I23:I24" si="8">((B23-H23)/B23)*100</f>
        <v>-17.856525735294191</v>
      </c>
    </row>
    <row r="24" spans="2:10" x14ac:dyDescent="0.25">
      <c r="B24" s="3">
        <v>570</v>
      </c>
      <c r="C24" s="3">
        <v>19657</v>
      </c>
      <c r="D24" s="3">
        <v>19604</v>
      </c>
      <c r="E24" s="3">
        <v>19611</v>
      </c>
      <c r="F24" s="9">
        <v>19601</v>
      </c>
      <c r="G24" s="3">
        <f t="shared" si="6"/>
        <v>19618.25</v>
      </c>
      <c r="H24" s="2">
        <f t="shared" si="7"/>
        <v>694.26512500000172</v>
      </c>
      <c r="I24" s="2">
        <f t="shared" si="8"/>
        <v>-21.800899122807319</v>
      </c>
    </row>
    <row r="25" spans="2:10" x14ac:dyDescent="0.25">
      <c r="B25" s="10"/>
      <c r="C25" s="10"/>
      <c r="D25" s="10"/>
      <c r="E25" s="10"/>
      <c r="F25" s="10"/>
      <c r="G25" s="10"/>
      <c r="J25">
        <v>19274</v>
      </c>
    </row>
    <row r="26" spans="2:10" x14ac:dyDescent="0.25">
      <c r="B26" s="10"/>
      <c r="C26" s="10"/>
      <c r="D26" s="10"/>
      <c r="E26" s="10"/>
      <c r="F26" s="10"/>
      <c r="G26" s="10"/>
      <c r="J26">
        <f>(J25+J29)/2</f>
        <v>19282</v>
      </c>
    </row>
    <row r="27" spans="2:10" x14ac:dyDescent="0.25">
      <c r="B27" s="10"/>
      <c r="C27" s="10"/>
      <c r="D27" s="10"/>
      <c r="E27" s="10"/>
      <c r="F27" s="10"/>
      <c r="G27" s="10"/>
    </row>
    <row r="28" spans="2:10" x14ac:dyDescent="0.25">
      <c r="C28" s="7"/>
      <c r="D28" s="7"/>
      <c r="E28" s="7"/>
      <c r="F28" s="7"/>
      <c r="G28" s="7"/>
    </row>
    <row r="29" spans="2:10" x14ac:dyDescent="0.25">
      <c r="C29" s="7"/>
      <c r="D29" s="7"/>
      <c r="E29" s="7"/>
      <c r="F29" s="7"/>
      <c r="G29" s="7"/>
      <c r="J29">
        <v>19290</v>
      </c>
    </row>
    <row r="30" spans="2:10" x14ac:dyDescent="0.25">
      <c r="B30" s="5" t="s">
        <v>10</v>
      </c>
      <c r="C30" s="38" t="s">
        <v>11</v>
      </c>
      <c r="D30" s="39"/>
      <c r="E30" s="39"/>
      <c r="F30" s="39"/>
      <c r="G30" s="5" t="s">
        <v>7</v>
      </c>
      <c r="H30" s="5" t="s">
        <v>13</v>
      </c>
      <c r="I30" s="5" t="s">
        <v>12</v>
      </c>
    </row>
    <row r="31" spans="2:10" x14ac:dyDescent="0.25">
      <c r="B31" s="3">
        <v>1000</v>
      </c>
      <c r="C31" s="3">
        <v>18366</v>
      </c>
      <c r="D31" s="3">
        <v>18374</v>
      </c>
      <c r="E31" s="3">
        <v>18375</v>
      </c>
      <c r="F31" s="9">
        <v>18366</v>
      </c>
      <c r="G31" s="3">
        <f>(C31+D31+E31+F31)/4</f>
        <v>18370.25</v>
      </c>
      <c r="H31" s="2">
        <f>(-0.2471*G31)+5574.1</f>
        <v>1034.8112250000004</v>
      </c>
      <c r="I31" s="2">
        <f>((B31-H31)/B31)*100</f>
        <v>-3.4811225000000374</v>
      </c>
    </row>
    <row r="32" spans="2:10" x14ac:dyDescent="0.25">
      <c r="B32" s="3">
        <v>940</v>
      </c>
      <c r="C32" s="3">
        <v>18814</v>
      </c>
      <c r="D32" s="3">
        <v>18797</v>
      </c>
      <c r="E32" s="3">
        <v>18783</v>
      </c>
      <c r="F32" s="9">
        <v>18802</v>
      </c>
      <c r="G32" s="3">
        <f t="shared" ref="G32:G33" si="9">(C32+D32+E32+F32)/4</f>
        <v>18799</v>
      </c>
      <c r="H32" s="2">
        <f t="shared" ref="H32:H33" si="10">(-0.2471*G32)+5574.1</f>
        <v>928.86710000000039</v>
      </c>
      <c r="I32" s="2">
        <f t="shared" ref="I32:I33" si="11">((B32-H32)/B32)*100</f>
        <v>1.1843510638297456</v>
      </c>
    </row>
    <row r="33" spans="2:9" x14ac:dyDescent="0.25">
      <c r="B33" s="3">
        <v>780</v>
      </c>
      <c r="C33" s="3">
        <v>19091</v>
      </c>
      <c r="D33" s="3">
        <v>19106</v>
      </c>
      <c r="E33" s="3">
        <v>19101</v>
      </c>
      <c r="F33" s="9">
        <v>19107</v>
      </c>
      <c r="G33" s="3">
        <f t="shared" si="9"/>
        <v>19101.25</v>
      </c>
      <c r="H33" s="2">
        <f t="shared" si="10"/>
        <v>854.18112500000097</v>
      </c>
      <c r="I33" s="2">
        <f t="shared" si="11"/>
        <v>-9.5104006410257664</v>
      </c>
    </row>
    <row r="34" spans="2:9" x14ac:dyDescent="0.25">
      <c r="G34" s="8"/>
    </row>
  </sheetData>
  <mergeCells count="4">
    <mergeCell ref="C5:F5"/>
    <mergeCell ref="C13:F13"/>
    <mergeCell ref="C30:F30"/>
    <mergeCell ref="C21:F2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32"/>
  <sheetViews>
    <sheetView topLeftCell="L5" workbookViewId="0">
      <selection activeCell="P11" sqref="P11:R23"/>
    </sheetView>
  </sheetViews>
  <sheetFormatPr baseColWidth="10" defaultRowHeight="15" x14ac:dyDescent="0.25"/>
  <cols>
    <col min="2" max="2" width="14.7109375" customWidth="1"/>
    <col min="16" max="16" width="17.85546875" customWidth="1"/>
    <col min="17" max="17" width="16.85546875" customWidth="1"/>
    <col min="18" max="18" width="17.85546875" customWidth="1"/>
  </cols>
  <sheetData>
    <row r="5" spans="2:18" x14ac:dyDescent="0.25">
      <c r="B5" s="11" t="s">
        <v>10</v>
      </c>
      <c r="C5" s="38" t="s">
        <v>11</v>
      </c>
      <c r="D5" s="39"/>
      <c r="E5" s="39"/>
      <c r="F5" s="39"/>
      <c r="G5" s="11" t="s">
        <v>7</v>
      </c>
      <c r="H5" s="11" t="s">
        <v>13</v>
      </c>
      <c r="I5" s="11" t="s">
        <v>12</v>
      </c>
    </row>
    <row r="6" spans="2:18" x14ac:dyDescent="0.25">
      <c r="B6" s="3">
        <v>240</v>
      </c>
      <c r="C6" s="3">
        <v>14268</v>
      </c>
      <c r="D6" s="3">
        <v>14155</v>
      </c>
      <c r="E6" s="3">
        <v>14319</v>
      </c>
      <c r="F6" s="9">
        <v>14384</v>
      </c>
      <c r="G6" s="3">
        <f>(C6+D6+E6+F6)/4</f>
        <v>14281.5</v>
      </c>
      <c r="H6" s="2">
        <f>(-0.3671*G6)+5485.9</f>
        <v>243.16135000000031</v>
      </c>
      <c r="I6" s="2">
        <f>((B6-H6)/B6)*100</f>
        <v>-1.3172291666667966</v>
      </c>
    </row>
    <row r="7" spans="2:18" x14ac:dyDescent="0.25">
      <c r="B7" s="3">
        <v>180</v>
      </c>
      <c r="C7" s="3">
        <v>14474</v>
      </c>
      <c r="D7" s="3">
        <v>14539</v>
      </c>
      <c r="E7" s="3">
        <v>14350</v>
      </c>
      <c r="F7" s="9">
        <v>14566</v>
      </c>
      <c r="G7" s="3">
        <f t="shared" ref="G7:G8" si="0">(C7+D7+E7+F7)/4</f>
        <v>14482.25</v>
      </c>
      <c r="H7" s="2">
        <f t="shared" ref="H7:H8" si="1">(-0.3671*G7)+5485.9</f>
        <v>169.46602499999972</v>
      </c>
      <c r="I7" s="2">
        <f t="shared" ref="I7:I8" si="2">((B7-H7)/B7)*100</f>
        <v>5.8522083333334907</v>
      </c>
    </row>
    <row r="8" spans="2:18" x14ac:dyDescent="0.25">
      <c r="B8" s="3">
        <v>120</v>
      </c>
      <c r="C8" s="3">
        <v>14694</v>
      </c>
      <c r="D8" s="3">
        <v>14576</v>
      </c>
      <c r="E8" s="3">
        <v>14530</v>
      </c>
      <c r="F8" s="9">
        <v>14606</v>
      </c>
      <c r="G8" s="3">
        <f t="shared" si="0"/>
        <v>14601.5</v>
      </c>
      <c r="H8" s="2">
        <f t="shared" si="1"/>
        <v>125.68934999999965</v>
      </c>
      <c r="I8" s="2">
        <f t="shared" si="2"/>
        <v>-4.741124999999708</v>
      </c>
    </row>
    <row r="9" spans="2:18" x14ac:dyDescent="0.25">
      <c r="J9">
        <v>14181</v>
      </c>
    </row>
    <row r="11" spans="2:18" ht="15.75" x14ac:dyDescent="0.25">
      <c r="P11" s="23" t="s">
        <v>38</v>
      </c>
      <c r="Q11" s="23" t="s">
        <v>39</v>
      </c>
      <c r="R11" s="34" t="s">
        <v>40</v>
      </c>
    </row>
    <row r="12" spans="2:18" ht="15.75" x14ac:dyDescent="0.25">
      <c r="J12">
        <v>14229</v>
      </c>
      <c r="P12" s="25">
        <v>120</v>
      </c>
      <c r="Q12" s="25">
        <v>125.68</v>
      </c>
      <c r="R12" s="30">
        <f>((Q12-P12)/P12)*100</f>
        <v>4.7333333333333387</v>
      </c>
    </row>
    <row r="13" spans="2:18" ht="15.75" x14ac:dyDescent="0.25">
      <c r="B13" s="11" t="s">
        <v>10</v>
      </c>
      <c r="C13" s="38" t="s">
        <v>11</v>
      </c>
      <c r="D13" s="39"/>
      <c r="E13" s="39"/>
      <c r="F13" s="39"/>
      <c r="G13" s="11" t="s">
        <v>7</v>
      </c>
      <c r="H13" s="11" t="s">
        <v>13</v>
      </c>
      <c r="I13" s="11" t="s">
        <v>12</v>
      </c>
      <c r="P13" s="25">
        <v>180</v>
      </c>
      <c r="Q13" s="25">
        <v>169.46</v>
      </c>
      <c r="R13" s="30">
        <f t="shared" ref="R13:R23" si="3">((Q13-P13)/P13)*100</f>
        <v>-5.8555555555555516</v>
      </c>
    </row>
    <row r="14" spans="2:18" ht="15.75" x14ac:dyDescent="0.25">
      <c r="B14" s="3">
        <v>530</v>
      </c>
      <c r="C14" s="3">
        <v>13992</v>
      </c>
      <c r="D14" s="3">
        <v>14029</v>
      </c>
      <c r="E14" s="3">
        <v>13986</v>
      </c>
      <c r="F14" s="9">
        <v>14002</v>
      </c>
      <c r="G14" s="3">
        <f>(C14+D14+E14+F14)/4</f>
        <v>14002.25</v>
      </c>
      <c r="H14" s="2">
        <f>(-1.143*G14)+16544</f>
        <v>539.42824999999903</v>
      </c>
      <c r="I14" s="2">
        <f>((B14-H14)/B14)*100</f>
        <v>-1.7789150943394387</v>
      </c>
      <c r="P14" s="25">
        <v>240</v>
      </c>
      <c r="Q14" s="25">
        <v>243.16</v>
      </c>
      <c r="R14" s="30">
        <f t="shared" si="3"/>
        <v>1.3166666666666653</v>
      </c>
    </row>
    <row r="15" spans="2:18" ht="15.75" x14ac:dyDescent="0.25">
      <c r="B15" s="3">
        <v>470</v>
      </c>
      <c r="C15" s="3">
        <v>14078</v>
      </c>
      <c r="D15" s="3">
        <v>14085</v>
      </c>
      <c r="E15" s="3">
        <v>14106</v>
      </c>
      <c r="F15" s="9">
        <v>14068</v>
      </c>
      <c r="G15" s="3">
        <f t="shared" ref="G15:G16" si="4">(C15+D15+E15+F15)/4</f>
        <v>14084.25</v>
      </c>
      <c r="H15" s="2">
        <f t="shared" ref="H15:H16" si="5">(-1.143*G15)+16544</f>
        <v>445.70225000000028</v>
      </c>
      <c r="I15" s="2">
        <f t="shared" ref="I15:I16" si="6">((B15-H15)/B15)*100</f>
        <v>5.1697340425531326</v>
      </c>
      <c r="P15" s="25">
        <v>360</v>
      </c>
      <c r="Q15" s="25">
        <v>372.26</v>
      </c>
      <c r="R15" s="30">
        <f t="shared" si="3"/>
        <v>3.4055555555555532</v>
      </c>
    </row>
    <row r="16" spans="2:18" ht="15.75" x14ac:dyDescent="0.25">
      <c r="B16" s="3">
        <v>360</v>
      </c>
      <c r="C16" s="3">
        <v>14196</v>
      </c>
      <c r="D16" s="3">
        <v>14081</v>
      </c>
      <c r="E16" s="3">
        <v>14112</v>
      </c>
      <c r="F16" s="9">
        <v>14205</v>
      </c>
      <c r="G16" s="3">
        <f t="shared" si="4"/>
        <v>14148.5</v>
      </c>
      <c r="H16" s="2">
        <f t="shared" si="5"/>
        <v>372.26449999999932</v>
      </c>
      <c r="I16" s="2">
        <f t="shared" si="6"/>
        <v>-3.406805555555366</v>
      </c>
      <c r="P16" s="25">
        <v>470</v>
      </c>
      <c r="Q16" s="25">
        <v>445.7</v>
      </c>
      <c r="R16" s="30">
        <f t="shared" si="3"/>
        <v>-5.1702127659574497</v>
      </c>
    </row>
    <row r="17" spans="2:18" ht="15.75" x14ac:dyDescent="0.25">
      <c r="J17">
        <v>13984</v>
      </c>
      <c r="P17" s="25">
        <v>530</v>
      </c>
      <c r="Q17" s="25">
        <v>539.41999999999996</v>
      </c>
      <c r="R17" s="30">
        <f t="shared" si="3"/>
        <v>1.7773584905660298</v>
      </c>
    </row>
    <row r="18" spans="2:18" ht="15.75" x14ac:dyDescent="0.25">
      <c r="P18" s="25">
        <v>590</v>
      </c>
      <c r="Q18" s="25">
        <v>589.5</v>
      </c>
      <c r="R18" s="30">
        <f t="shared" si="3"/>
        <v>-8.4745762711864403E-2</v>
      </c>
    </row>
    <row r="19" spans="2:18" ht="15.75" x14ac:dyDescent="0.25">
      <c r="P19" s="25">
        <v>650</v>
      </c>
      <c r="Q19" s="25">
        <v>650.78</v>
      </c>
      <c r="R19" s="30">
        <f t="shared" si="3"/>
        <v>0.1199999999999958</v>
      </c>
    </row>
    <row r="20" spans="2:18" ht="15.75" x14ac:dyDescent="0.25">
      <c r="J20">
        <v>13963</v>
      </c>
      <c r="P20" s="25">
        <v>710</v>
      </c>
      <c r="Q20" s="25">
        <v>709.49</v>
      </c>
      <c r="R20" s="30">
        <f t="shared" si="3"/>
        <v>-7.1830985915491682E-2</v>
      </c>
    </row>
    <row r="21" spans="2:18" ht="15.75" x14ac:dyDescent="0.25">
      <c r="B21" s="11" t="s">
        <v>10</v>
      </c>
      <c r="C21" s="38" t="s">
        <v>11</v>
      </c>
      <c r="D21" s="39"/>
      <c r="E21" s="39"/>
      <c r="F21" s="39"/>
      <c r="G21" s="11" t="s">
        <v>7</v>
      </c>
      <c r="H21" s="11" t="s">
        <v>13</v>
      </c>
      <c r="I21" s="11" t="s">
        <v>12</v>
      </c>
      <c r="P21" s="25">
        <v>830</v>
      </c>
      <c r="Q21" s="25">
        <v>841.21</v>
      </c>
      <c r="R21" s="30">
        <f t="shared" si="3"/>
        <v>1.3506024096385585</v>
      </c>
    </row>
    <row r="22" spans="2:18" ht="15.75" x14ac:dyDescent="0.25">
      <c r="B22" s="3">
        <v>710</v>
      </c>
      <c r="C22" s="16">
        <v>13795</v>
      </c>
      <c r="D22" s="16">
        <v>13791</v>
      </c>
      <c r="E22" s="16">
        <v>13696</v>
      </c>
      <c r="F22" s="9">
        <v>13817</v>
      </c>
      <c r="G22" s="3">
        <f>(C22+D22+E22+F22)/4</f>
        <v>13774.75</v>
      </c>
      <c r="H22" s="2">
        <f>(-0.7933*G22)+11637</f>
        <v>709.49082500000077</v>
      </c>
      <c r="I22" s="2">
        <f>((B22-H22)/B22)*100</f>
        <v>7.171478873228615E-2</v>
      </c>
      <c r="P22" s="25">
        <v>940</v>
      </c>
      <c r="Q22" s="25">
        <v>918.97</v>
      </c>
      <c r="R22" s="30">
        <f t="shared" si="3"/>
        <v>-2.2372340425531885</v>
      </c>
    </row>
    <row r="23" spans="2:18" ht="15.75" x14ac:dyDescent="0.25">
      <c r="B23" s="3">
        <v>650</v>
      </c>
      <c r="C23" s="3">
        <v>13867</v>
      </c>
      <c r="D23" s="3">
        <v>13898</v>
      </c>
      <c r="E23" s="3">
        <v>13803</v>
      </c>
      <c r="F23" s="9">
        <v>13827</v>
      </c>
      <c r="G23" s="3">
        <f t="shared" ref="G23:G24" si="7">(C23+D23+E23+F23)/4</f>
        <v>13848.75</v>
      </c>
      <c r="H23" s="2">
        <f t="shared" ref="H23:H24" si="8">(-0.7933*G23)+11637</f>
        <v>650.78662500000064</v>
      </c>
      <c r="I23" s="2">
        <f t="shared" ref="I23:I24" si="9">((B23-H23)/B23)*100</f>
        <v>-0.12101923076932929</v>
      </c>
      <c r="P23" s="25">
        <v>1000</v>
      </c>
      <c r="Q23" s="25">
        <v>1009.61</v>
      </c>
      <c r="R23" s="30">
        <f t="shared" si="3"/>
        <v>0.96100000000000141</v>
      </c>
    </row>
    <row r="24" spans="2:18" x14ac:dyDescent="0.25">
      <c r="B24" s="3">
        <v>590</v>
      </c>
      <c r="C24" s="3">
        <v>13961</v>
      </c>
      <c r="D24" s="3">
        <v>13988</v>
      </c>
      <c r="E24" s="3">
        <v>13865</v>
      </c>
      <c r="F24" s="9">
        <v>13890</v>
      </c>
      <c r="G24" s="3">
        <f t="shared" si="7"/>
        <v>13926</v>
      </c>
      <c r="H24" s="2">
        <f t="shared" si="8"/>
        <v>589.5041999999994</v>
      </c>
      <c r="I24" s="2">
        <f t="shared" si="9"/>
        <v>8.4033898305186358E-2</v>
      </c>
    </row>
    <row r="25" spans="2:18" x14ac:dyDescent="0.25">
      <c r="J25">
        <v>13711</v>
      </c>
    </row>
    <row r="26" spans="2:18" x14ac:dyDescent="0.25">
      <c r="C26" s="16"/>
      <c r="D26" s="16"/>
      <c r="E26" s="16"/>
    </row>
    <row r="28" spans="2:18" x14ac:dyDescent="0.25">
      <c r="J28">
        <v>13816</v>
      </c>
    </row>
    <row r="29" spans="2:18" x14ac:dyDescent="0.25">
      <c r="B29" s="11" t="s">
        <v>10</v>
      </c>
      <c r="C29" s="38" t="s">
        <v>11</v>
      </c>
      <c r="D29" s="39"/>
      <c r="E29" s="39"/>
      <c r="F29" s="39"/>
      <c r="G29" s="11" t="s">
        <v>7</v>
      </c>
      <c r="H29" s="11" t="s">
        <v>13</v>
      </c>
      <c r="I29" s="11" t="s">
        <v>12</v>
      </c>
    </row>
    <row r="30" spans="2:18" x14ac:dyDescent="0.25">
      <c r="B30" s="3">
        <v>1000</v>
      </c>
      <c r="C30" s="3">
        <v>13330</v>
      </c>
      <c r="D30" s="3">
        <v>13367</v>
      </c>
      <c r="E30" s="3">
        <v>13274</v>
      </c>
      <c r="F30" s="9">
        <v>13260</v>
      </c>
      <c r="G30" s="3">
        <f>(C30+D30+E30+F30)/4</f>
        <v>13307.75</v>
      </c>
      <c r="H30" s="2">
        <f>(-0.4906*G30)+7538.4</f>
        <v>1009.6178499999996</v>
      </c>
      <c r="I30" s="2">
        <f>((B30-H30)/B30)*100</f>
        <v>-0.96178499999996347</v>
      </c>
    </row>
    <row r="31" spans="2:18" x14ac:dyDescent="0.25">
      <c r="B31" s="3">
        <v>940</v>
      </c>
      <c r="C31" s="3">
        <v>13490</v>
      </c>
      <c r="D31" s="3">
        <v>13520</v>
      </c>
      <c r="E31" s="3">
        <v>13518</v>
      </c>
      <c r="F31" s="9">
        <v>13442</v>
      </c>
      <c r="G31" s="3">
        <f t="shared" ref="G31:G32" si="10">(C31+D31+E31+F31)/4</f>
        <v>13492.5</v>
      </c>
      <c r="H31" s="2">
        <f t="shared" ref="H31:H32" si="11">(-0.4906*G31)+7538.4</f>
        <v>918.97949999999946</v>
      </c>
      <c r="I31" s="2">
        <f t="shared" ref="I31:I32" si="12">((B31-H31)/B31)*100</f>
        <v>2.2362234042553766</v>
      </c>
    </row>
    <row r="32" spans="2:18" x14ac:dyDescent="0.25">
      <c r="B32" s="3">
        <v>830</v>
      </c>
      <c r="C32" s="3">
        <v>13696</v>
      </c>
      <c r="D32" s="3">
        <v>13637</v>
      </c>
      <c r="E32" s="3">
        <v>13675</v>
      </c>
      <c r="F32" s="9">
        <v>13596</v>
      </c>
      <c r="G32" s="3">
        <f t="shared" si="10"/>
        <v>13651</v>
      </c>
      <c r="H32" s="2">
        <f t="shared" si="11"/>
        <v>841.21939999999995</v>
      </c>
      <c r="I32" s="2">
        <f t="shared" si="12"/>
        <v>-1.3517349397590301</v>
      </c>
    </row>
  </sheetData>
  <mergeCells count="4">
    <mergeCell ref="C5:F5"/>
    <mergeCell ref="C13:F13"/>
    <mergeCell ref="C21:F21"/>
    <mergeCell ref="C29:F2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U57"/>
  <sheetViews>
    <sheetView topLeftCell="A3" workbookViewId="0">
      <selection activeCell="P49" sqref="P49"/>
    </sheetView>
  </sheetViews>
  <sheetFormatPr baseColWidth="10" defaultRowHeight="15" x14ac:dyDescent="0.25"/>
  <cols>
    <col min="2" max="2" width="14.28515625" customWidth="1"/>
  </cols>
  <sheetData>
    <row r="5" spans="2:21" x14ac:dyDescent="0.25">
      <c r="B5" s="12" t="s">
        <v>10</v>
      </c>
      <c r="C5" s="13">
        <v>100</v>
      </c>
      <c r="D5" s="14">
        <v>150</v>
      </c>
      <c r="E5" s="15">
        <v>200</v>
      </c>
      <c r="F5" s="15">
        <v>250</v>
      </c>
      <c r="H5" s="18">
        <v>300</v>
      </c>
      <c r="I5" s="12">
        <v>350</v>
      </c>
      <c r="J5" s="12">
        <v>400</v>
      </c>
      <c r="K5" s="17">
        <v>500</v>
      </c>
      <c r="M5" s="17">
        <v>550</v>
      </c>
      <c r="N5" s="17">
        <v>600</v>
      </c>
      <c r="O5" s="17">
        <v>700</v>
      </c>
      <c r="P5" s="17">
        <v>750</v>
      </c>
      <c r="R5" s="17">
        <v>800</v>
      </c>
      <c r="S5" s="17">
        <v>900</v>
      </c>
      <c r="T5" s="17">
        <v>1000</v>
      </c>
      <c r="U5" s="17">
        <v>1100</v>
      </c>
    </row>
    <row r="6" spans="2:21" x14ac:dyDescent="0.25">
      <c r="B6" s="42" t="s">
        <v>11</v>
      </c>
      <c r="C6" s="3">
        <v>20147</v>
      </c>
      <c r="D6" s="3">
        <v>20108</v>
      </c>
      <c r="E6" s="3">
        <v>20073</v>
      </c>
      <c r="F6" s="3">
        <v>20074</v>
      </c>
      <c r="H6" s="3">
        <v>20101</v>
      </c>
      <c r="I6" s="3">
        <v>20011</v>
      </c>
      <c r="J6" s="3">
        <v>19946</v>
      </c>
      <c r="K6" s="3">
        <v>19848</v>
      </c>
      <c r="M6" s="3">
        <v>19804</v>
      </c>
      <c r="N6" s="3">
        <v>19666</v>
      </c>
      <c r="O6" s="3">
        <v>19473</v>
      </c>
      <c r="P6" s="19">
        <v>19473</v>
      </c>
      <c r="R6" s="3">
        <v>19361</v>
      </c>
      <c r="S6" s="3">
        <v>19025</v>
      </c>
      <c r="T6" s="3">
        <v>18422</v>
      </c>
      <c r="U6" s="3">
        <v>17910</v>
      </c>
    </row>
    <row r="7" spans="2:21" x14ac:dyDescent="0.25">
      <c r="B7" s="42"/>
      <c r="C7" s="3">
        <v>20164</v>
      </c>
      <c r="D7" s="3">
        <v>20104</v>
      </c>
      <c r="E7" s="3">
        <v>20087</v>
      </c>
      <c r="F7" s="3">
        <v>20099</v>
      </c>
      <c r="H7" s="3">
        <v>20067</v>
      </c>
      <c r="I7" s="3">
        <v>20035</v>
      </c>
      <c r="J7" s="3">
        <v>19936</v>
      </c>
      <c r="K7" s="3">
        <v>19827</v>
      </c>
      <c r="M7" s="3">
        <v>19833</v>
      </c>
      <c r="N7" s="3">
        <v>19674</v>
      </c>
      <c r="O7" s="3">
        <v>19472</v>
      </c>
      <c r="P7" s="19">
        <v>19475</v>
      </c>
      <c r="R7" s="3">
        <v>19347</v>
      </c>
      <c r="S7" s="3">
        <v>18910</v>
      </c>
      <c r="T7" s="3">
        <v>18422</v>
      </c>
      <c r="U7" s="3">
        <v>17892</v>
      </c>
    </row>
    <row r="8" spans="2:21" x14ac:dyDescent="0.25">
      <c r="B8" s="42"/>
      <c r="C8" s="3">
        <v>20128</v>
      </c>
      <c r="D8" s="3">
        <v>20111</v>
      </c>
      <c r="E8" s="3">
        <v>20120</v>
      </c>
      <c r="F8" s="3">
        <v>20066</v>
      </c>
      <c r="H8" s="3">
        <v>20022</v>
      </c>
      <c r="I8" s="3">
        <v>20038</v>
      </c>
      <c r="J8" s="3">
        <v>19965</v>
      </c>
      <c r="K8" s="3">
        <v>19827</v>
      </c>
      <c r="M8" s="3">
        <v>19792</v>
      </c>
      <c r="N8" s="3">
        <v>19657</v>
      </c>
      <c r="O8" s="3">
        <v>19514</v>
      </c>
      <c r="P8" s="19">
        <v>19473</v>
      </c>
      <c r="R8" s="3">
        <v>19358</v>
      </c>
      <c r="S8" s="3">
        <v>18973</v>
      </c>
      <c r="T8" s="3">
        <v>18416</v>
      </c>
      <c r="U8" s="3">
        <v>17897</v>
      </c>
    </row>
    <row r="9" spans="2:21" x14ac:dyDescent="0.25">
      <c r="B9" s="42"/>
      <c r="C9" s="3">
        <v>20138</v>
      </c>
      <c r="D9" s="3">
        <v>20104</v>
      </c>
      <c r="E9" s="3">
        <v>20133</v>
      </c>
      <c r="F9" s="3">
        <v>20061</v>
      </c>
      <c r="H9" s="3">
        <v>20076</v>
      </c>
      <c r="I9" s="3">
        <v>20067</v>
      </c>
      <c r="J9" s="3">
        <v>19939</v>
      </c>
      <c r="K9" s="3">
        <v>19839</v>
      </c>
      <c r="M9" s="3">
        <v>19800</v>
      </c>
      <c r="N9" s="3">
        <v>19668</v>
      </c>
      <c r="O9" s="3">
        <v>19481</v>
      </c>
      <c r="P9" s="19">
        <v>19462</v>
      </c>
      <c r="R9" s="3">
        <v>19358</v>
      </c>
      <c r="S9" s="3">
        <v>18912</v>
      </c>
      <c r="T9" s="3">
        <v>18416</v>
      </c>
      <c r="U9" s="3">
        <v>17898</v>
      </c>
    </row>
    <row r="10" spans="2:21" x14ac:dyDescent="0.25">
      <c r="B10" s="42"/>
      <c r="C10" s="3">
        <v>20196</v>
      </c>
      <c r="D10" s="3">
        <v>20109</v>
      </c>
      <c r="E10" s="3">
        <v>20128</v>
      </c>
      <c r="F10" s="3">
        <v>20061</v>
      </c>
      <c r="H10" s="3">
        <v>20042</v>
      </c>
      <c r="I10" s="3">
        <v>20010</v>
      </c>
      <c r="J10" s="3">
        <v>19968</v>
      </c>
      <c r="K10" s="3">
        <v>19833</v>
      </c>
      <c r="M10" s="3">
        <v>19800</v>
      </c>
      <c r="N10" s="3">
        <v>19649</v>
      </c>
      <c r="O10" s="3">
        <v>19497</v>
      </c>
      <c r="P10" s="19">
        <v>19466</v>
      </c>
      <c r="R10" s="3">
        <v>19341</v>
      </c>
      <c r="S10" s="3">
        <v>18910</v>
      </c>
      <c r="T10" s="3">
        <v>18418</v>
      </c>
      <c r="U10" s="3">
        <v>17908</v>
      </c>
    </row>
    <row r="11" spans="2:21" x14ac:dyDescent="0.25">
      <c r="B11" s="42"/>
      <c r="C11" s="3">
        <v>20120</v>
      </c>
      <c r="D11" s="3">
        <v>20133</v>
      </c>
      <c r="E11" s="3">
        <v>20089</v>
      </c>
      <c r="F11" s="3">
        <v>20112</v>
      </c>
      <c r="H11" s="3">
        <v>20032</v>
      </c>
      <c r="I11" s="3">
        <v>20037</v>
      </c>
      <c r="J11" s="3">
        <v>19949</v>
      </c>
      <c r="K11" s="3">
        <v>19838</v>
      </c>
      <c r="M11" s="3">
        <v>19813</v>
      </c>
      <c r="N11" s="3">
        <v>19672</v>
      </c>
      <c r="O11" s="3">
        <v>19480</v>
      </c>
      <c r="P11" s="19">
        <v>19489</v>
      </c>
      <c r="R11" s="3">
        <v>19330</v>
      </c>
      <c r="S11" s="3">
        <v>19007</v>
      </c>
      <c r="T11" s="3">
        <v>18422</v>
      </c>
      <c r="U11" s="3">
        <v>17907</v>
      </c>
    </row>
    <row r="12" spans="2:21" x14ac:dyDescent="0.25">
      <c r="B12" s="42"/>
      <c r="C12" s="3">
        <v>20132</v>
      </c>
      <c r="D12" s="3">
        <v>20098</v>
      </c>
      <c r="E12" s="3">
        <v>20083</v>
      </c>
      <c r="F12" s="3">
        <v>20102</v>
      </c>
      <c r="H12" s="3">
        <v>20060</v>
      </c>
      <c r="I12" s="3">
        <v>19989</v>
      </c>
      <c r="J12" s="3">
        <v>19964</v>
      </c>
      <c r="K12" s="3">
        <v>19867</v>
      </c>
      <c r="M12" s="3">
        <v>19811</v>
      </c>
      <c r="N12" s="3">
        <v>19657</v>
      </c>
      <c r="O12" s="3">
        <v>19478</v>
      </c>
      <c r="P12" s="19">
        <v>19457</v>
      </c>
      <c r="R12" s="3">
        <v>19352</v>
      </c>
      <c r="S12" s="3">
        <v>18918</v>
      </c>
      <c r="T12" s="3">
        <v>18418</v>
      </c>
      <c r="U12" s="3">
        <v>17901</v>
      </c>
    </row>
    <row r="13" spans="2:21" x14ac:dyDescent="0.25">
      <c r="B13" s="42"/>
      <c r="C13" s="3">
        <v>20183</v>
      </c>
      <c r="D13" s="3">
        <v>20202</v>
      </c>
      <c r="E13" s="3">
        <v>20114</v>
      </c>
      <c r="F13" s="3">
        <v>20071</v>
      </c>
      <c r="H13" s="3">
        <v>20021</v>
      </c>
      <c r="I13" s="3">
        <v>20015</v>
      </c>
      <c r="J13" s="3">
        <v>19959</v>
      </c>
      <c r="K13" s="3">
        <v>19840</v>
      </c>
      <c r="M13" s="3">
        <v>19815</v>
      </c>
      <c r="N13" s="3">
        <v>19656</v>
      </c>
      <c r="O13" s="3">
        <v>19487</v>
      </c>
      <c r="P13" s="19">
        <v>19470</v>
      </c>
      <c r="R13" s="3">
        <v>19335</v>
      </c>
      <c r="S13" s="3">
        <v>18923</v>
      </c>
      <c r="T13" s="3">
        <v>18417</v>
      </c>
      <c r="U13" s="3">
        <v>17893</v>
      </c>
    </row>
    <row r="14" spans="2:21" x14ac:dyDescent="0.25">
      <c r="B14" s="42"/>
      <c r="C14" s="3">
        <v>20129</v>
      </c>
      <c r="D14" s="3">
        <v>20108</v>
      </c>
      <c r="E14" s="3">
        <v>20175</v>
      </c>
      <c r="F14" s="3">
        <v>20100</v>
      </c>
      <c r="H14" s="3">
        <v>20038</v>
      </c>
      <c r="I14" s="3">
        <v>20000</v>
      </c>
      <c r="J14" s="3">
        <v>19943</v>
      </c>
      <c r="K14" s="3">
        <v>19851</v>
      </c>
      <c r="M14" s="3">
        <v>19791</v>
      </c>
      <c r="N14" s="3">
        <v>19684</v>
      </c>
      <c r="O14" s="3">
        <v>19476</v>
      </c>
      <c r="P14" s="19">
        <v>19456</v>
      </c>
      <c r="R14" s="3">
        <v>19361</v>
      </c>
      <c r="S14" s="3">
        <v>19029</v>
      </c>
      <c r="T14" s="3">
        <v>18421</v>
      </c>
      <c r="U14" s="3">
        <v>17907</v>
      </c>
    </row>
    <row r="15" spans="2:21" x14ac:dyDescent="0.25">
      <c r="B15" s="42"/>
      <c r="C15" s="3">
        <v>20131</v>
      </c>
      <c r="D15" s="3">
        <v>20103</v>
      </c>
      <c r="E15" s="3">
        <v>20079</v>
      </c>
      <c r="F15" s="3">
        <v>20111</v>
      </c>
      <c r="H15" s="3">
        <v>20072</v>
      </c>
      <c r="I15" s="3">
        <v>19988</v>
      </c>
      <c r="J15" s="3">
        <v>19937</v>
      </c>
      <c r="K15" s="3">
        <v>19832</v>
      </c>
      <c r="M15" s="3">
        <v>19805</v>
      </c>
      <c r="N15" s="3">
        <v>19657</v>
      </c>
      <c r="O15" s="3">
        <v>19480</v>
      </c>
      <c r="P15" s="19">
        <v>19484</v>
      </c>
      <c r="R15" s="3">
        <v>19342</v>
      </c>
      <c r="S15" s="3">
        <v>18991</v>
      </c>
      <c r="T15" s="3">
        <v>18416</v>
      </c>
      <c r="U15" s="3">
        <v>17908</v>
      </c>
    </row>
    <row r="16" spans="2:21" x14ac:dyDescent="0.25">
      <c r="B16" s="42"/>
      <c r="C16" s="3">
        <v>20133</v>
      </c>
      <c r="D16" s="3">
        <v>20141</v>
      </c>
      <c r="E16" s="3">
        <v>20072</v>
      </c>
      <c r="F16" s="3">
        <v>20133</v>
      </c>
      <c r="H16" s="3">
        <v>20049</v>
      </c>
      <c r="I16" s="3">
        <v>19993</v>
      </c>
      <c r="J16" s="3">
        <v>19950</v>
      </c>
      <c r="K16" s="3">
        <v>19827</v>
      </c>
      <c r="M16" s="3">
        <v>19827</v>
      </c>
      <c r="N16" s="3">
        <v>19669</v>
      </c>
      <c r="O16" s="3">
        <v>19508</v>
      </c>
      <c r="P16" s="19">
        <v>19463</v>
      </c>
      <c r="R16" s="3">
        <v>19343</v>
      </c>
      <c r="S16" s="3">
        <v>19020</v>
      </c>
      <c r="T16" s="3">
        <v>18414</v>
      </c>
      <c r="U16" s="3">
        <v>17898</v>
      </c>
    </row>
    <row r="17" spans="2:21" x14ac:dyDescent="0.25">
      <c r="B17" s="42"/>
      <c r="C17" s="3">
        <v>20181</v>
      </c>
      <c r="D17" s="3">
        <v>20179</v>
      </c>
      <c r="E17" s="3">
        <v>20098</v>
      </c>
      <c r="F17" s="3">
        <v>20112</v>
      </c>
      <c r="H17" s="3">
        <v>20064</v>
      </c>
      <c r="I17" s="3">
        <v>19983</v>
      </c>
      <c r="J17" s="3">
        <v>19964</v>
      </c>
      <c r="K17" s="3">
        <v>19848</v>
      </c>
      <c r="M17" s="3">
        <v>19781</v>
      </c>
      <c r="N17" s="3">
        <v>19671</v>
      </c>
      <c r="O17" s="3">
        <v>19467</v>
      </c>
      <c r="P17" s="19">
        <v>19483</v>
      </c>
      <c r="R17" s="3">
        <v>19348</v>
      </c>
      <c r="S17" s="3">
        <v>18958</v>
      </c>
      <c r="T17" s="3">
        <v>18421</v>
      </c>
      <c r="U17" s="3">
        <v>17908</v>
      </c>
    </row>
    <row r="18" spans="2:21" x14ac:dyDescent="0.25">
      <c r="B18" s="42"/>
      <c r="C18" s="3">
        <v>20169</v>
      </c>
      <c r="D18" s="3">
        <v>20128</v>
      </c>
      <c r="E18" s="3">
        <v>20145</v>
      </c>
      <c r="F18" s="3">
        <v>20127</v>
      </c>
      <c r="H18" s="3">
        <v>20021</v>
      </c>
      <c r="I18" s="3">
        <v>20030</v>
      </c>
      <c r="J18" s="3">
        <v>19931</v>
      </c>
      <c r="K18" s="3">
        <v>19815</v>
      </c>
      <c r="M18" s="3">
        <v>19796</v>
      </c>
      <c r="N18" s="3">
        <v>19657</v>
      </c>
      <c r="O18" s="3">
        <v>19479</v>
      </c>
      <c r="P18" s="19">
        <v>19489</v>
      </c>
      <c r="R18" s="3">
        <v>19339</v>
      </c>
      <c r="S18" s="3">
        <v>19003</v>
      </c>
      <c r="T18" s="3">
        <v>18417</v>
      </c>
      <c r="U18" s="3">
        <v>17902</v>
      </c>
    </row>
    <row r="19" spans="2:21" x14ac:dyDescent="0.25">
      <c r="B19" s="42"/>
      <c r="C19" s="3">
        <v>20101</v>
      </c>
      <c r="D19" s="3">
        <v>20124</v>
      </c>
      <c r="E19" s="3">
        <v>20080</v>
      </c>
      <c r="F19" s="3">
        <v>20097</v>
      </c>
      <c r="H19" s="3">
        <v>20071</v>
      </c>
      <c r="I19" s="3">
        <v>19998</v>
      </c>
      <c r="J19" s="3">
        <v>19956</v>
      </c>
      <c r="K19" s="3">
        <v>19860</v>
      </c>
      <c r="M19" s="3">
        <v>19833</v>
      </c>
      <c r="N19" s="3">
        <v>19667</v>
      </c>
      <c r="O19" s="3">
        <v>19494</v>
      </c>
      <c r="P19" s="19">
        <v>19457</v>
      </c>
      <c r="R19" s="3">
        <v>19357</v>
      </c>
      <c r="S19" s="3">
        <v>18964</v>
      </c>
      <c r="T19" s="3">
        <v>18417</v>
      </c>
      <c r="U19" s="3">
        <v>17901</v>
      </c>
    </row>
    <row r="20" spans="2:21" x14ac:dyDescent="0.25">
      <c r="B20" s="42"/>
      <c r="C20" s="3">
        <v>20133</v>
      </c>
      <c r="D20" s="3">
        <v>20136</v>
      </c>
      <c r="E20" s="3">
        <v>20113</v>
      </c>
      <c r="F20" s="3">
        <v>20053</v>
      </c>
      <c r="H20" s="3">
        <v>20036</v>
      </c>
      <c r="I20" s="3">
        <v>19987</v>
      </c>
      <c r="J20" s="3">
        <v>19938</v>
      </c>
      <c r="K20" s="3">
        <v>19841</v>
      </c>
      <c r="M20" s="3">
        <v>19813</v>
      </c>
      <c r="N20" s="3">
        <v>19666</v>
      </c>
      <c r="O20" s="3">
        <v>19472</v>
      </c>
      <c r="P20" s="19">
        <v>19482</v>
      </c>
      <c r="R20" s="3">
        <v>19344</v>
      </c>
      <c r="S20" s="3">
        <v>18956</v>
      </c>
      <c r="T20" s="3">
        <v>18417</v>
      </c>
      <c r="U20" s="3">
        <v>17893</v>
      </c>
    </row>
    <row r="21" spans="2:21" x14ac:dyDescent="0.25">
      <c r="B21" s="42"/>
      <c r="C21" s="3">
        <v>20144</v>
      </c>
      <c r="D21" s="3">
        <v>20119</v>
      </c>
      <c r="E21" s="3">
        <v>20138</v>
      </c>
      <c r="F21" s="3">
        <v>20068</v>
      </c>
      <c r="H21" s="3">
        <v>20049</v>
      </c>
      <c r="I21" s="3">
        <v>19990</v>
      </c>
      <c r="J21" s="3">
        <v>19956</v>
      </c>
      <c r="K21" s="3">
        <v>19828</v>
      </c>
      <c r="M21" s="3">
        <v>19806</v>
      </c>
      <c r="N21" s="3">
        <v>19660</v>
      </c>
      <c r="O21" s="3">
        <v>19501</v>
      </c>
      <c r="P21" s="19">
        <v>19469</v>
      </c>
      <c r="R21" s="3">
        <v>19345</v>
      </c>
      <c r="S21" s="3">
        <v>18915</v>
      </c>
      <c r="T21" s="3">
        <v>18422</v>
      </c>
      <c r="U21" s="3">
        <v>17891</v>
      </c>
    </row>
    <row r="22" spans="2:21" x14ac:dyDescent="0.25">
      <c r="B22" s="42"/>
      <c r="C22" s="3">
        <v>20103</v>
      </c>
      <c r="D22" s="3">
        <v>20122</v>
      </c>
      <c r="E22" s="3">
        <v>20077</v>
      </c>
      <c r="F22" s="3">
        <v>20052</v>
      </c>
      <c r="H22" s="3">
        <v>20024</v>
      </c>
      <c r="I22" s="3">
        <v>20000</v>
      </c>
      <c r="J22" s="3">
        <v>19955</v>
      </c>
      <c r="K22" s="3">
        <v>19830</v>
      </c>
      <c r="M22" s="3">
        <v>19814</v>
      </c>
      <c r="N22" s="3">
        <v>19659</v>
      </c>
      <c r="O22" s="3">
        <v>19501</v>
      </c>
      <c r="P22" s="19">
        <v>19477</v>
      </c>
      <c r="R22" s="3">
        <v>19352</v>
      </c>
      <c r="S22" s="3">
        <v>19000</v>
      </c>
      <c r="T22" s="3">
        <v>18425</v>
      </c>
      <c r="U22" s="3">
        <v>17911</v>
      </c>
    </row>
    <row r="23" spans="2:21" x14ac:dyDescent="0.25">
      <c r="B23" s="42"/>
      <c r="C23" s="3">
        <v>20169</v>
      </c>
      <c r="D23" s="3">
        <v>20095</v>
      </c>
      <c r="E23" s="3">
        <v>20091</v>
      </c>
      <c r="F23" s="3">
        <v>20070</v>
      </c>
      <c r="H23" s="3">
        <v>20022</v>
      </c>
      <c r="I23" s="3">
        <v>20019</v>
      </c>
      <c r="J23" s="3">
        <v>19935</v>
      </c>
      <c r="K23" s="3">
        <v>19836</v>
      </c>
      <c r="M23" s="3">
        <v>19811</v>
      </c>
      <c r="N23" s="3">
        <v>19670</v>
      </c>
      <c r="O23" s="3">
        <v>19490</v>
      </c>
      <c r="P23" s="19">
        <v>19463</v>
      </c>
      <c r="R23" s="3">
        <v>19363</v>
      </c>
      <c r="S23" s="3">
        <v>18916</v>
      </c>
      <c r="T23" s="3">
        <v>18411</v>
      </c>
      <c r="U23" s="3">
        <v>17901</v>
      </c>
    </row>
    <row r="24" spans="2:21" x14ac:dyDescent="0.25">
      <c r="B24" s="42"/>
      <c r="C24" s="3">
        <v>20100</v>
      </c>
      <c r="D24" s="3">
        <v>20091</v>
      </c>
      <c r="E24" s="3">
        <v>20121</v>
      </c>
      <c r="F24" s="3">
        <v>20072</v>
      </c>
      <c r="H24" s="3">
        <v>20063</v>
      </c>
      <c r="I24" s="3">
        <v>20011</v>
      </c>
      <c r="J24" s="3">
        <v>19981</v>
      </c>
      <c r="K24" s="3">
        <v>19839</v>
      </c>
      <c r="M24" s="3">
        <v>19809</v>
      </c>
      <c r="N24" s="3">
        <v>19651</v>
      </c>
      <c r="O24" s="3">
        <v>19482</v>
      </c>
      <c r="P24" s="19">
        <v>19465</v>
      </c>
      <c r="R24" s="3">
        <v>19344</v>
      </c>
      <c r="S24" s="3">
        <v>18994</v>
      </c>
      <c r="T24" s="3">
        <v>18420</v>
      </c>
      <c r="U24" s="3">
        <v>17891</v>
      </c>
    </row>
    <row r="25" spans="2:21" x14ac:dyDescent="0.25">
      <c r="B25" s="42"/>
      <c r="C25" s="3">
        <v>20115</v>
      </c>
      <c r="D25" s="3">
        <v>20101</v>
      </c>
      <c r="E25" s="3">
        <v>20133</v>
      </c>
      <c r="F25" s="3">
        <v>20051</v>
      </c>
      <c r="H25" s="3">
        <v>20114</v>
      </c>
      <c r="I25" s="3">
        <v>20027</v>
      </c>
      <c r="J25" s="3">
        <v>19940</v>
      </c>
      <c r="K25" s="3">
        <v>19836</v>
      </c>
      <c r="M25" s="3">
        <v>19816</v>
      </c>
      <c r="N25" s="3">
        <v>19667</v>
      </c>
      <c r="O25" s="3">
        <v>19498</v>
      </c>
      <c r="P25" s="19">
        <v>19489</v>
      </c>
      <c r="R25" s="3">
        <v>19329</v>
      </c>
      <c r="S25" s="3">
        <v>18993</v>
      </c>
      <c r="T25" s="3">
        <v>18417</v>
      </c>
      <c r="U25" s="3">
        <v>17890</v>
      </c>
    </row>
    <row r="26" spans="2:21" x14ac:dyDescent="0.25">
      <c r="B26" s="12" t="s">
        <v>28</v>
      </c>
      <c r="C26" s="3">
        <f>(C6+C7+C8+C9+C10+C11+C12+C13+C14+C15+C16+C17+C18+C19+C20+C21+C22+C23+C24+C25)/20</f>
        <v>20140.8</v>
      </c>
      <c r="D26" s="3">
        <f>(D6+D7+D8+D9+D10+D11+D12+D13+D14+D15+D16+D17+D18+D19+D20+D21+D22+D23+D24+D25)/20</f>
        <v>20120.8</v>
      </c>
      <c r="E26" s="3">
        <f>(E6+E7+E8+E9+E10+E11+E12+E13+E14+E15+E16+E17+E18+E19+E20+E21+E22+E23+E24+E25)/20</f>
        <v>20107.45</v>
      </c>
      <c r="F26" s="3">
        <f>(F6+F7+F8+F9+F10+F11+F12+F13+F14+F15+F16+F17+F18+F19+F20+F21+F22+F23+F24+F25)/20</f>
        <v>20084.599999999999</v>
      </c>
      <c r="H26" s="3">
        <f>(H6+H7+H8+H9+H10+H11+H12+H13+H14+H15+H16+H17+H18+H19+H20+H21+H22+H23+H24+H25)/20</f>
        <v>20052.2</v>
      </c>
      <c r="I26" s="3">
        <f>(I6+I7+I8+I9+I10+I11+I12+I13+I14+I15+I16+I17+I18+I19+I20+I21+I22+I23+I24+I25)/20</f>
        <v>20011.400000000001</v>
      </c>
      <c r="J26" s="3">
        <f>(J6+J7+J8+J9+J10+J11+J12+J13+J14+J15+J16+J17+J18+J19+J20+J21+J22+J23+J24+J25)/20</f>
        <v>19950.599999999999</v>
      </c>
      <c r="K26" s="3">
        <f>(K6+K7+K8+K9+K10+K11+K12+K13+K14+K15+K16+K17+K18+K19+K20+K21+K22+K23+K24+K25)/20</f>
        <v>19838.099999999999</v>
      </c>
      <c r="M26" s="3">
        <f>(M6+M7+M8+M9+M10+M11+M12+M13+M14+M15+M16+M17+M18+M19+M20+M21+M22+M23+M24+M25)/20</f>
        <v>19808.5</v>
      </c>
      <c r="N26" s="3">
        <f>(N6+N7+N8+N9+N10+N11+N12+N13+N14+N15+N16+N17+N18+N19+N20+N21+N22+N23+N24+N25)/20</f>
        <v>19663.849999999999</v>
      </c>
      <c r="O26" s="3">
        <f>(O6+O7+O8+O9+O10+O11+O12+O13+O14+O15+O16+O17+O18+O19+O20+O21+O22+O23+O24+O25)/20</f>
        <v>19486.5</v>
      </c>
      <c r="P26" s="3">
        <f>(P6+P7+P8+P9+P10+P11+P12+P13+P14+P15+P16+P17+P18+P19+P20+P21+P22+P23+P24+P25)/20</f>
        <v>19472.099999999999</v>
      </c>
      <c r="R26" s="3">
        <f>(R6+R7+R8+R9+R10+R11+R12+R13+R14+R15+R16+R17+R18+R19+R20+R21+R22+R23+R24+R25)/20</f>
        <v>19347.45</v>
      </c>
      <c r="S26" s="3">
        <f>(S6+S7+S8+S9+S10+S11+S12+S13+S14+S15+S16+S17+S18+S19+S20+S21+S22+S23+S24+S25)/20</f>
        <v>18965.849999999999</v>
      </c>
      <c r="T26" s="3">
        <f>(T6+T7+T8+T9+T10+T11+T12+T13+T14+T15+T16+T17+T18+T19+T20+T21+T22+T23+T24+T25)/20</f>
        <v>18418.45</v>
      </c>
      <c r="U26" s="3">
        <f>(U6+U7+U8+U9+U10+U11+U12+U13+U14+U15+U16+U17+U18+U19+U20+U21+U22+U23+U24+U25)/20</f>
        <v>17900.349999999999</v>
      </c>
    </row>
    <row r="29" spans="2:21" x14ac:dyDescent="0.25">
      <c r="B29" s="43" t="s">
        <v>29</v>
      </c>
      <c r="C29" s="3">
        <f>(C6+C7+C8+C9+C10+C11+C12+C13+C14+C15+C16+C17+C18+C19+C20+C21+C22+C23+C24+C25)/20</f>
        <v>20140.8</v>
      </c>
      <c r="D29" s="3">
        <v>100</v>
      </c>
    </row>
    <row r="30" spans="2:21" x14ac:dyDescent="0.25">
      <c r="B30" s="44"/>
      <c r="C30" s="3">
        <f>(D6+D7+D8+D9+D10+D11+D12+D13+D14+D15+D16+D17+D18+D19+D20+D21+D22+D23+D24+D25)/20</f>
        <v>20120.8</v>
      </c>
      <c r="D30" s="3">
        <v>150</v>
      </c>
    </row>
    <row r="31" spans="2:21" x14ac:dyDescent="0.25">
      <c r="B31" s="44"/>
      <c r="C31" s="3">
        <f>(E6+E7+E8+E9+E10+E11+E12+E13+E14+E15+E16+E17+E18+E19+E20+E21+E22+E23+E24+E25)/20</f>
        <v>20107.45</v>
      </c>
      <c r="D31" s="3">
        <v>200</v>
      </c>
    </row>
    <row r="32" spans="2:21" x14ac:dyDescent="0.25">
      <c r="B32" s="45"/>
      <c r="C32" s="3">
        <f>(F6+F7+F8+F9+F10+F11+F12+F13+F14+F15+F16+F17+F18+F19+F20+F21+F22+F23+F24+F25)/20</f>
        <v>20084.599999999999</v>
      </c>
      <c r="D32" s="3">
        <v>250</v>
      </c>
    </row>
    <row r="33" spans="2:5" x14ac:dyDescent="0.25">
      <c r="B33" s="20"/>
      <c r="D33" s="7"/>
      <c r="E33" t="s">
        <v>33</v>
      </c>
    </row>
    <row r="34" spans="2:5" x14ac:dyDescent="0.25">
      <c r="B34" s="20"/>
      <c r="D34" s="7"/>
    </row>
    <row r="35" spans="2:5" x14ac:dyDescent="0.25">
      <c r="B35" s="20"/>
      <c r="D35" s="7"/>
      <c r="E35">
        <v>299</v>
      </c>
    </row>
    <row r="36" spans="2:5" x14ac:dyDescent="0.25">
      <c r="B36" s="20"/>
      <c r="D36" s="7"/>
    </row>
    <row r="37" spans="2:5" x14ac:dyDescent="0.25">
      <c r="B37" s="20"/>
      <c r="D37" s="7"/>
      <c r="E37" t="s">
        <v>34</v>
      </c>
    </row>
    <row r="38" spans="2:5" x14ac:dyDescent="0.25">
      <c r="B38" s="43" t="s">
        <v>30</v>
      </c>
      <c r="C38" s="3">
        <f>(H6+H7+H8+H9+H10+H11+H12+H13+H14+H15+H16+H17+H18+H19+H20+H21+H22+H23+H24+H25)/20</f>
        <v>20052.2</v>
      </c>
      <c r="D38" s="3">
        <v>300</v>
      </c>
    </row>
    <row r="39" spans="2:5" x14ac:dyDescent="0.25">
      <c r="B39" s="44"/>
      <c r="C39" s="3">
        <f>(I6+I7+I8+I9+I10+I11+I12+I13+I14+I15+I16+I17+I18+I19+I20+I21+I22+I23+I24+I25)/20</f>
        <v>20011.400000000001</v>
      </c>
      <c r="D39" s="3">
        <v>350</v>
      </c>
    </row>
    <row r="40" spans="2:5" x14ac:dyDescent="0.25">
      <c r="B40" s="44"/>
      <c r="C40" s="3">
        <f>(J6+J7+J8+J9+J10+J11+J12+J13+J14+J15+J16+J17+J18+J19+J20+J21+J22+J23+J24+J25)/20</f>
        <v>19950.599999999999</v>
      </c>
      <c r="D40" s="3">
        <v>400</v>
      </c>
    </row>
    <row r="41" spans="2:5" x14ac:dyDescent="0.25">
      <c r="B41" s="45"/>
      <c r="C41" s="3">
        <f>(K6+K7+K8+K9+K10+K11+K12+K13+K14+K15+K16+K17+K18+K19+K20+K21+K22+K23+K24+K25)/20</f>
        <v>19838.099999999999</v>
      </c>
      <c r="D41" s="3">
        <v>500</v>
      </c>
    </row>
    <row r="42" spans="2:5" x14ac:dyDescent="0.25">
      <c r="B42" s="20"/>
      <c r="C42" s="7"/>
      <c r="D42" s="7"/>
      <c r="E42" t="s">
        <v>35</v>
      </c>
    </row>
    <row r="43" spans="2:5" x14ac:dyDescent="0.25">
      <c r="B43" s="20"/>
      <c r="C43" s="7"/>
      <c r="D43" s="7"/>
      <c r="E43">
        <v>546</v>
      </c>
    </row>
    <row r="44" spans="2:5" x14ac:dyDescent="0.25">
      <c r="B44" s="21"/>
      <c r="C44" s="7"/>
      <c r="D44" s="7"/>
    </row>
    <row r="45" spans="2:5" x14ac:dyDescent="0.25">
      <c r="B45" s="21"/>
      <c r="C45" s="7"/>
      <c r="D45" s="7"/>
      <c r="E45" t="s">
        <v>36</v>
      </c>
    </row>
    <row r="46" spans="2:5" x14ac:dyDescent="0.25">
      <c r="B46" s="43" t="s">
        <v>31</v>
      </c>
      <c r="C46" s="3">
        <f>(M6+M7+M8+M9+M10+M11+M12+M13+M14+M15+M16+M17+M18+M19+M20+M21+M22+M23+M24+M25)/20</f>
        <v>19808.5</v>
      </c>
      <c r="D46" s="3">
        <v>550</v>
      </c>
    </row>
    <row r="47" spans="2:5" x14ac:dyDescent="0.25">
      <c r="B47" s="44"/>
      <c r="C47" s="3">
        <f>(N6+N7+N8+N9+N10+N11+N12+N13+N14+N15+N16+N17+N18+N19+N20+N21+N22+N23+N24+N25)/20</f>
        <v>19663.849999999999</v>
      </c>
      <c r="D47" s="3">
        <v>600</v>
      </c>
    </row>
    <row r="48" spans="2:5" x14ac:dyDescent="0.25">
      <c r="B48" s="44"/>
      <c r="C48" s="3">
        <f>(O6+O7+O8+O9+O10+O11+O12+O13+O14+O15+O16+O17+O18+O19+O20+O21+O22+O23+O24+O25)/20</f>
        <v>19486.5</v>
      </c>
      <c r="D48" s="3">
        <v>700</v>
      </c>
    </row>
    <row r="49" spans="2:5" x14ac:dyDescent="0.25">
      <c r="B49" s="45"/>
      <c r="C49" s="3">
        <f>(P6+P7+P8+P9+P10+P11+P12+P13+P14+P15+P16+P17+P18+P19+P20+P21+P22+P23+P24+P25)/20</f>
        <v>19472.099999999999</v>
      </c>
      <c r="D49" s="3">
        <v>750</v>
      </c>
    </row>
    <row r="50" spans="2:5" x14ac:dyDescent="0.25">
      <c r="B50" s="21"/>
      <c r="D50" s="7"/>
      <c r="E50" t="s">
        <v>37</v>
      </c>
    </row>
    <row r="51" spans="2:5" x14ac:dyDescent="0.25">
      <c r="B51" s="21"/>
      <c r="D51" s="7"/>
    </row>
    <row r="52" spans="2:5" x14ac:dyDescent="0.25">
      <c r="B52" s="21"/>
      <c r="D52" s="7"/>
      <c r="E52">
        <v>799</v>
      </c>
    </row>
    <row r="53" spans="2:5" x14ac:dyDescent="0.25">
      <c r="B53" s="21"/>
      <c r="D53" s="7"/>
      <c r="E53">
        <v>19521</v>
      </c>
    </row>
    <row r="54" spans="2:5" x14ac:dyDescent="0.25">
      <c r="B54" s="43" t="s">
        <v>32</v>
      </c>
      <c r="C54" s="2">
        <f>(R6+R7+R8+R9+R10+R11+R12+R13+R14+R15+R16+R17+R18+R19+R20+R21+R22+R23+R24+R25)/20</f>
        <v>19347.45</v>
      </c>
      <c r="D54" s="3">
        <v>800</v>
      </c>
    </row>
    <row r="55" spans="2:5" x14ac:dyDescent="0.25">
      <c r="B55" s="44"/>
      <c r="C55" s="2">
        <f>(S6+S7+S8+S9+S10+S11+S12+S13+S14+S15+S16+S17+S18+S19+S20+S21+S22+S23+S24+S25)/20</f>
        <v>18965.849999999999</v>
      </c>
      <c r="D55" s="3">
        <v>900</v>
      </c>
    </row>
    <row r="56" spans="2:5" x14ac:dyDescent="0.25">
      <c r="B56" s="44"/>
      <c r="C56" s="2">
        <f>(T6+T7+T8+T9+T10+T11+T12+T13+T14+T15+T16+T17+T18+T19+T20+T21+T22+T23+T24+T25)/20</f>
        <v>18418.45</v>
      </c>
      <c r="D56" s="3">
        <v>1000</v>
      </c>
    </row>
    <row r="57" spans="2:5" x14ac:dyDescent="0.25">
      <c r="B57" s="45"/>
      <c r="C57" s="2">
        <f>(U6+U7+U8+U9+U10+U11+U12+U13+U14+U15+U16+U17+U18+U19+U20+U21+U22+U23+U24+U25)/20</f>
        <v>17900.349999999999</v>
      </c>
      <c r="D57" s="3">
        <v>1100</v>
      </c>
    </row>
  </sheetData>
  <mergeCells count="5">
    <mergeCell ref="B6:B25"/>
    <mergeCell ref="B29:B32"/>
    <mergeCell ref="B38:B41"/>
    <mergeCell ref="B46:B49"/>
    <mergeCell ref="B54:B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3"/>
  <sheetViews>
    <sheetView tabSelected="1" workbookViewId="0">
      <selection activeCell="L4" sqref="L4"/>
    </sheetView>
  </sheetViews>
  <sheetFormatPr baseColWidth="10" defaultRowHeight="15" x14ac:dyDescent="0.25"/>
  <cols>
    <col min="5" max="5" width="16" customWidth="1"/>
    <col min="7" max="7" width="11.85546875" bestFit="1" customWidth="1"/>
  </cols>
  <sheetData>
    <row r="3" spans="2:11" x14ac:dyDescent="0.25">
      <c r="B3" s="2"/>
      <c r="C3" s="33" t="s">
        <v>41</v>
      </c>
      <c r="D3" s="33" t="s">
        <v>42</v>
      </c>
      <c r="E3" s="33" t="s">
        <v>43</v>
      </c>
      <c r="F3" s="33" t="s">
        <v>44</v>
      </c>
      <c r="G3" s="33" t="s">
        <v>46</v>
      </c>
      <c r="H3" s="33" t="s">
        <v>45</v>
      </c>
      <c r="I3" s="33" t="s">
        <v>47</v>
      </c>
      <c r="J3" s="18" t="s">
        <v>48</v>
      </c>
      <c r="K3" s="18" t="s">
        <v>12</v>
      </c>
    </row>
    <row r="4" spans="2:11" x14ac:dyDescent="0.25">
      <c r="B4" s="46">
        <v>1</v>
      </c>
      <c r="C4" s="2">
        <v>100</v>
      </c>
      <c r="D4" s="2">
        <v>200</v>
      </c>
      <c r="E4" s="2">
        <f>1/10000000</f>
        <v>9.9999999999999995E-8</v>
      </c>
      <c r="F4" s="2">
        <f>(1/(300000*E4))</f>
        <v>33.333333333333336</v>
      </c>
      <c r="G4" s="2">
        <f>SQRT(POWER(F4,2)+POWER(D4,2))</f>
        <v>202.75875100994065</v>
      </c>
      <c r="H4" s="2">
        <f>(1/C4)+(1/G4)</f>
        <v>1.4931969619160719E-2</v>
      </c>
      <c r="I4" s="2">
        <f>1/H4</f>
        <v>66.970401461090503</v>
      </c>
      <c r="J4" s="2">
        <f>(129+4+4+4+72+72+72+31+31+31)/10</f>
        <v>45</v>
      </c>
      <c r="K4" s="2">
        <f>((J4-I4)/I4)*100</f>
        <v>-32.806136713776766</v>
      </c>
    </row>
    <row r="5" spans="2:11" x14ac:dyDescent="0.25">
      <c r="B5" s="46">
        <v>2</v>
      </c>
      <c r="C5" s="2">
        <v>100</v>
      </c>
      <c r="D5" s="2">
        <v>300</v>
      </c>
      <c r="E5" s="47">
        <v>4.7000000000000003E-10</v>
      </c>
      <c r="F5" s="2">
        <f t="shared" ref="F5:F13" si="0">(1/(300000*E5))</f>
        <v>7092.1985815602829</v>
      </c>
      <c r="G5" s="2">
        <f t="shared" ref="G5:G13" si="1">SQRT(POWER(F5,2)+POWER(D5,2))</f>
        <v>7098.5407458354211</v>
      </c>
      <c r="H5" s="2">
        <f t="shared" ref="H5:H13" si="2">(1/C5)+(1/G5)</f>
        <v>1.0140874024085398E-2</v>
      </c>
      <c r="I5" s="2">
        <f t="shared" ref="I5:I13" si="3">1/H5</f>
        <v>98.610829562118511</v>
      </c>
      <c r="J5" s="2">
        <f>(21+132+132+132+23+23+23+119+119+119)/10</f>
        <v>84.3</v>
      </c>
      <c r="K5" s="2">
        <f t="shared" ref="K5:K13" si="4">((J5-I5)/I5)*100</f>
        <v>-14.512431976960102</v>
      </c>
    </row>
    <row r="6" spans="2:11" x14ac:dyDescent="0.25">
      <c r="B6" s="46">
        <v>3</v>
      </c>
      <c r="C6" s="2">
        <v>220</v>
      </c>
      <c r="D6" s="2">
        <v>470</v>
      </c>
      <c r="E6" s="47">
        <v>4.7000000000000003E-10</v>
      </c>
      <c r="F6" s="2">
        <f t="shared" si="0"/>
        <v>7092.1985815602829</v>
      </c>
      <c r="G6" s="2">
        <f t="shared" si="1"/>
        <v>7107.7549704731446</v>
      </c>
      <c r="H6" s="2">
        <f t="shared" si="2"/>
        <v>4.6861459457847726E-3</v>
      </c>
      <c r="I6" s="2">
        <f t="shared" si="3"/>
        <v>213.39497565147502</v>
      </c>
      <c r="J6" s="2">
        <f>(228+228+228+255+255+255+282+282+282+271)/10</f>
        <v>256.60000000000002</v>
      </c>
      <c r="K6" s="2">
        <f t="shared" si="4"/>
        <v>20.246504968837282</v>
      </c>
    </row>
    <row r="7" spans="2:11" x14ac:dyDescent="0.25">
      <c r="B7" s="46">
        <v>4</v>
      </c>
      <c r="C7" s="2">
        <v>220</v>
      </c>
      <c r="D7" s="2">
        <v>500</v>
      </c>
      <c r="E7" s="2">
        <f>1/10000000000</f>
        <v>1E-10</v>
      </c>
      <c r="F7" s="2">
        <f t="shared" si="0"/>
        <v>33333.333333333336</v>
      </c>
      <c r="G7" s="2">
        <f t="shared" si="1"/>
        <v>33337.083122419564</v>
      </c>
      <c r="H7" s="2">
        <f t="shared" si="2"/>
        <v>4.5754511710239696E-3</v>
      </c>
      <c r="I7" s="2">
        <f t="shared" si="3"/>
        <v>218.55768155344637</v>
      </c>
      <c r="J7" s="2">
        <f>(317+317+317+357+357+357+282+282+282+314)/10</f>
        <v>318.2</v>
      </c>
      <c r="K7" s="2">
        <f t="shared" si="4"/>
        <v>45.590856261982701</v>
      </c>
    </row>
    <row r="8" spans="2:11" x14ac:dyDescent="0.25">
      <c r="B8" s="46">
        <v>5</v>
      </c>
      <c r="C8" s="2">
        <v>470</v>
      </c>
      <c r="D8" s="2">
        <v>570</v>
      </c>
      <c r="E8" s="2">
        <f>1/10000000000</f>
        <v>1E-10</v>
      </c>
      <c r="F8" s="2">
        <f t="shared" si="0"/>
        <v>33333.333333333336</v>
      </c>
      <c r="G8" s="2">
        <f t="shared" si="1"/>
        <v>33338.20647712038</v>
      </c>
      <c r="H8" s="2">
        <f t="shared" si="2"/>
        <v>2.1576551892797664E-3</v>
      </c>
      <c r="I8" s="2">
        <f t="shared" si="3"/>
        <v>463.46608344487322</v>
      </c>
      <c r="J8" s="2">
        <f>(441+441+441+425+425+425+441+441+441+409)/10</f>
        <v>433</v>
      </c>
      <c r="K8" s="2">
        <f t="shared" si="4"/>
        <v>-6.5735303041861091</v>
      </c>
    </row>
    <row r="9" spans="2:11" x14ac:dyDescent="0.25">
      <c r="B9" s="46">
        <v>6</v>
      </c>
      <c r="C9" s="2">
        <v>470</v>
      </c>
      <c r="D9" s="2">
        <v>680</v>
      </c>
      <c r="E9" s="47">
        <v>4.7000000000000003E-10</v>
      </c>
      <c r="F9" s="2">
        <f t="shared" si="0"/>
        <v>7092.1985815602829</v>
      </c>
      <c r="G9" s="2">
        <f t="shared" si="1"/>
        <v>7124.7232030645018</v>
      </c>
      <c r="H9" s="2">
        <f t="shared" si="2"/>
        <v>2.2680159043209948E-3</v>
      </c>
      <c r="I9" s="2">
        <f t="shared" si="3"/>
        <v>440.9140156798781</v>
      </c>
      <c r="J9" s="2">
        <f>(394+394+394+326+326+326+354+354+309)/10</f>
        <v>317.7</v>
      </c>
      <c r="K9" s="2">
        <f t="shared" si="4"/>
        <v>-27.945134719721999</v>
      </c>
    </row>
    <row r="10" spans="2:11" x14ac:dyDescent="0.25">
      <c r="B10" s="46">
        <v>7</v>
      </c>
      <c r="C10" s="2">
        <v>680</v>
      </c>
      <c r="D10" s="2">
        <v>780</v>
      </c>
      <c r="E10" s="2">
        <f>1/10000000</f>
        <v>9.9999999999999995E-8</v>
      </c>
      <c r="F10" s="2">
        <f t="shared" si="0"/>
        <v>33.333333333333336</v>
      </c>
      <c r="G10" s="2">
        <f t="shared" si="1"/>
        <v>780.71192581586138</v>
      </c>
      <c r="H10" s="2">
        <f t="shared" si="2"/>
        <v>2.7514704236313555E-3</v>
      </c>
      <c r="I10" s="2">
        <f t="shared" si="3"/>
        <v>363.44203136307488</v>
      </c>
      <c r="J10" s="2">
        <f>(354+354+354+342+342+342+362+362+362+338)/10</f>
        <v>351.2</v>
      </c>
      <c r="K10" s="2">
        <f t="shared" si="4"/>
        <v>-3.3683587220667999</v>
      </c>
    </row>
    <row r="11" spans="2:11" x14ac:dyDescent="0.25">
      <c r="B11" s="46">
        <v>8</v>
      </c>
      <c r="C11" s="2">
        <v>680</v>
      </c>
      <c r="D11" s="2">
        <v>1000</v>
      </c>
      <c r="E11" s="2">
        <f>1/10000000000</f>
        <v>1E-10</v>
      </c>
      <c r="F11" s="2">
        <f t="shared" si="0"/>
        <v>33333.333333333336</v>
      </c>
      <c r="G11" s="2">
        <f t="shared" si="1"/>
        <v>33348.329959851231</v>
      </c>
      <c r="H11" s="2">
        <f t="shared" si="2"/>
        <v>1.5005747443997887E-3</v>
      </c>
      <c r="I11" s="2">
        <f t="shared" si="3"/>
        <v>666.41132254960587</v>
      </c>
      <c r="J11" s="2">
        <f>(638+638+638+641+641+641+645+645+645+638)/10</f>
        <v>641</v>
      </c>
      <c r="K11" s="2">
        <f t="shared" si="4"/>
        <v>-3.8131588839735415</v>
      </c>
    </row>
    <row r="12" spans="2:11" x14ac:dyDescent="0.25">
      <c r="B12" s="46">
        <v>9</v>
      </c>
      <c r="C12" s="2">
        <v>1000</v>
      </c>
      <c r="D12" s="2">
        <v>1360</v>
      </c>
      <c r="E12" s="2">
        <f>1/10000000</f>
        <v>9.9999999999999995E-8</v>
      </c>
      <c r="F12" s="2">
        <f t="shared" si="0"/>
        <v>33.333333333333336</v>
      </c>
      <c r="G12" s="2">
        <f t="shared" si="1"/>
        <v>1360.408435401336</v>
      </c>
      <c r="H12" s="2">
        <f t="shared" si="2"/>
        <v>1.7350733603066705E-3</v>
      </c>
      <c r="I12" s="2">
        <f t="shared" si="3"/>
        <v>576.34450673788922</v>
      </c>
      <c r="J12" s="2">
        <f>(590+590+590+598+598+598+607+607+607+610)/10</f>
        <v>599.5</v>
      </c>
      <c r="K12" s="2">
        <f t="shared" si="4"/>
        <v>4.0176479503849016</v>
      </c>
    </row>
    <row r="13" spans="2:11" x14ac:dyDescent="0.25">
      <c r="B13" s="46">
        <v>10</v>
      </c>
      <c r="C13" s="2">
        <v>1000</v>
      </c>
      <c r="D13" s="2">
        <v>1460</v>
      </c>
      <c r="E13" s="2">
        <f>1/10000000000</f>
        <v>1E-10</v>
      </c>
      <c r="F13" s="2">
        <f t="shared" si="0"/>
        <v>33333.333333333336</v>
      </c>
      <c r="G13" s="2">
        <f t="shared" si="1"/>
        <v>33365.292012975267</v>
      </c>
      <c r="H13" s="2">
        <f t="shared" si="2"/>
        <v>1.0299712647385527E-3</v>
      </c>
      <c r="I13" s="2">
        <f t="shared" si="3"/>
        <v>970.90087290332269</v>
      </c>
      <c r="J13" s="2">
        <f>(993+993+993+992+992+992+991+991+991+992)/10</f>
        <v>992</v>
      </c>
      <c r="K13" s="2">
        <f t="shared" si="4"/>
        <v>2.1731494620644192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Hoja4</vt:lpstr>
      <vt:lpstr>Hoja1</vt:lpstr>
      <vt:lpstr>Hoja2</vt:lpstr>
      <vt:lpstr>Hoja3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2017-08-11T16:51:10Z</dcterms:created>
  <dcterms:modified xsi:type="dcterms:W3CDTF">2018-01-30T06:25:41Z</dcterms:modified>
</cp:coreProperties>
</file>